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comments3.xml" ContentType="application/vnd.openxmlformats-officedocument.spreadsheetml.comments+xml"/>
  <Override PartName="/xl/drawings/drawing3.xml" ContentType="application/vnd.openxmlformats-officedocument.drawing+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yohan\PycharmProjects\alius_core_analyzer\sources_files\tests\"/>
    </mc:Choice>
  </mc:AlternateContent>
  <xr:revisionPtr revIDLastSave="0" documentId="13_ncr:1_{3BF495DC-1DAD-4450-80E2-9D2514E79663}" xr6:coauthVersionLast="47" xr6:coauthVersionMax="47" xr10:uidLastSave="{00000000-0000-0000-0000-000000000000}"/>
  <bookViews>
    <workbookView xWindow="38280" yWindow="8310" windowWidth="29040" windowHeight="15720" activeTab="2" xr2:uid="{43351F6E-374A-40DA-8544-5932FD20F808}"/>
  </bookViews>
  <sheets>
    <sheet name="Log" sheetId="6" r:id="rId1"/>
    <sheet name="Survey" sheetId="15" r:id="rId2"/>
    <sheet name="Geotech" sheetId="2" r:id="rId3"/>
    <sheet name="Discontinuities" sheetId="5" r:id="rId4"/>
    <sheet name="PLT" sheetId="8" r:id="rId5"/>
    <sheet name="Table Lists" sheetId="13" state="hidden" r:id="rId6"/>
    <sheet name="Lab Tests" sheetId="7" r:id="rId7"/>
    <sheet name="References" sheetId="4" r:id="rId8"/>
    <sheet name="Site Specific Lists" sheetId="11" r:id="rId9"/>
  </sheets>
  <definedNames>
    <definedName name="_xlnm._FilterDatabase" localSheetId="7" hidden="1">References!$W$4:$W$8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7" i="8" l="1"/>
  <c r="B198" i="8"/>
  <c r="B199" i="8"/>
  <c r="B200" i="8"/>
  <c r="B201" i="8"/>
  <c r="B202" i="8"/>
  <c r="B203" i="8"/>
  <c r="B204" i="8"/>
  <c r="B205" i="8"/>
  <c r="B206" i="8"/>
  <c r="B207" i="8"/>
  <c r="B208" i="8"/>
  <c r="B209" i="8"/>
  <c r="B210" i="8"/>
  <c r="B211" i="8"/>
  <c r="B212" i="8"/>
  <c r="B213" i="8"/>
  <c r="B214" i="8"/>
  <c r="B215" i="8"/>
  <c r="B617" i="5"/>
  <c r="O617" i="5" a="1"/>
  <c r="O617" i="5" s="1"/>
  <c r="S617" i="5"/>
  <c r="T617" i="5"/>
  <c r="V617" i="5"/>
  <c r="W149" i="2"/>
  <c r="W176" i="2"/>
  <c r="K134" i="2"/>
  <c r="L108" i="2"/>
  <c r="K98" i="2"/>
  <c r="L97" i="2"/>
  <c r="G74" i="8" a="1"/>
  <c r="G74" i="8" s="1"/>
  <c r="K91" i="2"/>
  <c r="K86" i="2"/>
  <c r="L74" i="2"/>
  <c r="K73" i="2"/>
  <c r="B269" i="5"/>
  <c r="O269" i="5" a="1"/>
  <c r="O269" i="5" s="1"/>
  <c r="S269" i="5"/>
  <c r="U269" i="5" s="1"/>
  <c r="T269" i="5"/>
  <c r="V269" i="5"/>
  <c r="I58" i="2"/>
  <c r="K33" i="2"/>
  <c r="U617" i="5" l="1"/>
  <c r="K12" i="2"/>
  <c r="K7" i="2"/>
  <c r="B83" i="7"/>
  <c r="C83" i="7"/>
  <c r="E83" i="7"/>
  <c r="J83" i="7"/>
  <c r="L83" i="7"/>
  <c r="B84" i="7"/>
  <c r="C84" i="7"/>
  <c r="E84" i="7"/>
  <c r="J84" i="7"/>
  <c r="L84" i="7"/>
  <c r="B85" i="7"/>
  <c r="C85" i="7"/>
  <c r="E85" i="7"/>
  <c r="J85" i="7"/>
  <c r="L85" i="7"/>
  <c r="B86" i="7"/>
  <c r="C86" i="7"/>
  <c r="E86" i="7"/>
  <c r="J86" i="7"/>
  <c r="L86" i="7"/>
  <c r="B87" i="7"/>
  <c r="C87" i="7"/>
  <c r="E87" i="7"/>
  <c r="J87" i="7"/>
  <c r="L87" i="7"/>
  <c r="B88" i="7"/>
  <c r="C88" i="7"/>
  <c r="E88" i="7"/>
  <c r="J88" i="7"/>
  <c r="L88" i="7"/>
  <c r="B89" i="7"/>
  <c r="C89" i="7"/>
  <c r="E89" i="7"/>
  <c r="J89" i="7"/>
  <c r="L89" i="7"/>
  <c r="B90" i="7"/>
  <c r="C90" i="7"/>
  <c r="E90" i="7"/>
  <c r="J90" i="7"/>
  <c r="L90" i="7"/>
  <c r="B91" i="7"/>
  <c r="C91" i="7"/>
  <c r="E91" i="7"/>
  <c r="J91" i="7"/>
  <c r="L91" i="7"/>
  <c r="B92" i="7"/>
  <c r="C92" i="7"/>
  <c r="E92" i="7"/>
  <c r="J92" i="7"/>
  <c r="L92" i="7"/>
  <c r="B93" i="7"/>
  <c r="C93" i="7"/>
  <c r="E93" i="7"/>
  <c r="J93" i="7"/>
  <c r="L93" i="7"/>
  <c r="B94" i="7"/>
  <c r="C94" i="7"/>
  <c r="E94" i="7"/>
  <c r="J94" i="7"/>
  <c r="L94" i="7"/>
  <c r="B95" i="7"/>
  <c r="C95" i="7"/>
  <c r="E95" i="7"/>
  <c r="J95" i="7"/>
  <c r="L95" i="7"/>
  <c r="B96" i="7"/>
  <c r="C96" i="7"/>
  <c r="E96" i="7"/>
  <c r="J96" i="7"/>
  <c r="L96" i="7"/>
  <c r="B97" i="7"/>
  <c r="C97" i="7"/>
  <c r="E97" i="7"/>
  <c r="J97" i="7"/>
  <c r="L97" i="7"/>
  <c r="B98" i="7"/>
  <c r="C98" i="7"/>
  <c r="E98" i="7"/>
  <c r="J98" i="7"/>
  <c r="L98" i="7"/>
  <c r="B99" i="7"/>
  <c r="C99" i="7"/>
  <c r="E99" i="7"/>
  <c r="J99" i="7"/>
  <c r="L99" i="7"/>
  <c r="B100" i="7"/>
  <c r="C100" i="7"/>
  <c r="E100" i="7"/>
  <c r="J100" i="7"/>
  <c r="L100" i="7"/>
  <c r="B101" i="7"/>
  <c r="C101" i="7"/>
  <c r="E101" i="7"/>
  <c r="J101" i="7"/>
  <c r="L101" i="7"/>
  <c r="B102" i="7"/>
  <c r="C102" i="7"/>
  <c r="E102" i="7"/>
  <c r="J102" i="7"/>
  <c r="L102" i="7"/>
  <c r="W427" i="2" l="1"/>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F427" i="2"/>
  <c r="H427" i="2" s="1"/>
  <c r="AV427" i="2" s="1"/>
  <c r="F428" i="2"/>
  <c r="H428" i="2" s="1"/>
  <c r="F429" i="2"/>
  <c r="H429" i="2" s="1"/>
  <c r="AV429" i="2" s="1"/>
  <c r="F430" i="2"/>
  <c r="H430" i="2" s="1"/>
  <c r="AV430" i="2" s="1"/>
  <c r="F431" i="2"/>
  <c r="H431" i="2" s="1"/>
  <c r="AV431" i="2" s="1"/>
  <c r="F432" i="2"/>
  <c r="H432" i="2" s="1"/>
  <c r="AV432" i="2" s="1"/>
  <c r="F433" i="2"/>
  <c r="H433" i="2" s="1"/>
  <c r="AV433" i="2" s="1"/>
  <c r="F434" i="2"/>
  <c r="H434" i="2" s="1"/>
  <c r="AV434" i="2" s="1"/>
  <c r="F435" i="2"/>
  <c r="H435" i="2" s="1"/>
  <c r="AV435" i="2" s="1"/>
  <c r="F436" i="2"/>
  <c r="H436" i="2" s="1"/>
  <c r="AV436" i="2" s="1"/>
  <c r="F437" i="2"/>
  <c r="H437" i="2" s="1"/>
  <c r="AV437" i="2" s="1"/>
  <c r="F438" i="2"/>
  <c r="H438" i="2" s="1"/>
  <c r="AV438" i="2" s="1"/>
  <c r="F439" i="2"/>
  <c r="H439" i="2" s="1"/>
  <c r="AV439" i="2" s="1"/>
  <c r="F440" i="2"/>
  <c r="F441" i="2"/>
  <c r="H441" i="2" s="1"/>
  <c r="AV441" i="2" s="1"/>
  <c r="F442" i="2"/>
  <c r="H442" i="2" s="1"/>
  <c r="AV442" i="2" s="1"/>
  <c r="F443" i="2"/>
  <c r="H443" i="2" s="1"/>
  <c r="AV443" i="2" s="1"/>
  <c r="F444" i="2"/>
  <c r="H444" i="2" s="1"/>
  <c r="AV444" i="2" s="1"/>
  <c r="F445" i="2"/>
  <c r="H445" i="2" s="1"/>
  <c r="AV445" i="2" s="1"/>
  <c r="F446" i="2"/>
  <c r="H446" i="2" s="1"/>
  <c r="AV446" i="2" s="1"/>
  <c r="F447" i="2"/>
  <c r="H447" i="2" s="1"/>
  <c r="AV447" i="2" s="1"/>
  <c r="F448" i="2"/>
  <c r="H448" i="2" s="1"/>
  <c r="AV448" i="2" s="1"/>
  <c r="F449" i="2"/>
  <c r="H449" i="2" s="1"/>
  <c r="AV449" i="2" s="1"/>
  <c r="F450" i="2"/>
  <c r="H450" i="2" s="1"/>
  <c r="AV450" i="2" s="1"/>
  <c r="F451" i="2"/>
  <c r="H451" i="2" s="1"/>
  <c r="AV451" i="2" s="1"/>
  <c r="F452" i="2"/>
  <c r="H452" i="2" s="1"/>
  <c r="AV452" i="2" s="1"/>
  <c r="F453" i="2"/>
  <c r="H453" i="2" s="1"/>
  <c r="AV453" i="2" s="1"/>
  <c r="F454" i="2"/>
  <c r="H454" i="2" s="1"/>
  <c r="AV454" i="2" s="1"/>
  <c r="F455" i="2"/>
  <c r="H455" i="2" s="1"/>
  <c r="AV455" i="2" s="1"/>
  <c r="F456" i="2"/>
  <c r="H456" i="2" s="1"/>
  <c r="AV456" i="2" s="1"/>
  <c r="F457" i="2"/>
  <c r="H457" i="2" s="1"/>
  <c r="AV457" i="2" s="1"/>
  <c r="F458" i="2"/>
  <c r="H458" i="2" s="1"/>
  <c r="AV458" i="2" s="1"/>
  <c r="F459" i="2"/>
  <c r="H459" i="2" s="1"/>
  <c r="AV459" i="2" s="1"/>
  <c r="F460" i="2"/>
  <c r="H460" i="2" s="1"/>
  <c r="AV460" i="2" s="1"/>
  <c r="F461" i="2"/>
  <c r="H461" i="2" s="1"/>
  <c r="AV461" i="2" s="1"/>
  <c r="F462" i="2"/>
  <c r="H462" i="2" s="1"/>
  <c r="AV462" i="2" s="1"/>
  <c r="F463" i="2"/>
  <c r="H463" i="2" s="1"/>
  <c r="AV463" i="2" s="1"/>
  <c r="F464" i="2"/>
  <c r="H464" i="2" s="1"/>
  <c r="AV464" i="2" s="1"/>
  <c r="F465" i="2"/>
  <c r="H465" i="2" s="1"/>
  <c r="AV465" i="2" s="1"/>
  <c r="F466" i="2"/>
  <c r="H466" i="2" s="1"/>
  <c r="AV466" i="2" s="1"/>
  <c r="F467" i="2"/>
  <c r="H467" i="2" s="1"/>
  <c r="AV467" i="2" s="1"/>
  <c r="F468" i="2"/>
  <c r="H468" i="2" s="1"/>
  <c r="AV468" i="2" s="1"/>
  <c r="F469" i="2"/>
  <c r="H469" i="2" s="1"/>
  <c r="AV469" i="2" s="1"/>
  <c r="F470" i="2"/>
  <c r="H470" i="2" s="1"/>
  <c r="AV470" i="2" s="1"/>
  <c r="F471" i="2"/>
  <c r="H471" i="2" s="1"/>
  <c r="AV471" i="2" s="1"/>
  <c r="F472" i="2"/>
  <c r="H472" i="2" s="1"/>
  <c r="AV472" i="2" s="1"/>
  <c r="F473" i="2"/>
  <c r="H473" i="2" s="1"/>
  <c r="AV473" i="2" s="1"/>
  <c r="F474" i="2"/>
  <c r="H474" i="2" s="1"/>
  <c r="AV474" i="2" s="1"/>
  <c r="F475" i="2"/>
  <c r="H475" i="2" s="1"/>
  <c r="AV475" i="2" s="1"/>
  <c r="F476" i="2"/>
  <c r="H476" i="2" s="1"/>
  <c r="AV476" i="2" s="1"/>
  <c r="F477" i="2"/>
  <c r="H477" i="2" s="1"/>
  <c r="AV477" i="2" s="1"/>
  <c r="F478" i="2"/>
  <c r="H478" i="2" s="1"/>
  <c r="AV478" i="2" s="1"/>
  <c r="F479" i="2"/>
  <c r="H479" i="2" s="1"/>
  <c r="AV479" i="2" s="1"/>
  <c r="F480" i="2"/>
  <c r="H480" i="2" s="1"/>
  <c r="AV480" i="2" s="1"/>
  <c r="F481" i="2"/>
  <c r="H481" i="2" s="1"/>
  <c r="AV481" i="2" s="1"/>
  <c r="F482" i="2"/>
  <c r="H482" i="2" s="1"/>
  <c r="AV482" i="2" s="1"/>
  <c r="F483" i="2"/>
  <c r="H483" i="2" s="1"/>
  <c r="AV483" i="2" s="1"/>
  <c r="F484" i="2"/>
  <c r="H484" i="2" s="1"/>
  <c r="AV484" i="2" s="1"/>
  <c r="F485" i="2"/>
  <c r="H485" i="2" s="1"/>
  <c r="AV485" i="2" s="1"/>
  <c r="F486" i="2"/>
  <c r="H486" i="2" s="1"/>
  <c r="AV486" i="2" s="1"/>
  <c r="F487" i="2"/>
  <c r="H487" i="2" s="1"/>
  <c r="AV487" i="2" s="1"/>
  <c r="F488" i="2"/>
  <c r="H488" i="2" s="1"/>
  <c r="AV488" i="2" s="1"/>
  <c r="F489" i="2"/>
  <c r="H489" i="2" s="1"/>
  <c r="AV489" i="2" s="1"/>
  <c r="F490" i="2"/>
  <c r="H490" i="2" s="1"/>
  <c r="F491" i="2"/>
  <c r="H491" i="2" s="1"/>
  <c r="F492" i="2"/>
  <c r="H492" i="2" s="1"/>
  <c r="AV492" i="2" s="1"/>
  <c r="F493" i="2"/>
  <c r="H493" i="2" s="1"/>
  <c r="AV493" i="2" s="1"/>
  <c r="F494" i="2"/>
  <c r="H494" i="2" s="1"/>
  <c r="AV494" i="2" s="1"/>
  <c r="F495" i="2"/>
  <c r="H495" i="2" s="1"/>
  <c r="AV495" i="2" s="1"/>
  <c r="F496" i="2"/>
  <c r="H496" i="2" s="1"/>
  <c r="AV496" i="2" s="1"/>
  <c r="F497" i="2"/>
  <c r="H497" i="2" s="1"/>
  <c r="AV497" i="2" s="1"/>
  <c r="F498" i="2"/>
  <c r="H498" i="2" s="1"/>
  <c r="AV498" i="2" s="1"/>
  <c r="F499" i="2"/>
  <c r="H499" i="2" s="1"/>
  <c r="AV499" i="2" s="1"/>
  <c r="F500" i="2"/>
  <c r="H500" i="2" s="1"/>
  <c r="AV500" i="2" s="1"/>
  <c r="F501" i="2"/>
  <c r="H501" i="2" s="1"/>
  <c r="AV501" i="2" s="1"/>
  <c r="F502" i="2"/>
  <c r="H502" i="2" s="1"/>
  <c r="AV502" i="2" s="1"/>
  <c r="F503" i="2"/>
  <c r="H503" i="2" s="1"/>
  <c r="AV503" i="2" s="1"/>
  <c r="F504" i="2"/>
  <c r="H504" i="2" s="1"/>
  <c r="AV504" i="2" s="1"/>
  <c r="F505" i="2"/>
  <c r="F506" i="2"/>
  <c r="H506" i="2" s="1"/>
  <c r="AV506" i="2" s="1"/>
  <c r="F507" i="2"/>
  <c r="H507" i="2" s="1"/>
  <c r="F508" i="2"/>
  <c r="H508" i="2" s="1"/>
  <c r="AV508" i="2" s="1"/>
  <c r="F509" i="2"/>
  <c r="H509" i="2" s="1"/>
  <c r="AV509" i="2" s="1"/>
  <c r="F510" i="2"/>
  <c r="H510" i="2" s="1"/>
  <c r="AV510" i="2" s="1"/>
  <c r="F511" i="2"/>
  <c r="H511" i="2" s="1"/>
  <c r="AV511" i="2" s="1"/>
  <c r="F512" i="2"/>
  <c r="H512" i="2" s="1"/>
  <c r="AV512" i="2" s="1"/>
  <c r="F513" i="2"/>
  <c r="H513" i="2" s="1"/>
  <c r="AV513" i="2" s="1"/>
  <c r="F514" i="2"/>
  <c r="H514" i="2" s="1"/>
  <c r="AV514" i="2" s="1"/>
  <c r="F515" i="2"/>
  <c r="H515" i="2" s="1"/>
  <c r="AV515" i="2" s="1"/>
  <c r="F516" i="2"/>
  <c r="H516" i="2" s="1"/>
  <c r="AV516" i="2" s="1"/>
  <c r="F517" i="2"/>
  <c r="H517" i="2" s="1"/>
  <c r="AV517" i="2" s="1"/>
  <c r="H440" i="2"/>
  <c r="AV440" i="2" s="1"/>
  <c r="L427" i="2"/>
  <c r="AU427" i="2" s="1"/>
  <c r="L428" i="2"/>
  <c r="AU428" i="2" s="1"/>
  <c r="L429" i="2"/>
  <c r="AU429" i="2" s="1"/>
  <c r="L430" i="2"/>
  <c r="L431" i="2"/>
  <c r="AU431" i="2" s="1"/>
  <c r="L432" i="2"/>
  <c r="AU432" i="2" s="1"/>
  <c r="L433" i="2"/>
  <c r="AI433" i="2" s="1"/>
  <c r="L434" i="2"/>
  <c r="AI434" i="2" s="1"/>
  <c r="L435" i="2"/>
  <c r="AU435" i="2" s="1"/>
  <c r="L436" i="2"/>
  <c r="AI436" i="2" s="1"/>
  <c r="L437" i="2"/>
  <c r="AU437" i="2" s="1"/>
  <c r="L438" i="2"/>
  <c r="AU438" i="2" s="1"/>
  <c r="L439" i="2"/>
  <c r="AU439" i="2" s="1"/>
  <c r="L440" i="2"/>
  <c r="AU440" i="2" s="1"/>
  <c r="L441" i="2"/>
  <c r="AU441" i="2" s="1"/>
  <c r="L442" i="2"/>
  <c r="AU442" i="2" s="1"/>
  <c r="L443" i="2"/>
  <c r="AU443" i="2" s="1"/>
  <c r="L444" i="2"/>
  <c r="AU444" i="2" s="1"/>
  <c r="L445" i="2"/>
  <c r="AI445" i="2" s="1"/>
  <c r="L446" i="2"/>
  <c r="L447" i="2"/>
  <c r="AI447" i="2" s="1"/>
  <c r="L448" i="2"/>
  <c r="AI448" i="2" s="1"/>
  <c r="L449" i="2"/>
  <c r="AI449" i="2" s="1"/>
  <c r="L450" i="2"/>
  <c r="AU450" i="2" s="1"/>
  <c r="L451" i="2"/>
  <c r="AU451" i="2" s="1"/>
  <c r="L452" i="2"/>
  <c r="AI452" i="2" s="1"/>
  <c r="L453" i="2"/>
  <c r="AI453" i="2" s="1"/>
  <c r="L454" i="2"/>
  <c r="AU454" i="2" s="1"/>
  <c r="L455" i="2"/>
  <c r="AU455" i="2" s="1"/>
  <c r="L456" i="2"/>
  <c r="AI456" i="2" s="1"/>
  <c r="L457" i="2"/>
  <c r="AU457" i="2" s="1"/>
  <c r="L458" i="2"/>
  <c r="AU458" i="2" s="1"/>
  <c r="L459" i="2"/>
  <c r="AU459" i="2" s="1"/>
  <c r="L460" i="2"/>
  <c r="AU460" i="2" s="1"/>
  <c r="L461" i="2"/>
  <c r="AU461" i="2" s="1"/>
  <c r="L462" i="2"/>
  <c r="L463" i="2"/>
  <c r="AU463" i="2" s="1"/>
  <c r="L464" i="2"/>
  <c r="AU464" i="2" s="1"/>
  <c r="L465" i="2"/>
  <c r="AI465" i="2" s="1"/>
  <c r="L466" i="2"/>
  <c r="AI466" i="2" s="1"/>
  <c r="L467" i="2"/>
  <c r="AU467" i="2" s="1"/>
  <c r="L468" i="2"/>
  <c r="AI468" i="2" s="1"/>
  <c r="L469" i="2"/>
  <c r="AI469" i="2" s="1"/>
  <c r="L470" i="2"/>
  <c r="AI470" i="2" s="1"/>
  <c r="L471" i="2"/>
  <c r="AU471" i="2" s="1"/>
  <c r="L472" i="2"/>
  <c r="AU472" i="2" s="1"/>
  <c r="L473" i="2"/>
  <c r="AU473" i="2" s="1"/>
  <c r="L474" i="2"/>
  <c r="AU474" i="2" s="1"/>
  <c r="L475" i="2"/>
  <c r="AI475" i="2" s="1"/>
  <c r="L476" i="2"/>
  <c r="AI476" i="2" s="1"/>
  <c r="L477" i="2"/>
  <c r="AI477" i="2" s="1"/>
  <c r="L478" i="2"/>
  <c r="L479" i="2"/>
  <c r="AU479" i="2" s="1"/>
  <c r="L480" i="2"/>
  <c r="AU480" i="2" s="1"/>
  <c r="L481" i="2"/>
  <c r="AU481" i="2" s="1"/>
  <c r="L482" i="2"/>
  <c r="AU482" i="2" s="1"/>
  <c r="L483" i="2"/>
  <c r="AU483" i="2" s="1"/>
  <c r="L484" i="2"/>
  <c r="AU484" i="2" s="1"/>
  <c r="L485" i="2"/>
  <c r="AI485" i="2" s="1"/>
  <c r="L486" i="2"/>
  <c r="AU486" i="2" s="1"/>
  <c r="L487" i="2"/>
  <c r="AI487" i="2" s="1"/>
  <c r="L488" i="2"/>
  <c r="AU488" i="2" s="1"/>
  <c r="L489" i="2"/>
  <c r="AU489" i="2" s="1"/>
  <c r="L490" i="2"/>
  <c r="AI490" i="2" s="1"/>
  <c r="L491" i="2"/>
  <c r="AU491" i="2" s="1"/>
  <c r="L492" i="2"/>
  <c r="AU492" i="2" s="1"/>
  <c r="L493" i="2"/>
  <c r="AU493" i="2" s="1"/>
  <c r="L494" i="2"/>
  <c r="L495" i="2"/>
  <c r="AI495" i="2" s="1"/>
  <c r="L496" i="2"/>
  <c r="AU496" i="2" s="1"/>
  <c r="L497" i="2"/>
  <c r="AU497" i="2" s="1"/>
  <c r="L498" i="2"/>
  <c r="AU498" i="2" s="1"/>
  <c r="L499" i="2"/>
  <c r="AU499" i="2" s="1"/>
  <c r="L500" i="2"/>
  <c r="AU500" i="2" s="1"/>
  <c r="L501" i="2"/>
  <c r="AU501" i="2" s="1"/>
  <c r="L502" i="2"/>
  <c r="AU502" i="2" s="1"/>
  <c r="L503" i="2"/>
  <c r="AU503" i="2" s="1"/>
  <c r="L504" i="2"/>
  <c r="AI504" i="2" s="1"/>
  <c r="L505" i="2"/>
  <c r="AU505" i="2" s="1"/>
  <c r="L506" i="2"/>
  <c r="AU506" i="2" s="1"/>
  <c r="L507" i="2"/>
  <c r="AU507" i="2" s="1"/>
  <c r="L508" i="2"/>
  <c r="AU508" i="2" s="1"/>
  <c r="L509" i="2"/>
  <c r="AU509" i="2" s="1"/>
  <c r="L510" i="2"/>
  <c r="L511" i="2"/>
  <c r="AU511" i="2" s="1"/>
  <c r="L512" i="2"/>
  <c r="AI512" i="2" s="1"/>
  <c r="L513" i="2"/>
  <c r="AU513" i="2" s="1"/>
  <c r="L514" i="2"/>
  <c r="AU514" i="2" s="1"/>
  <c r="L515" i="2"/>
  <c r="AU515" i="2" s="1"/>
  <c r="L516" i="2"/>
  <c r="AU516" i="2" s="1"/>
  <c r="L517" i="2"/>
  <c r="AU517" i="2" s="1"/>
  <c r="AB427" i="2"/>
  <c r="AC427" i="2" s="1"/>
  <c r="AJ427" i="2" s="1"/>
  <c r="AB428" i="2"/>
  <c r="AW428" i="2" s="1"/>
  <c r="AB429" i="2"/>
  <c r="AB430" i="2"/>
  <c r="AC430" i="2" s="1"/>
  <c r="AJ430" i="2" s="1"/>
  <c r="AB431" i="2"/>
  <c r="AC431" i="2" s="1"/>
  <c r="AJ431" i="2" s="1"/>
  <c r="AB432" i="2"/>
  <c r="AC432" i="2" s="1"/>
  <c r="AJ432" i="2" s="1"/>
  <c r="AB433" i="2"/>
  <c r="AC433" i="2" s="1"/>
  <c r="AJ433" i="2" s="1"/>
  <c r="AB434" i="2"/>
  <c r="AC434" i="2" s="1"/>
  <c r="AJ434" i="2" s="1"/>
  <c r="AB435" i="2"/>
  <c r="AC435" i="2" s="1"/>
  <c r="AJ435" i="2" s="1"/>
  <c r="AB436" i="2"/>
  <c r="AC436" i="2" s="1"/>
  <c r="AJ436" i="2" s="1"/>
  <c r="AB437" i="2"/>
  <c r="AC437" i="2" s="1"/>
  <c r="AJ437" i="2" s="1"/>
  <c r="AB438" i="2"/>
  <c r="AC438" i="2" s="1"/>
  <c r="AJ438" i="2" s="1"/>
  <c r="AB439" i="2"/>
  <c r="AW439" i="2" s="1"/>
  <c r="AB440" i="2"/>
  <c r="AB441" i="2"/>
  <c r="AW441" i="2" s="1"/>
  <c r="AB442" i="2"/>
  <c r="AP442" i="2" s="1"/>
  <c r="AB443" i="2"/>
  <c r="AK443" i="2" s="1"/>
  <c r="AB444" i="2"/>
  <c r="AK444" i="2" s="1"/>
  <c r="AB445" i="2"/>
  <c r="AC445" i="2" s="1"/>
  <c r="AJ445" i="2" s="1"/>
  <c r="AB446" i="2"/>
  <c r="AC446" i="2" s="1"/>
  <c r="AJ446" i="2" s="1"/>
  <c r="AB447" i="2"/>
  <c r="AC447" i="2" s="1"/>
  <c r="AJ447" i="2" s="1"/>
  <c r="AB448" i="2"/>
  <c r="AC448" i="2" s="1"/>
  <c r="AJ448" i="2" s="1"/>
  <c r="AB449" i="2"/>
  <c r="AC449" i="2" s="1"/>
  <c r="AJ449" i="2" s="1"/>
  <c r="AB450" i="2"/>
  <c r="AC450" i="2" s="1"/>
  <c r="AJ450" i="2" s="1"/>
  <c r="AB451" i="2"/>
  <c r="AB452" i="2"/>
  <c r="AC452" i="2" s="1"/>
  <c r="AJ452" i="2" s="1"/>
  <c r="AB453" i="2"/>
  <c r="AC453" i="2" s="1"/>
  <c r="AJ453" i="2" s="1"/>
  <c r="AB454" i="2"/>
  <c r="AC454" i="2" s="1"/>
  <c r="AJ454" i="2" s="1"/>
  <c r="AB455" i="2"/>
  <c r="AB456" i="2"/>
  <c r="AB457" i="2"/>
  <c r="AW457" i="2" s="1"/>
  <c r="AB458" i="2"/>
  <c r="AC458" i="2" s="1"/>
  <c r="AJ458" i="2" s="1"/>
  <c r="AB459" i="2"/>
  <c r="AC459" i="2" s="1"/>
  <c r="AJ459" i="2" s="1"/>
  <c r="AB460" i="2"/>
  <c r="AK460" i="2" s="1"/>
  <c r="AB461" i="2"/>
  <c r="AC461" i="2" s="1"/>
  <c r="AJ461" i="2" s="1"/>
  <c r="AB462" i="2"/>
  <c r="AC462" i="2" s="1"/>
  <c r="AJ462" i="2" s="1"/>
  <c r="AB463" i="2"/>
  <c r="AC463" i="2" s="1"/>
  <c r="AJ463" i="2" s="1"/>
  <c r="AB464" i="2"/>
  <c r="AC464" i="2" s="1"/>
  <c r="AJ464" i="2" s="1"/>
  <c r="AB465" i="2"/>
  <c r="AC465" i="2" s="1"/>
  <c r="AJ465" i="2" s="1"/>
  <c r="AB466" i="2"/>
  <c r="AC466" i="2" s="1"/>
  <c r="AJ466" i="2" s="1"/>
  <c r="AB467" i="2"/>
  <c r="AC467" i="2" s="1"/>
  <c r="AJ467" i="2" s="1"/>
  <c r="AB468" i="2"/>
  <c r="AW468" i="2" s="1"/>
  <c r="AB469" i="2"/>
  <c r="AW469" i="2" s="1"/>
  <c r="AB470" i="2"/>
  <c r="AW470" i="2" s="1"/>
  <c r="AB471" i="2"/>
  <c r="AK471" i="2" s="1"/>
  <c r="AB472" i="2"/>
  <c r="AW472" i="2" s="1"/>
  <c r="AB473" i="2"/>
  <c r="AW473" i="2" s="1"/>
  <c r="AB474" i="2"/>
  <c r="AC474" i="2" s="1"/>
  <c r="AJ474" i="2" s="1"/>
  <c r="AB475" i="2"/>
  <c r="AC475" i="2" s="1"/>
  <c r="AJ475" i="2" s="1"/>
  <c r="AB476" i="2"/>
  <c r="AC476" i="2" s="1"/>
  <c r="AJ476" i="2" s="1"/>
  <c r="AB477" i="2"/>
  <c r="AC477" i="2" s="1"/>
  <c r="AJ477" i="2" s="1"/>
  <c r="AB478" i="2"/>
  <c r="AC478" i="2" s="1"/>
  <c r="AJ478" i="2" s="1"/>
  <c r="AB479" i="2"/>
  <c r="AC479" i="2" s="1"/>
  <c r="AJ479" i="2" s="1"/>
  <c r="AB480" i="2"/>
  <c r="AP480" i="2" s="1"/>
  <c r="AB481" i="2"/>
  <c r="AC481" i="2" s="1"/>
  <c r="AJ481" i="2" s="1"/>
  <c r="AB482" i="2"/>
  <c r="AC482" i="2" s="1"/>
  <c r="AJ482" i="2" s="1"/>
  <c r="AB483" i="2"/>
  <c r="AC483" i="2" s="1"/>
  <c r="AJ483" i="2" s="1"/>
  <c r="AB484" i="2"/>
  <c r="AB485" i="2"/>
  <c r="AW485" i="2" s="1"/>
  <c r="AB486" i="2"/>
  <c r="AC486" i="2" s="1"/>
  <c r="AJ486" i="2" s="1"/>
  <c r="AB487" i="2"/>
  <c r="AW487" i="2" s="1"/>
  <c r="AB488" i="2"/>
  <c r="AW488" i="2" s="1"/>
  <c r="AB489" i="2"/>
  <c r="AW489" i="2" s="1"/>
  <c r="AB490" i="2"/>
  <c r="AB491" i="2"/>
  <c r="AK491" i="2" s="1"/>
  <c r="AB492" i="2"/>
  <c r="AW492" i="2" s="1"/>
  <c r="AB493" i="2"/>
  <c r="AW493" i="2" s="1"/>
  <c r="AB494" i="2"/>
  <c r="AC494" i="2" s="1"/>
  <c r="AJ494" i="2" s="1"/>
  <c r="AB495" i="2"/>
  <c r="AC495" i="2" s="1"/>
  <c r="AJ495" i="2" s="1"/>
  <c r="AB496" i="2"/>
  <c r="AC496" i="2" s="1"/>
  <c r="AJ496" i="2" s="1"/>
  <c r="AB497" i="2"/>
  <c r="AC497" i="2" s="1"/>
  <c r="AJ497" i="2" s="1"/>
  <c r="AB498" i="2"/>
  <c r="AC498" i="2" s="1"/>
  <c r="AJ498" i="2" s="1"/>
  <c r="AB499" i="2"/>
  <c r="AC499" i="2" s="1"/>
  <c r="AJ499" i="2" s="1"/>
  <c r="AB500" i="2"/>
  <c r="AC500" i="2" s="1"/>
  <c r="AJ500" i="2" s="1"/>
  <c r="AB501" i="2"/>
  <c r="AW501" i="2" s="1"/>
  <c r="AB502" i="2"/>
  <c r="AC502" i="2" s="1"/>
  <c r="AJ502" i="2" s="1"/>
  <c r="AB503" i="2"/>
  <c r="AW503" i="2" s="1"/>
  <c r="AB504" i="2"/>
  <c r="AW504" i="2" s="1"/>
  <c r="AB505" i="2"/>
  <c r="AW505" i="2" s="1"/>
  <c r="AB506" i="2"/>
  <c r="AP506" i="2" s="1"/>
  <c r="AB507" i="2"/>
  <c r="AB508" i="2"/>
  <c r="AW508" i="2" s="1"/>
  <c r="AB509" i="2"/>
  <c r="AW509" i="2" s="1"/>
  <c r="AB510" i="2"/>
  <c r="AC510" i="2" s="1"/>
  <c r="AJ510" i="2" s="1"/>
  <c r="AB511" i="2"/>
  <c r="AC511" i="2" s="1"/>
  <c r="AJ511" i="2" s="1"/>
  <c r="AB512" i="2"/>
  <c r="AC512" i="2" s="1"/>
  <c r="AJ512" i="2" s="1"/>
  <c r="AB513" i="2"/>
  <c r="AC513" i="2" s="1"/>
  <c r="AJ513" i="2" s="1"/>
  <c r="AB514" i="2"/>
  <c r="AC514" i="2" s="1"/>
  <c r="AJ514" i="2" s="1"/>
  <c r="AB515" i="2"/>
  <c r="AC515" i="2" s="1"/>
  <c r="AJ515" i="2" s="1"/>
  <c r="AB516" i="2"/>
  <c r="AC516" i="2" s="1"/>
  <c r="AJ516" i="2" s="1"/>
  <c r="AB517" i="2"/>
  <c r="AC517" i="2" s="1"/>
  <c r="AJ517" i="2" s="1"/>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O427" i="2"/>
  <c r="AO428" i="2"/>
  <c r="AO429" i="2"/>
  <c r="AO430" i="2"/>
  <c r="AO431" i="2"/>
  <c r="AO432" i="2"/>
  <c r="AO433" i="2"/>
  <c r="AO434" i="2"/>
  <c r="AO435" i="2"/>
  <c r="AO436" i="2"/>
  <c r="AO437" i="2"/>
  <c r="AO438" i="2"/>
  <c r="AO439" i="2"/>
  <c r="AO440" i="2"/>
  <c r="AO441" i="2"/>
  <c r="AO442" i="2"/>
  <c r="AO443" i="2"/>
  <c r="AO444" i="2"/>
  <c r="AO445" i="2"/>
  <c r="AO446" i="2"/>
  <c r="AO447" i="2"/>
  <c r="AO448" i="2"/>
  <c r="AO449" i="2"/>
  <c r="AO450" i="2"/>
  <c r="AO451" i="2"/>
  <c r="AO452" i="2"/>
  <c r="AO453" i="2"/>
  <c r="AO454" i="2"/>
  <c r="AO455" i="2"/>
  <c r="AO456" i="2"/>
  <c r="AO457" i="2"/>
  <c r="AO458" i="2"/>
  <c r="AO459" i="2"/>
  <c r="AO460" i="2"/>
  <c r="AO461" i="2"/>
  <c r="AO462" i="2"/>
  <c r="AO463" i="2"/>
  <c r="AO464" i="2"/>
  <c r="AO465" i="2"/>
  <c r="AO466" i="2"/>
  <c r="AO467" i="2"/>
  <c r="AO468" i="2"/>
  <c r="AO469" i="2"/>
  <c r="AO470" i="2"/>
  <c r="AO471" i="2"/>
  <c r="AO472" i="2"/>
  <c r="AO473" i="2"/>
  <c r="AO474" i="2"/>
  <c r="AO475" i="2"/>
  <c r="AO476" i="2"/>
  <c r="AO477" i="2"/>
  <c r="AO478" i="2"/>
  <c r="AO479" i="2"/>
  <c r="AO480" i="2"/>
  <c r="AO481" i="2"/>
  <c r="AO482" i="2"/>
  <c r="AO483" i="2"/>
  <c r="AO484" i="2"/>
  <c r="AO485" i="2"/>
  <c r="AO486" i="2"/>
  <c r="AO487" i="2"/>
  <c r="AO488" i="2"/>
  <c r="AO489" i="2"/>
  <c r="AO490" i="2"/>
  <c r="AO491" i="2"/>
  <c r="AO492" i="2"/>
  <c r="AO493" i="2"/>
  <c r="AO494" i="2"/>
  <c r="AO495" i="2"/>
  <c r="AO496" i="2"/>
  <c r="AO497" i="2"/>
  <c r="AO498" i="2"/>
  <c r="AO499" i="2"/>
  <c r="AO500" i="2"/>
  <c r="AO501" i="2"/>
  <c r="AO502" i="2"/>
  <c r="AO503" i="2"/>
  <c r="AO504" i="2"/>
  <c r="AO505" i="2"/>
  <c r="AO506" i="2"/>
  <c r="AO507" i="2"/>
  <c r="AO508" i="2"/>
  <c r="AO509" i="2"/>
  <c r="AO510" i="2"/>
  <c r="AO511" i="2"/>
  <c r="AO512" i="2"/>
  <c r="AO513" i="2"/>
  <c r="AO514" i="2"/>
  <c r="AO515" i="2"/>
  <c r="AO516" i="2"/>
  <c r="AO517" i="2"/>
  <c r="AP467" i="2"/>
  <c r="AQ427" i="2"/>
  <c r="AQ428" i="2"/>
  <c r="AQ429" i="2"/>
  <c r="AQ430" i="2"/>
  <c r="AQ431" i="2"/>
  <c r="AQ432" i="2"/>
  <c r="AQ433" i="2"/>
  <c r="AQ434" i="2"/>
  <c r="AQ435" i="2"/>
  <c r="AQ436" i="2"/>
  <c r="AQ437" i="2"/>
  <c r="AQ438" i="2"/>
  <c r="AQ439" i="2"/>
  <c r="AQ440" i="2"/>
  <c r="AQ441" i="2"/>
  <c r="AQ442" i="2"/>
  <c r="AQ443" i="2"/>
  <c r="AQ444" i="2"/>
  <c r="AQ445" i="2"/>
  <c r="AQ446" i="2"/>
  <c r="AQ447" i="2"/>
  <c r="AQ448" i="2"/>
  <c r="AQ449" i="2"/>
  <c r="AQ450" i="2"/>
  <c r="AQ451" i="2"/>
  <c r="AQ452" i="2"/>
  <c r="AQ453" i="2"/>
  <c r="AQ454" i="2"/>
  <c r="AQ455" i="2"/>
  <c r="AQ456" i="2"/>
  <c r="AQ457" i="2"/>
  <c r="AQ458" i="2"/>
  <c r="AQ459" i="2"/>
  <c r="AQ460" i="2"/>
  <c r="AQ461" i="2"/>
  <c r="AQ462" i="2"/>
  <c r="AQ463" i="2"/>
  <c r="AQ464" i="2"/>
  <c r="AQ465" i="2"/>
  <c r="AQ466" i="2"/>
  <c r="AQ467" i="2"/>
  <c r="AQ468" i="2"/>
  <c r="AQ469" i="2"/>
  <c r="AQ470" i="2"/>
  <c r="AQ471" i="2"/>
  <c r="AQ472" i="2"/>
  <c r="AQ473" i="2"/>
  <c r="AQ474" i="2"/>
  <c r="AQ475" i="2"/>
  <c r="AQ476" i="2"/>
  <c r="AQ477" i="2"/>
  <c r="AQ478" i="2"/>
  <c r="AQ479" i="2"/>
  <c r="AQ480" i="2"/>
  <c r="AQ481" i="2"/>
  <c r="AQ482" i="2"/>
  <c r="AQ483" i="2"/>
  <c r="AQ484" i="2"/>
  <c r="AQ485" i="2"/>
  <c r="AQ486" i="2"/>
  <c r="AQ487" i="2"/>
  <c r="AQ488" i="2"/>
  <c r="AQ489" i="2"/>
  <c r="AQ490" i="2"/>
  <c r="AQ491" i="2"/>
  <c r="AQ492" i="2"/>
  <c r="AQ493" i="2"/>
  <c r="AQ494" i="2"/>
  <c r="AQ495" i="2"/>
  <c r="AQ496" i="2"/>
  <c r="AQ497" i="2"/>
  <c r="AQ498" i="2"/>
  <c r="AQ499" i="2"/>
  <c r="AQ500" i="2"/>
  <c r="AQ501" i="2"/>
  <c r="AQ502" i="2"/>
  <c r="AQ503" i="2"/>
  <c r="AQ504" i="2"/>
  <c r="AQ505" i="2"/>
  <c r="AQ506" i="2"/>
  <c r="AQ507" i="2"/>
  <c r="AQ508" i="2"/>
  <c r="AQ509" i="2"/>
  <c r="AQ510" i="2"/>
  <c r="AQ511" i="2"/>
  <c r="AQ512" i="2"/>
  <c r="AQ513" i="2"/>
  <c r="AQ514" i="2"/>
  <c r="AQ515" i="2"/>
  <c r="AQ516" i="2"/>
  <c r="AQ517" i="2"/>
  <c r="AR492" i="2"/>
  <c r="AU436" i="2"/>
  <c r="AU453" i="2"/>
  <c r="AU477" i="2"/>
  <c r="AV428" i="2"/>
  <c r="AV490" i="2"/>
  <c r="AV491" i="2"/>
  <c r="AV507" i="2"/>
  <c r="AW451" i="2"/>
  <c r="AW452" i="2"/>
  <c r="AW454" i="2"/>
  <c r="AW455" i="2"/>
  <c r="AW477" i="2"/>
  <c r="AW483" i="2"/>
  <c r="AW484" i="2"/>
  <c r="AW490" i="2"/>
  <c r="AX427" i="2"/>
  <c r="AN427" i="2" s="1"/>
  <c r="AX428" i="2"/>
  <c r="AN428" i="2" s="1"/>
  <c r="AX429" i="2"/>
  <c r="AM429" i="2" s="1"/>
  <c r="BC429" i="2" s="1"/>
  <c r="AX430" i="2"/>
  <c r="AR430" i="2" s="1"/>
  <c r="AX431" i="2"/>
  <c r="AN431" i="2" s="1"/>
  <c r="AX432" i="2"/>
  <c r="AN432" i="2" s="1"/>
  <c r="AX433" i="2"/>
  <c r="AM433" i="2" s="1"/>
  <c r="BC433" i="2" s="1"/>
  <c r="AX434" i="2"/>
  <c r="AN434" i="2" s="1"/>
  <c r="AX435" i="2"/>
  <c r="AR435" i="2" s="1"/>
  <c r="AX436" i="2"/>
  <c r="AN436" i="2" s="1"/>
  <c r="AX437" i="2"/>
  <c r="AN437" i="2" s="1"/>
  <c r="AX438" i="2"/>
  <c r="AS438" i="2" s="1"/>
  <c r="AX439" i="2"/>
  <c r="AM439" i="2" s="1"/>
  <c r="BC439" i="2" s="1"/>
  <c r="AX440" i="2"/>
  <c r="AS440" i="2" s="1"/>
  <c r="AX441" i="2"/>
  <c r="AS441" i="2" s="1"/>
  <c r="AX442" i="2"/>
  <c r="AR442" i="2" s="1"/>
  <c r="AX443" i="2"/>
  <c r="AR443" i="2" s="1"/>
  <c r="AX444" i="2"/>
  <c r="AR444" i="2" s="1"/>
  <c r="AX445" i="2"/>
  <c r="AM445" i="2" s="1"/>
  <c r="BC445" i="2" s="1"/>
  <c r="AX446" i="2"/>
  <c r="AM446" i="2" s="1"/>
  <c r="BC446" i="2" s="1"/>
  <c r="AX447" i="2"/>
  <c r="AR447" i="2" s="1"/>
  <c r="AX448" i="2"/>
  <c r="AR448" i="2" s="1"/>
  <c r="AX449" i="2"/>
  <c r="AR449" i="2" s="1"/>
  <c r="AX450" i="2"/>
  <c r="AN450" i="2" s="1"/>
  <c r="AX451" i="2"/>
  <c r="AN451" i="2" s="1"/>
  <c r="AX452" i="2"/>
  <c r="AR452" i="2" s="1"/>
  <c r="AX453" i="2"/>
  <c r="AM453" i="2" s="1"/>
  <c r="BC453" i="2" s="1"/>
  <c r="AX454" i="2"/>
  <c r="AS454" i="2" s="1"/>
  <c r="AX455" i="2"/>
  <c r="AR455" i="2" s="1"/>
  <c r="AX456" i="2"/>
  <c r="AR456" i="2" s="1"/>
  <c r="AX457" i="2"/>
  <c r="AS457" i="2" s="1"/>
  <c r="AX458" i="2"/>
  <c r="AM458" i="2" s="1"/>
  <c r="BC458" i="2" s="1"/>
  <c r="AX459" i="2"/>
  <c r="AM459" i="2" s="1"/>
  <c r="BC459" i="2" s="1"/>
  <c r="AX460" i="2"/>
  <c r="AM460" i="2" s="1"/>
  <c r="BC460" i="2" s="1"/>
  <c r="AX461" i="2"/>
  <c r="AM461" i="2" s="1"/>
  <c r="BC461" i="2" s="1"/>
  <c r="AX462" i="2"/>
  <c r="AM462" i="2" s="1"/>
  <c r="BC462" i="2" s="1"/>
  <c r="AX463" i="2"/>
  <c r="AM463" i="2" s="1"/>
  <c r="BC463" i="2" s="1"/>
  <c r="AX464" i="2"/>
  <c r="AR464" i="2" s="1"/>
  <c r="AX465" i="2"/>
  <c r="AN465" i="2" s="1"/>
  <c r="AX466" i="2"/>
  <c r="AS466" i="2" s="1"/>
  <c r="AX467" i="2"/>
  <c r="AR467" i="2" s="1"/>
  <c r="AX468" i="2"/>
  <c r="AR468" i="2" s="1"/>
  <c r="AX469" i="2"/>
  <c r="AR469" i="2" s="1"/>
  <c r="AX470" i="2"/>
  <c r="AR470" i="2" s="1"/>
  <c r="AX471" i="2"/>
  <c r="AM471" i="2" s="1"/>
  <c r="BC471" i="2" s="1"/>
  <c r="AX472" i="2"/>
  <c r="AR472" i="2" s="1"/>
  <c r="AX473" i="2"/>
  <c r="AM473" i="2" s="1"/>
  <c r="BC473" i="2" s="1"/>
  <c r="AX474" i="2"/>
  <c r="AM474" i="2" s="1"/>
  <c r="BC474" i="2" s="1"/>
  <c r="AX475" i="2"/>
  <c r="AM475" i="2" s="1"/>
  <c r="BC475" i="2" s="1"/>
  <c r="AX476" i="2"/>
  <c r="AM476" i="2" s="1"/>
  <c r="BC476" i="2" s="1"/>
  <c r="AX477" i="2"/>
  <c r="AM477" i="2" s="1"/>
  <c r="BC477" i="2" s="1"/>
  <c r="AX478" i="2"/>
  <c r="AM478" i="2" s="1"/>
  <c r="BC478" i="2" s="1"/>
  <c r="AX479" i="2"/>
  <c r="AM479" i="2" s="1"/>
  <c r="BC479" i="2" s="1"/>
  <c r="AX480" i="2"/>
  <c r="AS480" i="2" s="1"/>
  <c r="AX481" i="2"/>
  <c r="AR481" i="2" s="1"/>
  <c r="AX482" i="2"/>
  <c r="AS482" i="2" s="1"/>
  <c r="AX483" i="2"/>
  <c r="AR483" i="2" s="1"/>
  <c r="AX484" i="2"/>
  <c r="AM484" i="2" s="1"/>
  <c r="BC484" i="2" s="1"/>
  <c r="AX485" i="2"/>
  <c r="AS485" i="2" s="1"/>
  <c r="AX486" i="2"/>
  <c r="AR486" i="2" s="1"/>
  <c r="AX487" i="2"/>
  <c r="AM487" i="2" s="1"/>
  <c r="BC487" i="2" s="1"/>
  <c r="AX488" i="2"/>
  <c r="AR488" i="2" s="1"/>
  <c r="AX489" i="2"/>
  <c r="AM489" i="2" s="1"/>
  <c r="BC489" i="2" s="1"/>
  <c r="AX490" i="2"/>
  <c r="AN490" i="2" s="1"/>
  <c r="AX491" i="2"/>
  <c r="AS491" i="2" s="1"/>
  <c r="AX492" i="2"/>
  <c r="AS492" i="2" s="1"/>
  <c r="AX493" i="2"/>
  <c r="AR493" i="2" s="1"/>
  <c r="AX494" i="2"/>
  <c r="AM494" i="2" s="1"/>
  <c r="BC494" i="2" s="1"/>
  <c r="AX495" i="2"/>
  <c r="AM495" i="2" s="1"/>
  <c r="BC495" i="2" s="1"/>
  <c r="AX496" i="2"/>
  <c r="AN496" i="2" s="1"/>
  <c r="AX497" i="2"/>
  <c r="AM497" i="2" s="1"/>
  <c r="BC497" i="2" s="1"/>
  <c r="AX498" i="2"/>
  <c r="AM498" i="2" s="1"/>
  <c r="BC498" i="2" s="1"/>
  <c r="AX499" i="2"/>
  <c r="AN499" i="2" s="1"/>
  <c r="AX500" i="2"/>
  <c r="AR500" i="2" s="1"/>
  <c r="AX501" i="2"/>
  <c r="AM501" i="2" s="1"/>
  <c r="BC501" i="2" s="1"/>
  <c r="AX502" i="2"/>
  <c r="AM502" i="2" s="1"/>
  <c r="BC502" i="2" s="1"/>
  <c r="AX503" i="2"/>
  <c r="AN503" i="2" s="1"/>
  <c r="AX504" i="2"/>
  <c r="AS504" i="2" s="1"/>
  <c r="AX505" i="2"/>
  <c r="AR505" i="2" s="1"/>
  <c r="AX506" i="2"/>
  <c r="AN506" i="2" s="1"/>
  <c r="AX507" i="2"/>
  <c r="AN507" i="2" s="1"/>
  <c r="AX508" i="2"/>
  <c r="AR508" i="2" s="1"/>
  <c r="AX509" i="2"/>
  <c r="AM509" i="2" s="1"/>
  <c r="BC509" i="2" s="1"/>
  <c r="AX510" i="2"/>
  <c r="AN510" i="2" s="1"/>
  <c r="AX511" i="2"/>
  <c r="AM511" i="2" s="1"/>
  <c r="BC511" i="2" s="1"/>
  <c r="AX512" i="2"/>
  <c r="AM512" i="2" s="1"/>
  <c r="BC512" i="2" s="1"/>
  <c r="AX513" i="2"/>
  <c r="AM513" i="2" s="1"/>
  <c r="BC513" i="2" s="1"/>
  <c r="AX514" i="2"/>
  <c r="AM514" i="2" s="1"/>
  <c r="BC514" i="2" s="1"/>
  <c r="AX515" i="2"/>
  <c r="AR515" i="2" s="1"/>
  <c r="AX516" i="2"/>
  <c r="AS516" i="2" s="1"/>
  <c r="AX517" i="2"/>
  <c r="AS517" i="2" s="1"/>
  <c r="AY427" i="2"/>
  <c r="AY428" i="2"/>
  <c r="AY429" i="2"/>
  <c r="AY430" i="2"/>
  <c r="AY431" i="2"/>
  <c r="AY432" i="2"/>
  <c r="AY433" i="2"/>
  <c r="AY434" i="2"/>
  <c r="AY435" i="2"/>
  <c r="AY436" i="2"/>
  <c r="AY437" i="2"/>
  <c r="AY438" i="2"/>
  <c r="AY439" i="2"/>
  <c r="AY440" i="2"/>
  <c r="AY441" i="2"/>
  <c r="AY442" i="2"/>
  <c r="AY443" i="2"/>
  <c r="AY444" i="2"/>
  <c r="AY445" i="2"/>
  <c r="AY446" i="2"/>
  <c r="AY447" i="2"/>
  <c r="AY448" i="2"/>
  <c r="AY449" i="2"/>
  <c r="AY450" i="2"/>
  <c r="AY451" i="2"/>
  <c r="AY452" i="2"/>
  <c r="AY453" i="2"/>
  <c r="AY454" i="2"/>
  <c r="AY455" i="2"/>
  <c r="AY456" i="2"/>
  <c r="AY457" i="2"/>
  <c r="AY458" i="2"/>
  <c r="AY459" i="2"/>
  <c r="AY460" i="2"/>
  <c r="AY461" i="2"/>
  <c r="AY462" i="2"/>
  <c r="AY463" i="2"/>
  <c r="AY464" i="2"/>
  <c r="AY465" i="2"/>
  <c r="AY466" i="2"/>
  <c r="AY467" i="2"/>
  <c r="AY468" i="2"/>
  <c r="AY469" i="2"/>
  <c r="AY470" i="2"/>
  <c r="AY471" i="2"/>
  <c r="AY472" i="2"/>
  <c r="AY473" i="2"/>
  <c r="AY474" i="2"/>
  <c r="AY475" i="2"/>
  <c r="AY476" i="2"/>
  <c r="AY477" i="2"/>
  <c r="AY478" i="2"/>
  <c r="AY479" i="2"/>
  <c r="AY480" i="2"/>
  <c r="AY481" i="2"/>
  <c r="AY482" i="2"/>
  <c r="AY483" i="2"/>
  <c r="AY484" i="2"/>
  <c r="AY485" i="2"/>
  <c r="AY486" i="2"/>
  <c r="AY487" i="2"/>
  <c r="AY488" i="2"/>
  <c r="AY489" i="2"/>
  <c r="AY490" i="2"/>
  <c r="AY491" i="2"/>
  <c r="AY492" i="2"/>
  <c r="AY493" i="2"/>
  <c r="AY494" i="2"/>
  <c r="AY495" i="2"/>
  <c r="AY496" i="2"/>
  <c r="AY497" i="2"/>
  <c r="AY498" i="2"/>
  <c r="AY499" i="2"/>
  <c r="AY500" i="2"/>
  <c r="AY501" i="2"/>
  <c r="AY502" i="2"/>
  <c r="AY503" i="2"/>
  <c r="AY504" i="2"/>
  <c r="AY505" i="2"/>
  <c r="AY506" i="2"/>
  <c r="AY507" i="2"/>
  <c r="AY508" i="2"/>
  <c r="AY509" i="2"/>
  <c r="AY510" i="2"/>
  <c r="AY511" i="2"/>
  <c r="AY512" i="2"/>
  <c r="AY513" i="2"/>
  <c r="AY514" i="2"/>
  <c r="AY515" i="2"/>
  <c r="AY516" i="2"/>
  <c r="AY517" i="2"/>
  <c r="AZ427" i="2"/>
  <c r="AZ428" i="2"/>
  <c r="AZ429" i="2"/>
  <c r="AZ430" i="2"/>
  <c r="AZ431" i="2"/>
  <c r="AZ432" i="2"/>
  <c r="AZ433" i="2"/>
  <c r="AZ434" i="2"/>
  <c r="AZ435" i="2"/>
  <c r="AZ436" i="2"/>
  <c r="AZ437" i="2"/>
  <c r="AZ438" i="2"/>
  <c r="AZ439" i="2"/>
  <c r="AZ440" i="2"/>
  <c r="AZ441" i="2"/>
  <c r="AZ442" i="2"/>
  <c r="AZ443" i="2"/>
  <c r="AZ444" i="2"/>
  <c r="AZ445" i="2"/>
  <c r="AZ446" i="2"/>
  <c r="AZ447" i="2"/>
  <c r="AZ448" i="2"/>
  <c r="AZ449" i="2"/>
  <c r="AZ450" i="2"/>
  <c r="AZ451" i="2"/>
  <c r="AZ452" i="2"/>
  <c r="AZ453" i="2"/>
  <c r="AZ454" i="2"/>
  <c r="AZ455" i="2"/>
  <c r="AZ456" i="2"/>
  <c r="AZ457" i="2"/>
  <c r="AZ458" i="2"/>
  <c r="AZ459" i="2"/>
  <c r="AZ460" i="2"/>
  <c r="AZ461" i="2"/>
  <c r="AZ462" i="2"/>
  <c r="AZ463" i="2"/>
  <c r="AZ464" i="2"/>
  <c r="AZ465" i="2"/>
  <c r="AZ466" i="2"/>
  <c r="AZ467" i="2"/>
  <c r="AZ468" i="2"/>
  <c r="AZ469" i="2"/>
  <c r="AZ470" i="2"/>
  <c r="AZ471" i="2"/>
  <c r="AZ472" i="2"/>
  <c r="AZ473" i="2"/>
  <c r="AZ474" i="2"/>
  <c r="AZ475" i="2"/>
  <c r="AZ476" i="2"/>
  <c r="AZ477" i="2"/>
  <c r="AZ478" i="2"/>
  <c r="AZ479" i="2"/>
  <c r="AZ480" i="2"/>
  <c r="AZ481" i="2"/>
  <c r="AZ482" i="2"/>
  <c r="AZ483" i="2"/>
  <c r="AZ484" i="2"/>
  <c r="AZ485" i="2"/>
  <c r="AZ486" i="2"/>
  <c r="AZ487" i="2"/>
  <c r="AZ488" i="2"/>
  <c r="AZ489" i="2"/>
  <c r="AZ490" i="2"/>
  <c r="AZ491" i="2"/>
  <c r="AZ492" i="2"/>
  <c r="AZ493" i="2"/>
  <c r="AZ494" i="2"/>
  <c r="AZ495" i="2"/>
  <c r="AZ496" i="2"/>
  <c r="AZ497" i="2"/>
  <c r="AZ498" i="2"/>
  <c r="AZ499" i="2"/>
  <c r="AZ500" i="2"/>
  <c r="AZ501" i="2"/>
  <c r="AZ502" i="2"/>
  <c r="AZ503" i="2"/>
  <c r="AZ504" i="2"/>
  <c r="AZ505" i="2"/>
  <c r="AZ506" i="2"/>
  <c r="AZ507" i="2"/>
  <c r="AZ508" i="2"/>
  <c r="AZ509" i="2"/>
  <c r="AZ510" i="2"/>
  <c r="AZ511" i="2"/>
  <c r="AZ512" i="2"/>
  <c r="AZ513" i="2"/>
  <c r="AZ514" i="2"/>
  <c r="AZ515" i="2"/>
  <c r="AZ516" i="2"/>
  <c r="AZ517" i="2"/>
  <c r="BA427" i="2"/>
  <c r="BA428" i="2"/>
  <c r="BA429" i="2"/>
  <c r="BA430" i="2"/>
  <c r="BA431" i="2"/>
  <c r="BA432" i="2"/>
  <c r="BA433" i="2"/>
  <c r="BA434" i="2"/>
  <c r="BA435" i="2"/>
  <c r="BA436" i="2"/>
  <c r="BA437" i="2"/>
  <c r="BA438" i="2"/>
  <c r="BA439" i="2"/>
  <c r="BA440" i="2"/>
  <c r="BA441" i="2"/>
  <c r="BA442" i="2"/>
  <c r="BA443" i="2"/>
  <c r="BA444" i="2"/>
  <c r="BA445" i="2"/>
  <c r="BA446" i="2"/>
  <c r="BA447" i="2"/>
  <c r="BA448" i="2"/>
  <c r="BA449" i="2"/>
  <c r="BA450" i="2"/>
  <c r="BA451" i="2"/>
  <c r="BA452" i="2"/>
  <c r="BA453" i="2"/>
  <c r="BA454" i="2"/>
  <c r="BA455" i="2"/>
  <c r="BA456" i="2"/>
  <c r="BA457" i="2"/>
  <c r="BA458" i="2"/>
  <c r="BA459" i="2"/>
  <c r="BA460" i="2"/>
  <c r="BA461" i="2"/>
  <c r="BA462" i="2"/>
  <c r="BA463" i="2"/>
  <c r="BA464" i="2"/>
  <c r="BA465" i="2"/>
  <c r="BA466" i="2"/>
  <c r="BA467" i="2"/>
  <c r="BA468" i="2"/>
  <c r="BA469" i="2"/>
  <c r="BA470" i="2"/>
  <c r="BA471" i="2"/>
  <c r="BA472" i="2"/>
  <c r="BA473" i="2"/>
  <c r="BA474" i="2"/>
  <c r="BA475" i="2"/>
  <c r="BA476" i="2"/>
  <c r="BA477" i="2"/>
  <c r="BA478" i="2"/>
  <c r="BA479" i="2"/>
  <c r="BA480" i="2"/>
  <c r="BA481" i="2"/>
  <c r="BA482" i="2"/>
  <c r="BA483" i="2"/>
  <c r="BA484" i="2"/>
  <c r="BA485" i="2"/>
  <c r="BA486" i="2"/>
  <c r="BA487" i="2"/>
  <c r="BA488" i="2"/>
  <c r="BA489" i="2"/>
  <c r="BA490" i="2"/>
  <c r="BA491" i="2"/>
  <c r="BA492" i="2"/>
  <c r="BA493" i="2"/>
  <c r="BA494" i="2"/>
  <c r="BA495" i="2"/>
  <c r="BA496" i="2"/>
  <c r="BA497" i="2"/>
  <c r="BA498" i="2"/>
  <c r="BA499" i="2"/>
  <c r="BA500" i="2"/>
  <c r="BA501" i="2"/>
  <c r="BA502" i="2"/>
  <c r="BA503" i="2"/>
  <c r="BA504" i="2"/>
  <c r="BA505" i="2"/>
  <c r="BA506" i="2"/>
  <c r="BA507" i="2"/>
  <c r="BA508" i="2"/>
  <c r="BA509" i="2"/>
  <c r="BA510" i="2"/>
  <c r="BA511" i="2"/>
  <c r="BA512" i="2"/>
  <c r="BA513" i="2"/>
  <c r="BA514" i="2"/>
  <c r="BA515" i="2"/>
  <c r="BA516" i="2"/>
  <c r="BA517" i="2"/>
  <c r="BB427" i="2"/>
  <c r="BB428" i="2"/>
  <c r="BB429" i="2"/>
  <c r="BB430" i="2"/>
  <c r="BB431" i="2"/>
  <c r="BB432" i="2"/>
  <c r="BB433" i="2"/>
  <c r="BB434" i="2"/>
  <c r="BB435" i="2"/>
  <c r="BB436" i="2"/>
  <c r="BB437" i="2"/>
  <c r="BB438" i="2"/>
  <c r="BB439" i="2"/>
  <c r="BB440" i="2"/>
  <c r="BB441" i="2"/>
  <c r="BB442" i="2"/>
  <c r="BB443" i="2"/>
  <c r="BB444" i="2"/>
  <c r="BB445" i="2"/>
  <c r="BB446" i="2"/>
  <c r="BB447" i="2"/>
  <c r="BB448" i="2"/>
  <c r="BB449" i="2"/>
  <c r="BB450" i="2"/>
  <c r="BB451" i="2"/>
  <c r="BB452" i="2"/>
  <c r="BB453" i="2"/>
  <c r="BB454" i="2"/>
  <c r="BB455" i="2"/>
  <c r="BB456" i="2"/>
  <c r="BB457" i="2"/>
  <c r="BB458" i="2"/>
  <c r="BB459" i="2"/>
  <c r="BB460" i="2"/>
  <c r="BB461" i="2"/>
  <c r="BB462" i="2"/>
  <c r="BB463" i="2"/>
  <c r="BB464" i="2"/>
  <c r="BB465" i="2"/>
  <c r="BB466" i="2"/>
  <c r="BB467" i="2"/>
  <c r="BB468" i="2"/>
  <c r="BB469" i="2"/>
  <c r="BB470" i="2"/>
  <c r="BB471" i="2"/>
  <c r="BB472" i="2"/>
  <c r="BB473" i="2"/>
  <c r="BB474" i="2"/>
  <c r="BB475" i="2"/>
  <c r="BB476" i="2"/>
  <c r="BB477" i="2"/>
  <c r="BB478" i="2"/>
  <c r="BB479" i="2"/>
  <c r="BB480" i="2"/>
  <c r="BB481" i="2"/>
  <c r="BB482" i="2"/>
  <c r="BB483" i="2"/>
  <c r="BB484" i="2"/>
  <c r="BB485" i="2"/>
  <c r="BB486" i="2"/>
  <c r="BB487" i="2"/>
  <c r="BB488" i="2"/>
  <c r="BB489" i="2"/>
  <c r="BB490" i="2"/>
  <c r="BB491" i="2"/>
  <c r="BB492" i="2"/>
  <c r="BB493" i="2"/>
  <c r="BB494" i="2"/>
  <c r="BB495" i="2"/>
  <c r="BB496" i="2"/>
  <c r="BB497" i="2"/>
  <c r="BB498" i="2"/>
  <c r="BB499" i="2"/>
  <c r="BB500" i="2"/>
  <c r="BB501" i="2"/>
  <c r="BB502" i="2"/>
  <c r="BB503" i="2"/>
  <c r="BB504" i="2"/>
  <c r="BB505" i="2"/>
  <c r="BB506" i="2"/>
  <c r="BB507" i="2"/>
  <c r="BB508" i="2"/>
  <c r="BB509" i="2"/>
  <c r="BB510" i="2"/>
  <c r="BB511" i="2"/>
  <c r="BB512" i="2"/>
  <c r="BB513" i="2"/>
  <c r="BB514" i="2"/>
  <c r="BB515" i="2"/>
  <c r="BB516" i="2"/>
  <c r="BB517" i="2"/>
  <c r="BD427" i="2"/>
  <c r="BD428" i="2"/>
  <c r="BD429" i="2"/>
  <c r="BD430" i="2"/>
  <c r="BD431" i="2"/>
  <c r="BD432" i="2"/>
  <c r="BD433" i="2"/>
  <c r="BD434" i="2"/>
  <c r="BD435" i="2"/>
  <c r="BD436" i="2"/>
  <c r="BD437" i="2"/>
  <c r="BD438" i="2"/>
  <c r="BD439" i="2"/>
  <c r="BD440" i="2"/>
  <c r="BD441" i="2"/>
  <c r="BD442" i="2"/>
  <c r="BD443" i="2"/>
  <c r="BD444" i="2"/>
  <c r="BD445" i="2"/>
  <c r="BD446" i="2"/>
  <c r="BD447" i="2"/>
  <c r="BD448" i="2"/>
  <c r="BD449" i="2"/>
  <c r="BD450" i="2"/>
  <c r="BD451" i="2"/>
  <c r="BD452" i="2"/>
  <c r="BD453" i="2"/>
  <c r="BD454" i="2"/>
  <c r="BD455" i="2"/>
  <c r="BD456" i="2"/>
  <c r="BD457" i="2"/>
  <c r="BD458" i="2"/>
  <c r="BD459" i="2"/>
  <c r="BD460" i="2"/>
  <c r="BD461" i="2"/>
  <c r="BD462" i="2"/>
  <c r="BD463" i="2"/>
  <c r="BD464" i="2"/>
  <c r="BD465" i="2"/>
  <c r="BD466" i="2"/>
  <c r="BD467" i="2"/>
  <c r="BD468" i="2"/>
  <c r="BD469" i="2"/>
  <c r="BD470" i="2"/>
  <c r="BD471" i="2"/>
  <c r="BD472" i="2"/>
  <c r="BD473" i="2"/>
  <c r="BD474" i="2"/>
  <c r="BD475" i="2"/>
  <c r="BD476" i="2"/>
  <c r="BD477" i="2"/>
  <c r="BD478" i="2"/>
  <c r="BD479" i="2"/>
  <c r="BD480" i="2"/>
  <c r="BD481" i="2"/>
  <c r="BD482" i="2"/>
  <c r="BD483" i="2"/>
  <c r="BD484" i="2"/>
  <c r="BD485" i="2"/>
  <c r="BD486" i="2"/>
  <c r="BD487" i="2"/>
  <c r="BD488" i="2"/>
  <c r="BD489" i="2"/>
  <c r="BD490" i="2"/>
  <c r="BD491" i="2"/>
  <c r="BD492" i="2"/>
  <c r="BD493" i="2"/>
  <c r="BD494" i="2"/>
  <c r="BD495" i="2"/>
  <c r="BD496" i="2"/>
  <c r="BD497" i="2"/>
  <c r="BD498" i="2"/>
  <c r="BD499" i="2"/>
  <c r="BD500" i="2"/>
  <c r="BD501" i="2"/>
  <c r="BD502" i="2"/>
  <c r="BD503" i="2"/>
  <c r="BD504" i="2"/>
  <c r="BD505" i="2"/>
  <c r="BD506" i="2"/>
  <c r="BD507" i="2"/>
  <c r="BD508" i="2"/>
  <c r="BD509" i="2"/>
  <c r="BD510" i="2"/>
  <c r="BD511" i="2"/>
  <c r="BD512" i="2"/>
  <c r="BD513" i="2"/>
  <c r="BD514" i="2"/>
  <c r="BD515" i="2"/>
  <c r="BD516" i="2"/>
  <c r="BD517" i="2"/>
  <c r="AW476" i="2" l="1"/>
  <c r="AW474" i="2"/>
  <c r="AN433" i="2"/>
  <c r="AW482" i="2"/>
  <c r="AN476" i="2"/>
  <c r="AC505" i="2"/>
  <c r="AJ505" i="2" s="1"/>
  <c r="AN475" i="2"/>
  <c r="AN474" i="2"/>
  <c r="AR496" i="2"/>
  <c r="AW453" i="2"/>
  <c r="AC480" i="2"/>
  <c r="AJ480" i="2" s="1"/>
  <c r="AR491" i="2"/>
  <c r="AI503" i="2"/>
  <c r="AC428" i="2"/>
  <c r="AJ428" i="2" s="1"/>
  <c r="AI502" i="2"/>
  <c r="AW450" i="2"/>
  <c r="AI501" i="2"/>
  <c r="AI500" i="2"/>
  <c r="AP471" i="2"/>
  <c r="AI516" i="2"/>
  <c r="AU448" i="2"/>
  <c r="AI517" i="2"/>
  <c r="AN492" i="2"/>
  <c r="AU452" i="2"/>
  <c r="AN491" i="2"/>
  <c r="AS464" i="2"/>
  <c r="AW445" i="2"/>
  <c r="AM508" i="2"/>
  <c r="BC508" i="2" s="1"/>
  <c r="AM492" i="2"/>
  <c r="BC492" i="2" s="1"/>
  <c r="AR495" i="2"/>
  <c r="AM491" i="2"/>
  <c r="BC491" i="2" s="1"/>
  <c r="AU470" i="2"/>
  <c r="AU449" i="2"/>
  <c r="AC492" i="2"/>
  <c r="AJ492" i="2" s="1"/>
  <c r="AS508" i="2"/>
  <c r="AN444" i="2"/>
  <c r="AN443" i="2"/>
  <c r="AS443" i="2"/>
  <c r="AS442" i="2"/>
  <c r="AM490" i="2"/>
  <c r="BC490" i="2" s="1"/>
  <c r="AU469" i="2"/>
  <c r="AR507" i="2"/>
  <c r="AR506" i="2"/>
  <c r="AC509" i="2"/>
  <c r="AJ509" i="2" s="1"/>
  <c r="AC506" i="2"/>
  <c r="AJ506" i="2" s="1"/>
  <c r="AI511" i="2"/>
  <c r="AW461" i="2"/>
  <c r="AI509" i="2"/>
  <c r="AW460" i="2"/>
  <c r="AW458" i="2"/>
  <c r="AU445" i="2"/>
  <c r="AM507" i="2"/>
  <c r="BC507" i="2" s="1"/>
  <c r="AP508" i="2"/>
  <c r="AI486" i="2"/>
  <c r="AK508" i="2"/>
  <c r="AS460" i="2"/>
  <c r="AW444" i="2"/>
  <c r="AS459" i="2"/>
  <c r="AW442" i="2"/>
  <c r="AS458" i="2"/>
  <c r="AU485" i="2"/>
  <c r="AS445" i="2"/>
  <c r="AN508" i="2"/>
  <c r="AI429" i="2"/>
  <c r="AC441" i="2"/>
  <c r="AJ441" i="2" s="1"/>
  <c r="AU468" i="2"/>
  <c r="AC508" i="2"/>
  <c r="AJ508" i="2" s="1"/>
  <c r="AU447" i="2"/>
  <c r="AU512" i="2"/>
  <c r="AC460" i="2"/>
  <c r="AJ460" i="2" s="1"/>
  <c r="AS507" i="2"/>
  <c r="AC444" i="2"/>
  <c r="AJ444" i="2" s="1"/>
  <c r="AS506" i="2"/>
  <c r="AM430" i="2"/>
  <c r="BC430" i="2" s="1"/>
  <c r="AC442" i="2"/>
  <c r="AJ442" i="2" s="1"/>
  <c r="AU504" i="2"/>
  <c r="AM428" i="2"/>
  <c r="BC428" i="2" s="1"/>
  <c r="AI484" i="2"/>
  <c r="AS463" i="2"/>
  <c r="AP460" i="2"/>
  <c r="AM427" i="2"/>
  <c r="BC427" i="2" s="1"/>
  <c r="AI479" i="2"/>
  <c r="AW506" i="2"/>
  <c r="AS461" i="2"/>
  <c r="AP444" i="2"/>
  <c r="AK506" i="2"/>
  <c r="AW434" i="2"/>
  <c r="AS444" i="2"/>
  <c r="AW502" i="2"/>
  <c r="AS514" i="2"/>
  <c r="AS512" i="2"/>
  <c r="AK499" i="2"/>
  <c r="AK486" i="2"/>
  <c r="AW498" i="2"/>
  <c r="AR462" i="2"/>
  <c r="AR461" i="2"/>
  <c r="AK467" i="2"/>
  <c r="AW517" i="2"/>
  <c r="AW467" i="2"/>
  <c r="AS478" i="2"/>
  <c r="AS434" i="2"/>
  <c r="AR459" i="2"/>
  <c r="AN468" i="2"/>
  <c r="AM464" i="2"/>
  <c r="BC464" i="2" s="1"/>
  <c r="AW516" i="2"/>
  <c r="AW466" i="2"/>
  <c r="AW438" i="2"/>
  <c r="AS477" i="2"/>
  <c r="AS432" i="2"/>
  <c r="AR434" i="2"/>
  <c r="AP500" i="2"/>
  <c r="AN448" i="2"/>
  <c r="AM444" i="2"/>
  <c r="BC444" i="2" s="1"/>
  <c r="AM515" i="2"/>
  <c r="BC515" i="2" s="1"/>
  <c r="AK500" i="2"/>
  <c r="AW500" i="2"/>
  <c r="AN480" i="2"/>
  <c r="AW471" i="2"/>
  <c r="AK483" i="2"/>
  <c r="AS436" i="2"/>
  <c r="AR460" i="2"/>
  <c r="AM466" i="2"/>
  <c r="BC466" i="2" s="1"/>
  <c r="AW515" i="2"/>
  <c r="AW437" i="2"/>
  <c r="AS476" i="2"/>
  <c r="AS428" i="2"/>
  <c r="AR432" i="2"/>
  <c r="AP499" i="2"/>
  <c r="AN447" i="2"/>
  <c r="AM443" i="2"/>
  <c r="BC443" i="2" s="1"/>
  <c r="AK438" i="2"/>
  <c r="AW514" i="2"/>
  <c r="AW486" i="2"/>
  <c r="AW436" i="2"/>
  <c r="AS475" i="2"/>
  <c r="AS427" i="2"/>
  <c r="AR428" i="2"/>
  <c r="AK436" i="2"/>
  <c r="AS515" i="2"/>
  <c r="AP438" i="2"/>
  <c r="AP436" i="2"/>
  <c r="AN483" i="2"/>
  <c r="AW499" i="2"/>
  <c r="AR463" i="2"/>
  <c r="AN478" i="2"/>
  <c r="AP486" i="2"/>
  <c r="AN446" i="2"/>
  <c r="AM434" i="2"/>
  <c r="BC434" i="2" s="1"/>
  <c r="AW435" i="2"/>
  <c r="AS474" i="2"/>
  <c r="AR513" i="2"/>
  <c r="AR427" i="2"/>
  <c r="AP483" i="2"/>
  <c r="AN445" i="2"/>
  <c r="AM432" i="2"/>
  <c r="BC432" i="2" s="1"/>
  <c r="AI467" i="2"/>
  <c r="AI432" i="2"/>
  <c r="AI431" i="2"/>
  <c r="AI464" i="2"/>
  <c r="AU466" i="2"/>
  <c r="AU433" i="2"/>
  <c r="AI463" i="2"/>
  <c r="AU465" i="2"/>
  <c r="AI493" i="2"/>
  <c r="AI461" i="2"/>
  <c r="AU495" i="2"/>
  <c r="AI483" i="2"/>
  <c r="AU487" i="2"/>
  <c r="AI482" i="2"/>
  <c r="AI435" i="2"/>
  <c r="AU434" i="2"/>
  <c r="AI451" i="2"/>
  <c r="AI450" i="2"/>
  <c r="AI481" i="2"/>
  <c r="AI499" i="2"/>
  <c r="AI480" i="2"/>
  <c r="AC469" i="2"/>
  <c r="AJ469" i="2" s="1"/>
  <c r="AC451" i="2"/>
  <c r="AJ451" i="2" s="1"/>
  <c r="H505" i="2"/>
  <c r="AV505" i="2" s="1"/>
  <c r="AC501" i="2"/>
  <c r="AJ501" i="2" s="1"/>
  <c r="AC471" i="2"/>
  <c r="AJ471" i="2" s="1"/>
  <c r="AC485" i="2"/>
  <c r="AJ485" i="2" s="1"/>
  <c r="AC489" i="2"/>
  <c r="AJ489" i="2" s="1"/>
  <c r="AC484" i="2"/>
  <c r="AJ484" i="2" s="1"/>
  <c r="AC470" i="2"/>
  <c r="AJ470" i="2" s="1"/>
  <c r="AC468" i="2"/>
  <c r="AJ468" i="2" s="1"/>
  <c r="AC457" i="2"/>
  <c r="AJ457" i="2" s="1"/>
  <c r="AC429" i="2"/>
  <c r="AJ429" i="2" s="1"/>
  <c r="AC503" i="2"/>
  <c r="AJ503" i="2" s="1"/>
  <c r="AC487" i="2"/>
  <c r="AJ487" i="2" s="1"/>
  <c r="AC455" i="2"/>
  <c r="AJ455" i="2" s="1"/>
  <c r="AC439" i="2"/>
  <c r="AJ439" i="2" s="1"/>
  <c r="AM472" i="2"/>
  <c r="BC472" i="2" s="1"/>
  <c r="AW449" i="2"/>
  <c r="AW497" i="2"/>
  <c r="AW481" i="2"/>
  <c r="AW448" i="2"/>
  <c r="AW431" i="2"/>
  <c r="AW512" i="2"/>
  <c r="AW496" i="2"/>
  <c r="AW480" i="2"/>
  <c r="AW464" i="2"/>
  <c r="AW447" i="2"/>
  <c r="AW430" i="2"/>
  <c r="AM457" i="2"/>
  <c r="BC457" i="2" s="1"/>
  <c r="AW511" i="2"/>
  <c r="AW495" i="2"/>
  <c r="AW479" i="2"/>
  <c r="AW463" i="2"/>
  <c r="AW446" i="2"/>
  <c r="AW429" i="2"/>
  <c r="AS510" i="2"/>
  <c r="AS465" i="2"/>
  <c r="AS435" i="2"/>
  <c r="AR494" i="2"/>
  <c r="AN477" i="2"/>
  <c r="AM496" i="2"/>
  <c r="BC496" i="2" s="1"/>
  <c r="AM456" i="2"/>
  <c r="BC456" i="2" s="1"/>
  <c r="AC507" i="2"/>
  <c r="AJ507" i="2" s="1"/>
  <c r="AC473" i="2"/>
  <c r="AJ473" i="2" s="1"/>
  <c r="AC443" i="2"/>
  <c r="AJ443" i="2" s="1"/>
  <c r="AW427" i="2"/>
  <c r="AR457" i="2"/>
  <c r="AN512" i="2"/>
  <c r="AN441" i="2"/>
  <c r="AM451" i="2"/>
  <c r="BC451" i="2" s="1"/>
  <c r="AW443" i="2"/>
  <c r="AS462" i="2"/>
  <c r="AN509" i="2"/>
  <c r="AN440" i="2"/>
  <c r="AM450" i="2"/>
  <c r="BC450" i="2" s="1"/>
  <c r="AK480" i="2"/>
  <c r="AR473" i="2"/>
  <c r="AR441" i="2"/>
  <c r="AW491" i="2"/>
  <c r="AR450" i="2"/>
  <c r="AN467" i="2"/>
  <c r="AM488" i="2"/>
  <c r="BC488" i="2" s="1"/>
  <c r="AK495" i="2"/>
  <c r="AC493" i="2"/>
  <c r="AJ493" i="2" s="1"/>
  <c r="AW475" i="2"/>
  <c r="AR480" i="2"/>
  <c r="AR446" i="2"/>
  <c r="AP459" i="2"/>
  <c r="AP443" i="2"/>
  <c r="AN504" i="2"/>
  <c r="AN464" i="2"/>
  <c r="AM483" i="2"/>
  <c r="BC483" i="2" s="1"/>
  <c r="AM441" i="2"/>
  <c r="BC441" i="2" s="1"/>
  <c r="AW433" i="2"/>
  <c r="AR440" i="2"/>
  <c r="AW432" i="2"/>
  <c r="AR504" i="2"/>
  <c r="AP495" i="2"/>
  <c r="AR451" i="2"/>
  <c r="AR517" i="2"/>
  <c r="AK459" i="2"/>
  <c r="AK442" i="2"/>
  <c r="AC491" i="2"/>
  <c r="AJ491" i="2" s="1"/>
  <c r="AW478" i="2"/>
  <c r="AM455" i="2"/>
  <c r="BC455" i="2" s="1"/>
  <c r="AW507" i="2"/>
  <c r="AW459" i="2"/>
  <c r="AS496" i="2"/>
  <c r="AR489" i="2"/>
  <c r="AS483" i="2"/>
  <c r="AS450" i="2"/>
  <c r="AR509" i="2"/>
  <c r="AR476" i="2"/>
  <c r="AN460" i="2"/>
  <c r="AN429" i="2"/>
  <c r="AM480" i="2"/>
  <c r="BC480" i="2" s="1"/>
  <c r="AM437" i="2"/>
  <c r="BC437" i="2" s="1"/>
  <c r="AC490" i="2"/>
  <c r="AJ490" i="2" s="1"/>
  <c r="AN457" i="2"/>
  <c r="AW465" i="2"/>
  <c r="AW494" i="2"/>
  <c r="AP491" i="2"/>
  <c r="AN500" i="2"/>
  <c r="AN462" i="2"/>
  <c r="AN430" i="2"/>
  <c r="AM481" i="2"/>
  <c r="BC481" i="2" s="1"/>
  <c r="AM440" i="2"/>
  <c r="BC440" i="2" s="1"/>
  <c r="AS448" i="2"/>
  <c r="AR475" i="2"/>
  <c r="AN497" i="2"/>
  <c r="AN459" i="2"/>
  <c r="AM436" i="2"/>
  <c r="BC436" i="2" s="1"/>
  <c r="AW513" i="2"/>
  <c r="AW510" i="2"/>
  <c r="AW462" i="2"/>
  <c r="AS484" i="2"/>
  <c r="AR512" i="2"/>
  <c r="AR478" i="2"/>
  <c r="AR445" i="2"/>
  <c r="AS446" i="2"/>
  <c r="AR474" i="2"/>
  <c r="AN458" i="2"/>
  <c r="AM435" i="2"/>
  <c r="BC435" i="2" s="1"/>
  <c r="AI515" i="2"/>
  <c r="AI498" i="2"/>
  <c r="AI514" i="2"/>
  <c r="AI497" i="2"/>
  <c r="AI428" i="2"/>
  <c r="AI513" i="2"/>
  <c r="AI496" i="2"/>
  <c r="AI444" i="2"/>
  <c r="AI427" i="2"/>
  <c r="AI460" i="2"/>
  <c r="AI443" i="2"/>
  <c r="AU476" i="2"/>
  <c r="AU475" i="2"/>
  <c r="AI457" i="2"/>
  <c r="AU490" i="2"/>
  <c r="AU456" i="2"/>
  <c r="AI506" i="2"/>
  <c r="AI489" i="2"/>
  <c r="AI472" i="2"/>
  <c r="AI455" i="2"/>
  <c r="AI438" i="2"/>
  <c r="AI459" i="2"/>
  <c r="AI442" i="2"/>
  <c r="AI492" i="2"/>
  <c r="AI458" i="2"/>
  <c r="AI441" i="2"/>
  <c r="AI508" i="2"/>
  <c r="AI491" i="2"/>
  <c r="AI440" i="2"/>
  <c r="AI505" i="2"/>
  <c r="AI488" i="2"/>
  <c r="AI471" i="2"/>
  <c r="AI454" i="2"/>
  <c r="AI437" i="2"/>
  <c r="AI474" i="2"/>
  <c r="AI507" i="2"/>
  <c r="AI473" i="2"/>
  <c r="AI439" i="2"/>
  <c r="AC504" i="2"/>
  <c r="AJ504" i="2" s="1"/>
  <c r="AC488" i="2"/>
  <c r="AJ488" i="2" s="1"/>
  <c r="AC472" i="2"/>
  <c r="AJ472" i="2" s="1"/>
  <c r="AC456" i="2"/>
  <c r="AJ456" i="2" s="1"/>
  <c r="AW456" i="2"/>
  <c r="AW440" i="2"/>
  <c r="AC440" i="2"/>
  <c r="AJ440" i="2" s="1"/>
  <c r="AI510" i="2"/>
  <c r="AU510" i="2"/>
  <c r="AI494" i="2"/>
  <c r="AU494" i="2"/>
  <c r="AI478" i="2"/>
  <c r="AU478" i="2"/>
  <c r="AI462" i="2"/>
  <c r="AU462" i="2"/>
  <c r="AI446" i="2"/>
  <c r="AU446" i="2"/>
  <c r="AI430" i="2"/>
  <c r="AU430" i="2"/>
  <c r="AM517" i="2"/>
  <c r="BC517" i="2" s="1"/>
  <c r="AR431" i="2"/>
  <c r="AM431" i="2"/>
  <c r="BC431" i="2" s="1"/>
  <c r="AS495" i="2"/>
  <c r="AR485" i="2"/>
  <c r="AN511" i="2"/>
  <c r="AN487" i="2"/>
  <c r="AM470" i="2"/>
  <c r="BC470" i="2" s="1"/>
  <c r="AM449" i="2"/>
  <c r="BC449" i="2" s="1"/>
  <c r="AS513" i="2"/>
  <c r="AS494" i="2"/>
  <c r="AS453" i="2"/>
  <c r="AR484" i="2"/>
  <c r="AR439" i="2"/>
  <c r="AN486" i="2"/>
  <c r="AM469" i="2"/>
  <c r="BC469" i="2" s="1"/>
  <c r="AM447" i="2"/>
  <c r="BC447" i="2" s="1"/>
  <c r="AM493" i="2"/>
  <c r="BC493" i="2" s="1"/>
  <c r="AN493" i="2"/>
  <c r="AS493" i="2"/>
  <c r="AS452" i="2"/>
  <c r="AS433" i="2"/>
  <c r="AR437" i="2"/>
  <c r="AN485" i="2"/>
  <c r="AM510" i="2"/>
  <c r="BC510" i="2" s="1"/>
  <c r="AM468" i="2"/>
  <c r="BC468" i="2" s="1"/>
  <c r="AS511" i="2"/>
  <c r="AS470" i="2"/>
  <c r="AS451" i="2"/>
  <c r="AR479" i="2"/>
  <c r="AR458" i="2"/>
  <c r="AR436" i="2"/>
  <c r="AN484" i="2"/>
  <c r="AN463" i="2"/>
  <c r="AM467" i="2"/>
  <c r="BC467" i="2" s="1"/>
  <c r="AR465" i="2"/>
  <c r="AM465" i="2"/>
  <c r="BC465" i="2" s="1"/>
  <c r="AS497" i="2"/>
  <c r="AS437" i="2"/>
  <c r="AN513" i="2"/>
  <c r="AN469" i="2"/>
  <c r="AS469" i="2"/>
  <c r="AS431" i="2"/>
  <c r="AR502" i="2"/>
  <c r="AR454" i="2"/>
  <c r="AN454" i="2"/>
  <c r="AM442" i="2"/>
  <c r="BC442" i="2" s="1"/>
  <c r="AN442" i="2"/>
  <c r="AS509" i="2"/>
  <c r="AS490" i="2"/>
  <c r="AS468" i="2"/>
  <c r="AS449" i="2"/>
  <c r="AS430" i="2"/>
  <c r="AR501" i="2"/>
  <c r="AR477" i="2"/>
  <c r="AR433" i="2"/>
  <c r="AN481" i="2"/>
  <c r="AN461" i="2"/>
  <c r="AM506" i="2"/>
  <c r="BC506" i="2" s="1"/>
  <c r="AM486" i="2"/>
  <c r="BC486" i="2" s="1"/>
  <c r="AN505" i="2"/>
  <c r="AS505" i="2"/>
  <c r="AN489" i="2"/>
  <c r="AS489" i="2"/>
  <c r="AN473" i="2"/>
  <c r="AS473" i="2"/>
  <c r="AS486" i="2"/>
  <c r="AS467" i="2"/>
  <c r="AS429" i="2"/>
  <c r="AR497" i="2"/>
  <c r="AN502" i="2"/>
  <c r="AM505" i="2"/>
  <c r="BC505" i="2" s="1"/>
  <c r="AM485" i="2"/>
  <c r="BC485" i="2" s="1"/>
  <c r="AN488" i="2"/>
  <c r="AS488" i="2"/>
  <c r="AN472" i="2"/>
  <c r="AS472" i="2"/>
  <c r="AS456" i="2"/>
  <c r="AN456" i="2"/>
  <c r="AS447" i="2"/>
  <c r="AR453" i="2"/>
  <c r="AR429" i="2"/>
  <c r="AN501" i="2"/>
  <c r="AN479" i="2"/>
  <c r="AN435" i="2"/>
  <c r="AM504" i="2"/>
  <c r="BC504" i="2" s="1"/>
  <c r="AS501" i="2"/>
  <c r="AN453" i="2"/>
  <c r="AS503" i="2"/>
  <c r="AR503" i="2"/>
  <c r="AS487" i="2"/>
  <c r="AR487" i="2"/>
  <c r="AN471" i="2"/>
  <c r="AS471" i="2"/>
  <c r="AS455" i="2"/>
  <c r="AN455" i="2"/>
  <c r="AS439" i="2"/>
  <c r="AN439" i="2"/>
  <c r="AM503" i="2"/>
  <c r="BC503" i="2" s="1"/>
  <c r="AM438" i="2"/>
  <c r="BC438" i="2" s="1"/>
  <c r="AR516" i="2"/>
  <c r="AM516" i="2"/>
  <c r="BC516" i="2" s="1"/>
  <c r="AS500" i="2"/>
  <c r="AS481" i="2"/>
  <c r="AR471" i="2"/>
  <c r="AN517" i="2"/>
  <c r="AN452" i="2"/>
  <c r="AM500" i="2"/>
  <c r="BC500" i="2" s="1"/>
  <c r="AM454" i="2"/>
  <c r="BC454" i="2" s="1"/>
  <c r="AR499" i="2"/>
  <c r="AM499" i="2"/>
  <c r="BC499" i="2" s="1"/>
  <c r="AS499" i="2"/>
  <c r="AR511" i="2"/>
  <c r="AN516" i="2"/>
  <c r="AN495" i="2"/>
  <c r="AN514" i="2"/>
  <c r="AR514" i="2"/>
  <c r="AN498" i="2"/>
  <c r="AR498" i="2"/>
  <c r="AN482" i="2"/>
  <c r="AR482" i="2"/>
  <c r="AM482" i="2"/>
  <c r="BC482" i="2" s="1"/>
  <c r="AN466" i="2"/>
  <c r="AR466" i="2"/>
  <c r="AS498" i="2"/>
  <c r="AS479" i="2"/>
  <c r="AR510" i="2"/>
  <c r="AR490" i="2"/>
  <c r="AN515" i="2"/>
  <c r="AN494" i="2"/>
  <c r="AN470" i="2"/>
  <c r="AN449" i="2"/>
  <c r="AM452" i="2"/>
  <c r="BC452" i="2" s="1"/>
  <c r="AR438" i="2"/>
  <c r="AN438" i="2"/>
  <c r="AS502" i="2"/>
  <c r="AM448" i="2"/>
  <c r="BC448" i="2" s="1"/>
  <c r="W395" i="2" l="1"/>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F395" i="2"/>
  <c r="F396" i="2"/>
  <c r="F397" i="2"/>
  <c r="F398" i="2"/>
  <c r="F399" i="2"/>
  <c r="H399" i="2" s="1"/>
  <c r="AV399" i="2" s="1"/>
  <c r="F400" i="2"/>
  <c r="H400" i="2" s="1"/>
  <c r="AV400" i="2" s="1"/>
  <c r="F401" i="2"/>
  <c r="H401" i="2" s="1"/>
  <c r="AV401" i="2" s="1"/>
  <c r="F402" i="2"/>
  <c r="H402" i="2" s="1"/>
  <c r="AV402" i="2" s="1"/>
  <c r="F403" i="2"/>
  <c r="H403" i="2" s="1"/>
  <c r="AV403" i="2" s="1"/>
  <c r="F404" i="2"/>
  <c r="H404" i="2" s="1"/>
  <c r="AV404" i="2" s="1"/>
  <c r="F405" i="2"/>
  <c r="H405" i="2" s="1"/>
  <c r="AV405" i="2" s="1"/>
  <c r="F406" i="2"/>
  <c r="H406" i="2" s="1"/>
  <c r="AV406" i="2" s="1"/>
  <c r="F407" i="2"/>
  <c r="H407" i="2" s="1"/>
  <c r="AV407" i="2" s="1"/>
  <c r="F408" i="2"/>
  <c r="H408" i="2" s="1"/>
  <c r="AV408" i="2" s="1"/>
  <c r="F409" i="2"/>
  <c r="H409" i="2" s="1"/>
  <c r="AV409" i="2" s="1"/>
  <c r="F410" i="2"/>
  <c r="F411" i="2"/>
  <c r="H411" i="2" s="1"/>
  <c r="AV411" i="2" s="1"/>
  <c r="F412" i="2"/>
  <c r="H412" i="2" s="1"/>
  <c r="AV412" i="2" s="1"/>
  <c r="F413" i="2"/>
  <c r="H413" i="2" s="1"/>
  <c r="AV413" i="2" s="1"/>
  <c r="F414" i="2"/>
  <c r="F415" i="2"/>
  <c r="H415" i="2" s="1"/>
  <c r="AV415" i="2" s="1"/>
  <c r="F416" i="2"/>
  <c r="H416" i="2" s="1"/>
  <c r="AV416" i="2" s="1"/>
  <c r="F417" i="2"/>
  <c r="H417" i="2" s="1"/>
  <c r="AV417" i="2" s="1"/>
  <c r="F418" i="2"/>
  <c r="H418" i="2" s="1"/>
  <c r="AV418" i="2" s="1"/>
  <c r="F419" i="2"/>
  <c r="H419" i="2" s="1"/>
  <c r="AV419" i="2" s="1"/>
  <c r="F420" i="2"/>
  <c r="H420" i="2" s="1"/>
  <c r="AV420" i="2" s="1"/>
  <c r="F421" i="2"/>
  <c r="H421" i="2" s="1"/>
  <c r="AV421" i="2" s="1"/>
  <c r="F422" i="2"/>
  <c r="H422" i="2" s="1"/>
  <c r="AV422" i="2" s="1"/>
  <c r="F423" i="2"/>
  <c r="H423" i="2" s="1"/>
  <c r="AV423" i="2" s="1"/>
  <c r="F424" i="2"/>
  <c r="H424" i="2" s="1"/>
  <c r="AV424" i="2" s="1"/>
  <c r="F425" i="2"/>
  <c r="H425" i="2" s="1"/>
  <c r="AV425" i="2" s="1"/>
  <c r="F426" i="2"/>
  <c r="H426" i="2" s="1"/>
  <c r="AV426" i="2" s="1"/>
  <c r="H395" i="2"/>
  <c r="AV395" i="2" s="1"/>
  <c r="H396" i="2"/>
  <c r="AV396" i="2" s="1"/>
  <c r="H397" i="2"/>
  <c r="AV397" i="2" s="1"/>
  <c r="H398" i="2"/>
  <c r="AV398" i="2" s="1"/>
  <c r="L395" i="2"/>
  <c r="AI395" i="2" s="1"/>
  <c r="L396" i="2"/>
  <c r="AI396" i="2" s="1"/>
  <c r="L397" i="2"/>
  <c r="AI397" i="2" s="1"/>
  <c r="L398" i="2"/>
  <c r="AI398" i="2" s="1"/>
  <c r="L399" i="2"/>
  <c r="AI399" i="2" s="1"/>
  <c r="L400" i="2"/>
  <c r="AU400" i="2" s="1"/>
  <c r="L401" i="2"/>
  <c r="AI401" i="2" s="1"/>
  <c r="L402" i="2"/>
  <c r="AI402" i="2" s="1"/>
  <c r="L403" i="2"/>
  <c r="AI403" i="2" s="1"/>
  <c r="L404" i="2"/>
  <c r="AI404" i="2" s="1"/>
  <c r="L405" i="2"/>
  <c r="AU405" i="2" s="1"/>
  <c r="L406" i="2"/>
  <c r="AU406" i="2" s="1"/>
  <c r="L407" i="2"/>
  <c r="AI407" i="2" s="1"/>
  <c r="L408" i="2"/>
  <c r="AI408" i="2" s="1"/>
  <c r="L409" i="2"/>
  <c r="AU409" i="2" s="1"/>
  <c r="L410" i="2"/>
  <c r="AU410" i="2" s="1"/>
  <c r="L411" i="2"/>
  <c r="AU411" i="2" s="1"/>
  <c r="L412" i="2"/>
  <c r="AU412" i="2" s="1"/>
  <c r="L413" i="2"/>
  <c r="AU413" i="2" s="1"/>
  <c r="L414" i="2"/>
  <c r="AU414" i="2" s="1"/>
  <c r="L415" i="2"/>
  <c r="AU415" i="2" s="1"/>
  <c r="L416" i="2"/>
  <c r="AU416" i="2" s="1"/>
  <c r="L417" i="2"/>
  <c r="AU417" i="2" s="1"/>
  <c r="L418" i="2"/>
  <c r="AI418" i="2" s="1"/>
  <c r="L419" i="2"/>
  <c r="AI419" i="2" s="1"/>
  <c r="L420" i="2"/>
  <c r="AI420" i="2" s="1"/>
  <c r="L421" i="2"/>
  <c r="AI421" i="2" s="1"/>
  <c r="L422" i="2"/>
  <c r="AI422" i="2" s="1"/>
  <c r="L423" i="2"/>
  <c r="AI423" i="2" s="1"/>
  <c r="L424" i="2"/>
  <c r="AI424" i="2" s="1"/>
  <c r="L425" i="2"/>
  <c r="AI425" i="2" s="1"/>
  <c r="L426" i="2"/>
  <c r="AI426" i="2" s="1"/>
  <c r="AB395" i="2"/>
  <c r="AC395" i="2" s="1"/>
  <c r="AJ395" i="2" s="1"/>
  <c r="AB396" i="2"/>
  <c r="AC396" i="2" s="1"/>
  <c r="AJ396" i="2" s="1"/>
  <c r="AB397" i="2"/>
  <c r="AC397" i="2" s="1"/>
  <c r="AJ397" i="2" s="1"/>
  <c r="AB398" i="2"/>
  <c r="AW398" i="2" s="1"/>
  <c r="AB399" i="2"/>
  <c r="AC399" i="2" s="1"/>
  <c r="AJ399" i="2" s="1"/>
  <c r="AB400" i="2"/>
  <c r="AC400" i="2" s="1"/>
  <c r="AJ400" i="2" s="1"/>
  <c r="AB401" i="2"/>
  <c r="AC401" i="2" s="1"/>
  <c r="AJ401" i="2" s="1"/>
  <c r="AB402" i="2"/>
  <c r="AK402" i="2" s="1"/>
  <c r="AB403" i="2"/>
  <c r="AC403" i="2" s="1"/>
  <c r="AJ403" i="2" s="1"/>
  <c r="AB404" i="2"/>
  <c r="AB405" i="2"/>
  <c r="AB406" i="2"/>
  <c r="AB407" i="2"/>
  <c r="AP407" i="2" s="1"/>
  <c r="AB408" i="2"/>
  <c r="AB409" i="2"/>
  <c r="AK409" i="2" s="1"/>
  <c r="AB410" i="2"/>
  <c r="AW410" i="2" s="1"/>
  <c r="AB411" i="2"/>
  <c r="AB412" i="2"/>
  <c r="AP412" i="2" s="1"/>
  <c r="AB413" i="2"/>
  <c r="AW413" i="2" s="1"/>
  <c r="AB414" i="2"/>
  <c r="AW414" i="2" s="1"/>
  <c r="AB415" i="2"/>
  <c r="AC415" i="2" s="1"/>
  <c r="AJ415" i="2" s="1"/>
  <c r="AB416" i="2"/>
  <c r="AC416" i="2" s="1"/>
  <c r="AJ416" i="2" s="1"/>
  <c r="AB417" i="2"/>
  <c r="AC417" i="2" s="1"/>
  <c r="AJ417" i="2" s="1"/>
  <c r="AB418" i="2"/>
  <c r="AB419" i="2"/>
  <c r="AC419" i="2" s="1"/>
  <c r="AJ419" i="2" s="1"/>
  <c r="AB420" i="2"/>
  <c r="AC420" i="2" s="1"/>
  <c r="AJ420" i="2" s="1"/>
  <c r="AB421" i="2"/>
  <c r="AW421" i="2" s="1"/>
  <c r="AB422" i="2"/>
  <c r="AW422" i="2" s="1"/>
  <c r="AB423" i="2"/>
  <c r="AW423" i="2" s="1"/>
  <c r="AB424" i="2"/>
  <c r="AB425" i="2"/>
  <c r="AW425" i="2" s="1"/>
  <c r="AB426" i="2"/>
  <c r="AP426" i="2" s="1"/>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K397" i="2"/>
  <c r="AO395" i="2"/>
  <c r="AO396" i="2"/>
  <c r="AO397" i="2"/>
  <c r="AO398" i="2"/>
  <c r="AO399" i="2"/>
  <c r="AO400" i="2"/>
  <c r="AO401" i="2"/>
  <c r="AO402" i="2"/>
  <c r="AO403" i="2"/>
  <c r="AO404" i="2"/>
  <c r="AO405" i="2"/>
  <c r="AO406" i="2"/>
  <c r="AO407" i="2"/>
  <c r="AO408" i="2"/>
  <c r="AO409" i="2"/>
  <c r="AO410" i="2"/>
  <c r="AO411" i="2"/>
  <c r="AO412" i="2"/>
  <c r="AO413" i="2"/>
  <c r="AO414" i="2"/>
  <c r="AO415" i="2"/>
  <c r="AO416" i="2"/>
  <c r="AO417" i="2"/>
  <c r="AO418" i="2"/>
  <c r="AO419" i="2"/>
  <c r="AO420" i="2"/>
  <c r="AO421" i="2"/>
  <c r="AO422" i="2"/>
  <c r="AO423" i="2"/>
  <c r="AO424" i="2"/>
  <c r="AO425" i="2"/>
  <c r="AO426" i="2"/>
  <c r="AQ395" i="2"/>
  <c r="AQ396" i="2"/>
  <c r="AQ397" i="2"/>
  <c r="AQ398" i="2"/>
  <c r="AQ399" i="2"/>
  <c r="AQ400" i="2"/>
  <c r="AQ401" i="2"/>
  <c r="AQ402" i="2"/>
  <c r="AQ403" i="2"/>
  <c r="AQ404" i="2"/>
  <c r="AQ405" i="2"/>
  <c r="AQ406" i="2"/>
  <c r="AQ407" i="2"/>
  <c r="AQ408" i="2"/>
  <c r="AQ409" i="2"/>
  <c r="AQ410" i="2"/>
  <c r="AQ411" i="2"/>
  <c r="AQ412" i="2"/>
  <c r="AQ413" i="2"/>
  <c r="AQ414" i="2"/>
  <c r="AQ415" i="2"/>
  <c r="AQ416" i="2"/>
  <c r="AQ417" i="2"/>
  <c r="AQ418" i="2"/>
  <c r="AQ419" i="2"/>
  <c r="AQ420" i="2"/>
  <c r="AQ421" i="2"/>
  <c r="AQ422" i="2"/>
  <c r="AQ423" i="2"/>
  <c r="AQ424" i="2"/>
  <c r="AQ425" i="2"/>
  <c r="AQ426" i="2"/>
  <c r="AX395" i="2"/>
  <c r="AM395" i="2" s="1"/>
  <c r="BC395" i="2" s="1"/>
  <c r="AX396" i="2"/>
  <c r="AM396" i="2" s="1"/>
  <c r="BC396" i="2" s="1"/>
  <c r="AX397" i="2"/>
  <c r="AM397" i="2" s="1"/>
  <c r="BC397" i="2" s="1"/>
  <c r="AX398" i="2"/>
  <c r="AM398" i="2" s="1"/>
  <c r="BC398" i="2" s="1"/>
  <c r="AX399" i="2"/>
  <c r="AM399" i="2" s="1"/>
  <c r="BC399" i="2" s="1"/>
  <c r="AX400" i="2"/>
  <c r="AN400" i="2" s="1"/>
  <c r="AX401" i="2"/>
  <c r="AR401" i="2" s="1"/>
  <c r="AX402" i="2"/>
  <c r="AS402" i="2" s="1"/>
  <c r="AX403" i="2"/>
  <c r="AS403" i="2" s="1"/>
  <c r="AX404" i="2"/>
  <c r="AS404" i="2" s="1"/>
  <c r="AX405" i="2"/>
  <c r="AM405" i="2" s="1"/>
  <c r="BC405" i="2" s="1"/>
  <c r="AX406" i="2"/>
  <c r="AM406" i="2" s="1"/>
  <c r="BC406" i="2" s="1"/>
  <c r="AX407" i="2"/>
  <c r="AM407" i="2" s="1"/>
  <c r="BC407" i="2" s="1"/>
  <c r="AX408" i="2"/>
  <c r="AM408" i="2" s="1"/>
  <c r="BC408" i="2" s="1"/>
  <c r="AX409" i="2"/>
  <c r="AS409" i="2" s="1"/>
  <c r="AX410" i="2"/>
  <c r="AM410" i="2" s="1"/>
  <c r="BC410" i="2" s="1"/>
  <c r="AX411" i="2"/>
  <c r="AM411" i="2" s="1"/>
  <c r="BC411" i="2" s="1"/>
  <c r="AX412" i="2"/>
  <c r="AM412" i="2" s="1"/>
  <c r="BC412" i="2" s="1"/>
  <c r="AX413" i="2"/>
  <c r="AM413" i="2" s="1"/>
  <c r="BC413" i="2" s="1"/>
  <c r="AX414" i="2"/>
  <c r="AM414" i="2" s="1"/>
  <c r="BC414" i="2" s="1"/>
  <c r="AX415" i="2"/>
  <c r="AM415" i="2" s="1"/>
  <c r="BC415" i="2" s="1"/>
  <c r="AX416" i="2"/>
  <c r="AM416" i="2" s="1"/>
  <c r="BC416" i="2" s="1"/>
  <c r="AX417" i="2"/>
  <c r="AM417" i="2" s="1"/>
  <c r="BC417" i="2" s="1"/>
  <c r="AX418" i="2"/>
  <c r="AM418" i="2" s="1"/>
  <c r="BC418" i="2" s="1"/>
  <c r="AX419" i="2"/>
  <c r="AM419" i="2" s="1"/>
  <c r="BC419" i="2" s="1"/>
  <c r="AX420" i="2"/>
  <c r="AN420" i="2" s="1"/>
  <c r="AX421" i="2"/>
  <c r="AM421" i="2" s="1"/>
  <c r="BC421" i="2" s="1"/>
  <c r="AX422" i="2"/>
  <c r="AM422" i="2" s="1"/>
  <c r="BC422" i="2" s="1"/>
  <c r="AX423" i="2"/>
  <c r="AM423" i="2" s="1"/>
  <c r="BC423" i="2" s="1"/>
  <c r="AX424" i="2"/>
  <c r="AM424" i="2" s="1"/>
  <c r="BC424" i="2" s="1"/>
  <c r="AX425" i="2"/>
  <c r="AN425" i="2" s="1"/>
  <c r="AX426" i="2"/>
  <c r="AS426" i="2" s="1"/>
  <c r="AY395" i="2"/>
  <c r="AY396" i="2"/>
  <c r="AY397" i="2"/>
  <c r="AY398" i="2"/>
  <c r="AY399" i="2"/>
  <c r="AY400" i="2"/>
  <c r="AY401" i="2"/>
  <c r="AY402" i="2"/>
  <c r="AY403" i="2"/>
  <c r="AY404" i="2"/>
  <c r="AY405" i="2"/>
  <c r="AY406" i="2"/>
  <c r="AY407" i="2"/>
  <c r="AY408" i="2"/>
  <c r="AY409" i="2"/>
  <c r="AY410" i="2"/>
  <c r="AY411" i="2"/>
  <c r="AY412" i="2"/>
  <c r="AY413" i="2"/>
  <c r="AY414" i="2"/>
  <c r="AY415" i="2"/>
  <c r="AY416" i="2"/>
  <c r="AY417" i="2"/>
  <c r="AY418" i="2"/>
  <c r="AY419" i="2"/>
  <c r="AY420" i="2"/>
  <c r="AY421" i="2"/>
  <c r="AY422" i="2"/>
  <c r="AY423" i="2"/>
  <c r="AY424" i="2"/>
  <c r="AY425" i="2"/>
  <c r="AY426" i="2"/>
  <c r="AZ395" i="2"/>
  <c r="AZ396" i="2"/>
  <c r="AZ397" i="2"/>
  <c r="AZ398" i="2"/>
  <c r="AZ399" i="2"/>
  <c r="AZ400" i="2"/>
  <c r="AZ401" i="2"/>
  <c r="AZ402" i="2"/>
  <c r="AZ403" i="2"/>
  <c r="AZ404" i="2"/>
  <c r="AZ405" i="2"/>
  <c r="AZ406" i="2"/>
  <c r="AZ407" i="2"/>
  <c r="AZ408" i="2"/>
  <c r="AZ409" i="2"/>
  <c r="AZ410" i="2"/>
  <c r="AZ411" i="2"/>
  <c r="AZ412" i="2"/>
  <c r="AZ413" i="2"/>
  <c r="AZ414" i="2"/>
  <c r="AZ415" i="2"/>
  <c r="AZ416" i="2"/>
  <c r="AZ417" i="2"/>
  <c r="AZ418" i="2"/>
  <c r="AZ419" i="2"/>
  <c r="AZ420" i="2"/>
  <c r="AZ421" i="2"/>
  <c r="AZ422" i="2"/>
  <c r="AZ423" i="2"/>
  <c r="AZ424" i="2"/>
  <c r="AZ425" i="2"/>
  <c r="AZ426" i="2"/>
  <c r="BA395" i="2"/>
  <c r="BA396" i="2"/>
  <c r="BA397" i="2"/>
  <c r="BA398" i="2"/>
  <c r="BA399" i="2"/>
  <c r="BA400" i="2"/>
  <c r="BA401" i="2"/>
  <c r="BA402" i="2"/>
  <c r="BA403" i="2"/>
  <c r="BA404" i="2"/>
  <c r="BA405" i="2"/>
  <c r="BA406" i="2"/>
  <c r="BA407" i="2"/>
  <c r="BA408" i="2"/>
  <c r="BA409" i="2"/>
  <c r="BA410" i="2"/>
  <c r="BA411" i="2"/>
  <c r="BA412" i="2"/>
  <c r="BA413" i="2"/>
  <c r="BA414" i="2"/>
  <c r="BA415" i="2"/>
  <c r="BA416" i="2"/>
  <c r="BA417" i="2"/>
  <c r="BA418" i="2"/>
  <c r="BA419" i="2"/>
  <c r="BA420" i="2"/>
  <c r="BA421" i="2"/>
  <c r="BA422" i="2"/>
  <c r="BA423" i="2"/>
  <c r="BA424" i="2"/>
  <c r="BA425" i="2"/>
  <c r="BA426" i="2"/>
  <c r="BB395" i="2"/>
  <c r="BB396" i="2"/>
  <c r="BB397" i="2"/>
  <c r="BB398" i="2"/>
  <c r="BB399" i="2"/>
  <c r="BB400" i="2"/>
  <c r="BB401" i="2"/>
  <c r="BB402" i="2"/>
  <c r="BB403" i="2"/>
  <c r="BB404" i="2"/>
  <c r="BB405" i="2"/>
  <c r="BB406" i="2"/>
  <c r="BB407" i="2"/>
  <c r="BB408" i="2"/>
  <c r="BB409" i="2"/>
  <c r="BB410" i="2"/>
  <c r="BB411" i="2"/>
  <c r="BB412" i="2"/>
  <c r="BB413" i="2"/>
  <c r="BB414" i="2"/>
  <c r="BB415" i="2"/>
  <c r="BB416" i="2"/>
  <c r="BB417" i="2"/>
  <c r="BB418" i="2"/>
  <c r="BB419" i="2"/>
  <c r="BB420" i="2"/>
  <c r="BB421" i="2"/>
  <c r="BB422" i="2"/>
  <c r="BB423" i="2"/>
  <c r="BB424" i="2"/>
  <c r="BB425" i="2"/>
  <c r="BB426" i="2"/>
  <c r="BD395" i="2"/>
  <c r="BD396" i="2"/>
  <c r="BD397" i="2"/>
  <c r="BD398" i="2"/>
  <c r="BD399" i="2"/>
  <c r="BD400" i="2"/>
  <c r="BD401" i="2"/>
  <c r="BD402" i="2"/>
  <c r="BD403" i="2"/>
  <c r="BD404" i="2"/>
  <c r="BD405" i="2"/>
  <c r="BD406" i="2"/>
  <c r="BD407" i="2"/>
  <c r="BD408" i="2"/>
  <c r="BD409" i="2"/>
  <c r="BD410" i="2"/>
  <c r="BD411" i="2"/>
  <c r="BD412" i="2"/>
  <c r="BD413" i="2"/>
  <c r="BD414" i="2"/>
  <c r="BD415" i="2"/>
  <c r="BD416" i="2"/>
  <c r="BD417" i="2"/>
  <c r="BD418" i="2"/>
  <c r="BD419" i="2"/>
  <c r="BD420" i="2"/>
  <c r="BD421" i="2"/>
  <c r="BD422" i="2"/>
  <c r="BD423" i="2"/>
  <c r="BD424" i="2"/>
  <c r="BD425" i="2"/>
  <c r="BD426" i="2"/>
  <c r="AW412" i="2" l="1"/>
  <c r="AI417" i="2"/>
  <c r="AI415" i="2"/>
  <c r="AI416" i="2"/>
  <c r="AP399" i="2"/>
  <c r="AW401" i="2"/>
  <c r="AW400" i="2"/>
  <c r="AI413" i="2"/>
  <c r="AP397" i="2"/>
  <c r="AW397" i="2"/>
  <c r="AW396" i="2"/>
  <c r="AK412" i="2"/>
  <c r="AI414" i="2"/>
  <c r="AW399" i="2"/>
  <c r="AC421" i="2"/>
  <c r="AJ421" i="2" s="1"/>
  <c r="AU396" i="2"/>
  <c r="AK399" i="2"/>
  <c r="AU424" i="2"/>
  <c r="AC412" i="2"/>
  <c r="AJ412" i="2" s="1"/>
  <c r="AU422" i="2"/>
  <c r="AU421" i="2"/>
  <c r="AP409" i="2"/>
  <c r="AP402" i="2"/>
  <c r="AI412" i="2"/>
  <c r="AC413" i="2"/>
  <c r="AJ413" i="2" s="1"/>
  <c r="AU423" i="2"/>
  <c r="AW415" i="2"/>
  <c r="AU399" i="2"/>
  <c r="AU398" i="2"/>
  <c r="AU397" i="2"/>
  <c r="AC408" i="2"/>
  <c r="AJ408" i="2" s="1"/>
  <c r="AC409" i="2"/>
  <c r="AJ409" i="2" s="1"/>
  <c r="AW409" i="2"/>
  <c r="AC407" i="2"/>
  <c r="AJ407" i="2" s="1"/>
  <c r="AC402" i="2"/>
  <c r="AJ402" i="2" s="1"/>
  <c r="AC404" i="2"/>
  <c r="AJ404" i="2" s="1"/>
  <c r="AC398" i="2"/>
  <c r="AJ398" i="2" s="1"/>
  <c r="AC410" i="2"/>
  <c r="AJ410" i="2" s="1"/>
  <c r="AC406" i="2"/>
  <c r="AJ406" i="2" s="1"/>
  <c r="AC405" i="2"/>
  <c r="AJ405" i="2" s="1"/>
  <c r="AC414" i="2"/>
  <c r="AJ414" i="2" s="1"/>
  <c r="AU408" i="2"/>
  <c r="AU407" i="2"/>
  <c r="AI400" i="2"/>
  <c r="AI406" i="2"/>
  <c r="AI405" i="2"/>
  <c r="AU426" i="2"/>
  <c r="AU401" i="2"/>
  <c r="AU425" i="2"/>
  <c r="AC424" i="2"/>
  <c r="AJ424" i="2" s="1"/>
  <c r="AC425" i="2"/>
  <c r="AJ425" i="2" s="1"/>
  <c r="AC423" i="2"/>
  <c r="AJ423" i="2" s="1"/>
  <c r="AC422" i="2"/>
  <c r="AJ422" i="2" s="1"/>
  <c r="H414" i="2"/>
  <c r="AV414" i="2" s="1"/>
  <c r="AC418" i="2"/>
  <c r="AJ418" i="2" s="1"/>
  <c r="AN418" i="2"/>
  <c r="H410" i="2"/>
  <c r="AV410" i="2" s="1"/>
  <c r="AS420" i="2"/>
  <c r="AN417" i="2"/>
  <c r="AC426" i="2"/>
  <c r="AJ426" i="2" s="1"/>
  <c r="AN419" i="2"/>
  <c r="AS419" i="2"/>
  <c r="AS417" i="2"/>
  <c r="AN401" i="2"/>
  <c r="AS401" i="2"/>
  <c r="AM409" i="2"/>
  <c r="BC409" i="2" s="1"/>
  <c r="AR420" i="2"/>
  <c r="AM403" i="2"/>
  <c r="BC403" i="2" s="1"/>
  <c r="AN403" i="2"/>
  <c r="AR419" i="2"/>
  <c r="AM402" i="2"/>
  <c r="BC402" i="2" s="1"/>
  <c r="AR404" i="2"/>
  <c r="AM401" i="2"/>
  <c r="BC401" i="2" s="1"/>
  <c r="AR403" i="2"/>
  <c r="AR402" i="2"/>
  <c r="AW411" i="2"/>
  <c r="AS418" i="2"/>
  <c r="AM404" i="2"/>
  <c r="BC404" i="2" s="1"/>
  <c r="AK426" i="2"/>
  <c r="AC411" i="2"/>
  <c r="AJ411" i="2" s="1"/>
  <c r="AW408" i="2"/>
  <c r="AW426" i="2"/>
  <c r="AW407" i="2"/>
  <c r="AK407" i="2"/>
  <c r="AW406" i="2"/>
  <c r="AR418" i="2"/>
  <c r="AW424" i="2"/>
  <c r="AW405" i="2"/>
  <c r="AR417" i="2"/>
  <c r="AW417" i="2"/>
  <c r="AN409" i="2"/>
  <c r="AW416" i="2"/>
  <c r="AN404" i="2"/>
  <c r="AW395" i="2"/>
  <c r="AN402" i="2"/>
  <c r="AU395" i="2"/>
  <c r="AI411" i="2"/>
  <c r="AI410" i="2"/>
  <c r="AI409" i="2"/>
  <c r="AR426" i="2"/>
  <c r="AR425" i="2"/>
  <c r="AN410" i="2"/>
  <c r="AR410" i="2"/>
  <c r="AW418" i="2"/>
  <c r="AW402" i="2"/>
  <c r="AU418" i="2"/>
  <c r="AU402" i="2"/>
  <c r="AN426" i="2"/>
  <c r="AR409" i="2"/>
  <c r="AM426" i="2"/>
  <c r="BC426" i="2" s="1"/>
  <c r="AW420" i="2"/>
  <c r="AW404" i="2"/>
  <c r="AU420" i="2"/>
  <c r="AU404" i="2"/>
  <c r="AS410" i="2"/>
  <c r="AM420" i="2"/>
  <c r="BC420" i="2" s="1"/>
  <c r="AW419" i="2"/>
  <c r="AW403" i="2"/>
  <c r="AU419" i="2"/>
  <c r="AU403" i="2"/>
  <c r="AS425" i="2"/>
  <c r="AM425" i="2"/>
  <c r="BC425" i="2" s="1"/>
  <c r="AS424" i="2"/>
  <c r="AS408" i="2"/>
  <c r="AR424" i="2"/>
  <c r="AR408" i="2"/>
  <c r="AN424" i="2"/>
  <c r="AN408" i="2"/>
  <c r="AS423" i="2"/>
  <c r="AS407" i="2"/>
  <c r="AR423" i="2"/>
  <c r="AR407" i="2"/>
  <c r="AN423" i="2"/>
  <c r="AN407" i="2"/>
  <c r="AS422" i="2"/>
  <c r="AS406" i="2"/>
  <c r="AR422" i="2"/>
  <c r="AR406" i="2"/>
  <c r="AN422" i="2"/>
  <c r="AN406" i="2"/>
  <c r="AS421" i="2"/>
  <c r="AS405" i="2"/>
  <c r="AR421" i="2"/>
  <c r="AR405" i="2"/>
  <c r="AN421" i="2"/>
  <c r="AN405" i="2"/>
  <c r="AR400" i="2"/>
  <c r="AM400" i="2"/>
  <c r="BC400" i="2" s="1"/>
  <c r="AS415" i="2"/>
  <c r="AS414" i="2"/>
  <c r="AS398" i="2"/>
  <c r="AR414" i="2"/>
  <c r="AR398" i="2"/>
  <c r="AN414" i="2"/>
  <c r="AN398" i="2"/>
  <c r="AS413" i="2"/>
  <c r="AS397" i="2"/>
  <c r="AR413" i="2"/>
  <c r="AR397" i="2"/>
  <c r="AN413" i="2"/>
  <c r="AN397" i="2"/>
  <c r="AS412" i="2"/>
  <c r="AS396" i="2"/>
  <c r="AR412" i="2"/>
  <c r="AR396" i="2"/>
  <c r="AN412" i="2"/>
  <c r="AN396" i="2"/>
  <c r="AS416" i="2"/>
  <c r="AS400" i="2"/>
  <c r="AR416" i="2"/>
  <c r="AN416" i="2"/>
  <c r="AS399" i="2"/>
  <c r="AR415" i="2"/>
  <c r="AR399" i="2"/>
  <c r="AN415" i="2"/>
  <c r="AN399" i="2"/>
  <c r="AS411" i="2"/>
  <c r="AS395" i="2"/>
  <c r="AR411" i="2"/>
  <c r="AR395" i="2"/>
  <c r="AN411" i="2"/>
  <c r="AN395" i="2"/>
  <c r="W301" i="2" l="1"/>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F301" i="2"/>
  <c r="H301" i="2" s="1"/>
  <c r="AV301" i="2" s="1"/>
  <c r="F302" i="2"/>
  <c r="H302" i="2" s="1"/>
  <c r="AV302" i="2" s="1"/>
  <c r="F303" i="2"/>
  <c r="H303" i="2" s="1"/>
  <c r="AV303" i="2" s="1"/>
  <c r="F304" i="2"/>
  <c r="H304" i="2" s="1"/>
  <c r="AV304" i="2" s="1"/>
  <c r="F305" i="2"/>
  <c r="H305" i="2" s="1"/>
  <c r="AV305" i="2" s="1"/>
  <c r="F306" i="2"/>
  <c r="H306" i="2" s="1"/>
  <c r="AV306" i="2" s="1"/>
  <c r="F307" i="2"/>
  <c r="H307" i="2" s="1"/>
  <c r="AV307" i="2" s="1"/>
  <c r="F308" i="2"/>
  <c r="H308" i="2" s="1"/>
  <c r="AV308" i="2" s="1"/>
  <c r="F309" i="2"/>
  <c r="H309" i="2" s="1"/>
  <c r="AV309" i="2" s="1"/>
  <c r="F310" i="2"/>
  <c r="H310" i="2" s="1"/>
  <c r="AV310" i="2" s="1"/>
  <c r="F311" i="2"/>
  <c r="H311" i="2" s="1"/>
  <c r="AV311" i="2" s="1"/>
  <c r="F312" i="2"/>
  <c r="H312" i="2" s="1"/>
  <c r="AV312" i="2" s="1"/>
  <c r="F313" i="2"/>
  <c r="H313" i="2" s="1"/>
  <c r="AV313" i="2" s="1"/>
  <c r="F314" i="2"/>
  <c r="H314" i="2" s="1"/>
  <c r="AV314" i="2" s="1"/>
  <c r="F315" i="2"/>
  <c r="H315" i="2" s="1"/>
  <c r="AV315" i="2" s="1"/>
  <c r="F316" i="2"/>
  <c r="H316" i="2" s="1"/>
  <c r="AV316" i="2" s="1"/>
  <c r="F317" i="2"/>
  <c r="H317" i="2" s="1"/>
  <c r="AV317" i="2" s="1"/>
  <c r="F318" i="2"/>
  <c r="H318" i="2" s="1"/>
  <c r="AV318" i="2" s="1"/>
  <c r="F319" i="2"/>
  <c r="H319" i="2" s="1"/>
  <c r="AV319" i="2" s="1"/>
  <c r="F320" i="2"/>
  <c r="H320" i="2" s="1"/>
  <c r="AV320" i="2" s="1"/>
  <c r="F321" i="2"/>
  <c r="H321" i="2" s="1"/>
  <c r="AV321" i="2" s="1"/>
  <c r="F322" i="2"/>
  <c r="F323" i="2"/>
  <c r="H323" i="2" s="1"/>
  <c r="AV323" i="2" s="1"/>
  <c r="F324" i="2"/>
  <c r="H324" i="2" s="1"/>
  <c r="AV324" i="2" s="1"/>
  <c r="F325" i="2"/>
  <c r="F326" i="2"/>
  <c r="H326" i="2" s="1"/>
  <c r="AV326" i="2" s="1"/>
  <c r="F327" i="2"/>
  <c r="H327" i="2" s="1"/>
  <c r="F328" i="2"/>
  <c r="H328" i="2" s="1"/>
  <c r="AV328" i="2" s="1"/>
  <c r="F329" i="2"/>
  <c r="H329" i="2" s="1"/>
  <c r="AV329" i="2" s="1"/>
  <c r="F330" i="2"/>
  <c r="H330" i="2" s="1"/>
  <c r="AV330" i="2" s="1"/>
  <c r="F331" i="2"/>
  <c r="H331" i="2" s="1"/>
  <c r="AV331" i="2" s="1"/>
  <c r="F332" i="2"/>
  <c r="H332" i="2" s="1"/>
  <c r="AV332" i="2" s="1"/>
  <c r="F333" i="2"/>
  <c r="H333" i="2" s="1"/>
  <c r="AV333" i="2" s="1"/>
  <c r="F334" i="2"/>
  <c r="H334" i="2" s="1"/>
  <c r="AV334" i="2" s="1"/>
  <c r="F335" i="2"/>
  <c r="H335" i="2" s="1"/>
  <c r="AV335" i="2" s="1"/>
  <c r="F336" i="2"/>
  <c r="H336" i="2" s="1"/>
  <c r="AV336" i="2" s="1"/>
  <c r="F337" i="2"/>
  <c r="H337" i="2" s="1"/>
  <c r="AV337" i="2" s="1"/>
  <c r="F338" i="2"/>
  <c r="H338" i="2" s="1"/>
  <c r="AV338" i="2" s="1"/>
  <c r="F339" i="2"/>
  <c r="H339" i="2" s="1"/>
  <c r="AV339" i="2" s="1"/>
  <c r="F340" i="2"/>
  <c r="H340" i="2" s="1"/>
  <c r="AV340" i="2" s="1"/>
  <c r="F341" i="2"/>
  <c r="F342" i="2"/>
  <c r="H342" i="2" s="1"/>
  <c r="AV342" i="2" s="1"/>
  <c r="F343" i="2"/>
  <c r="H343" i="2" s="1"/>
  <c r="AV343" i="2" s="1"/>
  <c r="F344" i="2"/>
  <c r="H344" i="2" s="1"/>
  <c r="AV344" i="2" s="1"/>
  <c r="F345" i="2"/>
  <c r="H345" i="2" s="1"/>
  <c r="AV345" i="2" s="1"/>
  <c r="F346" i="2"/>
  <c r="H346" i="2" s="1"/>
  <c r="AV346" i="2" s="1"/>
  <c r="F347" i="2"/>
  <c r="H347" i="2" s="1"/>
  <c r="AV347" i="2" s="1"/>
  <c r="F348" i="2"/>
  <c r="H348" i="2" s="1"/>
  <c r="AV348" i="2" s="1"/>
  <c r="F349" i="2"/>
  <c r="H349" i="2" s="1"/>
  <c r="AV349" i="2" s="1"/>
  <c r="F350" i="2"/>
  <c r="H350" i="2" s="1"/>
  <c r="AV350" i="2" s="1"/>
  <c r="F351" i="2"/>
  <c r="H351" i="2" s="1"/>
  <c r="AV351" i="2" s="1"/>
  <c r="F352" i="2"/>
  <c r="H352" i="2" s="1"/>
  <c r="AV352" i="2" s="1"/>
  <c r="F353" i="2"/>
  <c r="H353" i="2" s="1"/>
  <c r="AV353" i="2" s="1"/>
  <c r="F354" i="2"/>
  <c r="H354" i="2" s="1"/>
  <c r="AV354" i="2" s="1"/>
  <c r="F355" i="2"/>
  <c r="H355" i="2" s="1"/>
  <c r="AV355" i="2" s="1"/>
  <c r="F356" i="2"/>
  <c r="H356" i="2" s="1"/>
  <c r="AV356" i="2" s="1"/>
  <c r="F357" i="2"/>
  <c r="H357" i="2" s="1"/>
  <c r="F358" i="2"/>
  <c r="H358" i="2" s="1"/>
  <c r="AV358" i="2" s="1"/>
  <c r="F359" i="2"/>
  <c r="H359" i="2" s="1"/>
  <c r="AV359" i="2" s="1"/>
  <c r="F360" i="2"/>
  <c r="H360" i="2" s="1"/>
  <c r="AV360" i="2" s="1"/>
  <c r="F361" i="2"/>
  <c r="H361" i="2" s="1"/>
  <c r="AV361" i="2" s="1"/>
  <c r="F362" i="2"/>
  <c r="H362" i="2" s="1"/>
  <c r="AV362" i="2" s="1"/>
  <c r="F363" i="2"/>
  <c r="H363" i="2" s="1"/>
  <c r="AV363" i="2" s="1"/>
  <c r="F364" i="2"/>
  <c r="H364" i="2" s="1"/>
  <c r="AV364" i="2" s="1"/>
  <c r="F365" i="2"/>
  <c r="H365" i="2" s="1"/>
  <c r="AV365" i="2" s="1"/>
  <c r="F366" i="2"/>
  <c r="H366" i="2" s="1"/>
  <c r="AV366" i="2" s="1"/>
  <c r="F367" i="2"/>
  <c r="H367" i="2" s="1"/>
  <c r="AV367" i="2" s="1"/>
  <c r="F368" i="2"/>
  <c r="H368" i="2" s="1"/>
  <c r="AV368" i="2" s="1"/>
  <c r="F369" i="2"/>
  <c r="H369" i="2" s="1"/>
  <c r="AV369" i="2" s="1"/>
  <c r="F370" i="2"/>
  <c r="H370" i="2" s="1"/>
  <c r="AV370" i="2" s="1"/>
  <c r="F371" i="2"/>
  <c r="H371" i="2" s="1"/>
  <c r="F372" i="2"/>
  <c r="H372" i="2" s="1"/>
  <c r="AV372" i="2" s="1"/>
  <c r="F373" i="2"/>
  <c r="H373" i="2" s="1"/>
  <c r="AV373" i="2" s="1"/>
  <c r="F374" i="2"/>
  <c r="H374" i="2" s="1"/>
  <c r="AV374" i="2" s="1"/>
  <c r="F375" i="2"/>
  <c r="H375" i="2" s="1"/>
  <c r="AV375" i="2" s="1"/>
  <c r="F376" i="2"/>
  <c r="H376" i="2" s="1"/>
  <c r="AV376" i="2" s="1"/>
  <c r="F377" i="2"/>
  <c r="H377" i="2" s="1"/>
  <c r="AV377" i="2" s="1"/>
  <c r="F378" i="2"/>
  <c r="H378" i="2" s="1"/>
  <c r="AV378" i="2" s="1"/>
  <c r="F379" i="2"/>
  <c r="H379" i="2" s="1"/>
  <c r="AV379" i="2" s="1"/>
  <c r="F380" i="2"/>
  <c r="H380" i="2" s="1"/>
  <c r="AV380" i="2" s="1"/>
  <c r="F381" i="2"/>
  <c r="H381" i="2" s="1"/>
  <c r="AV381" i="2" s="1"/>
  <c r="F382" i="2"/>
  <c r="H382" i="2" s="1"/>
  <c r="AV382" i="2" s="1"/>
  <c r="F383" i="2"/>
  <c r="H383" i="2" s="1"/>
  <c r="AV383" i="2" s="1"/>
  <c r="F384" i="2"/>
  <c r="H384" i="2" s="1"/>
  <c r="AV384" i="2" s="1"/>
  <c r="F385" i="2"/>
  <c r="H385" i="2" s="1"/>
  <c r="AV385" i="2" s="1"/>
  <c r="F386" i="2"/>
  <c r="H386" i="2" s="1"/>
  <c r="AV386" i="2" s="1"/>
  <c r="F387" i="2"/>
  <c r="H387" i="2" s="1"/>
  <c r="AV387" i="2" s="1"/>
  <c r="F388" i="2"/>
  <c r="H388" i="2" s="1"/>
  <c r="AV388" i="2" s="1"/>
  <c r="F389" i="2"/>
  <c r="H389" i="2" s="1"/>
  <c r="AV389" i="2" s="1"/>
  <c r="F390" i="2"/>
  <c r="H390" i="2" s="1"/>
  <c r="AV390" i="2" s="1"/>
  <c r="F391" i="2"/>
  <c r="H391" i="2" s="1"/>
  <c r="AV391" i="2" s="1"/>
  <c r="F392" i="2"/>
  <c r="H392" i="2" s="1"/>
  <c r="AV392" i="2" s="1"/>
  <c r="F393" i="2"/>
  <c r="H393" i="2" s="1"/>
  <c r="AV393" i="2" s="1"/>
  <c r="F394" i="2"/>
  <c r="H394" i="2" s="1"/>
  <c r="AV394" i="2" s="1"/>
  <c r="H325" i="2"/>
  <c r="AV325" i="2" s="1"/>
  <c r="H341" i="2"/>
  <c r="AV341" i="2" s="1"/>
  <c r="L301" i="2"/>
  <c r="AU301" i="2" s="1"/>
  <c r="L302" i="2"/>
  <c r="AI302" i="2" s="1"/>
  <c r="L303" i="2"/>
  <c r="AI303" i="2" s="1"/>
  <c r="L304" i="2"/>
  <c r="AI304" i="2" s="1"/>
  <c r="L305" i="2"/>
  <c r="AI305" i="2" s="1"/>
  <c r="L306" i="2"/>
  <c r="AU306" i="2" s="1"/>
  <c r="L307" i="2"/>
  <c r="AU307" i="2" s="1"/>
  <c r="L308" i="2"/>
  <c r="AU308" i="2" s="1"/>
  <c r="L309" i="2"/>
  <c r="AU309" i="2" s="1"/>
  <c r="L310" i="2"/>
  <c r="AU310" i="2" s="1"/>
  <c r="L311" i="2"/>
  <c r="AU311" i="2" s="1"/>
  <c r="L312" i="2"/>
  <c r="AI312" i="2" s="1"/>
  <c r="L313" i="2"/>
  <c r="AI313" i="2" s="1"/>
  <c r="L314" i="2"/>
  <c r="AI314" i="2" s="1"/>
  <c r="L315" i="2"/>
  <c r="AI315" i="2" s="1"/>
  <c r="L316" i="2"/>
  <c r="AI316" i="2" s="1"/>
  <c r="L317" i="2"/>
  <c r="AU317" i="2" s="1"/>
  <c r="L318" i="2"/>
  <c r="AU318" i="2" s="1"/>
  <c r="L319" i="2"/>
  <c r="AI319" i="2" s="1"/>
  <c r="L320" i="2"/>
  <c r="AI320" i="2" s="1"/>
  <c r="L321" i="2"/>
  <c r="AU321" i="2" s="1"/>
  <c r="L322" i="2"/>
  <c r="AU322" i="2" s="1"/>
  <c r="L323" i="2"/>
  <c r="AU323" i="2" s="1"/>
  <c r="L324" i="2"/>
  <c r="AU324" i="2" s="1"/>
  <c r="L325" i="2"/>
  <c r="AU325" i="2" s="1"/>
  <c r="L326" i="2"/>
  <c r="AU326" i="2" s="1"/>
  <c r="L327" i="2"/>
  <c r="AU327" i="2" s="1"/>
  <c r="L328" i="2"/>
  <c r="AU328" i="2" s="1"/>
  <c r="L329" i="2"/>
  <c r="AI329" i="2" s="1"/>
  <c r="L330" i="2"/>
  <c r="AI330" i="2" s="1"/>
  <c r="L331" i="2"/>
  <c r="AU331" i="2" s="1"/>
  <c r="L332" i="2"/>
  <c r="AI332" i="2" s="1"/>
  <c r="L333" i="2"/>
  <c r="AU333" i="2" s="1"/>
  <c r="L334" i="2"/>
  <c r="AI334" i="2" s="1"/>
  <c r="L335" i="2"/>
  <c r="AI335" i="2" s="1"/>
  <c r="L336" i="2"/>
  <c r="AI336" i="2" s="1"/>
  <c r="L337" i="2"/>
  <c r="AI337" i="2" s="1"/>
  <c r="L338" i="2"/>
  <c r="AI338" i="2" s="1"/>
  <c r="L339" i="2"/>
  <c r="AU339" i="2" s="1"/>
  <c r="L340" i="2"/>
  <c r="AU340" i="2" s="1"/>
  <c r="L341" i="2"/>
  <c r="AI341" i="2" s="1"/>
  <c r="L342" i="2"/>
  <c r="AI342" i="2" s="1"/>
  <c r="L343" i="2"/>
  <c r="AU343" i="2" s="1"/>
  <c r="L344" i="2"/>
  <c r="AU344" i="2" s="1"/>
  <c r="L345" i="2"/>
  <c r="AU345" i="2" s="1"/>
  <c r="L346" i="2"/>
  <c r="AU346" i="2" s="1"/>
  <c r="L347" i="2"/>
  <c r="AU347" i="2" s="1"/>
  <c r="L348" i="2"/>
  <c r="AI348" i="2" s="1"/>
  <c r="L349" i="2"/>
  <c r="AU349" i="2" s="1"/>
  <c r="L350" i="2"/>
  <c r="AI350" i="2" s="1"/>
  <c r="L351" i="2"/>
  <c r="AI351" i="2" s="1"/>
  <c r="L352" i="2"/>
  <c r="AI352" i="2" s="1"/>
  <c r="L353" i="2"/>
  <c r="AU353" i="2" s="1"/>
  <c r="L354" i="2"/>
  <c r="AU354" i="2" s="1"/>
  <c r="L355" i="2"/>
  <c r="AU355" i="2" s="1"/>
  <c r="L356" i="2"/>
  <c r="AI356" i="2" s="1"/>
  <c r="L357" i="2"/>
  <c r="AU357" i="2" s="1"/>
  <c r="L358" i="2"/>
  <c r="AI358" i="2" s="1"/>
  <c r="L359" i="2"/>
  <c r="AU359" i="2" s="1"/>
  <c r="L360" i="2"/>
  <c r="AI360" i="2" s="1"/>
  <c r="L361" i="2"/>
  <c r="AU361" i="2" s="1"/>
  <c r="L362" i="2"/>
  <c r="AU362" i="2" s="1"/>
  <c r="L363" i="2"/>
  <c r="AU363" i="2" s="1"/>
  <c r="L364" i="2"/>
  <c r="AU364" i="2" s="1"/>
  <c r="L365" i="2"/>
  <c r="AI365" i="2" s="1"/>
  <c r="L366" i="2"/>
  <c r="AU366" i="2" s="1"/>
  <c r="L367" i="2"/>
  <c r="AU367" i="2" s="1"/>
  <c r="L368" i="2"/>
  <c r="AI368" i="2" s="1"/>
  <c r="L369" i="2"/>
  <c r="AU369" i="2" s="1"/>
  <c r="L370" i="2"/>
  <c r="AI370" i="2" s="1"/>
  <c r="L371" i="2"/>
  <c r="AI371" i="2" s="1"/>
  <c r="L372" i="2"/>
  <c r="AI372" i="2" s="1"/>
  <c r="L373" i="2"/>
  <c r="AU373" i="2" s="1"/>
  <c r="L374" i="2"/>
  <c r="AI374" i="2" s="1"/>
  <c r="L375" i="2"/>
  <c r="AU375" i="2" s="1"/>
  <c r="L376" i="2"/>
  <c r="AU376" i="2" s="1"/>
  <c r="L377" i="2"/>
  <c r="AU377" i="2" s="1"/>
  <c r="L378" i="2"/>
  <c r="AI378" i="2" s="1"/>
  <c r="L379" i="2"/>
  <c r="AI379" i="2" s="1"/>
  <c r="L380" i="2"/>
  <c r="AU380" i="2" s="1"/>
  <c r="L381" i="2"/>
  <c r="AU381" i="2" s="1"/>
  <c r="L382" i="2"/>
  <c r="AI382" i="2" s="1"/>
  <c r="L383" i="2"/>
  <c r="AI383" i="2" s="1"/>
  <c r="L384" i="2"/>
  <c r="AI384" i="2" s="1"/>
  <c r="L385" i="2"/>
  <c r="AU385" i="2" s="1"/>
  <c r="L386" i="2"/>
  <c r="AU386" i="2" s="1"/>
  <c r="L387" i="2"/>
  <c r="AU387" i="2" s="1"/>
  <c r="L388" i="2"/>
  <c r="AU388" i="2" s="1"/>
  <c r="L389" i="2"/>
  <c r="AU389" i="2" s="1"/>
  <c r="L390" i="2"/>
  <c r="AU390" i="2" s="1"/>
  <c r="L391" i="2"/>
  <c r="AU391" i="2" s="1"/>
  <c r="L392" i="2"/>
  <c r="AI392" i="2" s="1"/>
  <c r="L393" i="2"/>
  <c r="AU393" i="2" s="1"/>
  <c r="L394" i="2"/>
  <c r="AI394" i="2" s="1"/>
  <c r="AB301" i="2"/>
  <c r="AB302" i="2"/>
  <c r="AC302" i="2" s="1"/>
  <c r="AJ302" i="2" s="1"/>
  <c r="AB303" i="2"/>
  <c r="AW303" i="2" s="1"/>
  <c r="AB304" i="2"/>
  <c r="AW304" i="2" s="1"/>
  <c r="AB305" i="2"/>
  <c r="AW305" i="2" s="1"/>
  <c r="AB306" i="2"/>
  <c r="AW306" i="2" s="1"/>
  <c r="AB307" i="2"/>
  <c r="AW307" i="2" s="1"/>
  <c r="AB308" i="2"/>
  <c r="AW308" i="2" s="1"/>
  <c r="AB309" i="2"/>
  <c r="AW309" i="2" s="1"/>
  <c r="AB310" i="2"/>
  <c r="AW310" i="2" s="1"/>
  <c r="AB311" i="2"/>
  <c r="AB312" i="2"/>
  <c r="AW312" i="2" s="1"/>
  <c r="AB313" i="2"/>
  <c r="AC313" i="2" s="1"/>
  <c r="AJ313" i="2" s="1"/>
  <c r="AB314" i="2"/>
  <c r="AB315" i="2"/>
  <c r="AC315" i="2" s="1"/>
  <c r="AJ315" i="2" s="1"/>
  <c r="AB316" i="2"/>
  <c r="AW316" i="2" s="1"/>
  <c r="AB317" i="2"/>
  <c r="AB318" i="2"/>
  <c r="AC318" i="2" s="1"/>
  <c r="AJ318" i="2" s="1"/>
  <c r="AB319" i="2"/>
  <c r="AC319" i="2" s="1"/>
  <c r="AJ319" i="2" s="1"/>
  <c r="AB320" i="2"/>
  <c r="AB321" i="2"/>
  <c r="AB322" i="2"/>
  <c r="AW322" i="2" s="1"/>
  <c r="AB323" i="2"/>
  <c r="AW323" i="2" s="1"/>
  <c r="AB324" i="2"/>
  <c r="AW324" i="2" s="1"/>
  <c r="AB325" i="2"/>
  <c r="AW325" i="2" s="1"/>
  <c r="AB326" i="2"/>
  <c r="AC326" i="2" s="1"/>
  <c r="AJ326" i="2" s="1"/>
  <c r="AB327" i="2"/>
  <c r="AW327" i="2" s="1"/>
  <c r="AB328" i="2"/>
  <c r="AW328" i="2" s="1"/>
  <c r="AB329" i="2"/>
  <c r="AC329" i="2" s="1"/>
  <c r="AJ329" i="2" s="1"/>
  <c r="AB330" i="2"/>
  <c r="AB331" i="2"/>
  <c r="AW331" i="2" s="1"/>
  <c r="AB332" i="2"/>
  <c r="AB333" i="2"/>
  <c r="AB334" i="2"/>
  <c r="AW334" i="2" s="1"/>
  <c r="AB335" i="2"/>
  <c r="AW335" i="2" s="1"/>
  <c r="AB336" i="2"/>
  <c r="AW336" i="2" s="1"/>
  <c r="AB337" i="2"/>
  <c r="AW337" i="2" s="1"/>
  <c r="AB338" i="2"/>
  <c r="AW338" i="2" s="1"/>
  <c r="AB339" i="2"/>
  <c r="AP339" i="2" s="1"/>
  <c r="AB340" i="2"/>
  <c r="AK340" i="2" s="1"/>
  <c r="AB341" i="2"/>
  <c r="AW341" i="2" s="1"/>
  <c r="AB342" i="2"/>
  <c r="AW342" i="2" s="1"/>
  <c r="AB343" i="2"/>
  <c r="AW343" i="2" s="1"/>
  <c r="AB344" i="2"/>
  <c r="AW344" i="2" s="1"/>
  <c r="AB345" i="2"/>
  <c r="AW345" i="2" s="1"/>
  <c r="AB346" i="2"/>
  <c r="AW346" i="2" s="1"/>
  <c r="AB347" i="2"/>
  <c r="AC347" i="2" s="1"/>
  <c r="AJ347" i="2" s="1"/>
  <c r="AB348" i="2"/>
  <c r="AW348" i="2" s="1"/>
  <c r="AB349" i="2"/>
  <c r="AB350" i="2"/>
  <c r="AW350" i="2" s="1"/>
  <c r="AB351" i="2"/>
  <c r="AW351" i="2" s="1"/>
  <c r="AB352" i="2"/>
  <c r="AP352" i="2" s="1"/>
  <c r="AB353" i="2"/>
  <c r="AB354" i="2"/>
  <c r="AB355" i="2"/>
  <c r="AP355" i="2" s="1"/>
  <c r="AB356" i="2"/>
  <c r="AK356" i="2" s="1"/>
  <c r="AB357" i="2"/>
  <c r="AW357" i="2" s="1"/>
  <c r="AB358" i="2"/>
  <c r="AC358" i="2" s="1"/>
  <c r="AJ358" i="2" s="1"/>
  <c r="AB359" i="2"/>
  <c r="AC359" i="2" s="1"/>
  <c r="AJ359" i="2" s="1"/>
  <c r="AB360" i="2"/>
  <c r="AW360" i="2" s="1"/>
  <c r="AB361" i="2"/>
  <c r="AP361" i="2" s="1"/>
  <c r="AB362" i="2"/>
  <c r="AB363" i="2"/>
  <c r="AB364" i="2"/>
  <c r="AW364" i="2" s="1"/>
  <c r="AB365" i="2"/>
  <c r="AB366" i="2"/>
  <c r="AW366" i="2" s="1"/>
  <c r="AB367" i="2"/>
  <c r="AW367" i="2" s="1"/>
  <c r="AB368" i="2"/>
  <c r="AB369" i="2"/>
  <c r="AB370" i="2"/>
  <c r="AB371" i="2"/>
  <c r="AW371" i="2" s="1"/>
  <c r="AB372" i="2"/>
  <c r="AB373" i="2"/>
  <c r="AB374" i="2"/>
  <c r="AC374" i="2" s="1"/>
  <c r="AJ374" i="2" s="1"/>
  <c r="AB375" i="2"/>
  <c r="AB376" i="2"/>
  <c r="AB377" i="2"/>
  <c r="AB378" i="2"/>
  <c r="AB379" i="2"/>
  <c r="AB380" i="2"/>
  <c r="AB381" i="2"/>
  <c r="AB382" i="2"/>
  <c r="AW382" i="2" s="1"/>
  <c r="AB383" i="2"/>
  <c r="AW383" i="2" s="1"/>
  <c r="AB384" i="2"/>
  <c r="AB385" i="2"/>
  <c r="AB386" i="2"/>
  <c r="AB387" i="2"/>
  <c r="AW387" i="2" s="1"/>
  <c r="AB388" i="2"/>
  <c r="AW388" i="2" s="1"/>
  <c r="AB389" i="2"/>
  <c r="AB390" i="2"/>
  <c r="AC390" i="2" s="1"/>
  <c r="AJ390" i="2" s="1"/>
  <c r="AB391" i="2"/>
  <c r="AB392" i="2"/>
  <c r="AB393" i="2"/>
  <c r="AB394" i="2"/>
  <c r="AW394" i="2" s="1"/>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I309" i="2"/>
  <c r="AO301" i="2"/>
  <c r="AO302" i="2"/>
  <c r="AO303" i="2"/>
  <c r="AO304" i="2"/>
  <c r="AO305"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1" i="2"/>
  <c r="AO342" i="2"/>
  <c r="AO343" i="2"/>
  <c r="AO344" i="2"/>
  <c r="AO345" i="2"/>
  <c r="AO346" i="2"/>
  <c r="AO347" i="2"/>
  <c r="AO348" i="2"/>
  <c r="AO349" i="2"/>
  <c r="AO350" i="2"/>
  <c r="AO351" i="2"/>
  <c r="AO352" i="2"/>
  <c r="AO353" i="2"/>
  <c r="AO354" i="2"/>
  <c r="AO355" i="2"/>
  <c r="AO356" i="2"/>
  <c r="AO357" i="2"/>
  <c r="AO358" i="2"/>
  <c r="AO359" i="2"/>
  <c r="AO360" i="2"/>
  <c r="AO361" i="2"/>
  <c r="AO362" i="2"/>
  <c r="AO363" i="2"/>
  <c r="AO364" i="2"/>
  <c r="AO365" i="2"/>
  <c r="AO366" i="2"/>
  <c r="AO367" i="2"/>
  <c r="AO368" i="2"/>
  <c r="AO369" i="2"/>
  <c r="AO370" i="2"/>
  <c r="AO371" i="2"/>
  <c r="AO372" i="2"/>
  <c r="AO373" i="2"/>
  <c r="AO374" i="2"/>
  <c r="AO375" i="2"/>
  <c r="AO376" i="2"/>
  <c r="AO377" i="2"/>
  <c r="AO378" i="2"/>
  <c r="AO379" i="2"/>
  <c r="AO380" i="2"/>
  <c r="AO381" i="2"/>
  <c r="AO382" i="2"/>
  <c r="AO383" i="2"/>
  <c r="AO384" i="2"/>
  <c r="AO385" i="2"/>
  <c r="AO386" i="2"/>
  <c r="AO387" i="2"/>
  <c r="AO388" i="2"/>
  <c r="AO389" i="2"/>
  <c r="AO390" i="2"/>
  <c r="AO391" i="2"/>
  <c r="AO392" i="2"/>
  <c r="AO393" i="2"/>
  <c r="AO394" i="2"/>
  <c r="AQ301" i="2"/>
  <c r="AQ302" i="2"/>
  <c r="AQ303" i="2"/>
  <c r="AQ304" i="2"/>
  <c r="AQ305" i="2"/>
  <c r="AQ306" i="2"/>
  <c r="AQ307" i="2"/>
  <c r="AQ308" i="2"/>
  <c r="AQ309" i="2"/>
  <c r="AQ310" i="2"/>
  <c r="AQ311" i="2"/>
  <c r="AQ312" i="2"/>
  <c r="AQ313" i="2"/>
  <c r="AQ314" i="2"/>
  <c r="AQ315" i="2"/>
  <c r="AQ316" i="2"/>
  <c r="AQ317" i="2"/>
  <c r="AQ318" i="2"/>
  <c r="AQ319" i="2"/>
  <c r="AQ320" i="2"/>
  <c r="AQ321" i="2"/>
  <c r="AQ322" i="2"/>
  <c r="AQ323" i="2"/>
  <c r="AQ324" i="2"/>
  <c r="AQ325" i="2"/>
  <c r="AQ326" i="2"/>
  <c r="AQ327" i="2"/>
  <c r="AQ328" i="2"/>
  <c r="AQ329" i="2"/>
  <c r="AQ330" i="2"/>
  <c r="AQ331" i="2"/>
  <c r="AQ332" i="2"/>
  <c r="AQ333" i="2"/>
  <c r="AQ334" i="2"/>
  <c r="AQ335" i="2"/>
  <c r="AQ336" i="2"/>
  <c r="AQ337" i="2"/>
  <c r="AQ338" i="2"/>
  <c r="AQ339" i="2"/>
  <c r="AQ340" i="2"/>
  <c r="AQ341" i="2"/>
  <c r="AQ342" i="2"/>
  <c r="AQ343" i="2"/>
  <c r="AQ344" i="2"/>
  <c r="AQ345" i="2"/>
  <c r="AQ346" i="2"/>
  <c r="AQ347" i="2"/>
  <c r="AQ348" i="2"/>
  <c r="AQ349" i="2"/>
  <c r="AQ350" i="2"/>
  <c r="AQ351" i="2"/>
  <c r="AQ352" i="2"/>
  <c r="AQ353" i="2"/>
  <c r="AQ354" i="2"/>
  <c r="AQ355" i="2"/>
  <c r="AQ356" i="2"/>
  <c r="AQ357" i="2"/>
  <c r="AQ358" i="2"/>
  <c r="AQ359" i="2"/>
  <c r="AQ360" i="2"/>
  <c r="AQ361" i="2"/>
  <c r="AQ362" i="2"/>
  <c r="AQ363" i="2"/>
  <c r="AQ364" i="2"/>
  <c r="AQ365" i="2"/>
  <c r="AQ366" i="2"/>
  <c r="AQ367" i="2"/>
  <c r="AQ368" i="2"/>
  <c r="AQ369" i="2"/>
  <c r="AQ370" i="2"/>
  <c r="AQ371" i="2"/>
  <c r="AQ372" i="2"/>
  <c r="AQ373" i="2"/>
  <c r="AQ374" i="2"/>
  <c r="AQ375" i="2"/>
  <c r="AQ376" i="2"/>
  <c r="AQ377" i="2"/>
  <c r="AQ378" i="2"/>
  <c r="AQ379" i="2"/>
  <c r="AQ380" i="2"/>
  <c r="AQ381" i="2"/>
  <c r="AQ382" i="2"/>
  <c r="AQ383" i="2"/>
  <c r="AQ384" i="2"/>
  <c r="AQ385" i="2"/>
  <c r="AQ386" i="2"/>
  <c r="AQ387" i="2"/>
  <c r="AQ388" i="2"/>
  <c r="AQ389" i="2"/>
  <c r="AQ390" i="2"/>
  <c r="AQ391" i="2"/>
  <c r="AQ392" i="2"/>
  <c r="AQ393" i="2"/>
  <c r="AQ394" i="2"/>
  <c r="AV327" i="2"/>
  <c r="AV357" i="2"/>
  <c r="AV371" i="2"/>
  <c r="AW319" i="2"/>
  <c r="AX301" i="2"/>
  <c r="AX302" i="2"/>
  <c r="AX303" i="2"/>
  <c r="AX304" i="2"/>
  <c r="AR304" i="2" s="1"/>
  <c r="AX305" i="2"/>
  <c r="AM305" i="2" s="1"/>
  <c r="BC305" i="2" s="1"/>
  <c r="AX306" i="2"/>
  <c r="AS306" i="2" s="1"/>
  <c r="AX307" i="2"/>
  <c r="AS307" i="2" s="1"/>
  <c r="AX308" i="2"/>
  <c r="AN308" i="2" s="1"/>
  <c r="AX309" i="2"/>
  <c r="AN309" i="2" s="1"/>
  <c r="AX310" i="2"/>
  <c r="AM310" i="2" s="1"/>
  <c r="BC310" i="2" s="1"/>
  <c r="AX311" i="2"/>
  <c r="AN311" i="2" s="1"/>
  <c r="AX312" i="2"/>
  <c r="AS312" i="2" s="1"/>
  <c r="AX313" i="2"/>
  <c r="AR313" i="2" s="1"/>
  <c r="AX314" i="2"/>
  <c r="AS314" i="2" s="1"/>
  <c r="AX315" i="2"/>
  <c r="AS315" i="2" s="1"/>
  <c r="AX316" i="2"/>
  <c r="AS316" i="2" s="1"/>
  <c r="AX317" i="2"/>
  <c r="AR317" i="2" s="1"/>
  <c r="AX318" i="2"/>
  <c r="AN318" i="2" s="1"/>
  <c r="AX319" i="2"/>
  <c r="AM319" i="2" s="1"/>
  <c r="BC319" i="2" s="1"/>
  <c r="AX320" i="2"/>
  <c r="AR320" i="2" s="1"/>
  <c r="AX321" i="2"/>
  <c r="AM321" i="2" s="1"/>
  <c r="BC321" i="2" s="1"/>
  <c r="AX322" i="2"/>
  <c r="AM322" i="2" s="1"/>
  <c r="BC322" i="2" s="1"/>
  <c r="AX323" i="2"/>
  <c r="AM323" i="2" s="1"/>
  <c r="BC323" i="2" s="1"/>
  <c r="AX324" i="2"/>
  <c r="AS324" i="2" s="1"/>
  <c r="AX325" i="2"/>
  <c r="AR325" i="2" s="1"/>
  <c r="AX326" i="2"/>
  <c r="AM326" i="2" s="1"/>
  <c r="BC326" i="2" s="1"/>
  <c r="AX327" i="2"/>
  <c r="AS327" i="2" s="1"/>
  <c r="AX328" i="2"/>
  <c r="AN328" i="2" s="1"/>
  <c r="AX329" i="2"/>
  <c r="AR329" i="2" s="1"/>
  <c r="AX330" i="2"/>
  <c r="AX331" i="2"/>
  <c r="AX332" i="2"/>
  <c r="AR332" i="2" s="1"/>
  <c r="AX333" i="2"/>
  <c r="AM333" i="2" s="1"/>
  <c r="BC333" i="2" s="1"/>
  <c r="AX334" i="2"/>
  <c r="AM334" i="2" s="1"/>
  <c r="BC334" i="2" s="1"/>
  <c r="AX335" i="2"/>
  <c r="AR335" i="2" s="1"/>
  <c r="AX336" i="2"/>
  <c r="AN336" i="2" s="1"/>
  <c r="AX337" i="2"/>
  <c r="AS337" i="2" s="1"/>
  <c r="AX338" i="2"/>
  <c r="AN338" i="2" s="1"/>
  <c r="AX339" i="2"/>
  <c r="AM339" i="2" s="1"/>
  <c r="BC339" i="2" s="1"/>
  <c r="AX340" i="2"/>
  <c r="AN340" i="2" s="1"/>
  <c r="AX341" i="2"/>
  <c r="AM341" i="2" s="1"/>
  <c r="BC341" i="2" s="1"/>
  <c r="AX342" i="2"/>
  <c r="AM342" i="2" s="1"/>
  <c r="BC342" i="2" s="1"/>
  <c r="AX343" i="2"/>
  <c r="AX344" i="2"/>
  <c r="AN344" i="2" s="1"/>
  <c r="AX345" i="2"/>
  <c r="AM345" i="2" s="1"/>
  <c r="BC345" i="2" s="1"/>
  <c r="AX346" i="2"/>
  <c r="AS346" i="2" s="1"/>
  <c r="AX347" i="2"/>
  <c r="AX348" i="2"/>
  <c r="AS348" i="2" s="1"/>
  <c r="AX349" i="2"/>
  <c r="AR349" i="2" s="1"/>
  <c r="AX350" i="2"/>
  <c r="AS350" i="2" s="1"/>
  <c r="AX351" i="2"/>
  <c r="AN351" i="2" s="1"/>
  <c r="AX352" i="2"/>
  <c r="AR352" i="2" s="1"/>
  <c r="AX353" i="2"/>
  <c r="AR353" i="2" s="1"/>
  <c r="AX354" i="2"/>
  <c r="AR354" i="2" s="1"/>
  <c r="AX355" i="2"/>
  <c r="AN355" i="2" s="1"/>
  <c r="AX356" i="2"/>
  <c r="AR356" i="2" s="1"/>
  <c r="AX357" i="2"/>
  <c r="AR357" i="2" s="1"/>
  <c r="AX358" i="2"/>
  <c r="AM358" i="2" s="1"/>
  <c r="BC358" i="2" s="1"/>
  <c r="AX359" i="2"/>
  <c r="AM359" i="2" s="1"/>
  <c r="BC359" i="2" s="1"/>
  <c r="AX360" i="2"/>
  <c r="AN360" i="2" s="1"/>
  <c r="AX361" i="2"/>
  <c r="AX362" i="2"/>
  <c r="AS362" i="2" s="1"/>
  <c r="AX363" i="2"/>
  <c r="AX364" i="2"/>
  <c r="AS364" i="2" s="1"/>
  <c r="AX365" i="2"/>
  <c r="AS365" i="2" s="1"/>
  <c r="AX366" i="2"/>
  <c r="AX367" i="2"/>
  <c r="AM367" i="2" s="1"/>
  <c r="BC367" i="2" s="1"/>
  <c r="AX368" i="2"/>
  <c r="AR368" i="2" s="1"/>
  <c r="AX369" i="2"/>
  <c r="AR369" i="2" s="1"/>
  <c r="AX370" i="2"/>
  <c r="AS370" i="2" s="1"/>
  <c r="AX371" i="2"/>
  <c r="AS371" i="2" s="1"/>
  <c r="AX372" i="2"/>
  <c r="AM372" i="2" s="1"/>
  <c r="BC372" i="2" s="1"/>
  <c r="AX373" i="2"/>
  <c r="AR373" i="2" s="1"/>
  <c r="AX374" i="2"/>
  <c r="AM374" i="2" s="1"/>
  <c r="BC374" i="2" s="1"/>
  <c r="AX375" i="2"/>
  <c r="AN375" i="2" s="1"/>
  <c r="AX376" i="2"/>
  <c r="AN376" i="2" s="1"/>
  <c r="AX377" i="2"/>
  <c r="AX378" i="2"/>
  <c r="AM378" i="2" s="1"/>
  <c r="BC378" i="2" s="1"/>
  <c r="AX379" i="2"/>
  <c r="AX380" i="2"/>
  <c r="AM380" i="2" s="1"/>
  <c r="BC380" i="2" s="1"/>
  <c r="AX381" i="2"/>
  <c r="AM381" i="2" s="1"/>
  <c r="BC381" i="2" s="1"/>
  <c r="AX382" i="2"/>
  <c r="AX383" i="2"/>
  <c r="AR383" i="2" s="1"/>
  <c r="AX384" i="2"/>
  <c r="AS384" i="2" s="1"/>
  <c r="AX385" i="2"/>
  <c r="AS385" i="2" s="1"/>
  <c r="AX386" i="2"/>
  <c r="AM386" i="2" s="1"/>
  <c r="BC386" i="2" s="1"/>
  <c r="AX387" i="2"/>
  <c r="AN387" i="2" s="1"/>
  <c r="AX388" i="2"/>
  <c r="AN388" i="2" s="1"/>
  <c r="AX389" i="2"/>
  <c r="AS389" i="2" s="1"/>
  <c r="AX390" i="2"/>
  <c r="AM390" i="2" s="1"/>
  <c r="BC390" i="2" s="1"/>
  <c r="AX391" i="2"/>
  <c r="AR391" i="2" s="1"/>
  <c r="AX392" i="2"/>
  <c r="AN392" i="2" s="1"/>
  <c r="AX393" i="2"/>
  <c r="AS393" i="2" s="1"/>
  <c r="AX394" i="2"/>
  <c r="AY301" i="2"/>
  <c r="AY302" i="2"/>
  <c r="AY303" i="2"/>
  <c r="AY304" i="2"/>
  <c r="AY305" i="2"/>
  <c r="AY306" i="2"/>
  <c r="AY307" i="2"/>
  <c r="AY308" i="2"/>
  <c r="AY309" i="2"/>
  <c r="AY310" i="2"/>
  <c r="AY311" i="2"/>
  <c r="AY312" i="2"/>
  <c r="AY313" i="2"/>
  <c r="AY314" i="2"/>
  <c r="AY315" i="2"/>
  <c r="AY316" i="2"/>
  <c r="AY317" i="2"/>
  <c r="AY318" i="2"/>
  <c r="AY319" i="2"/>
  <c r="AY320" i="2"/>
  <c r="AY321" i="2"/>
  <c r="AY322" i="2"/>
  <c r="AY323" i="2"/>
  <c r="AY324" i="2"/>
  <c r="AY325" i="2"/>
  <c r="AY326" i="2"/>
  <c r="AY327" i="2"/>
  <c r="AY328" i="2"/>
  <c r="AY329" i="2"/>
  <c r="AY330" i="2"/>
  <c r="AY331" i="2"/>
  <c r="AY332" i="2"/>
  <c r="AY333" i="2"/>
  <c r="AY334" i="2"/>
  <c r="AY335" i="2"/>
  <c r="AY336" i="2"/>
  <c r="AY337" i="2"/>
  <c r="AY338" i="2"/>
  <c r="AY339" i="2"/>
  <c r="AY340" i="2"/>
  <c r="AY341" i="2"/>
  <c r="AY342" i="2"/>
  <c r="AY343" i="2"/>
  <c r="AY344" i="2"/>
  <c r="AY345" i="2"/>
  <c r="AY346" i="2"/>
  <c r="AY347" i="2"/>
  <c r="AY348" i="2"/>
  <c r="AY349" i="2"/>
  <c r="AY350" i="2"/>
  <c r="AY351" i="2"/>
  <c r="AY352" i="2"/>
  <c r="AY353" i="2"/>
  <c r="AY354" i="2"/>
  <c r="AY355" i="2"/>
  <c r="AY356" i="2"/>
  <c r="AY357" i="2"/>
  <c r="AY358" i="2"/>
  <c r="AY359" i="2"/>
  <c r="AY360" i="2"/>
  <c r="AY361" i="2"/>
  <c r="AY362" i="2"/>
  <c r="AY363" i="2"/>
  <c r="AY364" i="2"/>
  <c r="AY365" i="2"/>
  <c r="AY366" i="2"/>
  <c r="AY367" i="2"/>
  <c r="AY368" i="2"/>
  <c r="AY369" i="2"/>
  <c r="AY370" i="2"/>
  <c r="AY371" i="2"/>
  <c r="AY372" i="2"/>
  <c r="AY373" i="2"/>
  <c r="AY374" i="2"/>
  <c r="AY375" i="2"/>
  <c r="AY376" i="2"/>
  <c r="AY377" i="2"/>
  <c r="AY378" i="2"/>
  <c r="AY379" i="2"/>
  <c r="AY380" i="2"/>
  <c r="AY381" i="2"/>
  <c r="AY382" i="2"/>
  <c r="AY383" i="2"/>
  <c r="AY384" i="2"/>
  <c r="AY385" i="2"/>
  <c r="AY386" i="2"/>
  <c r="AY387" i="2"/>
  <c r="AY388" i="2"/>
  <c r="AY389" i="2"/>
  <c r="AY390" i="2"/>
  <c r="AY391" i="2"/>
  <c r="AY392" i="2"/>
  <c r="AY393" i="2"/>
  <c r="AY394" i="2"/>
  <c r="AZ301" i="2"/>
  <c r="AZ302" i="2"/>
  <c r="AZ303" i="2"/>
  <c r="AZ304" i="2"/>
  <c r="AZ305" i="2"/>
  <c r="AZ306" i="2"/>
  <c r="AZ307" i="2"/>
  <c r="AZ308" i="2"/>
  <c r="AZ309" i="2"/>
  <c r="AZ310" i="2"/>
  <c r="AZ311" i="2"/>
  <c r="AZ312" i="2"/>
  <c r="AZ313" i="2"/>
  <c r="AZ314" i="2"/>
  <c r="AZ315" i="2"/>
  <c r="AZ316" i="2"/>
  <c r="AZ317" i="2"/>
  <c r="AZ318" i="2"/>
  <c r="AZ319" i="2"/>
  <c r="AZ320" i="2"/>
  <c r="AZ321" i="2"/>
  <c r="AZ322" i="2"/>
  <c r="AZ323" i="2"/>
  <c r="AZ324" i="2"/>
  <c r="AZ325" i="2"/>
  <c r="AZ326" i="2"/>
  <c r="AZ327" i="2"/>
  <c r="AZ328" i="2"/>
  <c r="AZ329" i="2"/>
  <c r="AZ330" i="2"/>
  <c r="AZ331" i="2"/>
  <c r="AZ332" i="2"/>
  <c r="AZ333" i="2"/>
  <c r="AZ334" i="2"/>
  <c r="AZ335" i="2"/>
  <c r="AZ336" i="2"/>
  <c r="AZ337" i="2"/>
  <c r="AZ338" i="2"/>
  <c r="AZ339" i="2"/>
  <c r="AZ340" i="2"/>
  <c r="AZ341" i="2"/>
  <c r="AZ342" i="2"/>
  <c r="AZ343" i="2"/>
  <c r="AZ344" i="2"/>
  <c r="AZ345" i="2"/>
  <c r="AZ346" i="2"/>
  <c r="AZ347" i="2"/>
  <c r="AZ348" i="2"/>
  <c r="AZ349" i="2"/>
  <c r="AZ350" i="2"/>
  <c r="AZ351" i="2"/>
  <c r="AZ352" i="2"/>
  <c r="AZ353" i="2"/>
  <c r="AZ354" i="2"/>
  <c r="AZ355" i="2"/>
  <c r="AZ356" i="2"/>
  <c r="AZ357" i="2"/>
  <c r="AZ358" i="2"/>
  <c r="AZ359" i="2"/>
  <c r="AZ360" i="2"/>
  <c r="AZ361" i="2"/>
  <c r="AZ362" i="2"/>
  <c r="AZ363" i="2"/>
  <c r="AZ364" i="2"/>
  <c r="AZ365" i="2"/>
  <c r="AZ366" i="2"/>
  <c r="AZ367" i="2"/>
  <c r="AZ368" i="2"/>
  <c r="AZ369" i="2"/>
  <c r="AZ370" i="2"/>
  <c r="AZ371" i="2"/>
  <c r="AZ372" i="2"/>
  <c r="AZ373" i="2"/>
  <c r="AZ374" i="2"/>
  <c r="AZ375" i="2"/>
  <c r="AZ376" i="2"/>
  <c r="AZ377" i="2"/>
  <c r="AZ378" i="2"/>
  <c r="AZ379" i="2"/>
  <c r="AZ380" i="2"/>
  <c r="AZ381" i="2"/>
  <c r="AZ382" i="2"/>
  <c r="AZ383" i="2"/>
  <c r="AZ384" i="2"/>
  <c r="AZ385" i="2"/>
  <c r="AZ386" i="2"/>
  <c r="AZ387" i="2"/>
  <c r="AZ388" i="2"/>
  <c r="AZ389" i="2"/>
  <c r="AZ390" i="2"/>
  <c r="AZ391" i="2"/>
  <c r="AZ392" i="2"/>
  <c r="AZ393" i="2"/>
  <c r="AZ394" i="2"/>
  <c r="BA301" i="2"/>
  <c r="BA302" i="2"/>
  <c r="BA303" i="2"/>
  <c r="BA304" i="2"/>
  <c r="BA305" i="2"/>
  <c r="BA306" i="2"/>
  <c r="BA307" i="2"/>
  <c r="BA308" i="2"/>
  <c r="BA309" i="2"/>
  <c r="BA310" i="2"/>
  <c r="BA311" i="2"/>
  <c r="BA312" i="2"/>
  <c r="BA313" i="2"/>
  <c r="BA314" i="2"/>
  <c r="BA315" i="2"/>
  <c r="BA316" i="2"/>
  <c r="BA317" i="2"/>
  <c r="BA318" i="2"/>
  <c r="BA319" i="2"/>
  <c r="BA320" i="2"/>
  <c r="BA321" i="2"/>
  <c r="BA322" i="2"/>
  <c r="BA323" i="2"/>
  <c r="BA324" i="2"/>
  <c r="BA325" i="2"/>
  <c r="BA326" i="2"/>
  <c r="BA327" i="2"/>
  <c r="BA328" i="2"/>
  <c r="BA329" i="2"/>
  <c r="BA330" i="2"/>
  <c r="BA331" i="2"/>
  <c r="BA332" i="2"/>
  <c r="BA333" i="2"/>
  <c r="BA334" i="2"/>
  <c r="BA335" i="2"/>
  <c r="BA336" i="2"/>
  <c r="BA337" i="2"/>
  <c r="BA338" i="2"/>
  <c r="BA339" i="2"/>
  <c r="BA340" i="2"/>
  <c r="BA341" i="2"/>
  <c r="BA342" i="2"/>
  <c r="BA343" i="2"/>
  <c r="BA344" i="2"/>
  <c r="BA345" i="2"/>
  <c r="BA346" i="2"/>
  <c r="BA347" i="2"/>
  <c r="BA348" i="2"/>
  <c r="BA349" i="2"/>
  <c r="BA350" i="2"/>
  <c r="BA351" i="2"/>
  <c r="BA352" i="2"/>
  <c r="BA353" i="2"/>
  <c r="BA354" i="2"/>
  <c r="BA355" i="2"/>
  <c r="BA356" i="2"/>
  <c r="BA357" i="2"/>
  <c r="BA358" i="2"/>
  <c r="BA359" i="2"/>
  <c r="BA360" i="2"/>
  <c r="BA361" i="2"/>
  <c r="BA362" i="2"/>
  <c r="BA363" i="2"/>
  <c r="BA364" i="2"/>
  <c r="BA365" i="2"/>
  <c r="BA366" i="2"/>
  <c r="BA367" i="2"/>
  <c r="BA368" i="2"/>
  <c r="BA369" i="2"/>
  <c r="BA370" i="2"/>
  <c r="BA371" i="2"/>
  <c r="BA372" i="2"/>
  <c r="BA373" i="2"/>
  <c r="BA374" i="2"/>
  <c r="BA375" i="2"/>
  <c r="BA376" i="2"/>
  <c r="BA377" i="2"/>
  <c r="BA378" i="2"/>
  <c r="BA379" i="2"/>
  <c r="BA380" i="2"/>
  <c r="BA381" i="2"/>
  <c r="BA382" i="2"/>
  <c r="BA383" i="2"/>
  <c r="BA384" i="2"/>
  <c r="BA385" i="2"/>
  <c r="BA386" i="2"/>
  <c r="BA387" i="2"/>
  <c r="BA388" i="2"/>
  <c r="BA389" i="2"/>
  <c r="BA390" i="2"/>
  <c r="BA391" i="2"/>
  <c r="BA392" i="2"/>
  <c r="BA393" i="2"/>
  <c r="BA394" i="2"/>
  <c r="BB301" i="2"/>
  <c r="BB302" i="2"/>
  <c r="BB303" i="2"/>
  <c r="BB304" i="2"/>
  <c r="BB305" i="2"/>
  <c r="BB306" i="2"/>
  <c r="BB307" i="2"/>
  <c r="BB308" i="2"/>
  <c r="BB309" i="2"/>
  <c r="BB310" i="2"/>
  <c r="BB311" i="2"/>
  <c r="BB312" i="2"/>
  <c r="BB313" i="2"/>
  <c r="BB314" i="2"/>
  <c r="BB315" i="2"/>
  <c r="BB316" i="2"/>
  <c r="BB317" i="2"/>
  <c r="BB318" i="2"/>
  <c r="BB319" i="2"/>
  <c r="BB320" i="2"/>
  <c r="BB321" i="2"/>
  <c r="BB322" i="2"/>
  <c r="BB323" i="2"/>
  <c r="BB324" i="2"/>
  <c r="BB325" i="2"/>
  <c r="BB326" i="2"/>
  <c r="BB327" i="2"/>
  <c r="BB328" i="2"/>
  <c r="BB329" i="2"/>
  <c r="BB330" i="2"/>
  <c r="BB331" i="2"/>
  <c r="BB332" i="2"/>
  <c r="BB333" i="2"/>
  <c r="BB334" i="2"/>
  <c r="BB335" i="2"/>
  <c r="BB336" i="2"/>
  <c r="BB337" i="2"/>
  <c r="BB338" i="2"/>
  <c r="BB339" i="2"/>
  <c r="BB340" i="2"/>
  <c r="BB341" i="2"/>
  <c r="BB342" i="2"/>
  <c r="BB343" i="2"/>
  <c r="BB344" i="2"/>
  <c r="BB345" i="2"/>
  <c r="BB346" i="2"/>
  <c r="BB347" i="2"/>
  <c r="BB348" i="2"/>
  <c r="BB349" i="2"/>
  <c r="BB350" i="2"/>
  <c r="BB351" i="2"/>
  <c r="BB352" i="2"/>
  <c r="BB353" i="2"/>
  <c r="BB354" i="2"/>
  <c r="BB355" i="2"/>
  <c r="BB356" i="2"/>
  <c r="BB357" i="2"/>
  <c r="BB358" i="2"/>
  <c r="BB359" i="2"/>
  <c r="BB360" i="2"/>
  <c r="BB361" i="2"/>
  <c r="BB362" i="2"/>
  <c r="BB363" i="2"/>
  <c r="BB364" i="2"/>
  <c r="BB365" i="2"/>
  <c r="BB366" i="2"/>
  <c r="BB367" i="2"/>
  <c r="BB368" i="2"/>
  <c r="BB369" i="2"/>
  <c r="BB370" i="2"/>
  <c r="BB371" i="2"/>
  <c r="BB372" i="2"/>
  <c r="BB373" i="2"/>
  <c r="BB374" i="2"/>
  <c r="BB375" i="2"/>
  <c r="BB376" i="2"/>
  <c r="BB377" i="2"/>
  <c r="BB378" i="2"/>
  <c r="BB379" i="2"/>
  <c r="BB380" i="2"/>
  <c r="BB381" i="2"/>
  <c r="BB382" i="2"/>
  <c r="BB383" i="2"/>
  <c r="BB384" i="2"/>
  <c r="BB385" i="2"/>
  <c r="BB386" i="2"/>
  <c r="BB387" i="2"/>
  <c r="BB388" i="2"/>
  <c r="BB389" i="2"/>
  <c r="BB390" i="2"/>
  <c r="BB391" i="2"/>
  <c r="BB392" i="2"/>
  <c r="BB393" i="2"/>
  <c r="BB394" i="2"/>
  <c r="BD301" i="2"/>
  <c r="BD302" i="2"/>
  <c r="BD303" i="2"/>
  <c r="BD304" i="2"/>
  <c r="BD305" i="2"/>
  <c r="BD306" i="2"/>
  <c r="BD307" i="2"/>
  <c r="BD308" i="2"/>
  <c r="BD309" i="2"/>
  <c r="BD310" i="2"/>
  <c r="BD311" i="2"/>
  <c r="BD312" i="2"/>
  <c r="BD313" i="2"/>
  <c r="BD314" i="2"/>
  <c r="BD315" i="2"/>
  <c r="BD316" i="2"/>
  <c r="BD317" i="2"/>
  <c r="BD318" i="2"/>
  <c r="BD319" i="2"/>
  <c r="BD320" i="2"/>
  <c r="BD321" i="2"/>
  <c r="BD322" i="2"/>
  <c r="BD323" i="2"/>
  <c r="BD324" i="2"/>
  <c r="BD325" i="2"/>
  <c r="BD326" i="2"/>
  <c r="BD327" i="2"/>
  <c r="BD328" i="2"/>
  <c r="BD329" i="2"/>
  <c r="BD330" i="2"/>
  <c r="BD331" i="2"/>
  <c r="BD332" i="2"/>
  <c r="BD333" i="2"/>
  <c r="BD334" i="2"/>
  <c r="BD335" i="2"/>
  <c r="BD336" i="2"/>
  <c r="BD337" i="2"/>
  <c r="BD338" i="2"/>
  <c r="BD339" i="2"/>
  <c r="BD340" i="2"/>
  <c r="BD341" i="2"/>
  <c r="BD342" i="2"/>
  <c r="BD343" i="2"/>
  <c r="BD344" i="2"/>
  <c r="BD345" i="2"/>
  <c r="BD346" i="2"/>
  <c r="BD347" i="2"/>
  <c r="BD348" i="2"/>
  <c r="BD349" i="2"/>
  <c r="BD350" i="2"/>
  <c r="BD351" i="2"/>
  <c r="BD352" i="2"/>
  <c r="BD353" i="2"/>
  <c r="BD354" i="2"/>
  <c r="BD355" i="2"/>
  <c r="BD356" i="2"/>
  <c r="BD357" i="2"/>
  <c r="BD358" i="2"/>
  <c r="BD359" i="2"/>
  <c r="BD360" i="2"/>
  <c r="BD361" i="2"/>
  <c r="BD362" i="2"/>
  <c r="BD363" i="2"/>
  <c r="BD364" i="2"/>
  <c r="BD365" i="2"/>
  <c r="BD366" i="2"/>
  <c r="BD367" i="2"/>
  <c r="BD368" i="2"/>
  <c r="BD369" i="2"/>
  <c r="BD370" i="2"/>
  <c r="BD371" i="2"/>
  <c r="BD372" i="2"/>
  <c r="BD373" i="2"/>
  <c r="BD374" i="2"/>
  <c r="BD375" i="2"/>
  <c r="BD376" i="2"/>
  <c r="BD377" i="2"/>
  <c r="BD378" i="2"/>
  <c r="BD379" i="2"/>
  <c r="BD380" i="2"/>
  <c r="BD381" i="2"/>
  <c r="BD382" i="2"/>
  <c r="BD383" i="2"/>
  <c r="BD384" i="2"/>
  <c r="BD385" i="2"/>
  <c r="BD386" i="2"/>
  <c r="BD387" i="2"/>
  <c r="BD388" i="2"/>
  <c r="BD389" i="2"/>
  <c r="BD390" i="2"/>
  <c r="BD391" i="2"/>
  <c r="BD392" i="2"/>
  <c r="BD393" i="2"/>
  <c r="BD394" i="2"/>
  <c r="C392" i="8"/>
  <c r="D392" i="8" s="1"/>
  <c r="C512" i="8"/>
  <c r="C513" i="8"/>
  <c r="C514" i="8"/>
  <c r="C515" i="8"/>
  <c r="C516" i="8"/>
  <c r="C517" i="8"/>
  <c r="C518" i="8"/>
  <c r="C519" i="8"/>
  <c r="C520" i="8"/>
  <c r="C521" i="8"/>
  <c r="C522" i="8"/>
  <c r="C523" i="8"/>
  <c r="C524" i="8"/>
  <c r="C525"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D512" i="8"/>
  <c r="D513" i="8"/>
  <c r="D514" i="8"/>
  <c r="D515" i="8"/>
  <c r="D516" i="8"/>
  <c r="D517" i="8"/>
  <c r="D518" i="8"/>
  <c r="D519" i="8"/>
  <c r="D520" i="8"/>
  <c r="D521" i="8"/>
  <c r="D522" i="8"/>
  <c r="D523" i="8"/>
  <c r="D524" i="8"/>
  <c r="D525" i="8"/>
  <c r="G392" i="8" a="1"/>
  <c r="G392" i="8" s="1"/>
  <c r="G393" i="8" a="1"/>
  <c r="G393" i="8" s="1"/>
  <c r="G394" i="8" a="1"/>
  <c r="G394" i="8" s="1"/>
  <c r="G395" i="8" a="1"/>
  <c r="G395" i="8" s="1"/>
  <c r="G396" i="8" a="1"/>
  <c r="G396" i="8" s="1"/>
  <c r="G397" i="8" a="1"/>
  <c r="G397" i="8" s="1"/>
  <c r="G398" i="8" a="1"/>
  <c r="G398" i="8" s="1"/>
  <c r="G399" i="8" a="1"/>
  <c r="G399" i="8" s="1"/>
  <c r="G400" i="8" a="1"/>
  <c r="G400" i="8" s="1"/>
  <c r="G401" i="8" a="1"/>
  <c r="G401" i="8" s="1"/>
  <c r="G402" i="8" a="1"/>
  <c r="G402" i="8" s="1"/>
  <c r="G403" i="8" a="1"/>
  <c r="G403" i="8" s="1"/>
  <c r="G404" i="8" a="1"/>
  <c r="G404" i="8" s="1"/>
  <c r="G405" i="8" a="1"/>
  <c r="G405" i="8" s="1"/>
  <c r="G406" i="8" a="1"/>
  <c r="G406" i="8" s="1"/>
  <c r="G407" i="8" a="1"/>
  <c r="G407" i="8" s="1"/>
  <c r="G408" i="8" a="1"/>
  <c r="G408" i="8" s="1"/>
  <c r="G409" i="8" a="1"/>
  <c r="G409" i="8" s="1"/>
  <c r="G410" i="8" a="1"/>
  <c r="G410" i="8" s="1"/>
  <c r="G411" i="8" a="1"/>
  <c r="G411" i="8" s="1"/>
  <c r="G412" i="8" a="1"/>
  <c r="G412" i="8" s="1"/>
  <c r="G413" i="8" a="1"/>
  <c r="G413" i="8" s="1"/>
  <c r="G414" i="8" a="1"/>
  <c r="G414" i="8" s="1"/>
  <c r="G415" i="8" a="1"/>
  <c r="G415" i="8" s="1"/>
  <c r="G416" i="8" a="1"/>
  <c r="G416" i="8" s="1"/>
  <c r="G417" i="8" a="1"/>
  <c r="G417" i="8" s="1"/>
  <c r="G418" i="8" a="1"/>
  <c r="G418" i="8" s="1"/>
  <c r="G419" i="8" a="1"/>
  <c r="G419" i="8" s="1"/>
  <c r="G420" i="8" a="1"/>
  <c r="G420" i="8" s="1"/>
  <c r="G421" i="8" a="1"/>
  <c r="G421" i="8" s="1"/>
  <c r="G422" i="8" a="1"/>
  <c r="G422" i="8" s="1"/>
  <c r="G423" i="8" a="1"/>
  <c r="G423" i="8" s="1"/>
  <c r="G424" i="8" a="1"/>
  <c r="G424" i="8" s="1"/>
  <c r="G425" i="8" a="1"/>
  <c r="G425" i="8" s="1"/>
  <c r="G426" i="8" a="1"/>
  <c r="G426" i="8" s="1"/>
  <c r="G427" i="8" a="1"/>
  <c r="G427" i="8" s="1"/>
  <c r="G428" i="8" a="1"/>
  <c r="G428" i="8" s="1"/>
  <c r="G429" i="8" a="1"/>
  <c r="G429" i="8" s="1"/>
  <c r="G430" i="8" a="1"/>
  <c r="G430" i="8" s="1"/>
  <c r="G431" i="8" a="1"/>
  <c r="G431" i="8" s="1"/>
  <c r="G432" i="8" a="1"/>
  <c r="G432" i="8" s="1"/>
  <c r="G433" i="8" a="1"/>
  <c r="G433" i="8" s="1"/>
  <c r="G434" i="8" a="1"/>
  <c r="G434" i="8" s="1"/>
  <c r="G435" i="8" a="1"/>
  <c r="G435" i="8" s="1"/>
  <c r="G436" i="8" a="1"/>
  <c r="G436" i="8" s="1"/>
  <c r="G437" i="8" a="1"/>
  <c r="G437" i="8" s="1"/>
  <c r="G438" i="8" a="1"/>
  <c r="G438" i="8" s="1"/>
  <c r="G439" i="8" a="1"/>
  <c r="G439" i="8" s="1"/>
  <c r="G440" i="8" a="1"/>
  <c r="G440" i="8" s="1"/>
  <c r="G441" i="8" a="1"/>
  <c r="G441" i="8" s="1"/>
  <c r="G442" i="8" a="1"/>
  <c r="G442" i="8" s="1"/>
  <c r="G443" i="8" a="1"/>
  <c r="G443" i="8" s="1"/>
  <c r="G444" i="8" a="1"/>
  <c r="G444" i="8" s="1"/>
  <c r="G445" i="8" a="1"/>
  <c r="G445" i="8" s="1"/>
  <c r="G446" i="8" a="1"/>
  <c r="G446" i="8" s="1"/>
  <c r="G447" i="8" a="1"/>
  <c r="G447" i="8" s="1"/>
  <c r="G448" i="8" a="1"/>
  <c r="G448" i="8" s="1"/>
  <c r="G449" i="8" a="1"/>
  <c r="G449" i="8" s="1"/>
  <c r="G450" i="8" a="1"/>
  <c r="G450" i="8" s="1"/>
  <c r="G451" i="8" a="1"/>
  <c r="G451" i="8" s="1"/>
  <c r="G452" i="8" a="1"/>
  <c r="G452" i="8" s="1"/>
  <c r="G453" i="8" a="1"/>
  <c r="G453" i="8" s="1"/>
  <c r="G454" i="8" a="1"/>
  <c r="G454" i="8" s="1"/>
  <c r="G455" i="8" a="1"/>
  <c r="G455" i="8" s="1"/>
  <c r="G456" i="8" a="1"/>
  <c r="G456" i="8" s="1"/>
  <c r="G457" i="8" a="1"/>
  <c r="G457" i="8" s="1"/>
  <c r="G458" i="8" a="1"/>
  <c r="G458" i="8" s="1"/>
  <c r="G459" i="8" a="1"/>
  <c r="G459" i="8" s="1"/>
  <c r="G460" i="8" a="1"/>
  <c r="G460" i="8" s="1"/>
  <c r="G461" i="8" a="1"/>
  <c r="G461" i="8" s="1"/>
  <c r="G462" i="8" a="1"/>
  <c r="G462" i="8" s="1"/>
  <c r="G463" i="8" a="1"/>
  <c r="G463" i="8" s="1"/>
  <c r="G464" i="8" a="1"/>
  <c r="G464" i="8" s="1"/>
  <c r="G465" i="8" a="1"/>
  <c r="G465" i="8" s="1"/>
  <c r="G466" i="8" a="1"/>
  <c r="G466" i="8" s="1"/>
  <c r="G467" i="8" a="1"/>
  <c r="G467" i="8" s="1"/>
  <c r="G468" i="8" a="1"/>
  <c r="G468" i="8" s="1"/>
  <c r="G469" i="8" a="1"/>
  <c r="G469" i="8" s="1"/>
  <c r="G470" i="8" a="1"/>
  <c r="G470" i="8" s="1"/>
  <c r="G471" i="8" a="1"/>
  <c r="G471" i="8" s="1"/>
  <c r="G472" i="8" a="1"/>
  <c r="G472" i="8" s="1"/>
  <c r="G473" i="8" a="1"/>
  <c r="G473" i="8" s="1"/>
  <c r="G474" i="8" a="1"/>
  <c r="G474" i="8" s="1"/>
  <c r="G475" i="8" a="1"/>
  <c r="G475" i="8" s="1"/>
  <c r="G476" i="8" a="1"/>
  <c r="G476" i="8" s="1"/>
  <c r="G477" i="8" a="1"/>
  <c r="G477" i="8" s="1"/>
  <c r="G478" i="8" a="1"/>
  <c r="G478" i="8" s="1"/>
  <c r="G479" i="8" a="1"/>
  <c r="G479" i="8" s="1"/>
  <c r="G480" i="8" a="1"/>
  <c r="G480" i="8" s="1"/>
  <c r="G481" i="8" a="1"/>
  <c r="G481" i="8" s="1"/>
  <c r="G482" i="8" a="1"/>
  <c r="G482" i="8" s="1"/>
  <c r="G483" i="8" a="1"/>
  <c r="G483" i="8" s="1"/>
  <c r="G484" i="8" a="1"/>
  <c r="G484" i="8" s="1"/>
  <c r="G485" i="8" a="1"/>
  <c r="G485" i="8" s="1"/>
  <c r="G486" i="8" a="1"/>
  <c r="G486" i="8" s="1"/>
  <c r="G487" i="8" a="1"/>
  <c r="G487" i="8" s="1"/>
  <c r="G488" i="8" a="1"/>
  <c r="G488" i="8" s="1"/>
  <c r="G489" i="8" a="1"/>
  <c r="G489" i="8" s="1"/>
  <c r="G490" i="8" a="1"/>
  <c r="G490" i="8" s="1"/>
  <c r="G491" i="8" a="1"/>
  <c r="G491" i="8" s="1"/>
  <c r="G492" i="8" a="1"/>
  <c r="G492" i="8" s="1"/>
  <c r="G493" i="8" a="1"/>
  <c r="G493" i="8" s="1"/>
  <c r="G494" i="8" a="1"/>
  <c r="G494" i="8" s="1"/>
  <c r="G495" i="8" a="1"/>
  <c r="G495" i="8" s="1"/>
  <c r="G496" i="8" a="1"/>
  <c r="G496" i="8" s="1"/>
  <c r="G497" i="8" a="1"/>
  <c r="G497" i="8" s="1"/>
  <c r="G498" i="8" a="1"/>
  <c r="G498" i="8" s="1"/>
  <c r="G499" i="8" a="1"/>
  <c r="G499" i="8" s="1"/>
  <c r="G500" i="8" a="1"/>
  <c r="G500" i="8" s="1"/>
  <c r="G501" i="8" a="1"/>
  <c r="G501" i="8" s="1"/>
  <c r="G502" i="8" a="1"/>
  <c r="G502" i="8" s="1"/>
  <c r="G503" i="8" a="1"/>
  <c r="G503" i="8" s="1"/>
  <c r="G504" i="8" a="1"/>
  <c r="G504" i="8" s="1"/>
  <c r="G505" i="8" a="1"/>
  <c r="G505" i="8" s="1"/>
  <c r="G506" i="8" a="1"/>
  <c r="G506" i="8" s="1"/>
  <c r="G507" i="8" a="1"/>
  <c r="G507" i="8" s="1"/>
  <c r="G508" i="8" a="1"/>
  <c r="G508" i="8" s="1"/>
  <c r="G509" i="8" a="1"/>
  <c r="G509" i="8" s="1"/>
  <c r="G510" i="8" a="1"/>
  <c r="G510" i="8" s="1"/>
  <c r="G511" i="8" a="1"/>
  <c r="G511" i="8" s="1"/>
  <c r="G512" i="8" a="1"/>
  <c r="G512" i="8" s="1"/>
  <c r="G513" i="8" a="1"/>
  <c r="G513" i="8" s="1"/>
  <c r="G514" i="8" a="1"/>
  <c r="G514" i="8" s="1"/>
  <c r="G515" i="8" a="1"/>
  <c r="G515" i="8" s="1"/>
  <c r="G516" i="8" a="1"/>
  <c r="G516" i="8" s="1"/>
  <c r="G517" i="8" a="1"/>
  <c r="G517" i="8" s="1"/>
  <c r="G518" i="8" a="1"/>
  <c r="G518" i="8" s="1"/>
  <c r="G519" i="8" a="1"/>
  <c r="G519" i="8" s="1"/>
  <c r="G520" i="8" a="1"/>
  <c r="G520" i="8" s="1"/>
  <c r="G521" i="8" a="1"/>
  <c r="G521" i="8" s="1"/>
  <c r="G522" i="8" a="1"/>
  <c r="G522" i="8" s="1"/>
  <c r="G523" i="8" a="1"/>
  <c r="G523" i="8" s="1"/>
  <c r="G524" i="8" a="1"/>
  <c r="G524" i="8" s="1"/>
  <c r="G525" i="8" a="1"/>
  <c r="G525" i="8" s="1"/>
  <c r="I392" i="8"/>
  <c r="J392" i="8" s="1"/>
  <c r="S392" i="8" s="1"/>
  <c r="U392" i="8" s="1"/>
  <c r="I393" i="8"/>
  <c r="J393" i="8" s="1"/>
  <c r="S393" i="8" s="1"/>
  <c r="I394" i="8"/>
  <c r="I395" i="8"/>
  <c r="J395" i="8" s="1"/>
  <c r="S395" i="8" s="1"/>
  <c r="U395" i="8" s="1"/>
  <c r="I396" i="8"/>
  <c r="J396" i="8" s="1"/>
  <c r="S396" i="8" s="1"/>
  <c r="U396" i="8" s="1"/>
  <c r="I397" i="8"/>
  <c r="J397" i="8" s="1"/>
  <c r="I398" i="8"/>
  <c r="J398" i="8" s="1"/>
  <c r="I399" i="8"/>
  <c r="I400" i="8"/>
  <c r="J400" i="8" s="1"/>
  <c r="S400" i="8" s="1"/>
  <c r="T400" i="8" s="1"/>
  <c r="I401" i="8"/>
  <c r="J401" i="8" s="1"/>
  <c r="I402" i="8"/>
  <c r="J402" i="8" s="1"/>
  <c r="S402" i="8" s="1"/>
  <c r="U402" i="8" s="1"/>
  <c r="I403" i="8"/>
  <c r="J403" i="8" s="1"/>
  <c r="S403" i="8" s="1"/>
  <c r="T403" i="8" s="1"/>
  <c r="I404" i="8"/>
  <c r="J404" i="8" s="1"/>
  <c r="S404" i="8" s="1"/>
  <c r="U404" i="8" s="1"/>
  <c r="I405" i="8"/>
  <c r="J405" i="8" s="1"/>
  <c r="S405" i="8" s="1"/>
  <c r="I406" i="8"/>
  <c r="J406" i="8" s="1"/>
  <c r="S406" i="8" s="1"/>
  <c r="U406" i="8" s="1"/>
  <c r="I407" i="8"/>
  <c r="J407" i="8" s="1"/>
  <c r="S407" i="8" s="1"/>
  <c r="I408" i="8"/>
  <c r="J408" i="8" s="1"/>
  <c r="S408" i="8" s="1"/>
  <c r="I409" i="8"/>
  <c r="J409" i="8" s="1"/>
  <c r="S409" i="8" s="1"/>
  <c r="I410" i="8"/>
  <c r="J410" i="8" s="1"/>
  <c r="S410" i="8" s="1"/>
  <c r="I411" i="8"/>
  <c r="J411" i="8" s="1"/>
  <c r="S411" i="8" s="1"/>
  <c r="T411" i="8" s="1"/>
  <c r="I412" i="8"/>
  <c r="J412" i="8" s="1"/>
  <c r="S412" i="8" s="1"/>
  <c r="U412" i="8" s="1"/>
  <c r="I413" i="8"/>
  <c r="J413" i="8" s="1"/>
  <c r="I414" i="8"/>
  <c r="J414" i="8" s="1"/>
  <c r="S414" i="8" s="1"/>
  <c r="U414" i="8" s="1"/>
  <c r="I415" i="8"/>
  <c r="J415" i="8" s="1"/>
  <c r="S415" i="8" s="1"/>
  <c r="U415" i="8" s="1"/>
  <c r="I416" i="8"/>
  <c r="J416" i="8" s="1"/>
  <c r="S416" i="8" s="1"/>
  <c r="T416" i="8" s="1"/>
  <c r="I417" i="8"/>
  <c r="J417" i="8" s="1"/>
  <c r="S417" i="8" s="1"/>
  <c r="I418" i="8"/>
  <c r="J418" i="8" s="1"/>
  <c r="S418" i="8" s="1"/>
  <c r="U418" i="8" s="1"/>
  <c r="I419" i="8"/>
  <c r="J419" i="8" s="1"/>
  <c r="S419" i="8" s="1"/>
  <c r="T419" i="8" s="1"/>
  <c r="I420" i="8"/>
  <c r="J420" i="8" s="1"/>
  <c r="S420" i="8" s="1"/>
  <c r="I421" i="8"/>
  <c r="J421" i="8" s="1"/>
  <c r="S421" i="8" s="1"/>
  <c r="U421" i="8" s="1"/>
  <c r="I422" i="8"/>
  <c r="J422" i="8" s="1"/>
  <c r="S422" i="8" s="1"/>
  <c r="I423" i="8"/>
  <c r="J423" i="8" s="1"/>
  <c r="S423" i="8" s="1"/>
  <c r="I424" i="8"/>
  <c r="J424" i="8" s="1"/>
  <c r="S424" i="8" s="1"/>
  <c r="T424" i="8" s="1"/>
  <c r="I425" i="8"/>
  <c r="J425" i="8" s="1"/>
  <c r="S425" i="8" s="1"/>
  <c r="T425" i="8" s="1"/>
  <c r="I426" i="8"/>
  <c r="J426" i="8" s="1"/>
  <c r="S426" i="8" s="1"/>
  <c r="U426" i="8" s="1"/>
  <c r="I427" i="8"/>
  <c r="J427" i="8" s="1"/>
  <c r="S427" i="8" s="1"/>
  <c r="T427" i="8" s="1"/>
  <c r="I428" i="8"/>
  <c r="J428" i="8" s="1"/>
  <c r="S428" i="8" s="1"/>
  <c r="T428" i="8" s="1"/>
  <c r="I429" i="8"/>
  <c r="J429" i="8" s="1"/>
  <c r="S429" i="8" s="1"/>
  <c r="U429" i="8" s="1"/>
  <c r="I430" i="8"/>
  <c r="J430" i="8" s="1"/>
  <c r="S430" i="8" s="1"/>
  <c r="T430" i="8" s="1"/>
  <c r="I431" i="8"/>
  <c r="J431" i="8" s="1"/>
  <c r="S431" i="8" s="1"/>
  <c r="U431" i="8" s="1"/>
  <c r="I432" i="8"/>
  <c r="J432" i="8" s="1"/>
  <c r="S432" i="8" s="1"/>
  <c r="T432" i="8" s="1"/>
  <c r="I433" i="8"/>
  <c r="J433" i="8" s="1"/>
  <c r="S433" i="8" s="1"/>
  <c r="T433" i="8" s="1"/>
  <c r="I434" i="8"/>
  <c r="J434" i="8" s="1"/>
  <c r="S434" i="8" s="1"/>
  <c r="I435" i="8"/>
  <c r="J435" i="8" s="1"/>
  <c r="S435" i="8" s="1"/>
  <c r="T435" i="8" s="1"/>
  <c r="I436" i="8"/>
  <c r="J436" i="8" s="1"/>
  <c r="S436" i="8" s="1"/>
  <c r="I437" i="8"/>
  <c r="J437" i="8" s="1"/>
  <c r="S437" i="8" s="1"/>
  <c r="U437" i="8" s="1"/>
  <c r="I438" i="8"/>
  <c r="J438" i="8" s="1"/>
  <c r="S438" i="8" s="1"/>
  <c r="T438" i="8" s="1"/>
  <c r="I439" i="8"/>
  <c r="J439" i="8" s="1"/>
  <c r="S439" i="8" s="1"/>
  <c r="T439" i="8" s="1"/>
  <c r="I440" i="8"/>
  <c r="J440" i="8" s="1"/>
  <c r="S440" i="8" s="1"/>
  <c r="T440" i="8" s="1"/>
  <c r="I441" i="8"/>
  <c r="J441" i="8" s="1"/>
  <c r="S441" i="8" s="1"/>
  <c r="U441" i="8" s="1"/>
  <c r="I442" i="8"/>
  <c r="I443" i="8"/>
  <c r="J443" i="8" s="1"/>
  <c r="S443" i="8" s="1"/>
  <c r="T443" i="8" s="1"/>
  <c r="I444" i="8"/>
  <c r="J444" i="8" s="1"/>
  <c r="S444" i="8" s="1"/>
  <c r="T444" i="8" s="1"/>
  <c r="I445" i="8"/>
  <c r="J445" i="8" s="1"/>
  <c r="S445" i="8" s="1"/>
  <c r="I446" i="8"/>
  <c r="J446" i="8" s="1"/>
  <c r="S446" i="8" s="1"/>
  <c r="T446" i="8" s="1"/>
  <c r="I447" i="8"/>
  <c r="J447" i="8" s="1"/>
  <c r="S447" i="8" s="1"/>
  <c r="U447" i="8" s="1"/>
  <c r="I448" i="8"/>
  <c r="J448" i="8" s="1"/>
  <c r="S448" i="8" s="1"/>
  <c r="T448" i="8" s="1"/>
  <c r="I449" i="8"/>
  <c r="J449" i="8" s="1"/>
  <c r="S449" i="8" s="1"/>
  <c r="U449" i="8" s="1"/>
  <c r="I450" i="8"/>
  <c r="J450" i="8" s="1"/>
  <c r="S450" i="8" s="1"/>
  <c r="U450" i="8" s="1"/>
  <c r="I451" i="8"/>
  <c r="J451" i="8" s="1"/>
  <c r="S451" i="8" s="1"/>
  <c r="I452" i="8"/>
  <c r="J452" i="8" s="1"/>
  <c r="S452" i="8" s="1"/>
  <c r="U452" i="8" s="1"/>
  <c r="I453" i="8"/>
  <c r="J453" i="8" s="1"/>
  <c r="S453" i="8" s="1"/>
  <c r="U453" i="8" s="1"/>
  <c r="I454" i="8"/>
  <c r="J454" i="8" s="1"/>
  <c r="S454" i="8" s="1"/>
  <c r="I455" i="8"/>
  <c r="J455" i="8" s="1"/>
  <c r="S455" i="8" s="1"/>
  <c r="U455" i="8" s="1"/>
  <c r="I456" i="8"/>
  <c r="J456" i="8" s="1"/>
  <c r="S456" i="8" s="1"/>
  <c r="I457" i="8"/>
  <c r="J457" i="8" s="1"/>
  <c r="I458" i="8"/>
  <c r="I459" i="8"/>
  <c r="I460" i="8"/>
  <c r="J460" i="8" s="1"/>
  <c r="S460" i="8" s="1"/>
  <c r="U460" i="8" s="1"/>
  <c r="I461" i="8"/>
  <c r="I462" i="8"/>
  <c r="J462" i="8" s="1"/>
  <c r="S462" i="8" s="1"/>
  <c r="T462" i="8" s="1"/>
  <c r="I463" i="8"/>
  <c r="J463" i="8" s="1"/>
  <c r="S463" i="8" s="1"/>
  <c r="I464" i="8"/>
  <c r="J464" i="8" s="1"/>
  <c r="S464" i="8" s="1"/>
  <c r="T464" i="8" s="1"/>
  <c r="I465" i="8"/>
  <c r="J465" i="8" s="1"/>
  <c r="S465" i="8" s="1"/>
  <c r="U465" i="8" s="1"/>
  <c r="I466" i="8"/>
  <c r="J466" i="8" s="1"/>
  <c r="S466" i="8" s="1"/>
  <c r="T466" i="8" s="1"/>
  <c r="I467" i="8"/>
  <c r="J467" i="8" s="1"/>
  <c r="S467" i="8" s="1"/>
  <c r="T467" i="8" s="1"/>
  <c r="I468" i="8"/>
  <c r="J468" i="8" s="1"/>
  <c r="S468" i="8" s="1"/>
  <c r="I469" i="8"/>
  <c r="J469" i="8" s="1"/>
  <c r="S469" i="8" s="1"/>
  <c r="I470" i="8"/>
  <c r="J470" i="8" s="1"/>
  <c r="S470" i="8" s="1"/>
  <c r="I471" i="8"/>
  <c r="J471" i="8" s="1"/>
  <c r="S471" i="8" s="1"/>
  <c r="I472" i="8"/>
  <c r="J472" i="8" s="1"/>
  <c r="S472" i="8" s="1"/>
  <c r="T472" i="8" s="1"/>
  <c r="I473" i="8"/>
  <c r="J473" i="8" s="1"/>
  <c r="S473" i="8" s="1"/>
  <c r="T473" i="8" s="1"/>
  <c r="I474" i="8"/>
  <c r="J474" i="8" s="1"/>
  <c r="S474" i="8" s="1"/>
  <c r="U474" i="8" s="1"/>
  <c r="I475" i="8"/>
  <c r="J475" i="8" s="1"/>
  <c r="S475" i="8" s="1"/>
  <c r="T475" i="8" s="1"/>
  <c r="I476" i="8"/>
  <c r="J476" i="8" s="1"/>
  <c r="S476" i="8" s="1"/>
  <c r="T476" i="8" s="1"/>
  <c r="I477" i="8"/>
  <c r="J477" i="8" s="1"/>
  <c r="S477" i="8" s="1"/>
  <c r="I478" i="8"/>
  <c r="J478" i="8" s="1"/>
  <c r="S478" i="8" s="1"/>
  <c r="T478" i="8" s="1"/>
  <c r="I479" i="8"/>
  <c r="J479" i="8" s="1"/>
  <c r="S479" i="8" s="1"/>
  <c r="T479" i="8" s="1"/>
  <c r="I480" i="8"/>
  <c r="J480" i="8" s="1"/>
  <c r="S480" i="8" s="1"/>
  <c r="T480" i="8" s="1"/>
  <c r="I481" i="8"/>
  <c r="J481" i="8" s="1"/>
  <c r="S481" i="8" s="1"/>
  <c r="T481" i="8" s="1"/>
  <c r="I482" i="8"/>
  <c r="J482" i="8" s="1"/>
  <c r="S482" i="8" s="1"/>
  <c r="I483" i="8"/>
  <c r="J483" i="8" s="1"/>
  <c r="S483" i="8" s="1"/>
  <c r="T483" i="8" s="1"/>
  <c r="I484" i="8"/>
  <c r="J484" i="8" s="1"/>
  <c r="S484" i="8" s="1"/>
  <c r="T484" i="8" s="1"/>
  <c r="I485" i="8"/>
  <c r="J485" i="8" s="1"/>
  <c r="S485" i="8" s="1"/>
  <c r="T485" i="8" s="1"/>
  <c r="I486" i="8"/>
  <c r="J486" i="8" s="1"/>
  <c r="S486" i="8" s="1"/>
  <c r="T486" i="8" s="1"/>
  <c r="I487" i="8"/>
  <c r="J487" i="8" s="1"/>
  <c r="S487" i="8" s="1"/>
  <c r="I488" i="8"/>
  <c r="J488" i="8" s="1"/>
  <c r="S488" i="8" s="1"/>
  <c r="I489" i="8"/>
  <c r="J489" i="8" s="1"/>
  <c r="S489" i="8" s="1"/>
  <c r="I490" i="8"/>
  <c r="J490" i="8" s="1"/>
  <c r="S490" i="8" s="1"/>
  <c r="I491" i="8"/>
  <c r="J491" i="8" s="1"/>
  <c r="S491" i="8" s="1"/>
  <c r="I492" i="8"/>
  <c r="J492" i="8" s="1"/>
  <c r="S492" i="8" s="1"/>
  <c r="I493" i="8"/>
  <c r="J493" i="8" s="1"/>
  <c r="S493" i="8" s="1"/>
  <c r="U493" i="8" s="1"/>
  <c r="I494" i="8"/>
  <c r="J494" i="8" s="1"/>
  <c r="S494" i="8" s="1"/>
  <c r="U494" i="8" s="1"/>
  <c r="I495" i="8"/>
  <c r="J495" i="8" s="1"/>
  <c r="S495" i="8" s="1"/>
  <c r="T495" i="8" s="1"/>
  <c r="I496" i="8"/>
  <c r="J496" i="8" s="1"/>
  <c r="S496" i="8" s="1"/>
  <c r="U496" i="8" s="1"/>
  <c r="I497" i="8"/>
  <c r="J497" i="8" s="1"/>
  <c r="S497" i="8" s="1"/>
  <c r="T497" i="8" s="1"/>
  <c r="I498" i="8"/>
  <c r="J498" i="8" s="1"/>
  <c r="S498" i="8" s="1"/>
  <c r="U498" i="8" s="1"/>
  <c r="I499" i="8"/>
  <c r="J499" i="8" s="1"/>
  <c r="S499" i="8" s="1"/>
  <c r="I500" i="8"/>
  <c r="J500" i="8" s="1"/>
  <c r="S500" i="8" s="1"/>
  <c r="I501" i="8"/>
  <c r="J501" i="8" s="1"/>
  <c r="S501" i="8" s="1"/>
  <c r="U501" i="8" s="1"/>
  <c r="I502" i="8"/>
  <c r="J502" i="8" s="1"/>
  <c r="S502" i="8" s="1"/>
  <c r="I503" i="8"/>
  <c r="J503" i="8" s="1"/>
  <c r="S503" i="8" s="1"/>
  <c r="T503" i="8" s="1"/>
  <c r="I504" i="8"/>
  <c r="J504" i="8" s="1"/>
  <c r="S504" i="8" s="1"/>
  <c r="I505" i="8"/>
  <c r="J505" i="8" s="1"/>
  <c r="S505" i="8" s="1"/>
  <c r="I506" i="8"/>
  <c r="J506" i="8" s="1"/>
  <c r="S506" i="8" s="1"/>
  <c r="I507" i="8"/>
  <c r="J507" i="8" s="1"/>
  <c r="S507" i="8" s="1"/>
  <c r="T507" i="8" s="1"/>
  <c r="I508" i="8"/>
  <c r="J508" i="8" s="1"/>
  <c r="S508" i="8" s="1"/>
  <c r="I509" i="8"/>
  <c r="J509" i="8" s="1"/>
  <c r="S509" i="8" s="1"/>
  <c r="U509" i="8" s="1"/>
  <c r="I510" i="8"/>
  <c r="J510" i="8" s="1"/>
  <c r="S510" i="8" s="1"/>
  <c r="T510" i="8" s="1"/>
  <c r="I511" i="8"/>
  <c r="J511" i="8" s="1"/>
  <c r="S511" i="8" s="1"/>
  <c r="I512" i="8"/>
  <c r="J512" i="8" s="1"/>
  <c r="S512" i="8" s="1"/>
  <c r="T512" i="8" s="1"/>
  <c r="I513" i="8"/>
  <c r="J513" i="8" s="1"/>
  <c r="S513" i="8" s="1"/>
  <c r="T513" i="8" s="1"/>
  <c r="I514" i="8"/>
  <c r="J514" i="8" s="1"/>
  <c r="S514" i="8" s="1"/>
  <c r="U514" i="8" s="1"/>
  <c r="I515" i="8"/>
  <c r="J515" i="8" s="1"/>
  <c r="S515" i="8" s="1"/>
  <c r="T515" i="8" s="1"/>
  <c r="I516" i="8"/>
  <c r="J516" i="8" s="1"/>
  <c r="S516" i="8" s="1"/>
  <c r="I517" i="8"/>
  <c r="J517" i="8" s="1"/>
  <c r="S517" i="8" s="1"/>
  <c r="I518" i="8"/>
  <c r="J518" i="8" s="1"/>
  <c r="S518" i="8" s="1"/>
  <c r="I519" i="8"/>
  <c r="J519" i="8" s="1"/>
  <c r="S519" i="8" s="1"/>
  <c r="I520" i="8"/>
  <c r="J520" i="8" s="1"/>
  <c r="S520" i="8" s="1"/>
  <c r="I521" i="8"/>
  <c r="J521" i="8" s="1"/>
  <c r="S521" i="8" s="1"/>
  <c r="T521" i="8" s="1"/>
  <c r="I522" i="8"/>
  <c r="I523" i="8"/>
  <c r="J523" i="8" s="1"/>
  <c r="S523" i="8" s="1"/>
  <c r="U523" i="8" s="1"/>
  <c r="I524" i="8"/>
  <c r="J524" i="8" s="1"/>
  <c r="S524" i="8" s="1"/>
  <c r="U524" i="8" s="1"/>
  <c r="I525" i="8"/>
  <c r="J525" i="8" s="1"/>
  <c r="S525" i="8" s="1"/>
  <c r="U525" i="8" s="1"/>
  <c r="J394" i="8"/>
  <c r="S394" i="8" s="1"/>
  <c r="T394" i="8" s="1"/>
  <c r="J399" i="8"/>
  <c r="S399" i="8" s="1"/>
  <c r="U399" i="8" s="1"/>
  <c r="J442" i="8"/>
  <c r="S442" i="8" s="1"/>
  <c r="T442" i="8" s="1"/>
  <c r="J458" i="8"/>
  <c r="S458" i="8" s="1"/>
  <c r="T458" i="8" s="1"/>
  <c r="J459" i="8"/>
  <c r="S459" i="8" s="1"/>
  <c r="T459" i="8" s="1"/>
  <c r="J461" i="8"/>
  <c r="S461" i="8" s="1"/>
  <c r="J522" i="8"/>
  <c r="S522" i="8" s="1"/>
  <c r="U522" i="8" s="1"/>
  <c r="P392" i="8"/>
  <c r="W392" i="8" s="1"/>
  <c r="P393" i="8"/>
  <c r="W393" i="8" s="1"/>
  <c r="P394" i="8"/>
  <c r="W394" i="8" s="1"/>
  <c r="P395" i="8"/>
  <c r="W395" i="8" s="1"/>
  <c r="P396" i="8"/>
  <c r="W396" i="8" s="1"/>
  <c r="P397" i="8"/>
  <c r="W397" i="8" s="1"/>
  <c r="P398" i="8"/>
  <c r="W398" i="8" s="1"/>
  <c r="P399" i="8"/>
  <c r="P400" i="8"/>
  <c r="W400" i="8" s="1"/>
  <c r="P401" i="8"/>
  <c r="W401" i="8" s="1"/>
  <c r="P402" i="8"/>
  <c r="W402" i="8" s="1"/>
  <c r="P403" i="8"/>
  <c r="W403" i="8" s="1"/>
  <c r="P404" i="8"/>
  <c r="W404" i="8" s="1"/>
  <c r="P405" i="8"/>
  <c r="P406" i="8"/>
  <c r="P407" i="8"/>
  <c r="W407" i="8" s="1"/>
  <c r="P408" i="8"/>
  <c r="W408" i="8" s="1"/>
  <c r="P409" i="8"/>
  <c r="W409" i="8" s="1"/>
  <c r="P410" i="8"/>
  <c r="W410" i="8" s="1"/>
  <c r="P411" i="8"/>
  <c r="W411" i="8" s="1"/>
  <c r="P412" i="8"/>
  <c r="W412" i="8" s="1"/>
  <c r="P413" i="8"/>
  <c r="W413" i="8" s="1"/>
  <c r="P414" i="8"/>
  <c r="W414" i="8" s="1"/>
  <c r="P415" i="8"/>
  <c r="W415" i="8" s="1"/>
  <c r="P416" i="8"/>
  <c r="W416" i="8" s="1"/>
  <c r="P417" i="8"/>
  <c r="W417" i="8" s="1"/>
  <c r="P418" i="8"/>
  <c r="W418" i="8" s="1"/>
  <c r="P419" i="8"/>
  <c r="W419" i="8" s="1"/>
  <c r="P420" i="8"/>
  <c r="W420" i="8" s="1"/>
  <c r="P421" i="8"/>
  <c r="P422" i="8"/>
  <c r="P423" i="8"/>
  <c r="W423" i="8" s="1"/>
  <c r="P424" i="8"/>
  <c r="W424" i="8" s="1"/>
  <c r="P425" i="8"/>
  <c r="P426" i="8"/>
  <c r="W426" i="8" s="1"/>
  <c r="P427" i="8"/>
  <c r="W427" i="8" s="1"/>
  <c r="P428" i="8"/>
  <c r="W428" i="8" s="1"/>
  <c r="P429" i="8"/>
  <c r="W429" i="8" s="1"/>
  <c r="P430" i="8"/>
  <c r="W430" i="8" s="1"/>
  <c r="P431" i="8"/>
  <c r="W431" i="8" s="1"/>
  <c r="P432" i="8"/>
  <c r="W432" i="8" s="1"/>
  <c r="P433" i="8"/>
  <c r="W433" i="8" s="1"/>
  <c r="P434" i="8"/>
  <c r="W434" i="8" s="1"/>
  <c r="P435" i="8"/>
  <c r="W435" i="8" s="1"/>
  <c r="P436" i="8"/>
  <c r="W436" i="8" s="1"/>
  <c r="P437" i="8"/>
  <c r="W437" i="8" s="1"/>
  <c r="P438" i="8"/>
  <c r="P439" i="8"/>
  <c r="W439" i="8" s="1"/>
  <c r="P440" i="8"/>
  <c r="W440" i="8" s="1"/>
  <c r="P441" i="8"/>
  <c r="P442" i="8"/>
  <c r="W442" i="8" s="1"/>
  <c r="P443" i="8"/>
  <c r="P444" i="8"/>
  <c r="W444" i="8" s="1"/>
  <c r="P445" i="8"/>
  <c r="W445" i="8" s="1"/>
  <c r="P446" i="8"/>
  <c r="W446" i="8" s="1"/>
  <c r="P447" i="8"/>
  <c r="W447" i="8" s="1"/>
  <c r="P448" i="8"/>
  <c r="W448" i="8" s="1"/>
  <c r="P449" i="8"/>
  <c r="W449" i="8" s="1"/>
  <c r="P450" i="8"/>
  <c r="W450" i="8" s="1"/>
  <c r="P451" i="8"/>
  <c r="W451" i="8" s="1"/>
  <c r="P452" i="8"/>
  <c r="W452" i="8" s="1"/>
  <c r="P453" i="8"/>
  <c r="W453" i="8" s="1"/>
  <c r="P454" i="8"/>
  <c r="P455" i="8"/>
  <c r="W455" i="8" s="1"/>
  <c r="P456" i="8"/>
  <c r="W456" i="8" s="1"/>
  <c r="P457" i="8"/>
  <c r="W457" i="8" s="1"/>
  <c r="P458" i="8"/>
  <c r="W458" i="8" s="1"/>
  <c r="P459" i="8"/>
  <c r="W459" i="8" s="1"/>
  <c r="P460" i="8"/>
  <c r="W460" i="8" s="1"/>
  <c r="P461" i="8"/>
  <c r="W461" i="8" s="1"/>
  <c r="P462" i="8"/>
  <c r="W462" i="8" s="1"/>
  <c r="P463" i="8"/>
  <c r="W463" i="8" s="1"/>
  <c r="P464" i="8"/>
  <c r="W464" i="8" s="1"/>
  <c r="P465" i="8"/>
  <c r="W465" i="8" s="1"/>
  <c r="P466" i="8"/>
  <c r="W466" i="8" s="1"/>
  <c r="P467" i="8"/>
  <c r="W467" i="8" s="1"/>
  <c r="P468" i="8"/>
  <c r="W468" i="8" s="1"/>
  <c r="P469" i="8"/>
  <c r="P470" i="8"/>
  <c r="W470" i="8" s="1"/>
  <c r="P471" i="8"/>
  <c r="P472" i="8"/>
  <c r="W472" i="8" s="1"/>
  <c r="P473" i="8"/>
  <c r="W473" i="8" s="1"/>
  <c r="P474" i="8"/>
  <c r="W474" i="8" s="1"/>
  <c r="P475" i="8"/>
  <c r="W475" i="8" s="1"/>
  <c r="P476" i="8"/>
  <c r="W476" i="8" s="1"/>
  <c r="P477" i="8"/>
  <c r="W477" i="8" s="1"/>
  <c r="P478" i="8"/>
  <c r="W478" i="8" s="1"/>
  <c r="P479" i="8"/>
  <c r="W479" i="8" s="1"/>
  <c r="P480" i="8"/>
  <c r="P481" i="8"/>
  <c r="W481" i="8" s="1"/>
  <c r="P482" i="8"/>
  <c r="P483" i="8"/>
  <c r="W483" i="8" s="1"/>
  <c r="P484" i="8"/>
  <c r="W484" i="8" s="1"/>
  <c r="P485" i="8"/>
  <c r="W485" i="8" s="1"/>
  <c r="P486" i="8"/>
  <c r="W486" i="8" s="1"/>
  <c r="P487" i="8"/>
  <c r="W487" i="8" s="1"/>
  <c r="P488" i="8"/>
  <c r="W488" i="8" s="1"/>
  <c r="P489" i="8"/>
  <c r="W489" i="8" s="1"/>
  <c r="P490" i="8"/>
  <c r="W490" i="8" s="1"/>
  <c r="P491" i="8"/>
  <c r="W491" i="8" s="1"/>
  <c r="P492" i="8"/>
  <c r="W492" i="8" s="1"/>
  <c r="P493" i="8"/>
  <c r="W493" i="8" s="1"/>
  <c r="P494" i="8"/>
  <c r="W494" i="8" s="1"/>
  <c r="P495" i="8"/>
  <c r="W495" i="8" s="1"/>
  <c r="P496" i="8"/>
  <c r="W496" i="8" s="1"/>
  <c r="P497" i="8"/>
  <c r="W497" i="8" s="1"/>
  <c r="P498" i="8"/>
  <c r="W498" i="8" s="1"/>
  <c r="P499" i="8"/>
  <c r="W499" i="8" s="1"/>
  <c r="P500" i="8"/>
  <c r="W500" i="8" s="1"/>
  <c r="P501" i="8"/>
  <c r="W501" i="8" s="1"/>
  <c r="P502" i="8"/>
  <c r="W502" i="8" s="1"/>
  <c r="P503" i="8"/>
  <c r="W503" i="8" s="1"/>
  <c r="P504" i="8"/>
  <c r="W504" i="8" s="1"/>
  <c r="P505" i="8"/>
  <c r="W505" i="8" s="1"/>
  <c r="P506" i="8"/>
  <c r="W506" i="8" s="1"/>
  <c r="P507" i="8"/>
  <c r="P508" i="8"/>
  <c r="W508" i="8" s="1"/>
  <c r="P509" i="8"/>
  <c r="W509" i="8" s="1"/>
  <c r="P510" i="8"/>
  <c r="W510" i="8" s="1"/>
  <c r="P511" i="8"/>
  <c r="W511" i="8" s="1"/>
  <c r="P512" i="8"/>
  <c r="P513" i="8"/>
  <c r="W513" i="8" s="1"/>
  <c r="P514" i="8"/>
  <c r="P515" i="8"/>
  <c r="W515" i="8" s="1"/>
  <c r="P516" i="8"/>
  <c r="W516" i="8" s="1"/>
  <c r="P517" i="8"/>
  <c r="W517" i="8" s="1"/>
  <c r="P518" i="8"/>
  <c r="W518" i="8" s="1"/>
  <c r="P519" i="8"/>
  <c r="W519" i="8" s="1"/>
  <c r="P520" i="8"/>
  <c r="W520" i="8" s="1"/>
  <c r="P521" i="8"/>
  <c r="W521" i="8" s="1"/>
  <c r="P522" i="8"/>
  <c r="W522" i="8" s="1"/>
  <c r="P523" i="8"/>
  <c r="W523" i="8" s="1"/>
  <c r="P524" i="8"/>
  <c r="W524" i="8" s="1"/>
  <c r="P525" i="8"/>
  <c r="W525" i="8" s="1"/>
  <c r="S397" i="8"/>
  <c r="U397" i="8" s="1"/>
  <c r="S398" i="8"/>
  <c r="S401" i="8"/>
  <c r="T401" i="8" s="1"/>
  <c r="S413" i="8"/>
  <c r="S457" i="8"/>
  <c r="U457" i="8" s="1"/>
  <c r="W405" i="8"/>
  <c r="W406" i="8"/>
  <c r="W421" i="8"/>
  <c r="W422" i="8"/>
  <c r="W425" i="8"/>
  <c r="W438" i="8"/>
  <c r="W441" i="8"/>
  <c r="W443" i="8"/>
  <c r="W454" i="8"/>
  <c r="W469" i="8"/>
  <c r="W471" i="8"/>
  <c r="W480" i="8"/>
  <c r="W482" i="8"/>
  <c r="W507" i="8"/>
  <c r="W512" i="8"/>
  <c r="W514" i="8"/>
  <c r="C302" i="8"/>
  <c r="D302" i="8" s="1"/>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G302" i="8" a="1"/>
  <c r="G302" i="8" s="1"/>
  <c r="G303" i="8" a="1"/>
  <c r="G303" i="8" s="1"/>
  <c r="G304" i="8" a="1"/>
  <c r="G304" i="8" s="1"/>
  <c r="G305" i="8" a="1"/>
  <c r="G305" i="8" s="1"/>
  <c r="G306" i="8" a="1"/>
  <c r="G306" i="8" s="1"/>
  <c r="G307" i="8" a="1"/>
  <c r="G307" i="8" s="1"/>
  <c r="G308" i="8" a="1"/>
  <c r="G308" i="8" s="1"/>
  <c r="G309" i="8" a="1"/>
  <c r="G309" i="8" s="1"/>
  <c r="G310" i="8" a="1"/>
  <c r="G310" i="8" s="1"/>
  <c r="G311" i="8" a="1"/>
  <c r="G311" i="8" s="1"/>
  <c r="G312" i="8" a="1"/>
  <c r="G312" i="8" s="1"/>
  <c r="G313" i="8" a="1"/>
  <c r="G313" i="8" s="1"/>
  <c r="G314" i="8" a="1"/>
  <c r="G314" i="8" s="1"/>
  <c r="G315" i="8" a="1"/>
  <c r="G315" i="8" s="1"/>
  <c r="G316" i="8" a="1"/>
  <c r="G316" i="8" s="1"/>
  <c r="G317" i="8" a="1"/>
  <c r="G317" i="8" s="1"/>
  <c r="G318" i="8" a="1"/>
  <c r="G318" i="8" s="1"/>
  <c r="G319" i="8" a="1"/>
  <c r="G319" i="8" s="1"/>
  <c r="G320" i="8" a="1"/>
  <c r="G320" i="8" s="1"/>
  <c r="G321" i="8" a="1"/>
  <c r="G321" i="8" s="1"/>
  <c r="G322" i="8" a="1"/>
  <c r="G322" i="8" s="1"/>
  <c r="G323" i="8" a="1"/>
  <c r="G323" i="8" s="1"/>
  <c r="G324" i="8" a="1"/>
  <c r="G324" i="8" s="1"/>
  <c r="G325" i="8" a="1"/>
  <c r="G325" i="8" s="1"/>
  <c r="G326" i="8" a="1"/>
  <c r="G326" i="8" s="1"/>
  <c r="G327" i="8" a="1"/>
  <c r="G327" i="8" s="1"/>
  <c r="G328" i="8" a="1"/>
  <c r="G328" i="8" s="1"/>
  <c r="G329" i="8" a="1"/>
  <c r="G329" i="8" s="1"/>
  <c r="G330" i="8" a="1"/>
  <c r="G330" i="8" s="1"/>
  <c r="G331" i="8" a="1"/>
  <c r="G331" i="8" s="1"/>
  <c r="G332" i="8" a="1"/>
  <c r="G332" i="8" s="1"/>
  <c r="G333" i="8" a="1"/>
  <c r="G333" i="8" s="1"/>
  <c r="G334" i="8" a="1"/>
  <c r="G334" i="8" s="1"/>
  <c r="G335" i="8" a="1"/>
  <c r="G335" i="8" s="1"/>
  <c r="G336" i="8" a="1"/>
  <c r="G336" i="8" s="1"/>
  <c r="G337" i="8" a="1"/>
  <c r="G337" i="8" s="1"/>
  <c r="G338" i="8" a="1"/>
  <c r="G338" i="8" s="1"/>
  <c r="G339" i="8" a="1"/>
  <c r="G339" i="8" s="1"/>
  <c r="G340" i="8" a="1"/>
  <c r="G340" i="8" s="1"/>
  <c r="G341" i="8" a="1"/>
  <c r="G341" i="8" s="1"/>
  <c r="G342" i="8" a="1"/>
  <c r="G342" i="8" s="1"/>
  <c r="G343" i="8" a="1"/>
  <c r="G343" i="8" s="1"/>
  <c r="G344" i="8" a="1"/>
  <c r="G344" i="8" s="1"/>
  <c r="G345" i="8" a="1"/>
  <c r="G345" i="8" s="1"/>
  <c r="G346" i="8" a="1"/>
  <c r="G346" i="8" s="1"/>
  <c r="G347" i="8" a="1"/>
  <c r="G347" i="8" s="1"/>
  <c r="G348" i="8" a="1"/>
  <c r="G348" i="8" s="1"/>
  <c r="G349" i="8" a="1"/>
  <c r="G349" i="8" s="1"/>
  <c r="G350" i="8" a="1"/>
  <c r="G350" i="8" s="1"/>
  <c r="G351" i="8" a="1"/>
  <c r="G351" i="8" s="1"/>
  <c r="G352" i="8" a="1"/>
  <c r="G352" i="8" s="1"/>
  <c r="G353" i="8" a="1"/>
  <c r="G353" i="8" s="1"/>
  <c r="G354" i="8" a="1"/>
  <c r="G354" i="8" s="1"/>
  <c r="G355" i="8" a="1"/>
  <c r="G355" i="8" s="1"/>
  <c r="G356" i="8" a="1"/>
  <c r="G356" i="8" s="1"/>
  <c r="G357" i="8" a="1"/>
  <c r="G357" i="8" s="1"/>
  <c r="G358" i="8" a="1"/>
  <c r="G358" i="8" s="1"/>
  <c r="G359" i="8" a="1"/>
  <c r="G359" i="8" s="1"/>
  <c r="G360" i="8" a="1"/>
  <c r="G360" i="8" s="1"/>
  <c r="G361" i="8" a="1"/>
  <c r="G361" i="8" s="1"/>
  <c r="G362" i="8" a="1"/>
  <c r="G362" i="8" s="1"/>
  <c r="G363" i="8" a="1"/>
  <c r="G363" i="8" s="1"/>
  <c r="G364" i="8" a="1"/>
  <c r="G364" i="8" s="1"/>
  <c r="G365" i="8" a="1"/>
  <c r="G365" i="8" s="1"/>
  <c r="G366" i="8" a="1"/>
  <c r="G366" i="8" s="1"/>
  <c r="G367" i="8" a="1"/>
  <c r="G367" i="8" s="1"/>
  <c r="G368" i="8" a="1"/>
  <c r="G368" i="8" s="1"/>
  <c r="G369" i="8" a="1"/>
  <c r="G369" i="8" s="1"/>
  <c r="G370" i="8" a="1"/>
  <c r="G370" i="8" s="1"/>
  <c r="G371" i="8" a="1"/>
  <c r="G371" i="8" s="1"/>
  <c r="G372" i="8" a="1"/>
  <c r="G372" i="8" s="1"/>
  <c r="G373" i="8" a="1"/>
  <c r="G373" i="8" s="1"/>
  <c r="G374" i="8" a="1"/>
  <c r="G374" i="8" s="1"/>
  <c r="G375" i="8" a="1"/>
  <c r="G375" i="8" s="1"/>
  <c r="G376" i="8" a="1"/>
  <c r="G376" i="8" s="1"/>
  <c r="G377" i="8" a="1"/>
  <c r="G377" i="8" s="1"/>
  <c r="G378" i="8" a="1"/>
  <c r="G378" i="8" s="1"/>
  <c r="G379" i="8" a="1"/>
  <c r="G379" i="8" s="1"/>
  <c r="G380" i="8" a="1"/>
  <c r="G380" i="8" s="1"/>
  <c r="G381" i="8" a="1"/>
  <c r="G381" i="8" s="1"/>
  <c r="G382" i="8" a="1"/>
  <c r="G382" i="8" s="1"/>
  <c r="G383" i="8" a="1"/>
  <c r="G383" i="8" s="1"/>
  <c r="G384" i="8" a="1"/>
  <c r="G384" i="8" s="1"/>
  <c r="G385" i="8" a="1"/>
  <c r="G385" i="8" s="1"/>
  <c r="G386" i="8" a="1"/>
  <c r="G386" i="8" s="1"/>
  <c r="G387" i="8" a="1"/>
  <c r="G387" i="8" s="1"/>
  <c r="G388" i="8" a="1"/>
  <c r="G388" i="8" s="1"/>
  <c r="G389" i="8" a="1"/>
  <c r="G389" i="8" s="1"/>
  <c r="G390" i="8" a="1"/>
  <c r="G390" i="8" s="1"/>
  <c r="G391" i="8" a="1"/>
  <c r="G391" i="8" s="1"/>
  <c r="I302" i="8"/>
  <c r="J302" i="8" s="1"/>
  <c r="S302" i="8" s="1"/>
  <c r="T302" i="8" s="1"/>
  <c r="I303" i="8"/>
  <c r="J303" i="8" s="1"/>
  <c r="S303" i="8" s="1"/>
  <c r="T303" i="8" s="1"/>
  <c r="I304" i="8"/>
  <c r="J304" i="8" s="1"/>
  <c r="S304" i="8" s="1"/>
  <c r="I305" i="8"/>
  <c r="J305" i="8" s="1"/>
  <c r="S305" i="8" s="1"/>
  <c r="I306" i="8"/>
  <c r="J306" i="8" s="1"/>
  <c r="S306" i="8" s="1"/>
  <c r="I307" i="8"/>
  <c r="J307" i="8" s="1"/>
  <c r="S307" i="8" s="1"/>
  <c r="I308" i="8"/>
  <c r="J308" i="8" s="1"/>
  <c r="S308" i="8" s="1"/>
  <c r="I309" i="8"/>
  <c r="J309" i="8" s="1"/>
  <c r="S309" i="8" s="1"/>
  <c r="I310" i="8"/>
  <c r="J310" i="8" s="1"/>
  <c r="S310" i="8" s="1"/>
  <c r="I311" i="8"/>
  <c r="J311" i="8" s="1"/>
  <c r="S311" i="8" s="1"/>
  <c r="T311" i="8" s="1"/>
  <c r="I312" i="8"/>
  <c r="J312" i="8" s="1"/>
  <c r="S312" i="8" s="1"/>
  <c r="I313" i="8"/>
  <c r="J313" i="8" s="1"/>
  <c r="S313" i="8" s="1"/>
  <c r="U313" i="8" s="1"/>
  <c r="I314" i="8"/>
  <c r="J314" i="8" s="1"/>
  <c r="S314" i="8" s="1"/>
  <c r="I315" i="8"/>
  <c r="J315" i="8" s="1"/>
  <c r="S315" i="8" s="1"/>
  <c r="U315" i="8" s="1"/>
  <c r="I316" i="8"/>
  <c r="J316" i="8" s="1"/>
  <c r="S316" i="8" s="1"/>
  <c r="U316" i="8" s="1"/>
  <c r="I317" i="8"/>
  <c r="J317" i="8" s="1"/>
  <c r="S317" i="8" s="1"/>
  <c r="U317" i="8" s="1"/>
  <c r="I318" i="8"/>
  <c r="J318" i="8" s="1"/>
  <c r="S318" i="8" s="1"/>
  <c r="U318" i="8" s="1"/>
  <c r="I319" i="8"/>
  <c r="J319" i="8" s="1"/>
  <c r="S319" i="8" s="1"/>
  <c r="U319" i="8" s="1"/>
  <c r="I320" i="8"/>
  <c r="J320" i="8" s="1"/>
  <c r="S320" i="8" s="1"/>
  <c r="U320" i="8" s="1"/>
  <c r="I321" i="8"/>
  <c r="J321" i="8" s="1"/>
  <c r="S321" i="8" s="1"/>
  <c r="I322" i="8"/>
  <c r="J322" i="8" s="1"/>
  <c r="S322" i="8" s="1"/>
  <c r="I323" i="8"/>
  <c r="J323" i="8" s="1"/>
  <c r="S323" i="8" s="1"/>
  <c r="I324" i="8"/>
  <c r="J324" i="8" s="1"/>
  <c r="S324" i="8" s="1"/>
  <c r="I325" i="8"/>
  <c r="J325" i="8" s="1"/>
  <c r="S325" i="8" s="1"/>
  <c r="U325" i="8" s="1"/>
  <c r="I326" i="8"/>
  <c r="J326" i="8" s="1"/>
  <c r="S326" i="8" s="1"/>
  <c r="T326" i="8" s="1"/>
  <c r="I327" i="8"/>
  <c r="J327" i="8" s="1"/>
  <c r="S327" i="8" s="1"/>
  <c r="I328" i="8"/>
  <c r="J328" i="8" s="1"/>
  <c r="S328" i="8" s="1"/>
  <c r="I329" i="8"/>
  <c r="J329" i="8" s="1"/>
  <c r="S329" i="8" s="1"/>
  <c r="I330" i="8"/>
  <c r="J330" i="8" s="1"/>
  <c r="S330" i="8" s="1"/>
  <c r="I331" i="8"/>
  <c r="J331" i="8" s="1"/>
  <c r="S331" i="8" s="1"/>
  <c r="I332" i="8"/>
  <c r="J332" i="8" s="1"/>
  <c r="S332" i="8" s="1"/>
  <c r="I333" i="8"/>
  <c r="J333" i="8" s="1"/>
  <c r="S333" i="8" s="1"/>
  <c r="T333" i="8" s="1"/>
  <c r="I334" i="8"/>
  <c r="J334" i="8" s="1"/>
  <c r="S334" i="8" s="1"/>
  <c r="T334" i="8" s="1"/>
  <c r="I335" i="8"/>
  <c r="J335" i="8" s="1"/>
  <c r="S335" i="8" s="1"/>
  <c r="T335" i="8" s="1"/>
  <c r="I336" i="8"/>
  <c r="J336" i="8" s="1"/>
  <c r="S336" i="8" s="1"/>
  <c r="I337" i="8"/>
  <c r="J337" i="8" s="1"/>
  <c r="S337" i="8" s="1"/>
  <c r="I338" i="8"/>
  <c r="J338" i="8" s="1"/>
  <c r="S338" i="8" s="1"/>
  <c r="I339" i="8"/>
  <c r="J339" i="8" s="1"/>
  <c r="S339" i="8" s="1"/>
  <c r="I340" i="8"/>
  <c r="J340" i="8" s="1"/>
  <c r="S340" i="8" s="1"/>
  <c r="T340" i="8" s="1"/>
  <c r="I341" i="8"/>
  <c r="J341" i="8" s="1"/>
  <c r="S341" i="8" s="1"/>
  <c r="I342" i="8"/>
  <c r="J342" i="8" s="1"/>
  <c r="S342" i="8" s="1"/>
  <c r="I343" i="8"/>
  <c r="J343" i="8" s="1"/>
  <c r="S343" i="8" s="1"/>
  <c r="I344" i="8"/>
  <c r="J344" i="8" s="1"/>
  <c r="S344" i="8" s="1"/>
  <c r="T344" i="8" s="1"/>
  <c r="I345" i="8"/>
  <c r="J345" i="8" s="1"/>
  <c r="S345" i="8" s="1"/>
  <c r="I346" i="8"/>
  <c r="J346" i="8" s="1"/>
  <c r="S346" i="8" s="1"/>
  <c r="I347" i="8"/>
  <c r="J347" i="8" s="1"/>
  <c r="S347" i="8" s="1"/>
  <c r="U347" i="8" s="1"/>
  <c r="I348" i="8"/>
  <c r="J348" i="8" s="1"/>
  <c r="S348" i="8" s="1"/>
  <c r="U348" i="8" s="1"/>
  <c r="I349" i="8"/>
  <c r="J349" i="8" s="1"/>
  <c r="S349" i="8" s="1"/>
  <c r="U349" i="8" s="1"/>
  <c r="I350" i="8"/>
  <c r="J350" i="8" s="1"/>
  <c r="S350" i="8" s="1"/>
  <c r="U350" i="8" s="1"/>
  <c r="I351" i="8"/>
  <c r="J351" i="8" s="1"/>
  <c r="S351" i="8" s="1"/>
  <c r="U351" i="8" s="1"/>
  <c r="I352" i="8"/>
  <c r="J352" i="8" s="1"/>
  <c r="S352" i="8" s="1"/>
  <c r="U352" i="8" s="1"/>
  <c r="I353" i="8"/>
  <c r="J353" i="8" s="1"/>
  <c r="S353" i="8" s="1"/>
  <c r="I354" i="8"/>
  <c r="J354" i="8" s="1"/>
  <c r="S354" i="8" s="1"/>
  <c r="I355" i="8"/>
  <c r="J355" i="8" s="1"/>
  <c r="S355" i="8" s="1"/>
  <c r="I356" i="8"/>
  <c r="J356" i="8" s="1"/>
  <c r="S356" i="8" s="1"/>
  <c r="I357" i="8"/>
  <c r="J357" i="8" s="1"/>
  <c r="S357" i="8" s="1"/>
  <c r="I358" i="8"/>
  <c r="J358" i="8" s="1"/>
  <c r="S358" i="8" s="1"/>
  <c r="I359" i="8"/>
  <c r="J359" i="8" s="1"/>
  <c r="S359" i="8" s="1"/>
  <c r="I360" i="8"/>
  <c r="J360" i="8" s="1"/>
  <c r="S360" i="8" s="1"/>
  <c r="I361" i="8"/>
  <c r="J361" i="8" s="1"/>
  <c r="S361" i="8" s="1"/>
  <c r="U361" i="8" s="1"/>
  <c r="I362" i="8"/>
  <c r="J362" i="8" s="1"/>
  <c r="S362" i="8" s="1"/>
  <c r="T362" i="8" s="1"/>
  <c r="I363" i="8"/>
  <c r="J363" i="8" s="1"/>
  <c r="S363" i="8" s="1"/>
  <c r="T363" i="8" s="1"/>
  <c r="I364" i="8"/>
  <c r="J364" i="8" s="1"/>
  <c r="S364" i="8" s="1"/>
  <c r="U364" i="8" s="1"/>
  <c r="I365" i="8"/>
  <c r="J365" i="8" s="1"/>
  <c r="S365" i="8" s="1"/>
  <c r="T365" i="8" s="1"/>
  <c r="I366" i="8"/>
  <c r="J366" i="8" s="1"/>
  <c r="S366" i="8" s="1"/>
  <c r="T366" i="8" s="1"/>
  <c r="I367" i="8"/>
  <c r="J367" i="8" s="1"/>
  <c r="S367" i="8" s="1"/>
  <c r="T367" i="8" s="1"/>
  <c r="I368" i="8"/>
  <c r="J368" i="8" s="1"/>
  <c r="S368" i="8" s="1"/>
  <c r="I369" i="8"/>
  <c r="J369" i="8" s="1"/>
  <c r="S369" i="8" s="1"/>
  <c r="I370" i="8"/>
  <c r="J370" i="8" s="1"/>
  <c r="S370" i="8" s="1"/>
  <c r="T370" i="8" s="1"/>
  <c r="I371" i="8"/>
  <c r="J371" i="8" s="1"/>
  <c r="S371" i="8" s="1"/>
  <c r="T371" i="8" s="1"/>
  <c r="I372" i="8"/>
  <c r="J372" i="8" s="1"/>
  <c r="S372" i="8" s="1"/>
  <c r="U372" i="8" s="1"/>
  <c r="I373" i="8"/>
  <c r="J373" i="8" s="1"/>
  <c r="S373" i="8" s="1"/>
  <c r="I374" i="8"/>
  <c r="J374" i="8" s="1"/>
  <c r="S374" i="8" s="1"/>
  <c r="I375" i="8"/>
  <c r="J375" i="8" s="1"/>
  <c r="S375" i="8" s="1"/>
  <c r="I376" i="8"/>
  <c r="J376" i="8" s="1"/>
  <c r="S376" i="8" s="1"/>
  <c r="I377" i="8"/>
  <c r="J377" i="8" s="1"/>
  <c r="S377" i="8" s="1"/>
  <c r="I378" i="8"/>
  <c r="J378" i="8" s="1"/>
  <c r="S378" i="8" s="1"/>
  <c r="U378" i="8" s="1"/>
  <c r="I379" i="8"/>
  <c r="J379" i="8" s="1"/>
  <c r="S379" i="8" s="1"/>
  <c r="U379" i="8" s="1"/>
  <c r="I380" i="8"/>
  <c r="J380" i="8" s="1"/>
  <c r="S380" i="8" s="1"/>
  <c r="I381" i="8"/>
  <c r="J381" i="8" s="1"/>
  <c r="S381" i="8" s="1"/>
  <c r="T381" i="8" s="1"/>
  <c r="I382" i="8"/>
  <c r="J382" i="8" s="1"/>
  <c r="S382" i="8" s="1"/>
  <c r="T382" i="8" s="1"/>
  <c r="I383" i="8"/>
  <c r="J383" i="8" s="1"/>
  <c r="S383" i="8" s="1"/>
  <c r="U383" i="8" s="1"/>
  <c r="I384" i="8"/>
  <c r="J384" i="8" s="1"/>
  <c r="S384" i="8" s="1"/>
  <c r="I385" i="8"/>
  <c r="J385" i="8" s="1"/>
  <c r="S385" i="8" s="1"/>
  <c r="I386" i="8"/>
  <c r="J386" i="8" s="1"/>
  <c r="S386" i="8" s="1"/>
  <c r="I387" i="8"/>
  <c r="J387" i="8" s="1"/>
  <c r="S387" i="8" s="1"/>
  <c r="T387" i="8" s="1"/>
  <c r="I388" i="8"/>
  <c r="J388" i="8" s="1"/>
  <c r="S388" i="8" s="1"/>
  <c r="U388" i="8" s="1"/>
  <c r="I389" i="8"/>
  <c r="J389" i="8" s="1"/>
  <c r="S389" i="8" s="1"/>
  <c r="I390" i="8"/>
  <c r="J390" i="8" s="1"/>
  <c r="S390" i="8" s="1"/>
  <c r="I391" i="8"/>
  <c r="J391" i="8" s="1"/>
  <c r="S391" i="8" s="1"/>
  <c r="P302" i="8"/>
  <c r="W302" i="8" s="1"/>
  <c r="P303" i="8"/>
  <c r="W303" i="8" s="1"/>
  <c r="P304" i="8"/>
  <c r="P305" i="8"/>
  <c r="W305" i="8" s="1"/>
  <c r="P306" i="8"/>
  <c r="W306" i="8" s="1"/>
  <c r="P307" i="8"/>
  <c r="W307" i="8" s="1"/>
  <c r="P308" i="8"/>
  <c r="W308" i="8" s="1"/>
  <c r="P309" i="8"/>
  <c r="W309" i="8" s="1"/>
  <c r="P310" i="8"/>
  <c r="W310" i="8" s="1"/>
  <c r="P311" i="8"/>
  <c r="W311" i="8" s="1"/>
  <c r="P312" i="8"/>
  <c r="W312" i="8" s="1"/>
  <c r="P313" i="8"/>
  <c r="W313" i="8" s="1"/>
  <c r="P314" i="8"/>
  <c r="W314" i="8" s="1"/>
  <c r="P315" i="8"/>
  <c r="W315" i="8" s="1"/>
  <c r="P316" i="8"/>
  <c r="W316" i="8" s="1"/>
  <c r="P317" i="8"/>
  <c r="W317" i="8" s="1"/>
  <c r="P318" i="8"/>
  <c r="W318" i="8" s="1"/>
  <c r="P319" i="8"/>
  <c r="P320" i="8"/>
  <c r="P321" i="8"/>
  <c r="W321" i="8" s="1"/>
  <c r="P322" i="8"/>
  <c r="W322" i="8" s="1"/>
  <c r="P323" i="8"/>
  <c r="P324" i="8"/>
  <c r="W324" i="8" s="1"/>
  <c r="P325" i="8"/>
  <c r="W325" i="8" s="1"/>
  <c r="P326" i="8"/>
  <c r="W326" i="8" s="1"/>
  <c r="P327" i="8"/>
  <c r="W327" i="8" s="1"/>
  <c r="P328" i="8"/>
  <c r="W328" i="8" s="1"/>
  <c r="P329" i="8"/>
  <c r="W329" i="8" s="1"/>
  <c r="P330" i="8"/>
  <c r="W330" i="8" s="1"/>
  <c r="P331" i="8"/>
  <c r="W331" i="8" s="1"/>
  <c r="P332" i="8"/>
  <c r="W332" i="8" s="1"/>
  <c r="P333" i="8"/>
  <c r="W333" i="8" s="1"/>
  <c r="P334" i="8"/>
  <c r="W334" i="8" s="1"/>
  <c r="P335" i="8"/>
  <c r="W335" i="8" s="1"/>
  <c r="P336" i="8"/>
  <c r="W336" i="8" s="1"/>
  <c r="P337" i="8"/>
  <c r="W337" i="8" s="1"/>
  <c r="P338" i="8"/>
  <c r="W338" i="8" s="1"/>
  <c r="P339" i="8"/>
  <c r="W339" i="8" s="1"/>
  <c r="P340" i="8"/>
  <c r="W340" i="8" s="1"/>
  <c r="P341" i="8"/>
  <c r="W341" i="8" s="1"/>
  <c r="P342" i="8"/>
  <c r="W342" i="8" s="1"/>
  <c r="P343" i="8"/>
  <c r="W343" i="8" s="1"/>
  <c r="P344" i="8"/>
  <c r="W344" i="8" s="1"/>
  <c r="P345" i="8"/>
  <c r="W345" i="8" s="1"/>
  <c r="P346" i="8"/>
  <c r="W346" i="8" s="1"/>
  <c r="P347" i="8"/>
  <c r="W347" i="8" s="1"/>
  <c r="P348" i="8"/>
  <c r="W348" i="8" s="1"/>
  <c r="P349" i="8"/>
  <c r="W349" i="8" s="1"/>
  <c r="P350" i="8"/>
  <c r="W350" i="8" s="1"/>
  <c r="P351" i="8"/>
  <c r="W351" i="8" s="1"/>
  <c r="P352" i="8"/>
  <c r="W352" i="8" s="1"/>
  <c r="P353" i="8"/>
  <c r="W353" i="8" s="1"/>
  <c r="P354" i="8"/>
  <c r="W354" i="8" s="1"/>
  <c r="P355" i="8"/>
  <c r="W355" i="8" s="1"/>
  <c r="P356" i="8"/>
  <c r="W356" i="8" s="1"/>
  <c r="P357" i="8"/>
  <c r="W357" i="8" s="1"/>
  <c r="P358" i="8"/>
  <c r="W358" i="8" s="1"/>
  <c r="P359" i="8"/>
  <c r="W359" i="8" s="1"/>
  <c r="P360" i="8"/>
  <c r="W360" i="8" s="1"/>
  <c r="P361" i="8"/>
  <c r="W361" i="8" s="1"/>
  <c r="P362" i="8"/>
  <c r="W362" i="8" s="1"/>
  <c r="P363" i="8"/>
  <c r="W363" i="8" s="1"/>
  <c r="P364" i="8"/>
  <c r="W364" i="8" s="1"/>
  <c r="P365" i="8"/>
  <c r="W365" i="8" s="1"/>
  <c r="P366" i="8"/>
  <c r="W366" i="8" s="1"/>
  <c r="P367" i="8"/>
  <c r="W367" i="8" s="1"/>
  <c r="P368" i="8"/>
  <c r="W368" i="8" s="1"/>
  <c r="P369" i="8"/>
  <c r="W369" i="8" s="1"/>
  <c r="P370" i="8"/>
  <c r="W370" i="8" s="1"/>
  <c r="P371" i="8"/>
  <c r="W371" i="8" s="1"/>
  <c r="P372" i="8"/>
  <c r="W372" i="8" s="1"/>
  <c r="P373" i="8"/>
  <c r="W373" i="8" s="1"/>
  <c r="P374" i="8"/>
  <c r="W374" i="8" s="1"/>
  <c r="P375" i="8"/>
  <c r="W375" i="8" s="1"/>
  <c r="P376" i="8"/>
  <c r="W376" i="8" s="1"/>
  <c r="P377" i="8"/>
  <c r="W377" i="8" s="1"/>
  <c r="P378" i="8"/>
  <c r="W378" i="8" s="1"/>
  <c r="P379" i="8"/>
  <c r="W379" i="8" s="1"/>
  <c r="P380" i="8"/>
  <c r="W380" i="8" s="1"/>
  <c r="P381" i="8"/>
  <c r="W381" i="8" s="1"/>
  <c r="P382" i="8"/>
  <c r="W382" i="8" s="1"/>
  <c r="P383" i="8"/>
  <c r="W383" i="8" s="1"/>
  <c r="P384" i="8"/>
  <c r="P385" i="8"/>
  <c r="P386" i="8"/>
  <c r="W386" i="8" s="1"/>
  <c r="P387" i="8"/>
  <c r="W387" i="8" s="1"/>
  <c r="P388" i="8"/>
  <c r="P389" i="8"/>
  <c r="W389" i="8" s="1"/>
  <c r="P390" i="8"/>
  <c r="W390" i="8" s="1"/>
  <c r="P391" i="8"/>
  <c r="W391" i="8" s="1"/>
  <c r="W304" i="8"/>
  <c r="W319" i="8"/>
  <c r="W320" i="8"/>
  <c r="W323" i="8"/>
  <c r="W384" i="8"/>
  <c r="W385" i="8"/>
  <c r="W388" i="8"/>
  <c r="AU382" i="2" l="1"/>
  <c r="AU350" i="2"/>
  <c r="AU352" i="2"/>
  <c r="AI369" i="2"/>
  <c r="AU351" i="2"/>
  <c r="AI367" i="2"/>
  <c r="AI366" i="2"/>
  <c r="AU336" i="2"/>
  <c r="AI307" i="2"/>
  <c r="AW355" i="2"/>
  <c r="AW340" i="2"/>
  <c r="AW339" i="2"/>
  <c r="AP318" i="2"/>
  <c r="AK352" i="2"/>
  <c r="AU335" i="2"/>
  <c r="AR307" i="2"/>
  <c r="AU330" i="2"/>
  <c r="AC357" i="2"/>
  <c r="AJ357" i="2" s="1"/>
  <c r="AU305" i="2"/>
  <c r="AK319" i="2"/>
  <c r="AW361" i="2"/>
  <c r="AU303" i="2"/>
  <c r="AK318" i="2"/>
  <c r="AU302" i="2"/>
  <c r="AK302" i="2"/>
  <c r="AW359" i="2"/>
  <c r="AS392" i="2"/>
  <c r="AC322" i="2"/>
  <c r="AJ322" i="2" s="1"/>
  <c r="AW358" i="2"/>
  <c r="AI391" i="2"/>
  <c r="AI390" i="2"/>
  <c r="AW356" i="2"/>
  <c r="AI387" i="2"/>
  <c r="AP337" i="2"/>
  <c r="AW326" i="2"/>
  <c r="AU383" i="2"/>
  <c r="AP319" i="2"/>
  <c r="AI308" i="2"/>
  <c r="AU334" i="2"/>
  <c r="AW302" i="2"/>
  <c r="AU332" i="2"/>
  <c r="AN323" i="2"/>
  <c r="AP356" i="2"/>
  <c r="AC364" i="2"/>
  <c r="AJ364" i="2" s="1"/>
  <c r="AP302" i="2"/>
  <c r="AC356" i="2"/>
  <c r="AJ356" i="2" s="1"/>
  <c r="AW318" i="2"/>
  <c r="AR376" i="2"/>
  <c r="AU316" i="2"/>
  <c r="AI364" i="2"/>
  <c r="AI355" i="2"/>
  <c r="AU338" i="2"/>
  <c r="AI354" i="2"/>
  <c r="AU394" i="2"/>
  <c r="AI380" i="2"/>
  <c r="AI310" i="2"/>
  <c r="AC380" i="2"/>
  <c r="AJ380" i="2" s="1"/>
  <c r="AC332" i="2"/>
  <c r="AJ332" i="2" s="1"/>
  <c r="AC316" i="2"/>
  <c r="AJ316" i="2" s="1"/>
  <c r="AC379" i="2"/>
  <c r="AJ379" i="2" s="1"/>
  <c r="AC363" i="2"/>
  <c r="AJ363" i="2" s="1"/>
  <c r="AC378" i="2"/>
  <c r="AJ378" i="2" s="1"/>
  <c r="AC362" i="2"/>
  <c r="AJ362" i="2" s="1"/>
  <c r="AC330" i="2"/>
  <c r="AJ330" i="2" s="1"/>
  <c r="AC389" i="2"/>
  <c r="AJ389" i="2" s="1"/>
  <c r="AC325" i="2"/>
  <c r="AJ325" i="2" s="1"/>
  <c r="U521" i="8"/>
  <c r="V521" i="8" s="1"/>
  <c r="T322" i="8"/>
  <c r="V322" i="8" s="1"/>
  <c r="U322" i="8"/>
  <c r="U463" i="8"/>
  <c r="T463" i="8"/>
  <c r="V463" i="8" s="1"/>
  <c r="AG463" i="8" s="1"/>
  <c r="T501" i="8"/>
  <c r="V501" i="8" s="1"/>
  <c r="U333" i="8"/>
  <c r="V333" i="8" s="1"/>
  <c r="T457" i="8"/>
  <c r="V457" i="8" s="1"/>
  <c r="T520" i="8"/>
  <c r="U520" i="8"/>
  <c r="T408" i="8"/>
  <c r="U408" i="8"/>
  <c r="U456" i="8"/>
  <c r="T456" i="8"/>
  <c r="T517" i="8"/>
  <c r="U517" i="8"/>
  <c r="T314" i="8"/>
  <c r="U314" i="8"/>
  <c r="T409" i="8"/>
  <c r="U409" i="8"/>
  <c r="T393" i="8"/>
  <c r="U393" i="8"/>
  <c r="T392" i="8"/>
  <c r="V392" i="8" s="1"/>
  <c r="X392" i="8" s="1"/>
  <c r="AA392" i="8" s="1"/>
  <c r="AD392" i="8" s="1"/>
  <c r="T437" i="8"/>
  <c r="V437" i="8" s="1"/>
  <c r="X437" i="8" s="1"/>
  <c r="AA437" i="8" s="1"/>
  <c r="AD437" i="8" s="1"/>
  <c r="T421" i="8"/>
  <c r="V421" i="8" s="1"/>
  <c r="T417" i="8"/>
  <c r="U417" i="8"/>
  <c r="T453" i="8"/>
  <c r="V453" i="8" s="1"/>
  <c r="T405" i="8"/>
  <c r="U405" i="8"/>
  <c r="U507" i="8"/>
  <c r="V507" i="8" s="1"/>
  <c r="U394" i="8"/>
  <c r="V394" i="8" s="1"/>
  <c r="AG394" i="8" s="1"/>
  <c r="U485" i="8"/>
  <c r="V485" i="8" s="1"/>
  <c r="T505" i="8"/>
  <c r="U505" i="8"/>
  <c r="T491" i="8"/>
  <c r="U491" i="8"/>
  <c r="T492" i="8"/>
  <c r="U492" i="8"/>
  <c r="U506" i="8"/>
  <c r="T506" i="8"/>
  <c r="T490" i="8"/>
  <c r="U490" i="8"/>
  <c r="T489" i="8"/>
  <c r="U489" i="8"/>
  <c r="T504" i="8"/>
  <c r="U504" i="8"/>
  <c r="T488" i="8"/>
  <c r="U488" i="8"/>
  <c r="U511" i="8"/>
  <c r="T511" i="8"/>
  <c r="T502" i="8"/>
  <c r="U502" i="8"/>
  <c r="U508" i="8"/>
  <c r="T508" i="8"/>
  <c r="C303" i="8"/>
  <c r="C304" i="8" s="1"/>
  <c r="C305" i="8" s="1"/>
  <c r="C306" i="8" s="1"/>
  <c r="C307" i="8" s="1"/>
  <c r="C308" i="8" s="1"/>
  <c r="C309" i="8" s="1"/>
  <c r="C310" i="8" s="1"/>
  <c r="C311" i="8" s="1"/>
  <c r="C312" i="8" s="1"/>
  <c r="C313" i="8" s="1"/>
  <c r="C314" i="8" s="1"/>
  <c r="C315" i="8" s="1"/>
  <c r="C316" i="8" s="1"/>
  <c r="C317" i="8" s="1"/>
  <c r="C318" i="8" s="1"/>
  <c r="C319" i="8" s="1"/>
  <c r="C320" i="8" s="1"/>
  <c r="C321" i="8" s="1"/>
  <c r="C322" i="8" s="1"/>
  <c r="C323" i="8" s="1"/>
  <c r="C324" i="8" s="1"/>
  <c r="C325" i="8" s="1"/>
  <c r="C326" i="8" s="1"/>
  <c r="C327" i="8" s="1"/>
  <c r="C328" i="8" s="1"/>
  <c r="C329" i="8" s="1"/>
  <c r="C330" i="8" s="1"/>
  <c r="C331" i="8" s="1"/>
  <c r="C332" i="8" s="1"/>
  <c r="C333" i="8" s="1"/>
  <c r="C334" i="8" s="1"/>
  <c r="C335" i="8" s="1"/>
  <c r="C336" i="8" s="1"/>
  <c r="C337" i="8" s="1"/>
  <c r="C338" i="8" s="1"/>
  <c r="C339" i="8" s="1"/>
  <c r="C340" i="8" s="1"/>
  <c r="C341" i="8" s="1"/>
  <c r="C342" i="8" s="1"/>
  <c r="C343" i="8" s="1"/>
  <c r="C344" i="8" s="1"/>
  <c r="C345" i="8" s="1"/>
  <c r="C346" i="8" s="1"/>
  <c r="C347" i="8" s="1"/>
  <c r="C348" i="8" s="1"/>
  <c r="C349" i="8" s="1"/>
  <c r="C350" i="8" s="1"/>
  <c r="C351" i="8" s="1"/>
  <c r="C352" i="8" s="1"/>
  <c r="C353" i="8" s="1"/>
  <c r="C354" i="8" s="1"/>
  <c r="C355" i="8" s="1"/>
  <c r="C356" i="8" s="1"/>
  <c r="C357" i="8" s="1"/>
  <c r="C358" i="8" s="1"/>
  <c r="C359" i="8" s="1"/>
  <c r="C360" i="8" s="1"/>
  <c r="C361" i="8" s="1"/>
  <c r="C362" i="8" s="1"/>
  <c r="C363" i="8" s="1"/>
  <c r="C364" i="8" s="1"/>
  <c r="C365" i="8" s="1"/>
  <c r="C366" i="8" s="1"/>
  <c r="C367" i="8" s="1"/>
  <c r="C368" i="8" s="1"/>
  <c r="C369" i="8" s="1"/>
  <c r="C370" i="8" s="1"/>
  <c r="C371" i="8" s="1"/>
  <c r="C372" i="8" s="1"/>
  <c r="C373" i="8" s="1"/>
  <c r="C374" i="8" s="1"/>
  <c r="C375" i="8" s="1"/>
  <c r="C376" i="8" s="1"/>
  <c r="C377" i="8" s="1"/>
  <c r="C378" i="8" s="1"/>
  <c r="C379" i="8" s="1"/>
  <c r="C380" i="8" s="1"/>
  <c r="C381" i="8" s="1"/>
  <c r="C382" i="8" s="1"/>
  <c r="C383" i="8" s="1"/>
  <c r="C384" i="8" s="1"/>
  <c r="C385" i="8" s="1"/>
  <c r="C386" i="8" s="1"/>
  <c r="C387" i="8" s="1"/>
  <c r="C388" i="8" s="1"/>
  <c r="C389" i="8" s="1"/>
  <c r="C390" i="8" s="1"/>
  <c r="C391" i="8" s="1"/>
  <c r="U510" i="8"/>
  <c r="V510" i="8" s="1"/>
  <c r="C393" i="8"/>
  <c r="C394" i="8" s="1"/>
  <c r="D394" i="8" s="1"/>
  <c r="U515" i="8"/>
  <c r="V515" i="8" s="1"/>
  <c r="Y515" i="8" s="1"/>
  <c r="AB515" i="8" s="1"/>
  <c r="AE515" i="8" s="1"/>
  <c r="U512" i="8"/>
  <c r="V512" i="8" s="1"/>
  <c r="U481" i="8"/>
  <c r="V481" i="8" s="1"/>
  <c r="T525" i="8"/>
  <c r="V525" i="8" s="1"/>
  <c r="AG525" i="8" s="1"/>
  <c r="T496" i="8"/>
  <c r="V496" i="8" s="1"/>
  <c r="Z496" i="8" s="1"/>
  <c r="AC496" i="8" s="1"/>
  <c r="AF496" i="8" s="1"/>
  <c r="U513" i="8"/>
  <c r="V513" i="8" s="1"/>
  <c r="AG513" i="8" s="1"/>
  <c r="U480" i="8"/>
  <c r="V480" i="8" s="1"/>
  <c r="T524" i="8"/>
  <c r="V524" i="8" s="1"/>
  <c r="Y524" i="8" s="1"/>
  <c r="AB524" i="8" s="1"/>
  <c r="AE524" i="8" s="1"/>
  <c r="T494" i="8"/>
  <c r="V494" i="8" s="1"/>
  <c r="U484" i="8"/>
  <c r="V484" i="8" s="1"/>
  <c r="U479" i="8"/>
  <c r="V479" i="8" s="1"/>
  <c r="T523" i="8"/>
  <c r="V523" i="8" s="1"/>
  <c r="U478" i="8"/>
  <c r="V478" i="8" s="1"/>
  <c r="T522" i="8"/>
  <c r="V522" i="8" s="1"/>
  <c r="U495" i="8"/>
  <c r="V495" i="8" s="1"/>
  <c r="U448" i="8"/>
  <c r="V448" i="8" s="1"/>
  <c r="T514" i="8"/>
  <c r="V514" i="8" s="1"/>
  <c r="U483" i="8"/>
  <c r="V483" i="8" s="1"/>
  <c r="T498" i="8"/>
  <c r="V498" i="8" s="1"/>
  <c r="U446" i="8"/>
  <c r="V446" i="8" s="1"/>
  <c r="U444" i="8"/>
  <c r="V444" i="8" s="1"/>
  <c r="Z444" i="8" s="1"/>
  <c r="AC444" i="8" s="1"/>
  <c r="AF444" i="8" s="1"/>
  <c r="T429" i="8"/>
  <c r="V429" i="8" s="1"/>
  <c r="U443" i="8"/>
  <c r="V443" i="8" s="1"/>
  <c r="T426" i="8"/>
  <c r="V426" i="8" s="1"/>
  <c r="X426" i="8" s="1"/>
  <c r="AA426" i="8" s="1"/>
  <c r="AD426" i="8" s="1"/>
  <c r="U425" i="8"/>
  <c r="V425" i="8" s="1"/>
  <c r="X425" i="8" s="1"/>
  <c r="AA425" i="8" s="1"/>
  <c r="AD425" i="8" s="1"/>
  <c r="U424" i="8"/>
  <c r="V424" i="8" s="1"/>
  <c r="AG424" i="8" s="1"/>
  <c r="T412" i="8"/>
  <c r="V412" i="8" s="1"/>
  <c r="Y412" i="8" s="1"/>
  <c r="AB412" i="8" s="1"/>
  <c r="AE412" i="8" s="1"/>
  <c r="W399" i="8"/>
  <c r="U476" i="8"/>
  <c r="V476" i="8" s="1"/>
  <c r="X476" i="8" s="1"/>
  <c r="AA476" i="8" s="1"/>
  <c r="AD476" i="8" s="1"/>
  <c r="U419" i="8"/>
  <c r="V419" i="8" s="1"/>
  <c r="T399" i="8"/>
  <c r="V399" i="8" s="1"/>
  <c r="U440" i="8"/>
  <c r="V440" i="8" s="1"/>
  <c r="U473" i="8"/>
  <c r="V473" i="8" s="1"/>
  <c r="T395" i="8"/>
  <c r="V395" i="8" s="1"/>
  <c r="Y395" i="8" s="1"/>
  <c r="AB395" i="8" s="1"/>
  <c r="AE395" i="8" s="1"/>
  <c r="T406" i="8"/>
  <c r="V406" i="8" s="1"/>
  <c r="Z406" i="8" s="1"/>
  <c r="AC406" i="8" s="1"/>
  <c r="AF406" i="8" s="1"/>
  <c r="U475" i="8"/>
  <c r="V475" i="8" s="1"/>
  <c r="T396" i="8"/>
  <c r="V396" i="8" s="1"/>
  <c r="U472" i="8"/>
  <c r="V472" i="8" s="1"/>
  <c r="U411" i="8"/>
  <c r="V411" i="8" s="1"/>
  <c r="T460" i="8"/>
  <c r="V460" i="8" s="1"/>
  <c r="U458" i="8"/>
  <c r="V458" i="8" s="1"/>
  <c r="Z458" i="8" s="1"/>
  <c r="AC458" i="8" s="1"/>
  <c r="AF458" i="8" s="1"/>
  <c r="C395" i="8"/>
  <c r="T447" i="8"/>
  <c r="V447" i="8" s="1"/>
  <c r="T414" i="8"/>
  <c r="V414" i="8" s="1"/>
  <c r="AG414" i="8" s="1"/>
  <c r="U416" i="8"/>
  <c r="V416" i="8" s="1"/>
  <c r="D303" i="8"/>
  <c r="T415" i="8"/>
  <c r="V415" i="8" s="1"/>
  <c r="Z415" i="8" s="1"/>
  <c r="AC415" i="8" s="1"/>
  <c r="AF415" i="8" s="1"/>
  <c r="D393" i="8"/>
  <c r="U467" i="8"/>
  <c r="V467" i="8" s="1"/>
  <c r="U435" i="8"/>
  <c r="V435" i="8" s="1"/>
  <c r="U464" i="8"/>
  <c r="V464" i="8" s="1"/>
  <c r="U433" i="8"/>
  <c r="V433" i="8" s="1"/>
  <c r="U432" i="8"/>
  <c r="V432" i="8" s="1"/>
  <c r="U403" i="8"/>
  <c r="V403" i="8" s="1"/>
  <c r="T474" i="8"/>
  <c r="V474" i="8" s="1"/>
  <c r="Y474" i="8" s="1"/>
  <c r="AB474" i="8" s="1"/>
  <c r="AE474" i="8" s="1"/>
  <c r="T441" i="8"/>
  <c r="V441" i="8" s="1"/>
  <c r="Y441" i="8" s="1"/>
  <c r="AB441" i="8" s="1"/>
  <c r="AE441" i="8" s="1"/>
  <c r="U462" i="8"/>
  <c r="V462" i="8" s="1"/>
  <c r="U430" i="8"/>
  <c r="V430" i="8" s="1"/>
  <c r="U400" i="8"/>
  <c r="V400" i="8" s="1"/>
  <c r="U428" i="8"/>
  <c r="V428" i="8" s="1"/>
  <c r="T404" i="8"/>
  <c r="V404" i="8" s="1"/>
  <c r="Z404" i="8" s="1"/>
  <c r="AC404" i="8" s="1"/>
  <c r="AF404" i="8" s="1"/>
  <c r="U459" i="8"/>
  <c r="V459" i="8" s="1"/>
  <c r="U427" i="8"/>
  <c r="V427" i="8" s="1"/>
  <c r="T465" i="8"/>
  <c r="V465" i="8" s="1"/>
  <c r="AG465" i="8" s="1"/>
  <c r="T402" i="8"/>
  <c r="V402" i="8" s="1"/>
  <c r="T431" i="8"/>
  <c r="V431" i="8" s="1"/>
  <c r="AG431" i="8" s="1"/>
  <c r="T450" i="8"/>
  <c r="V450" i="8" s="1"/>
  <c r="X450" i="8" s="1"/>
  <c r="AA450" i="8" s="1"/>
  <c r="AD450" i="8" s="1"/>
  <c r="T449" i="8"/>
  <c r="V449" i="8" s="1"/>
  <c r="AG449" i="8" s="1"/>
  <c r="AS313" i="2"/>
  <c r="AN326" i="2"/>
  <c r="AN322" i="2"/>
  <c r="AR374" i="2"/>
  <c r="AN310" i="2"/>
  <c r="AR371" i="2"/>
  <c r="AN306" i="2"/>
  <c r="AW362" i="2"/>
  <c r="AR360" i="2"/>
  <c r="AR342" i="2"/>
  <c r="AM370" i="2"/>
  <c r="BC370" i="2" s="1"/>
  <c r="AR341" i="2"/>
  <c r="AM355" i="2"/>
  <c r="BC355" i="2" s="1"/>
  <c r="AS374" i="2"/>
  <c r="AR322" i="2"/>
  <c r="AM354" i="2"/>
  <c r="BC354" i="2" s="1"/>
  <c r="AS358" i="2"/>
  <c r="AR309" i="2"/>
  <c r="AM332" i="2"/>
  <c r="BC332" i="2" s="1"/>
  <c r="AS354" i="2"/>
  <c r="AM325" i="2"/>
  <c r="BC325" i="2" s="1"/>
  <c r="AS341" i="2"/>
  <c r="AM307" i="2"/>
  <c r="BC307" i="2" s="1"/>
  <c r="AC355" i="2"/>
  <c r="AJ355" i="2" s="1"/>
  <c r="AS332" i="2"/>
  <c r="AN386" i="2"/>
  <c r="AC352" i="2"/>
  <c r="AJ352" i="2" s="1"/>
  <c r="AS325" i="2"/>
  <c r="AN358" i="2"/>
  <c r="AI311" i="2"/>
  <c r="AC328" i="2"/>
  <c r="AJ328" i="2" s="1"/>
  <c r="AC381" i="2"/>
  <c r="AJ381" i="2" s="1"/>
  <c r="AC365" i="2"/>
  <c r="AJ365" i="2" s="1"/>
  <c r="AC349" i="2"/>
  <c r="AJ349" i="2" s="1"/>
  <c r="AC333" i="2"/>
  <c r="AJ333" i="2" s="1"/>
  <c r="AC317" i="2"/>
  <c r="AJ317" i="2" s="1"/>
  <c r="AC301" i="2"/>
  <c r="AJ301" i="2" s="1"/>
  <c r="AN354" i="2"/>
  <c r="AS369" i="2"/>
  <c r="AR385" i="2"/>
  <c r="AR321" i="2"/>
  <c r="AN353" i="2"/>
  <c r="AM369" i="2"/>
  <c r="BC369" i="2" s="1"/>
  <c r="H322" i="2"/>
  <c r="AV322" i="2" s="1"/>
  <c r="AR315" i="2"/>
  <c r="AC303" i="2"/>
  <c r="AJ303" i="2" s="1"/>
  <c r="AS353" i="2"/>
  <c r="AU379" i="2"/>
  <c r="AM353" i="2"/>
  <c r="BC353" i="2" s="1"/>
  <c r="AI363" i="2"/>
  <c r="AW333" i="2"/>
  <c r="AW301" i="2"/>
  <c r="AU378" i="2"/>
  <c r="AU315" i="2"/>
  <c r="AS338" i="2"/>
  <c r="AR370" i="2"/>
  <c r="AR306" i="2"/>
  <c r="AP374" i="2"/>
  <c r="AN321" i="2"/>
  <c r="AM338" i="2"/>
  <c r="BC338" i="2" s="1"/>
  <c r="AI362" i="2"/>
  <c r="AI306" i="2"/>
  <c r="AC354" i="2"/>
  <c r="AJ354" i="2" s="1"/>
  <c r="AC376" i="2"/>
  <c r="AJ376" i="2" s="1"/>
  <c r="AC360" i="2"/>
  <c r="AJ360" i="2" s="1"/>
  <c r="AC344" i="2"/>
  <c r="AJ344" i="2" s="1"/>
  <c r="AW332" i="2"/>
  <c r="AU314" i="2"/>
  <c r="AR305" i="2"/>
  <c r="AP364" i="2"/>
  <c r="AM337" i="2"/>
  <c r="BC337" i="2" s="1"/>
  <c r="AC348" i="2"/>
  <c r="AJ348" i="2" s="1"/>
  <c r="AR344" i="2"/>
  <c r="AN307" i="2"/>
  <c r="AM329" i="2"/>
  <c r="BC329" i="2" s="1"/>
  <c r="AI389" i="2"/>
  <c r="AI353" i="2"/>
  <c r="AW381" i="2"/>
  <c r="AI388" i="2"/>
  <c r="AW380" i="2"/>
  <c r="AW349" i="2"/>
  <c r="AN305" i="2"/>
  <c r="AI347" i="2"/>
  <c r="AS387" i="2"/>
  <c r="AS308" i="2"/>
  <c r="AR340" i="2"/>
  <c r="AN385" i="2"/>
  <c r="AM385" i="2"/>
  <c r="BC385" i="2" s="1"/>
  <c r="AM306" i="2"/>
  <c r="BC306" i="2" s="1"/>
  <c r="AI386" i="2"/>
  <c r="AI346" i="2"/>
  <c r="AC383" i="2"/>
  <c r="AJ383" i="2" s="1"/>
  <c r="AC386" i="2"/>
  <c r="AJ386" i="2" s="1"/>
  <c r="AC338" i="2"/>
  <c r="AJ338" i="2" s="1"/>
  <c r="AC306" i="2"/>
  <c r="AJ306" i="2" s="1"/>
  <c r="AS386" i="2"/>
  <c r="AR339" i="2"/>
  <c r="AN371" i="2"/>
  <c r="AK364" i="2"/>
  <c r="AI385" i="2"/>
  <c r="AI331" i="2"/>
  <c r="AC327" i="2"/>
  <c r="AJ327" i="2" s="1"/>
  <c r="AC385" i="2"/>
  <c r="AJ385" i="2" s="1"/>
  <c r="AC369" i="2"/>
  <c r="AJ369" i="2" s="1"/>
  <c r="AC353" i="2"/>
  <c r="AJ353" i="2" s="1"/>
  <c r="AC321" i="2"/>
  <c r="AJ321" i="2" s="1"/>
  <c r="AR338" i="2"/>
  <c r="AN370" i="2"/>
  <c r="AC384" i="2"/>
  <c r="AJ384" i="2" s="1"/>
  <c r="AC368" i="2"/>
  <c r="AJ368" i="2" s="1"/>
  <c r="AC320" i="2"/>
  <c r="AJ320" i="2" s="1"/>
  <c r="AW365" i="2"/>
  <c r="AW317" i="2"/>
  <c r="AU337" i="2"/>
  <c r="AR387" i="2"/>
  <c r="AR337" i="2"/>
  <c r="AN369" i="2"/>
  <c r="AK339" i="2"/>
  <c r="AI321" i="2"/>
  <c r="AC367" i="2"/>
  <c r="AJ367" i="2" s="1"/>
  <c r="AC351" i="2"/>
  <c r="AJ351" i="2" s="1"/>
  <c r="AC335" i="2"/>
  <c r="AJ335" i="2" s="1"/>
  <c r="AR386" i="2"/>
  <c r="AR323" i="2"/>
  <c r="AM371" i="2"/>
  <c r="BC371" i="2" s="1"/>
  <c r="AC366" i="2"/>
  <c r="AJ366" i="2" s="1"/>
  <c r="AC350" i="2"/>
  <c r="AJ350" i="2" s="1"/>
  <c r="AC334" i="2"/>
  <c r="AJ334" i="2" s="1"/>
  <c r="AW379" i="2"/>
  <c r="AK347" i="2"/>
  <c r="AW392" i="2"/>
  <c r="AK328" i="2"/>
  <c r="AW391" i="2"/>
  <c r="AW373" i="2"/>
  <c r="AP347" i="2"/>
  <c r="AN368" i="2"/>
  <c r="AM316" i="2"/>
  <c r="BC316" i="2" s="1"/>
  <c r="AK327" i="2"/>
  <c r="AC373" i="2"/>
  <c r="AJ373" i="2" s="1"/>
  <c r="AC346" i="2"/>
  <c r="AJ346" i="2" s="1"/>
  <c r="AW390" i="2"/>
  <c r="AW372" i="2"/>
  <c r="AW354" i="2"/>
  <c r="AS310" i="2"/>
  <c r="AP346" i="2"/>
  <c r="AP328" i="2"/>
  <c r="AN364" i="2"/>
  <c r="AM368" i="2"/>
  <c r="BC368" i="2" s="1"/>
  <c r="AM315" i="2"/>
  <c r="BC315" i="2" s="1"/>
  <c r="AK361" i="2"/>
  <c r="AC372" i="2"/>
  <c r="AJ372" i="2" s="1"/>
  <c r="AC345" i="2"/>
  <c r="AJ345" i="2" s="1"/>
  <c r="AC314" i="2"/>
  <c r="AJ314" i="2" s="1"/>
  <c r="AS368" i="2"/>
  <c r="AN316" i="2"/>
  <c r="AC375" i="2"/>
  <c r="AJ375" i="2" s="1"/>
  <c r="AW376" i="2"/>
  <c r="AW393" i="2"/>
  <c r="AW374" i="2"/>
  <c r="AN304" i="2"/>
  <c r="AC394" i="2"/>
  <c r="AJ394" i="2" s="1"/>
  <c r="AC342" i="2"/>
  <c r="AJ342" i="2" s="1"/>
  <c r="AC311" i="2"/>
  <c r="AJ311" i="2" s="1"/>
  <c r="AW389" i="2"/>
  <c r="AW370" i="2"/>
  <c r="AR367" i="2"/>
  <c r="AR326" i="2"/>
  <c r="AC393" i="2"/>
  <c r="AJ393" i="2" s="1"/>
  <c r="AC341" i="2"/>
  <c r="AJ341" i="2" s="1"/>
  <c r="AC310" i="2"/>
  <c r="AJ310" i="2" s="1"/>
  <c r="AW378" i="2"/>
  <c r="AK346" i="2"/>
  <c r="AW315" i="2"/>
  <c r="AR336" i="2"/>
  <c r="AP327" i="2"/>
  <c r="AM313" i="2"/>
  <c r="BC313" i="2" s="1"/>
  <c r="AW313" i="2"/>
  <c r="AS349" i="2"/>
  <c r="AW330" i="2"/>
  <c r="AS304" i="2"/>
  <c r="AW347" i="2"/>
  <c r="AW329" i="2"/>
  <c r="AW311" i="2"/>
  <c r="AR392" i="2"/>
  <c r="AN341" i="2"/>
  <c r="AM392" i="2"/>
  <c r="BC392" i="2" s="1"/>
  <c r="AM351" i="2"/>
  <c r="BC351" i="2" s="1"/>
  <c r="AK374" i="2"/>
  <c r="AK355" i="2"/>
  <c r="AC392" i="2"/>
  <c r="AJ392" i="2" s="1"/>
  <c r="AC361" i="2"/>
  <c r="AJ361" i="2" s="1"/>
  <c r="AC336" i="2"/>
  <c r="AJ336" i="2" s="1"/>
  <c r="AC309" i="2"/>
  <c r="AJ309" i="2" s="1"/>
  <c r="AM384" i="2"/>
  <c r="BC384" i="2" s="1"/>
  <c r="AS336" i="2"/>
  <c r="AN384" i="2"/>
  <c r="AM336" i="2"/>
  <c r="BC336" i="2" s="1"/>
  <c r="AK315" i="2"/>
  <c r="AW377" i="2"/>
  <c r="AR384" i="2"/>
  <c r="AP315" i="2"/>
  <c r="AN383" i="2"/>
  <c r="AC377" i="2"/>
  <c r="AJ377" i="2" s="1"/>
  <c r="AW375" i="2"/>
  <c r="AN315" i="2"/>
  <c r="AW314" i="2"/>
  <c r="AS351" i="2"/>
  <c r="AC343" i="2"/>
  <c r="AJ343" i="2" s="1"/>
  <c r="AC312" i="2"/>
  <c r="AJ312" i="2" s="1"/>
  <c r="AW386" i="2"/>
  <c r="AR358" i="2"/>
  <c r="AN352" i="2"/>
  <c r="AM393" i="2"/>
  <c r="BC393" i="2" s="1"/>
  <c r="AM352" i="2"/>
  <c r="BC352" i="2" s="1"/>
  <c r="AS344" i="2"/>
  <c r="AR390" i="2"/>
  <c r="AR355" i="2"/>
  <c r="AR318" i="2"/>
  <c r="AP340" i="2"/>
  <c r="AN389" i="2"/>
  <c r="AN335" i="2"/>
  <c r="AM387" i="2"/>
  <c r="BC387" i="2" s="1"/>
  <c r="AK337" i="2"/>
  <c r="AC391" i="2"/>
  <c r="AJ391" i="2" s="1"/>
  <c r="AC308" i="2"/>
  <c r="AJ308" i="2" s="1"/>
  <c r="AR351" i="2"/>
  <c r="AS352" i="2"/>
  <c r="AW363" i="2"/>
  <c r="AS376" i="2"/>
  <c r="AS342" i="2"/>
  <c r="AR389" i="2"/>
  <c r="AR316" i="2"/>
  <c r="AN332" i="2"/>
  <c r="AM344" i="2"/>
  <c r="BC344" i="2" s="1"/>
  <c r="AC307" i="2"/>
  <c r="AJ307" i="2" s="1"/>
  <c r="AU356" i="2"/>
  <c r="AI373" i="2"/>
  <c r="AU374" i="2"/>
  <c r="AU372" i="2"/>
  <c r="AU371" i="2"/>
  <c r="AU392" i="2"/>
  <c r="AU370" i="2"/>
  <c r="AU320" i="2"/>
  <c r="AU319" i="2"/>
  <c r="AI322" i="2"/>
  <c r="AI328" i="2"/>
  <c r="AI327" i="2"/>
  <c r="AI326" i="2"/>
  <c r="AU368" i="2"/>
  <c r="AU313" i="2"/>
  <c r="AI345" i="2"/>
  <c r="AI325" i="2"/>
  <c r="AU312" i="2"/>
  <c r="AI344" i="2"/>
  <c r="AI324" i="2"/>
  <c r="AU384" i="2"/>
  <c r="AU329" i="2"/>
  <c r="AI381" i="2"/>
  <c r="AI343" i="2"/>
  <c r="AI323" i="2"/>
  <c r="AI301" i="2"/>
  <c r="AU360" i="2"/>
  <c r="AU342" i="2"/>
  <c r="AI377" i="2"/>
  <c r="AI359" i="2"/>
  <c r="AI339" i="2"/>
  <c r="AI318" i="2"/>
  <c r="AI376" i="2"/>
  <c r="AI361" i="2"/>
  <c r="AI340" i="2"/>
  <c r="AU341" i="2"/>
  <c r="AU358" i="2"/>
  <c r="AI393" i="2"/>
  <c r="AI375" i="2"/>
  <c r="AI357" i="2"/>
  <c r="AU304" i="2"/>
  <c r="AN319" i="2"/>
  <c r="AR319" i="2"/>
  <c r="AS303" i="2"/>
  <c r="AM303" i="2"/>
  <c r="BC303" i="2" s="1"/>
  <c r="AN303" i="2"/>
  <c r="AS319" i="2"/>
  <c r="AN367" i="2"/>
  <c r="AN313" i="2"/>
  <c r="AM383" i="2"/>
  <c r="BC383" i="2" s="1"/>
  <c r="AM327" i="2"/>
  <c r="BC327" i="2" s="1"/>
  <c r="AN382" i="2"/>
  <c r="AR382" i="2"/>
  <c r="AM382" i="2"/>
  <c r="BC382" i="2" s="1"/>
  <c r="AR366" i="2"/>
  <c r="AM366" i="2"/>
  <c r="BC366" i="2" s="1"/>
  <c r="AM302" i="2"/>
  <c r="BC302" i="2" s="1"/>
  <c r="AN302" i="2"/>
  <c r="AS318" i="2"/>
  <c r="AN366" i="2"/>
  <c r="AR381" i="2"/>
  <c r="AN381" i="2"/>
  <c r="AN365" i="2"/>
  <c r="AR365" i="2"/>
  <c r="AN301" i="2"/>
  <c r="AR301" i="2"/>
  <c r="AS317" i="2"/>
  <c r="AR362" i="2"/>
  <c r="AN334" i="2"/>
  <c r="AM350" i="2"/>
  <c r="BC350" i="2" s="1"/>
  <c r="AR380" i="2"/>
  <c r="AS380" i="2"/>
  <c r="AR364" i="2"/>
  <c r="AM364" i="2"/>
  <c r="BC364" i="2" s="1"/>
  <c r="AN348" i="2"/>
  <c r="AR348" i="2"/>
  <c r="AM348" i="2"/>
  <c r="BC348" i="2" s="1"/>
  <c r="AS367" i="2"/>
  <c r="AR308" i="2"/>
  <c r="AN362" i="2"/>
  <c r="AN333" i="2"/>
  <c r="AM375" i="2"/>
  <c r="BC375" i="2" s="1"/>
  <c r="AM349" i="2"/>
  <c r="BC349" i="2" s="1"/>
  <c r="AM318" i="2"/>
  <c r="BC318" i="2" s="1"/>
  <c r="AS379" i="2"/>
  <c r="AM379" i="2"/>
  <c r="BC379" i="2" s="1"/>
  <c r="AN379" i="2"/>
  <c r="AS363" i="2"/>
  <c r="AR363" i="2"/>
  <c r="AN363" i="2"/>
  <c r="AS347" i="2"/>
  <c r="AR347" i="2"/>
  <c r="AN331" i="2"/>
  <c r="AS331" i="2"/>
  <c r="AR331" i="2"/>
  <c r="AS366" i="2"/>
  <c r="AR359" i="2"/>
  <c r="AN359" i="2"/>
  <c r="AM347" i="2"/>
  <c r="BC347" i="2" s="1"/>
  <c r="AM317" i="2"/>
  <c r="BC317" i="2" s="1"/>
  <c r="AM394" i="2"/>
  <c r="BC394" i="2" s="1"/>
  <c r="AN394" i="2"/>
  <c r="AS394" i="2"/>
  <c r="AR346" i="2"/>
  <c r="AM346" i="2"/>
  <c r="BC346" i="2" s="1"/>
  <c r="AR330" i="2"/>
  <c r="AM330" i="2"/>
  <c r="BC330" i="2" s="1"/>
  <c r="AN314" i="2"/>
  <c r="AR314" i="2"/>
  <c r="AN330" i="2"/>
  <c r="AR393" i="2"/>
  <c r="AN393" i="2"/>
  <c r="AR377" i="2"/>
  <c r="AM377" i="2"/>
  <c r="BC377" i="2" s="1"/>
  <c r="AS377" i="2"/>
  <c r="AR361" i="2"/>
  <c r="AM361" i="2"/>
  <c r="BC361" i="2" s="1"/>
  <c r="AN361" i="2"/>
  <c r="AR345" i="2"/>
  <c r="AN345" i="2"/>
  <c r="AS345" i="2"/>
  <c r="AR334" i="2"/>
  <c r="AN329" i="2"/>
  <c r="AS361" i="2"/>
  <c r="AS335" i="2"/>
  <c r="AR379" i="2"/>
  <c r="AR333" i="2"/>
  <c r="AR303" i="2"/>
  <c r="AN327" i="2"/>
  <c r="AM314" i="2"/>
  <c r="BC314" i="2" s="1"/>
  <c r="AM391" i="2"/>
  <c r="BC391" i="2" s="1"/>
  <c r="AN391" i="2"/>
  <c r="AS391" i="2"/>
  <c r="AM343" i="2"/>
  <c r="BC343" i="2" s="1"/>
  <c r="AS343" i="2"/>
  <c r="AR311" i="2"/>
  <c r="AS311" i="2"/>
  <c r="AS359" i="2"/>
  <c r="AS334" i="2"/>
  <c r="AR378" i="2"/>
  <c r="AR327" i="2"/>
  <c r="AR302" i="2"/>
  <c r="AS383" i="2"/>
  <c r="AS333" i="2"/>
  <c r="AN380" i="2"/>
  <c r="AN325" i="2"/>
  <c r="AM311" i="2"/>
  <c r="BC311" i="2" s="1"/>
  <c r="AM373" i="2"/>
  <c r="BC373" i="2" s="1"/>
  <c r="AN373" i="2"/>
  <c r="AS373" i="2"/>
  <c r="AM357" i="2"/>
  <c r="BC357" i="2" s="1"/>
  <c r="AN357" i="2"/>
  <c r="AS357" i="2"/>
  <c r="AM309" i="2"/>
  <c r="BC309" i="2" s="1"/>
  <c r="AS309" i="2"/>
  <c r="AS382" i="2"/>
  <c r="AR375" i="2"/>
  <c r="AN378" i="2"/>
  <c r="AN350" i="2"/>
  <c r="AM389" i="2"/>
  <c r="BC389" i="2" s="1"/>
  <c r="AM365" i="2"/>
  <c r="BC365" i="2" s="1"/>
  <c r="AM335" i="2"/>
  <c r="BC335" i="2" s="1"/>
  <c r="AM308" i="2"/>
  <c r="BC308" i="2" s="1"/>
  <c r="AS388" i="2"/>
  <c r="AR388" i="2"/>
  <c r="AN372" i="2"/>
  <c r="AS372" i="2"/>
  <c r="AM356" i="2"/>
  <c r="BC356" i="2" s="1"/>
  <c r="AN356" i="2"/>
  <c r="AS356" i="2"/>
  <c r="AM340" i="2"/>
  <c r="BC340" i="2" s="1"/>
  <c r="AS340" i="2"/>
  <c r="AM324" i="2"/>
  <c r="BC324" i="2" s="1"/>
  <c r="AN324" i="2"/>
  <c r="AS381" i="2"/>
  <c r="AS330" i="2"/>
  <c r="AR324" i="2"/>
  <c r="AN377" i="2"/>
  <c r="AN349" i="2"/>
  <c r="AM388" i="2"/>
  <c r="BC388" i="2" s="1"/>
  <c r="AM363" i="2"/>
  <c r="BC363" i="2" s="1"/>
  <c r="AS378" i="2"/>
  <c r="AS329" i="2"/>
  <c r="AS302" i="2"/>
  <c r="AR350" i="2"/>
  <c r="AN347" i="2"/>
  <c r="AM362" i="2"/>
  <c r="BC362" i="2" s="1"/>
  <c r="AS301" i="2"/>
  <c r="AR372" i="2"/>
  <c r="AN346" i="2"/>
  <c r="AN317" i="2"/>
  <c r="AM301" i="2"/>
  <c r="BC301" i="2" s="1"/>
  <c r="AS375" i="2"/>
  <c r="AR394" i="2"/>
  <c r="AR343" i="2"/>
  <c r="AN343" i="2"/>
  <c r="AM331" i="2"/>
  <c r="BC331" i="2" s="1"/>
  <c r="AC337" i="2"/>
  <c r="AJ337" i="2" s="1"/>
  <c r="AC324" i="2"/>
  <c r="AJ324" i="2" s="1"/>
  <c r="AC387" i="2"/>
  <c r="AJ387" i="2" s="1"/>
  <c r="AC371" i="2"/>
  <c r="AJ371" i="2" s="1"/>
  <c r="AN312" i="2"/>
  <c r="AR312" i="2"/>
  <c r="AS328" i="2"/>
  <c r="AM312" i="2"/>
  <c r="BC312" i="2" s="1"/>
  <c r="AS360" i="2"/>
  <c r="AS326" i="2"/>
  <c r="AN342" i="2"/>
  <c r="AM328" i="2"/>
  <c r="BC328" i="2" s="1"/>
  <c r="AC370" i="2"/>
  <c r="AJ370" i="2" s="1"/>
  <c r="AC305" i="2"/>
  <c r="AJ305" i="2" s="1"/>
  <c r="AC382" i="2"/>
  <c r="AJ382" i="2" s="1"/>
  <c r="AC323" i="2"/>
  <c r="AJ323" i="2" s="1"/>
  <c r="AC304" i="2"/>
  <c r="AJ304" i="2" s="1"/>
  <c r="AW385" i="2"/>
  <c r="AW369" i="2"/>
  <c r="AW353" i="2"/>
  <c r="AW321" i="2"/>
  <c r="AU365" i="2"/>
  <c r="AU348" i="2"/>
  <c r="AS323" i="2"/>
  <c r="AN339" i="2"/>
  <c r="AI317" i="2"/>
  <c r="AC331" i="2"/>
  <c r="AJ331" i="2" s="1"/>
  <c r="AW384" i="2"/>
  <c r="AW368" i="2"/>
  <c r="AW352" i="2"/>
  <c r="AW320" i="2"/>
  <c r="AS390" i="2"/>
  <c r="AS339" i="2"/>
  <c r="AS322" i="2"/>
  <c r="AS305" i="2"/>
  <c r="AN374" i="2"/>
  <c r="AN320" i="2"/>
  <c r="AM360" i="2"/>
  <c r="BC360" i="2" s="1"/>
  <c r="AM304" i="2"/>
  <c r="BC304" i="2" s="1"/>
  <c r="AI333" i="2"/>
  <c r="AC388" i="2"/>
  <c r="AJ388" i="2" s="1"/>
  <c r="AS355" i="2"/>
  <c r="AS321" i="2"/>
  <c r="AN337" i="2"/>
  <c r="AC340" i="2"/>
  <c r="AJ340" i="2" s="1"/>
  <c r="AS320" i="2"/>
  <c r="AR328" i="2"/>
  <c r="AR310" i="2"/>
  <c r="AN390" i="2"/>
  <c r="AM376" i="2"/>
  <c r="BC376" i="2" s="1"/>
  <c r="AM320" i="2"/>
  <c r="BC320" i="2" s="1"/>
  <c r="AI349" i="2"/>
  <c r="AC339" i="2"/>
  <c r="AJ339" i="2" s="1"/>
  <c r="U391" i="8"/>
  <c r="T391" i="8"/>
  <c r="U374" i="8"/>
  <c r="T374" i="8"/>
  <c r="U373" i="8"/>
  <c r="T373" i="8"/>
  <c r="U390" i="8"/>
  <c r="T390" i="8"/>
  <c r="U389" i="8"/>
  <c r="T389" i="8"/>
  <c r="U486" i="8"/>
  <c r="V486" i="8" s="1"/>
  <c r="U302" i="8"/>
  <c r="V302" i="8" s="1"/>
  <c r="T331" i="8"/>
  <c r="U331" i="8"/>
  <c r="X513" i="8"/>
  <c r="AA513" i="8" s="1"/>
  <c r="AD513" i="8" s="1"/>
  <c r="U356" i="8"/>
  <c r="T356" i="8"/>
  <c r="U519" i="8"/>
  <c r="T519" i="8"/>
  <c r="U487" i="8"/>
  <c r="T487" i="8"/>
  <c r="U471" i="8"/>
  <c r="T471" i="8"/>
  <c r="T423" i="8"/>
  <c r="U423" i="8"/>
  <c r="T407" i="8"/>
  <c r="U407" i="8"/>
  <c r="T378" i="8"/>
  <c r="V378" i="8" s="1"/>
  <c r="AG378" i="8" s="1"/>
  <c r="Z525" i="8"/>
  <c r="AC525" i="8" s="1"/>
  <c r="AF525" i="8" s="1"/>
  <c r="X525" i="8"/>
  <c r="AA525" i="8" s="1"/>
  <c r="AD525" i="8" s="1"/>
  <c r="U503" i="8"/>
  <c r="V503" i="8" s="1"/>
  <c r="T518" i="8"/>
  <c r="U518" i="8"/>
  <c r="T470" i="8"/>
  <c r="U470" i="8"/>
  <c r="T454" i="8"/>
  <c r="U454" i="8"/>
  <c r="T422" i="8"/>
  <c r="U422" i="8"/>
  <c r="T325" i="8"/>
  <c r="V325" i="8" s="1"/>
  <c r="U516" i="8"/>
  <c r="T516" i="8"/>
  <c r="T500" i="8"/>
  <c r="U500" i="8"/>
  <c r="U468" i="8"/>
  <c r="T468" i="8"/>
  <c r="U436" i="8"/>
  <c r="T436" i="8"/>
  <c r="T420" i="8"/>
  <c r="U420" i="8"/>
  <c r="U346" i="8"/>
  <c r="T346" i="8"/>
  <c r="T330" i="8"/>
  <c r="U330" i="8"/>
  <c r="Z513" i="8"/>
  <c r="AC513" i="8" s="1"/>
  <c r="AF513" i="8" s="1"/>
  <c r="U345" i="8"/>
  <c r="T345" i="8"/>
  <c r="U329" i="8"/>
  <c r="T329" i="8"/>
  <c r="T455" i="8"/>
  <c r="V455" i="8" s="1"/>
  <c r="U439" i="8"/>
  <c r="V439" i="8" s="1"/>
  <c r="U438" i="8"/>
  <c r="V438" i="8" s="1"/>
  <c r="T452" i="8"/>
  <c r="V452" i="8" s="1"/>
  <c r="T410" i="8"/>
  <c r="U410" i="8"/>
  <c r="U442" i="8"/>
  <c r="V442" i="8" s="1"/>
  <c r="T509" i="8"/>
  <c r="V509" i="8" s="1"/>
  <c r="U466" i="8"/>
  <c r="V466" i="8" s="1"/>
  <c r="U497" i="8"/>
  <c r="V497" i="8" s="1"/>
  <c r="T397" i="8"/>
  <c r="V397" i="8" s="1"/>
  <c r="U482" i="8"/>
  <c r="T482" i="8"/>
  <c r="U434" i="8"/>
  <c r="T434" i="8"/>
  <c r="T493" i="8"/>
  <c r="V493" i="8" s="1"/>
  <c r="T418" i="8"/>
  <c r="V418" i="8" s="1"/>
  <c r="U398" i="8"/>
  <c r="T398" i="8"/>
  <c r="U477" i="8"/>
  <c r="T477" i="8"/>
  <c r="U461" i="8"/>
  <c r="T461" i="8"/>
  <c r="U445" i="8"/>
  <c r="T445" i="8"/>
  <c r="U413" i="8"/>
  <c r="T413" i="8"/>
  <c r="U401" i="8"/>
  <c r="V401" i="8" s="1"/>
  <c r="U469" i="8"/>
  <c r="T469" i="8"/>
  <c r="T499" i="8"/>
  <c r="U499" i="8"/>
  <c r="T451" i="8"/>
  <c r="U451" i="8"/>
  <c r="T320" i="8"/>
  <c r="V320" i="8" s="1"/>
  <c r="Z320" i="8" s="1"/>
  <c r="AC320" i="8" s="1"/>
  <c r="AF320" i="8" s="1"/>
  <c r="T319" i="8"/>
  <c r="V319" i="8" s="1"/>
  <c r="AG319" i="8" s="1"/>
  <c r="U382" i="8"/>
  <c r="V382" i="8" s="1"/>
  <c r="T318" i="8"/>
  <c r="V318" i="8" s="1"/>
  <c r="U381" i="8"/>
  <c r="V381" i="8" s="1"/>
  <c r="T317" i="8"/>
  <c r="V317" i="8" s="1"/>
  <c r="T388" i="8"/>
  <c r="V388" i="8" s="1"/>
  <c r="T316" i="8"/>
  <c r="V316" i="8" s="1"/>
  <c r="T315" i="8"/>
  <c r="V315" i="8" s="1"/>
  <c r="U370" i="8"/>
  <c r="V370" i="8" s="1"/>
  <c r="U362" i="8"/>
  <c r="V362" i="8" s="1"/>
  <c r="T313" i="8"/>
  <c r="V313" i="8" s="1"/>
  <c r="Z313" i="8" s="1"/>
  <c r="AC313" i="8" s="1"/>
  <c r="AF313" i="8" s="1"/>
  <c r="T372" i="8"/>
  <c r="V372" i="8" s="1"/>
  <c r="U340" i="8"/>
  <c r="V340" i="8" s="1"/>
  <c r="U334" i="8"/>
  <c r="V334" i="8" s="1"/>
  <c r="T361" i="8"/>
  <c r="V361" i="8" s="1"/>
  <c r="T352" i="8"/>
  <c r="V352" i="8" s="1"/>
  <c r="T351" i="8"/>
  <c r="V351" i="8" s="1"/>
  <c r="U367" i="8"/>
  <c r="V367" i="8" s="1"/>
  <c r="T383" i="8"/>
  <c r="V383" i="8" s="1"/>
  <c r="T350" i="8"/>
  <c r="V350" i="8" s="1"/>
  <c r="U366" i="8"/>
  <c r="V366" i="8" s="1"/>
  <c r="U326" i="8"/>
  <c r="V326" i="8" s="1"/>
  <c r="T349" i="8"/>
  <c r="V349" i="8" s="1"/>
  <c r="U365" i="8"/>
  <c r="V365" i="8" s="1"/>
  <c r="X365" i="8" s="1"/>
  <c r="AA365" i="8" s="1"/>
  <c r="AD365" i="8" s="1"/>
  <c r="T348" i="8"/>
  <c r="V348" i="8" s="1"/>
  <c r="U363" i="8"/>
  <c r="V363" i="8" s="1"/>
  <c r="AG363" i="8" s="1"/>
  <c r="T379" i="8"/>
  <c r="V379" i="8" s="1"/>
  <c r="Z379" i="8" s="1"/>
  <c r="AC379" i="8" s="1"/>
  <c r="AF379" i="8" s="1"/>
  <c r="T347" i="8"/>
  <c r="V347" i="8" s="1"/>
  <c r="U311" i="8"/>
  <c r="V311" i="8" s="1"/>
  <c r="U387" i="8"/>
  <c r="V387" i="8" s="1"/>
  <c r="U303" i="8"/>
  <c r="V303" i="8" s="1"/>
  <c r="T307" i="8"/>
  <c r="U307" i="8"/>
  <c r="T386" i="8"/>
  <c r="U386" i="8"/>
  <c r="T354" i="8"/>
  <c r="U354" i="8"/>
  <c r="U338" i="8"/>
  <c r="T338" i="8"/>
  <c r="U306" i="8"/>
  <c r="T306" i="8"/>
  <c r="U344" i="8"/>
  <c r="V344" i="8" s="1"/>
  <c r="U385" i="8"/>
  <c r="T385" i="8"/>
  <c r="T369" i="8"/>
  <c r="U369" i="8"/>
  <c r="T353" i="8"/>
  <c r="U353" i="8"/>
  <c r="T337" i="8"/>
  <c r="U337" i="8"/>
  <c r="U321" i="8"/>
  <c r="T321" i="8"/>
  <c r="U305" i="8"/>
  <c r="T305" i="8"/>
  <c r="U384" i="8"/>
  <c r="T384" i="8"/>
  <c r="T368" i="8"/>
  <c r="U368" i="8"/>
  <c r="T336" i="8"/>
  <c r="U336" i="8"/>
  <c r="U304" i="8"/>
  <c r="T304" i="8"/>
  <c r="T360" i="8"/>
  <c r="U360" i="8"/>
  <c r="T323" i="8"/>
  <c r="U323" i="8"/>
  <c r="U371" i="8"/>
  <c r="V371" i="8" s="1"/>
  <c r="T376" i="8"/>
  <c r="U376" i="8"/>
  <c r="U312" i="8"/>
  <c r="T312" i="8"/>
  <c r="T355" i="8"/>
  <c r="U355" i="8"/>
  <c r="U328" i="8"/>
  <c r="T328" i="8"/>
  <c r="T339" i="8"/>
  <c r="U339" i="8"/>
  <c r="U324" i="8"/>
  <c r="T324" i="8"/>
  <c r="T308" i="8"/>
  <c r="U308" i="8"/>
  <c r="U380" i="8"/>
  <c r="T380" i="8"/>
  <c r="T332" i="8"/>
  <c r="U332" i="8"/>
  <c r="T364" i="8"/>
  <c r="V364" i="8" s="1"/>
  <c r="T375" i="8"/>
  <c r="U375" i="8"/>
  <c r="U359" i="8"/>
  <c r="T359" i="8"/>
  <c r="T343" i="8"/>
  <c r="U343" i="8"/>
  <c r="T327" i="8"/>
  <c r="U327" i="8"/>
  <c r="T358" i="8"/>
  <c r="U358" i="8"/>
  <c r="U342" i="8"/>
  <c r="T342" i="8"/>
  <c r="T310" i="8"/>
  <c r="U310" i="8"/>
  <c r="T357" i="8"/>
  <c r="U357" i="8"/>
  <c r="U341" i="8"/>
  <c r="T341" i="8"/>
  <c r="T309" i="8"/>
  <c r="U309" i="8"/>
  <c r="U335" i="8"/>
  <c r="V335" i="8" s="1"/>
  <c r="U377" i="8"/>
  <c r="T377" i="8"/>
  <c r="AG521" i="8" l="1"/>
  <c r="X521" i="8"/>
  <c r="AA521" i="8" s="1"/>
  <c r="AD521" i="8" s="1"/>
  <c r="Z521" i="8"/>
  <c r="AC521" i="8" s="1"/>
  <c r="AF521" i="8" s="1"/>
  <c r="Y521" i="8"/>
  <c r="AB521" i="8" s="1"/>
  <c r="AE521" i="8" s="1"/>
  <c r="Y513" i="8"/>
  <c r="AB513" i="8" s="1"/>
  <c r="AE513" i="8" s="1"/>
  <c r="Y320" i="8"/>
  <c r="AB320" i="8" s="1"/>
  <c r="AE320" i="8" s="1"/>
  <c r="Z524" i="8"/>
  <c r="AC524" i="8" s="1"/>
  <c r="AF524" i="8" s="1"/>
  <c r="AG524" i="8"/>
  <c r="V314" i="8"/>
  <c r="Y314" i="8" s="1"/>
  <c r="AB314" i="8" s="1"/>
  <c r="AE314" i="8" s="1"/>
  <c r="X524" i="8"/>
  <c r="AA524" i="8" s="1"/>
  <c r="AD524" i="8" s="1"/>
  <c r="Y496" i="8"/>
  <c r="AB496" i="8" s="1"/>
  <c r="AE496" i="8" s="1"/>
  <c r="Y525" i="8"/>
  <c r="AB525" i="8" s="1"/>
  <c r="AE525" i="8" s="1"/>
  <c r="X496" i="8"/>
  <c r="AA496" i="8" s="1"/>
  <c r="AD496" i="8" s="1"/>
  <c r="AG496" i="8"/>
  <c r="Y392" i="8"/>
  <c r="AB392" i="8" s="1"/>
  <c r="AE392" i="8" s="1"/>
  <c r="V506" i="8"/>
  <c r="Y506" i="8" s="1"/>
  <c r="AB506" i="8" s="1"/>
  <c r="AE506" i="8" s="1"/>
  <c r="V408" i="8"/>
  <c r="V456" i="8"/>
  <c r="Z456" i="8" s="1"/>
  <c r="AC456" i="8" s="1"/>
  <c r="AF456" i="8" s="1"/>
  <c r="V417" i="8"/>
  <c r="V520" i="8"/>
  <c r="AG419" i="8"/>
  <c r="Z419" i="8"/>
  <c r="AC419" i="8" s="1"/>
  <c r="AF419" i="8" s="1"/>
  <c r="V330" i="8"/>
  <c r="Z330" i="8" s="1"/>
  <c r="AC330" i="8" s="1"/>
  <c r="AF330" i="8" s="1"/>
  <c r="V331" i="8"/>
  <c r="Z331" i="8" s="1"/>
  <c r="AC331" i="8" s="1"/>
  <c r="AF331" i="8" s="1"/>
  <c r="V306" i="8"/>
  <c r="Z392" i="8"/>
  <c r="AC392" i="8" s="1"/>
  <c r="AF392" i="8" s="1"/>
  <c r="AG404" i="8"/>
  <c r="Y404" i="8"/>
  <c r="AB404" i="8" s="1"/>
  <c r="AE404" i="8" s="1"/>
  <c r="AG453" i="8"/>
  <c r="X435" i="8"/>
  <c r="AA435" i="8" s="1"/>
  <c r="AD435" i="8" s="1"/>
  <c r="X453" i="8"/>
  <c r="AA453" i="8" s="1"/>
  <c r="AD453" i="8" s="1"/>
  <c r="Y453" i="8"/>
  <c r="AB453" i="8" s="1"/>
  <c r="AE453" i="8" s="1"/>
  <c r="Z453" i="8"/>
  <c r="AC453" i="8" s="1"/>
  <c r="AF453" i="8" s="1"/>
  <c r="X404" i="8"/>
  <c r="AA404" i="8" s="1"/>
  <c r="AD404" i="8" s="1"/>
  <c r="X429" i="8"/>
  <c r="AA429" i="8" s="1"/>
  <c r="AD429" i="8" s="1"/>
  <c r="V389" i="8"/>
  <c r="AG389" i="8" s="1"/>
  <c r="AG392" i="8"/>
  <c r="V413" i="8"/>
  <c r="X419" i="8"/>
  <c r="AA419" i="8" s="1"/>
  <c r="AD419" i="8" s="1"/>
  <c r="V373" i="8"/>
  <c r="Z373" i="8" s="1"/>
  <c r="AC373" i="8" s="1"/>
  <c r="AF373" i="8" s="1"/>
  <c r="AG507" i="8"/>
  <c r="Z507" i="8"/>
  <c r="AC507" i="8" s="1"/>
  <c r="AF507" i="8" s="1"/>
  <c r="X507" i="8"/>
  <c r="AA507" i="8" s="1"/>
  <c r="AD507" i="8" s="1"/>
  <c r="V519" i="8"/>
  <c r="AG519" i="8" s="1"/>
  <c r="Y396" i="8"/>
  <c r="AB396" i="8" s="1"/>
  <c r="AE396" i="8" s="1"/>
  <c r="X313" i="8"/>
  <c r="AA313" i="8" s="1"/>
  <c r="AD313" i="8" s="1"/>
  <c r="Y448" i="8"/>
  <c r="AB448" i="8" s="1"/>
  <c r="AE448" i="8" s="1"/>
  <c r="Y476" i="8"/>
  <c r="AB476" i="8" s="1"/>
  <c r="AE476" i="8" s="1"/>
  <c r="Z448" i="8"/>
  <c r="AC448" i="8" s="1"/>
  <c r="AF448" i="8" s="1"/>
  <c r="X448" i="8"/>
  <c r="AA448" i="8" s="1"/>
  <c r="AD448" i="8" s="1"/>
  <c r="Z476" i="8"/>
  <c r="AC476" i="8" s="1"/>
  <c r="AF476" i="8" s="1"/>
  <c r="Y419" i="8"/>
  <c r="AB419" i="8" s="1"/>
  <c r="AE419" i="8" s="1"/>
  <c r="V502" i="8"/>
  <c r="X502" i="8" s="1"/>
  <c r="AA502" i="8" s="1"/>
  <c r="AD502" i="8" s="1"/>
  <c r="Z515" i="8"/>
  <c r="AC515" i="8" s="1"/>
  <c r="AF515" i="8" s="1"/>
  <c r="AG476" i="8"/>
  <c r="V434" i="8"/>
  <c r="X434" i="8" s="1"/>
  <c r="AA434" i="8" s="1"/>
  <c r="AD434" i="8" s="1"/>
  <c r="V374" i="8"/>
  <c r="Z374" i="8" s="1"/>
  <c r="AC374" i="8" s="1"/>
  <c r="AF374" i="8" s="1"/>
  <c r="V393" i="8"/>
  <c r="X393" i="8" s="1"/>
  <c r="AA393" i="8" s="1"/>
  <c r="AD393" i="8" s="1"/>
  <c r="Y372" i="8"/>
  <c r="AB372" i="8" s="1"/>
  <c r="AE372" i="8" s="1"/>
  <c r="V409" i="8"/>
  <c r="AG409" i="8" s="1"/>
  <c r="AG435" i="8"/>
  <c r="Y435" i="8"/>
  <c r="AB435" i="8" s="1"/>
  <c r="AE435" i="8" s="1"/>
  <c r="Y456" i="8"/>
  <c r="AB456" i="8" s="1"/>
  <c r="AE456" i="8" s="1"/>
  <c r="AG456" i="8"/>
  <c r="Y421" i="8"/>
  <c r="AB421" i="8" s="1"/>
  <c r="AE421" i="8" s="1"/>
  <c r="Y457" i="8"/>
  <c r="AB457" i="8" s="1"/>
  <c r="AE457" i="8" s="1"/>
  <c r="X457" i="8"/>
  <c r="AA457" i="8" s="1"/>
  <c r="AD457" i="8" s="1"/>
  <c r="Z457" i="8"/>
  <c r="AC457" i="8" s="1"/>
  <c r="AF457" i="8" s="1"/>
  <c r="AG457" i="8"/>
  <c r="Z378" i="8"/>
  <c r="AC378" i="8" s="1"/>
  <c r="AF378" i="8" s="1"/>
  <c r="Z372" i="8"/>
  <c r="AC372" i="8" s="1"/>
  <c r="AF372" i="8" s="1"/>
  <c r="V391" i="8"/>
  <c r="V405" i="8"/>
  <c r="V420" i="8"/>
  <c r="V356" i="8"/>
  <c r="V341" i="8"/>
  <c r="X341" i="8" s="1"/>
  <c r="AA341" i="8" s="1"/>
  <c r="AD341" i="8" s="1"/>
  <c r="V345" i="8"/>
  <c r="AG345" i="8" s="1"/>
  <c r="AG372" i="8"/>
  <c r="AG366" i="8"/>
  <c r="V384" i="8"/>
  <c r="V511" i="8"/>
  <c r="V516" i="8"/>
  <c r="Z516" i="8" s="1"/>
  <c r="AC516" i="8" s="1"/>
  <c r="AF516" i="8" s="1"/>
  <c r="AG437" i="8"/>
  <c r="V321" i="8"/>
  <c r="AG348" i="8"/>
  <c r="X361" i="8"/>
  <c r="AA361" i="8" s="1"/>
  <c r="AD361" i="8" s="1"/>
  <c r="X350" i="8"/>
  <c r="AA350" i="8" s="1"/>
  <c r="AD350" i="8" s="1"/>
  <c r="Y370" i="8"/>
  <c r="AB370" i="8" s="1"/>
  <c r="AE370" i="8" s="1"/>
  <c r="AG314" i="8"/>
  <c r="AG320" i="8"/>
  <c r="Y507" i="8"/>
  <c r="AB507" i="8" s="1"/>
  <c r="AE507" i="8" s="1"/>
  <c r="AG350" i="8"/>
  <c r="V518" i="8"/>
  <c r="Z518" i="8" s="1"/>
  <c r="AC518" i="8" s="1"/>
  <c r="AF518" i="8" s="1"/>
  <c r="AG331" i="8"/>
  <c r="V346" i="8"/>
  <c r="Z425" i="8"/>
  <c r="AC425" i="8" s="1"/>
  <c r="AF425" i="8" s="1"/>
  <c r="Y325" i="8"/>
  <c r="AB325" i="8" s="1"/>
  <c r="AE325" i="8" s="1"/>
  <c r="V390" i="8"/>
  <c r="Y350" i="8"/>
  <c r="AB350" i="8" s="1"/>
  <c r="AE350" i="8" s="1"/>
  <c r="Y322" i="8"/>
  <c r="AB322" i="8" s="1"/>
  <c r="AE322" i="8" s="1"/>
  <c r="V517" i="8"/>
  <c r="Y313" i="8"/>
  <c r="AB313" i="8" s="1"/>
  <c r="AE313" i="8" s="1"/>
  <c r="X372" i="8"/>
  <c r="AA372" i="8" s="1"/>
  <c r="AD372" i="8" s="1"/>
  <c r="V385" i="8"/>
  <c r="X412" i="8"/>
  <c r="AA412" i="8" s="1"/>
  <c r="AD412" i="8" s="1"/>
  <c r="AG448" i="8"/>
  <c r="V508" i="8"/>
  <c r="AG508" i="8" s="1"/>
  <c r="AG351" i="8"/>
  <c r="V490" i="8"/>
  <c r="AG490" i="8" s="1"/>
  <c r="V492" i="8"/>
  <c r="V491" i="8"/>
  <c r="V504" i="8"/>
  <c r="Y510" i="8"/>
  <c r="AB510" i="8" s="1"/>
  <c r="AE510" i="8" s="1"/>
  <c r="X510" i="8"/>
  <c r="AA510" i="8" s="1"/>
  <c r="AD510" i="8" s="1"/>
  <c r="AG510" i="8"/>
  <c r="Z510" i="8"/>
  <c r="AC510" i="8" s="1"/>
  <c r="AF510" i="8" s="1"/>
  <c r="X480" i="8"/>
  <c r="AA480" i="8" s="1"/>
  <c r="AD480" i="8" s="1"/>
  <c r="Z480" i="8"/>
  <c r="AC480" i="8" s="1"/>
  <c r="AF480" i="8" s="1"/>
  <c r="Y480" i="8"/>
  <c r="AB480" i="8" s="1"/>
  <c r="AE480" i="8" s="1"/>
  <c r="AG480" i="8"/>
  <c r="V488" i="8"/>
  <c r="V489" i="8"/>
  <c r="V505" i="8"/>
  <c r="X495" i="8"/>
  <c r="AA495" i="8" s="1"/>
  <c r="AD495" i="8" s="1"/>
  <c r="Z495" i="8"/>
  <c r="AC495" i="8" s="1"/>
  <c r="AF495" i="8" s="1"/>
  <c r="Y495" i="8"/>
  <c r="AB495" i="8" s="1"/>
  <c r="AE495" i="8" s="1"/>
  <c r="AG495" i="8"/>
  <c r="AG478" i="8"/>
  <c r="Z478" i="8"/>
  <c r="AC478" i="8" s="1"/>
  <c r="AF478" i="8" s="1"/>
  <c r="Y478" i="8"/>
  <c r="AB478" i="8" s="1"/>
  <c r="AE478" i="8" s="1"/>
  <c r="X478" i="8"/>
  <c r="AA478" i="8" s="1"/>
  <c r="AD478" i="8" s="1"/>
  <c r="X475" i="8"/>
  <c r="AA475" i="8" s="1"/>
  <c r="AD475" i="8" s="1"/>
  <c r="Z475" i="8"/>
  <c r="AC475" i="8" s="1"/>
  <c r="AF475" i="8" s="1"/>
  <c r="AG475" i="8"/>
  <c r="Y481" i="8"/>
  <c r="AB481" i="8" s="1"/>
  <c r="AE481" i="8" s="1"/>
  <c r="Z481" i="8"/>
  <c r="AC481" i="8" s="1"/>
  <c r="AF481" i="8" s="1"/>
  <c r="X481" i="8"/>
  <c r="AA481" i="8" s="1"/>
  <c r="AD481" i="8" s="1"/>
  <c r="AG481" i="8"/>
  <c r="AG512" i="8"/>
  <c r="X512" i="8"/>
  <c r="AA512" i="8" s="1"/>
  <c r="AD512" i="8" s="1"/>
  <c r="Z512" i="8"/>
  <c r="AC512" i="8" s="1"/>
  <c r="AF512" i="8" s="1"/>
  <c r="Y512" i="8"/>
  <c r="AB512" i="8" s="1"/>
  <c r="AE512" i="8" s="1"/>
  <c r="Z399" i="8"/>
  <c r="AC399" i="8" s="1"/>
  <c r="AF399" i="8" s="1"/>
  <c r="AG399" i="8"/>
  <c r="Y443" i="8"/>
  <c r="AB443" i="8" s="1"/>
  <c r="AE443" i="8" s="1"/>
  <c r="Z443" i="8"/>
  <c r="AC443" i="8" s="1"/>
  <c r="AF443" i="8" s="1"/>
  <c r="Z414" i="8"/>
  <c r="AC414" i="8" s="1"/>
  <c r="AF414" i="8" s="1"/>
  <c r="Z396" i="8"/>
  <c r="AC396" i="8" s="1"/>
  <c r="AF396" i="8" s="1"/>
  <c r="Z426" i="8"/>
  <c r="AC426" i="8" s="1"/>
  <c r="AF426" i="8" s="1"/>
  <c r="X421" i="8"/>
  <c r="AA421" i="8" s="1"/>
  <c r="AD421" i="8" s="1"/>
  <c r="X441" i="8"/>
  <c r="AA441" i="8" s="1"/>
  <c r="AD441" i="8" s="1"/>
  <c r="Y426" i="8"/>
  <c r="AB426" i="8" s="1"/>
  <c r="AE426" i="8" s="1"/>
  <c r="Z421" i="8"/>
  <c r="AC421" i="8" s="1"/>
  <c r="AF421" i="8" s="1"/>
  <c r="X444" i="8"/>
  <c r="AA444" i="8" s="1"/>
  <c r="AD444" i="8" s="1"/>
  <c r="X396" i="8"/>
  <c r="AA396" i="8" s="1"/>
  <c r="AD396" i="8" s="1"/>
  <c r="Z441" i="8"/>
  <c r="AC441" i="8" s="1"/>
  <c r="AF441" i="8" s="1"/>
  <c r="AG474" i="8"/>
  <c r="AG396" i="8"/>
  <c r="AG412" i="8"/>
  <c r="AG426" i="8"/>
  <c r="AG421" i="8"/>
  <c r="V436" i="8"/>
  <c r="X406" i="8"/>
  <c r="AA406" i="8" s="1"/>
  <c r="AD406" i="8" s="1"/>
  <c r="AG483" i="8"/>
  <c r="X483" i="8"/>
  <c r="AA483" i="8" s="1"/>
  <c r="AD483" i="8" s="1"/>
  <c r="Z483" i="8"/>
  <c r="AC483" i="8" s="1"/>
  <c r="AF483" i="8" s="1"/>
  <c r="Y483" i="8"/>
  <c r="AB483" i="8" s="1"/>
  <c r="AE483" i="8" s="1"/>
  <c r="X414" i="8"/>
  <c r="AA414" i="8" s="1"/>
  <c r="AD414" i="8" s="1"/>
  <c r="Z463" i="8"/>
  <c r="AC463" i="8" s="1"/>
  <c r="AF463" i="8" s="1"/>
  <c r="X447" i="8"/>
  <c r="AA447" i="8" s="1"/>
  <c r="AD447" i="8" s="1"/>
  <c r="AG406" i="8"/>
  <c r="AG441" i="8"/>
  <c r="AG515" i="8"/>
  <c r="X515" i="8"/>
  <c r="AA515" i="8" s="1"/>
  <c r="AD515" i="8" s="1"/>
  <c r="Y414" i="8"/>
  <c r="AB414" i="8" s="1"/>
  <c r="AE414" i="8" s="1"/>
  <c r="AG447" i="8"/>
  <c r="V468" i="8"/>
  <c r="Y406" i="8"/>
  <c r="AB406" i="8" s="1"/>
  <c r="AE406" i="8" s="1"/>
  <c r="V500" i="8"/>
  <c r="AG500" i="8" s="1"/>
  <c r="Z447" i="8"/>
  <c r="AC447" i="8" s="1"/>
  <c r="AF447" i="8" s="1"/>
  <c r="AG425" i="8"/>
  <c r="Y473" i="8"/>
  <c r="AB473" i="8" s="1"/>
  <c r="AE473" i="8" s="1"/>
  <c r="Z473" i="8"/>
  <c r="AC473" i="8" s="1"/>
  <c r="AF473" i="8" s="1"/>
  <c r="X473" i="8"/>
  <c r="AA473" i="8" s="1"/>
  <c r="AD473" i="8" s="1"/>
  <c r="AG473" i="8"/>
  <c r="X411" i="8"/>
  <c r="AA411" i="8" s="1"/>
  <c r="AD411" i="8" s="1"/>
  <c r="Y411" i="8"/>
  <c r="AB411" i="8" s="1"/>
  <c r="AE411" i="8" s="1"/>
  <c r="Z411" i="8"/>
  <c r="AC411" i="8" s="1"/>
  <c r="AF411" i="8" s="1"/>
  <c r="AG411" i="8"/>
  <c r="AG472" i="8"/>
  <c r="X472" i="8"/>
  <c r="AA472" i="8" s="1"/>
  <c r="AD472" i="8" s="1"/>
  <c r="Z472" i="8"/>
  <c r="AC472" i="8" s="1"/>
  <c r="AF472" i="8" s="1"/>
  <c r="Y472" i="8"/>
  <c r="AB472" i="8" s="1"/>
  <c r="AE472" i="8" s="1"/>
  <c r="X443" i="8"/>
  <c r="AA443" i="8" s="1"/>
  <c r="AD443" i="8" s="1"/>
  <c r="Y447" i="8"/>
  <c r="AB447" i="8" s="1"/>
  <c r="AE447" i="8" s="1"/>
  <c r="Y425" i="8"/>
  <c r="AB425" i="8" s="1"/>
  <c r="AE425" i="8" s="1"/>
  <c r="AG415" i="8"/>
  <c r="Z437" i="8"/>
  <c r="AC437" i="8" s="1"/>
  <c r="AF437" i="8" s="1"/>
  <c r="Z429" i="8"/>
  <c r="AC429" i="8" s="1"/>
  <c r="AF429" i="8" s="1"/>
  <c r="Y429" i="8"/>
  <c r="AB429" i="8" s="1"/>
  <c r="AE429" i="8" s="1"/>
  <c r="AG429" i="8"/>
  <c r="X415" i="8"/>
  <c r="AA415" i="8" s="1"/>
  <c r="AD415" i="8" s="1"/>
  <c r="AG403" i="8"/>
  <c r="Y475" i="8"/>
  <c r="AB475" i="8" s="1"/>
  <c r="AE475" i="8" s="1"/>
  <c r="Y449" i="8"/>
  <c r="AB449" i="8" s="1"/>
  <c r="AE449" i="8" s="1"/>
  <c r="Y394" i="8"/>
  <c r="AB394" i="8" s="1"/>
  <c r="AE394" i="8" s="1"/>
  <c r="Y450" i="8"/>
  <c r="AB450" i="8" s="1"/>
  <c r="AE450" i="8" s="1"/>
  <c r="Y415" i="8"/>
  <c r="AB415" i="8" s="1"/>
  <c r="AE415" i="8" s="1"/>
  <c r="Y437" i="8"/>
  <c r="AB437" i="8" s="1"/>
  <c r="AE437" i="8" s="1"/>
  <c r="Z394" i="8"/>
  <c r="AC394" i="8" s="1"/>
  <c r="AF394" i="8" s="1"/>
  <c r="Z450" i="8"/>
  <c r="AC450" i="8" s="1"/>
  <c r="AF450" i="8" s="1"/>
  <c r="X394" i="8"/>
  <c r="AA394" i="8" s="1"/>
  <c r="AD394" i="8" s="1"/>
  <c r="AG450" i="8"/>
  <c r="X395" i="8"/>
  <c r="AA395" i="8" s="1"/>
  <c r="AD395" i="8" s="1"/>
  <c r="Y431" i="8"/>
  <c r="AB431" i="8" s="1"/>
  <c r="AE431" i="8" s="1"/>
  <c r="X458" i="8"/>
  <c r="AA458" i="8" s="1"/>
  <c r="AD458" i="8" s="1"/>
  <c r="X431" i="8"/>
  <c r="AA431" i="8" s="1"/>
  <c r="AD431" i="8" s="1"/>
  <c r="V407" i="8"/>
  <c r="AG458" i="8"/>
  <c r="Z435" i="8"/>
  <c r="AC435" i="8" s="1"/>
  <c r="AF435" i="8" s="1"/>
  <c r="Z431" i="8"/>
  <c r="AC431" i="8" s="1"/>
  <c r="AF431" i="8" s="1"/>
  <c r="Z465" i="8"/>
  <c r="AC465" i="8" s="1"/>
  <c r="AF465" i="8" s="1"/>
  <c r="X474" i="8"/>
  <c r="AA474" i="8" s="1"/>
  <c r="AD474" i="8" s="1"/>
  <c r="Y458" i="8"/>
  <c r="AB458" i="8" s="1"/>
  <c r="AE458" i="8" s="1"/>
  <c r="X463" i="8"/>
  <c r="AA463" i="8" s="1"/>
  <c r="AD463" i="8" s="1"/>
  <c r="AG443" i="8"/>
  <c r="X465" i="8"/>
  <c r="AA465" i="8" s="1"/>
  <c r="AD465" i="8" s="1"/>
  <c r="Z474" i="8"/>
  <c r="AC474" i="8" s="1"/>
  <c r="AF474" i="8" s="1"/>
  <c r="Y463" i="8"/>
  <c r="AB463" i="8" s="1"/>
  <c r="AE463" i="8" s="1"/>
  <c r="Z412" i="8"/>
  <c r="AC412" i="8" s="1"/>
  <c r="AF412" i="8" s="1"/>
  <c r="Y465" i="8"/>
  <c r="AB465" i="8" s="1"/>
  <c r="AE465" i="8" s="1"/>
  <c r="V471" i="8"/>
  <c r="X416" i="8"/>
  <c r="AA416" i="8" s="1"/>
  <c r="AD416" i="8" s="1"/>
  <c r="Y416" i="8"/>
  <c r="AB416" i="8" s="1"/>
  <c r="AE416" i="8" s="1"/>
  <c r="Z416" i="8"/>
  <c r="AC416" i="8" s="1"/>
  <c r="AF416" i="8" s="1"/>
  <c r="AG416" i="8"/>
  <c r="AG427" i="8"/>
  <c r="X427" i="8"/>
  <c r="AA427" i="8" s="1"/>
  <c r="AD427" i="8" s="1"/>
  <c r="Y427" i="8"/>
  <c r="AB427" i="8" s="1"/>
  <c r="AE427" i="8" s="1"/>
  <c r="Z427" i="8"/>
  <c r="AC427" i="8" s="1"/>
  <c r="AF427" i="8" s="1"/>
  <c r="X432" i="8"/>
  <c r="AA432" i="8" s="1"/>
  <c r="AD432" i="8" s="1"/>
  <c r="Z432" i="8"/>
  <c r="AC432" i="8" s="1"/>
  <c r="AF432" i="8" s="1"/>
  <c r="AG432" i="8"/>
  <c r="Y432" i="8"/>
  <c r="AB432" i="8" s="1"/>
  <c r="AE432" i="8" s="1"/>
  <c r="AG400" i="8"/>
  <c r="Y400" i="8"/>
  <c r="AB400" i="8" s="1"/>
  <c r="AE400" i="8" s="1"/>
  <c r="Z400" i="8"/>
  <c r="AC400" i="8" s="1"/>
  <c r="AF400" i="8" s="1"/>
  <c r="X400" i="8"/>
  <c r="AA400" i="8" s="1"/>
  <c r="AD400" i="8" s="1"/>
  <c r="Y430" i="8"/>
  <c r="AB430" i="8" s="1"/>
  <c r="AE430" i="8" s="1"/>
  <c r="Z430" i="8"/>
  <c r="AC430" i="8" s="1"/>
  <c r="AF430" i="8" s="1"/>
  <c r="X430" i="8"/>
  <c r="AA430" i="8" s="1"/>
  <c r="AD430" i="8" s="1"/>
  <c r="AG430" i="8"/>
  <c r="AG395" i="8"/>
  <c r="Z395" i="8"/>
  <c r="AC395" i="8" s="1"/>
  <c r="AF395" i="8" s="1"/>
  <c r="Z403" i="8"/>
  <c r="AC403" i="8" s="1"/>
  <c r="AF403" i="8" s="1"/>
  <c r="X403" i="8"/>
  <c r="AA403" i="8" s="1"/>
  <c r="AD403" i="8" s="1"/>
  <c r="Y403" i="8"/>
  <c r="AB403" i="8" s="1"/>
  <c r="AE403" i="8" s="1"/>
  <c r="Y399" i="8"/>
  <c r="AB399" i="8" s="1"/>
  <c r="AE399" i="8" s="1"/>
  <c r="X399" i="8"/>
  <c r="AA399" i="8" s="1"/>
  <c r="AD399" i="8" s="1"/>
  <c r="C396" i="8"/>
  <c r="D395" i="8"/>
  <c r="V461" i="8"/>
  <c r="X449" i="8"/>
  <c r="AA449" i="8" s="1"/>
  <c r="AD449" i="8" s="1"/>
  <c r="Y424" i="8"/>
  <c r="AB424" i="8" s="1"/>
  <c r="AE424" i="8" s="1"/>
  <c r="X424" i="8"/>
  <c r="AA424" i="8" s="1"/>
  <c r="AD424" i="8" s="1"/>
  <c r="Z424" i="8"/>
  <c r="AC424" i="8" s="1"/>
  <c r="AF424" i="8" s="1"/>
  <c r="Z449" i="8"/>
  <c r="AC449" i="8" s="1"/>
  <c r="AF449" i="8" s="1"/>
  <c r="Y444" i="8"/>
  <c r="AB444" i="8" s="1"/>
  <c r="AE444" i="8" s="1"/>
  <c r="AG444" i="8"/>
  <c r="X438" i="8"/>
  <c r="AA438" i="8" s="1"/>
  <c r="AD438" i="8" s="1"/>
  <c r="AG438" i="8"/>
  <c r="Y438" i="8"/>
  <c r="AB438" i="8" s="1"/>
  <c r="AE438" i="8" s="1"/>
  <c r="Z438" i="8"/>
  <c r="AC438" i="8" s="1"/>
  <c r="AF438" i="8" s="1"/>
  <c r="Y442" i="8"/>
  <c r="AB442" i="8" s="1"/>
  <c r="AE442" i="8" s="1"/>
  <c r="AG442" i="8"/>
  <c r="X442" i="8"/>
  <c r="AA442" i="8" s="1"/>
  <c r="AD442" i="8" s="1"/>
  <c r="Z442" i="8"/>
  <c r="AC442" i="8" s="1"/>
  <c r="AF442" i="8" s="1"/>
  <c r="Y503" i="8"/>
  <c r="AB503" i="8" s="1"/>
  <c r="AE503" i="8" s="1"/>
  <c r="Z503" i="8"/>
  <c r="AC503" i="8" s="1"/>
  <c r="AF503" i="8" s="1"/>
  <c r="X503" i="8"/>
  <c r="AA503" i="8" s="1"/>
  <c r="AD503" i="8" s="1"/>
  <c r="AG503" i="8"/>
  <c r="X497" i="8"/>
  <c r="AA497" i="8" s="1"/>
  <c r="AD497" i="8" s="1"/>
  <c r="Y497" i="8"/>
  <c r="AB497" i="8" s="1"/>
  <c r="AE497" i="8" s="1"/>
  <c r="Z497" i="8"/>
  <c r="AC497" i="8" s="1"/>
  <c r="AF497" i="8" s="1"/>
  <c r="AG497" i="8"/>
  <c r="Z439" i="8"/>
  <c r="AC439" i="8" s="1"/>
  <c r="AF439" i="8" s="1"/>
  <c r="Y439" i="8"/>
  <c r="AB439" i="8" s="1"/>
  <c r="AE439" i="8" s="1"/>
  <c r="AG439" i="8"/>
  <c r="X439" i="8"/>
  <c r="AA439" i="8" s="1"/>
  <c r="AD439" i="8" s="1"/>
  <c r="AG302" i="8"/>
  <c r="X302" i="8"/>
  <c r="AA302" i="8" s="1"/>
  <c r="AD302" i="8" s="1"/>
  <c r="Y302" i="8"/>
  <c r="AB302" i="8" s="1"/>
  <c r="AE302" i="8" s="1"/>
  <c r="Z302" i="8"/>
  <c r="AC302" i="8" s="1"/>
  <c r="AF302" i="8" s="1"/>
  <c r="Z494" i="8"/>
  <c r="AC494" i="8" s="1"/>
  <c r="AF494" i="8" s="1"/>
  <c r="Y494" i="8"/>
  <c r="AB494" i="8" s="1"/>
  <c r="AE494" i="8" s="1"/>
  <c r="X494" i="8"/>
  <c r="AA494" i="8" s="1"/>
  <c r="AD494" i="8" s="1"/>
  <c r="AG494" i="8"/>
  <c r="Z397" i="8"/>
  <c r="AC397" i="8" s="1"/>
  <c r="AF397" i="8" s="1"/>
  <c r="X397" i="8"/>
  <c r="AA397" i="8" s="1"/>
  <c r="AD397" i="8" s="1"/>
  <c r="Y397" i="8"/>
  <c r="AB397" i="8" s="1"/>
  <c r="AE397" i="8" s="1"/>
  <c r="AG397" i="8"/>
  <c r="AG325" i="8"/>
  <c r="Y452" i="8"/>
  <c r="AB452" i="8" s="1"/>
  <c r="AE452" i="8" s="1"/>
  <c r="X452" i="8"/>
  <c r="AA452" i="8" s="1"/>
  <c r="AD452" i="8" s="1"/>
  <c r="Z452" i="8"/>
  <c r="AC452" i="8" s="1"/>
  <c r="AF452" i="8" s="1"/>
  <c r="AG452" i="8"/>
  <c r="Z460" i="8"/>
  <c r="AC460" i="8" s="1"/>
  <c r="AF460" i="8" s="1"/>
  <c r="Y460" i="8"/>
  <c r="AB460" i="8" s="1"/>
  <c r="AE460" i="8" s="1"/>
  <c r="AG460" i="8"/>
  <c r="X460" i="8"/>
  <c r="AA460" i="8" s="1"/>
  <c r="AD460" i="8" s="1"/>
  <c r="X484" i="8"/>
  <c r="AA484" i="8" s="1"/>
  <c r="AD484" i="8" s="1"/>
  <c r="Y484" i="8"/>
  <c r="AB484" i="8" s="1"/>
  <c r="AE484" i="8" s="1"/>
  <c r="AG484" i="8"/>
  <c r="Z484" i="8"/>
  <c r="AC484" i="8" s="1"/>
  <c r="AF484" i="8" s="1"/>
  <c r="X331" i="8"/>
  <c r="AA331" i="8" s="1"/>
  <c r="AD331" i="8" s="1"/>
  <c r="Z325" i="8"/>
  <c r="AC325" i="8" s="1"/>
  <c r="AF325" i="8" s="1"/>
  <c r="V469" i="8"/>
  <c r="V477" i="8"/>
  <c r="Z418" i="8"/>
  <c r="AC418" i="8" s="1"/>
  <c r="AF418" i="8" s="1"/>
  <c r="AG418" i="8"/>
  <c r="X418" i="8"/>
  <c r="AA418" i="8" s="1"/>
  <c r="AD418" i="8" s="1"/>
  <c r="Y418" i="8"/>
  <c r="AB418" i="8" s="1"/>
  <c r="AE418" i="8" s="1"/>
  <c r="AG522" i="8"/>
  <c r="X522" i="8"/>
  <c r="AA522" i="8" s="1"/>
  <c r="AD522" i="8" s="1"/>
  <c r="Z522" i="8"/>
  <c r="AC522" i="8" s="1"/>
  <c r="AF522" i="8" s="1"/>
  <c r="Y522" i="8"/>
  <c r="AB522" i="8" s="1"/>
  <c r="AE522" i="8" s="1"/>
  <c r="Y514" i="8"/>
  <c r="AB514" i="8" s="1"/>
  <c r="AE514" i="8" s="1"/>
  <c r="AG514" i="8"/>
  <c r="X514" i="8"/>
  <c r="AA514" i="8" s="1"/>
  <c r="AD514" i="8" s="1"/>
  <c r="Z514" i="8"/>
  <c r="AC514" i="8" s="1"/>
  <c r="AF514" i="8" s="1"/>
  <c r="V329" i="8"/>
  <c r="V470" i="8"/>
  <c r="V487" i="8"/>
  <c r="Z479" i="8"/>
  <c r="AC479" i="8" s="1"/>
  <c r="AF479" i="8" s="1"/>
  <c r="AG479" i="8"/>
  <c r="X479" i="8"/>
  <c r="AA479" i="8" s="1"/>
  <c r="AD479" i="8" s="1"/>
  <c r="Y479" i="8"/>
  <c r="AB479" i="8" s="1"/>
  <c r="AE479" i="8" s="1"/>
  <c r="X486" i="8"/>
  <c r="AA486" i="8" s="1"/>
  <c r="AD486" i="8" s="1"/>
  <c r="Y486" i="8"/>
  <c r="AB486" i="8" s="1"/>
  <c r="AE486" i="8" s="1"/>
  <c r="AG486" i="8"/>
  <c r="Z486" i="8"/>
  <c r="AC486" i="8" s="1"/>
  <c r="AF486" i="8" s="1"/>
  <c r="Z401" i="8"/>
  <c r="AC401" i="8" s="1"/>
  <c r="AF401" i="8" s="1"/>
  <c r="AG401" i="8"/>
  <c r="Y401" i="8"/>
  <c r="AB401" i="8" s="1"/>
  <c r="AE401" i="8" s="1"/>
  <c r="X401" i="8"/>
  <c r="AA401" i="8" s="1"/>
  <c r="AD401" i="8" s="1"/>
  <c r="Z348" i="8"/>
  <c r="AC348" i="8" s="1"/>
  <c r="AF348" i="8" s="1"/>
  <c r="X493" i="8"/>
  <c r="AA493" i="8" s="1"/>
  <c r="AD493" i="8" s="1"/>
  <c r="Z493" i="8"/>
  <c r="AC493" i="8" s="1"/>
  <c r="AF493" i="8" s="1"/>
  <c r="AG493" i="8"/>
  <c r="Y493" i="8"/>
  <c r="AB493" i="8" s="1"/>
  <c r="AE493" i="8" s="1"/>
  <c r="Z417" i="8"/>
  <c r="AC417" i="8" s="1"/>
  <c r="AF417" i="8" s="1"/>
  <c r="Y417" i="8"/>
  <c r="AB417" i="8" s="1"/>
  <c r="AE417" i="8" s="1"/>
  <c r="AG417" i="8"/>
  <c r="AG502" i="8"/>
  <c r="V454" i="8"/>
  <c r="X523" i="8"/>
  <c r="AA523" i="8" s="1"/>
  <c r="AD523" i="8" s="1"/>
  <c r="Y523" i="8"/>
  <c r="AB523" i="8" s="1"/>
  <c r="AE523" i="8" s="1"/>
  <c r="Z523" i="8"/>
  <c r="AC523" i="8" s="1"/>
  <c r="AF523" i="8" s="1"/>
  <c r="AG523" i="8"/>
  <c r="Y379" i="8"/>
  <c r="AB379" i="8" s="1"/>
  <c r="AE379" i="8" s="1"/>
  <c r="X325" i="8"/>
  <c r="AA325" i="8" s="1"/>
  <c r="AD325" i="8" s="1"/>
  <c r="V342" i="8"/>
  <c r="Z342" i="8" s="1"/>
  <c r="AC342" i="8" s="1"/>
  <c r="AF342" i="8" s="1"/>
  <c r="X345" i="8"/>
  <c r="AA345" i="8" s="1"/>
  <c r="AD345" i="8" s="1"/>
  <c r="AG379" i="8"/>
  <c r="Y428" i="8"/>
  <c r="AB428" i="8" s="1"/>
  <c r="AE428" i="8" s="1"/>
  <c r="X428" i="8"/>
  <c r="AA428" i="8" s="1"/>
  <c r="AD428" i="8" s="1"/>
  <c r="Z428" i="8"/>
  <c r="AC428" i="8" s="1"/>
  <c r="AF428" i="8" s="1"/>
  <c r="AG428" i="8"/>
  <c r="V398" i="8"/>
  <c r="X379" i="8"/>
  <c r="AA379" i="8" s="1"/>
  <c r="AD379" i="8" s="1"/>
  <c r="X459" i="8"/>
  <c r="AA459" i="8" s="1"/>
  <c r="AD459" i="8" s="1"/>
  <c r="Z459" i="8"/>
  <c r="AC459" i="8" s="1"/>
  <c r="AF459" i="8" s="1"/>
  <c r="AG459" i="8"/>
  <c r="Y459" i="8"/>
  <c r="AB459" i="8" s="1"/>
  <c r="AE459" i="8" s="1"/>
  <c r="Y361" i="8"/>
  <c r="AB361" i="8" s="1"/>
  <c r="AE361" i="8" s="1"/>
  <c r="V451" i="8"/>
  <c r="Y446" i="8"/>
  <c r="AB446" i="8" s="1"/>
  <c r="AE446" i="8" s="1"/>
  <c r="Z446" i="8"/>
  <c r="AC446" i="8" s="1"/>
  <c r="AF446" i="8" s="1"/>
  <c r="X446" i="8"/>
  <c r="AA446" i="8" s="1"/>
  <c r="AD446" i="8" s="1"/>
  <c r="AG446" i="8"/>
  <c r="AG433" i="8"/>
  <c r="X433" i="8"/>
  <c r="AA433" i="8" s="1"/>
  <c r="AD433" i="8" s="1"/>
  <c r="Z433" i="8"/>
  <c r="AC433" i="8" s="1"/>
  <c r="AF433" i="8" s="1"/>
  <c r="Y433" i="8"/>
  <c r="AB433" i="8" s="1"/>
  <c r="AE433" i="8" s="1"/>
  <c r="V499" i="8"/>
  <c r="Y498" i="8"/>
  <c r="AB498" i="8" s="1"/>
  <c r="AE498" i="8" s="1"/>
  <c r="X498" i="8"/>
  <c r="AA498" i="8" s="1"/>
  <c r="AD498" i="8" s="1"/>
  <c r="AG498" i="8"/>
  <c r="Z498" i="8"/>
  <c r="AC498" i="8" s="1"/>
  <c r="AF498" i="8" s="1"/>
  <c r="X455" i="8"/>
  <c r="AA455" i="8" s="1"/>
  <c r="AD455" i="8" s="1"/>
  <c r="Z455" i="8"/>
  <c r="AC455" i="8" s="1"/>
  <c r="AF455" i="8" s="1"/>
  <c r="AG455" i="8"/>
  <c r="Y455" i="8"/>
  <c r="AB455" i="8" s="1"/>
  <c r="AE455" i="8" s="1"/>
  <c r="AG402" i="8"/>
  <c r="Y402" i="8"/>
  <c r="AB402" i="8" s="1"/>
  <c r="AE402" i="8" s="1"/>
  <c r="Z402" i="8"/>
  <c r="AC402" i="8" s="1"/>
  <c r="AF402" i="8" s="1"/>
  <c r="X402" i="8"/>
  <c r="AA402" i="8" s="1"/>
  <c r="AD402" i="8" s="1"/>
  <c r="X320" i="8"/>
  <c r="AA320" i="8" s="1"/>
  <c r="AD320" i="8" s="1"/>
  <c r="AG313" i="8"/>
  <c r="AG467" i="8"/>
  <c r="Y467" i="8"/>
  <c r="AB467" i="8" s="1"/>
  <c r="AE467" i="8" s="1"/>
  <c r="X467" i="8"/>
  <c r="AA467" i="8" s="1"/>
  <c r="AD467" i="8" s="1"/>
  <c r="Z467" i="8"/>
  <c r="AC467" i="8" s="1"/>
  <c r="AF467" i="8" s="1"/>
  <c r="AG464" i="8"/>
  <c r="Y464" i="8"/>
  <c r="AB464" i="8" s="1"/>
  <c r="AE464" i="8" s="1"/>
  <c r="Z464" i="8"/>
  <c r="AC464" i="8" s="1"/>
  <c r="AF464" i="8" s="1"/>
  <c r="X464" i="8"/>
  <c r="AA464" i="8" s="1"/>
  <c r="AD464" i="8" s="1"/>
  <c r="Y462" i="8"/>
  <c r="AB462" i="8" s="1"/>
  <c r="AE462" i="8" s="1"/>
  <c r="AG462" i="8"/>
  <c r="X462" i="8"/>
  <c r="AA462" i="8" s="1"/>
  <c r="AD462" i="8" s="1"/>
  <c r="Z462" i="8"/>
  <c r="AC462" i="8" s="1"/>
  <c r="AF462" i="8" s="1"/>
  <c r="Y501" i="8"/>
  <c r="AB501" i="8" s="1"/>
  <c r="AE501" i="8" s="1"/>
  <c r="Z501" i="8"/>
  <c r="AC501" i="8" s="1"/>
  <c r="AF501" i="8" s="1"/>
  <c r="AG501" i="8"/>
  <c r="X501" i="8"/>
  <c r="AA501" i="8" s="1"/>
  <c r="AD501" i="8" s="1"/>
  <c r="Y485" i="8"/>
  <c r="AB485" i="8" s="1"/>
  <c r="AE485" i="8" s="1"/>
  <c r="AG485" i="8"/>
  <c r="X485" i="8"/>
  <c r="AA485" i="8" s="1"/>
  <c r="AD485" i="8" s="1"/>
  <c r="Z485" i="8"/>
  <c r="AC485" i="8" s="1"/>
  <c r="AF485" i="8" s="1"/>
  <c r="Y509" i="8"/>
  <c r="AB509" i="8" s="1"/>
  <c r="AE509" i="8" s="1"/>
  <c r="Z509" i="8"/>
  <c r="AC509" i="8" s="1"/>
  <c r="AF509" i="8" s="1"/>
  <c r="X509" i="8"/>
  <c r="AA509" i="8" s="1"/>
  <c r="AD509" i="8" s="1"/>
  <c r="AG509" i="8"/>
  <c r="V410" i="8"/>
  <c r="AG506" i="8"/>
  <c r="Y440" i="8"/>
  <c r="AB440" i="8" s="1"/>
  <c r="AE440" i="8" s="1"/>
  <c r="X440" i="8"/>
  <c r="AA440" i="8" s="1"/>
  <c r="AD440" i="8" s="1"/>
  <c r="Z440" i="8"/>
  <c r="AC440" i="8" s="1"/>
  <c r="AF440" i="8" s="1"/>
  <c r="AG440" i="8"/>
  <c r="AG413" i="8"/>
  <c r="X413" i="8"/>
  <c r="AA413" i="8" s="1"/>
  <c r="AD413" i="8" s="1"/>
  <c r="Y413" i="8"/>
  <c r="AB413" i="8" s="1"/>
  <c r="AE413" i="8" s="1"/>
  <c r="Z413" i="8"/>
  <c r="AC413" i="8" s="1"/>
  <c r="AF413" i="8" s="1"/>
  <c r="Y434" i="8"/>
  <c r="AB434" i="8" s="1"/>
  <c r="AE434" i="8" s="1"/>
  <c r="Z434" i="8"/>
  <c r="AC434" i="8" s="1"/>
  <c r="AF434" i="8" s="1"/>
  <c r="AG434" i="8"/>
  <c r="X520" i="8"/>
  <c r="AA520" i="8" s="1"/>
  <c r="AD520" i="8" s="1"/>
  <c r="Y520" i="8"/>
  <c r="AB520" i="8" s="1"/>
  <c r="AE520" i="8" s="1"/>
  <c r="Z520" i="8"/>
  <c r="AC520" i="8" s="1"/>
  <c r="AF520" i="8" s="1"/>
  <c r="AG520" i="8"/>
  <c r="X466" i="8"/>
  <c r="AA466" i="8" s="1"/>
  <c r="AD466" i="8" s="1"/>
  <c r="Z466" i="8"/>
  <c r="AC466" i="8" s="1"/>
  <c r="AF466" i="8" s="1"/>
  <c r="Y466" i="8"/>
  <c r="AB466" i="8" s="1"/>
  <c r="AE466" i="8" s="1"/>
  <c r="AG466" i="8"/>
  <c r="Y408" i="8"/>
  <c r="AB408" i="8" s="1"/>
  <c r="AE408" i="8" s="1"/>
  <c r="X408" i="8"/>
  <c r="AA408" i="8" s="1"/>
  <c r="AD408" i="8" s="1"/>
  <c r="Z408" i="8"/>
  <c r="AC408" i="8" s="1"/>
  <c r="AF408" i="8" s="1"/>
  <c r="AG408" i="8"/>
  <c r="V422" i="8"/>
  <c r="Y378" i="8"/>
  <c r="AB378" i="8" s="1"/>
  <c r="AE378" i="8" s="1"/>
  <c r="X378" i="8"/>
  <c r="AA378" i="8" s="1"/>
  <c r="AD378" i="8" s="1"/>
  <c r="V324" i="8"/>
  <c r="Y324" i="8" s="1"/>
  <c r="AB324" i="8" s="1"/>
  <c r="AE324" i="8" s="1"/>
  <c r="AG373" i="8"/>
  <c r="V312" i="8"/>
  <c r="Y312" i="8" s="1"/>
  <c r="AB312" i="8" s="1"/>
  <c r="AE312" i="8" s="1"/>
  <c r="V445" i="8"/>
  <c r="V482" i="8"/>
  <c r="V423" i="8"/>
  <c r="Y315" i="8"/>
  <c r="AB315" i="8" s="1"/>
  <c r="AE315" i="8" s="1"/>
  <c r="Z315" i="8"/>
  <c r="AC315" i="8" s="1"/>
  <c r="AF315" i="8" s="1"/>
  <c r="AG315" i="8"/>
  <c r="X315" i="8"/>
  <c r="AA315" i="8" s="1"/>
  <c r="AD315" i="8" s="1"/>
  <c r="AG381" i="8"/>
  <c r="X381" i="8"/>
  <c r="AA381" i="8" s="1"/>
  <c r="AD381" i="8" s="1"/>
  <c r="Y381" i="8"/>
  <c r="AB381" i="8" s="1"/>
  <c r="AE381" i="8" s="1"/>
  <c r="Z381" i="8"/>
  <c r="AC381" i="8" s="1"/>
  <c r="AF381" i="8" s="1"/>
  <c r="Z318" i="8"/>
  <c r="AC318" i="8" s="1"/>
  <c r="AF318" i="8" s="1"/>
  <c r="Y318" i="8"/>
  <c r="AB318" i="8" s="1"/>
  <c r="AE318" i="8" s="1"/>
  <c r="X318" i="8"/>
  <c r="AA318" i="8" s="1"/>
  <c r="AD318" i="8" s="1"/>
  <c r="AG318" i="8"/>
  <c r="Y382" i="8"/>
  <c r="AB382" i="8" s="1"/>
  <c r="AE382" i="8" s="1"/>
  <c r="AG382" i="8"/>
  <c r="Z382" i="8"/>
  <c r="AC382" i="8" s="1"/>
  <c r="AF382" i="8" s="1"/>
  <c r="X382" i="8"/>
  <c r="AA382" i="8" s="1"/>
  <c r="AD382" i="8" s="1"/>
  <c r="Z362" i="8"/>
  <c r="AC362" i="8" s="1"/>
  <c r="AF362" i="8" s="1"/>
  <c r="Y362" i="8"/>
  <c r="AB362" i="8" s="1"/>
  <c r="AE362" i="8" s="1"/>
  <c r="X362" i="8"/>
  <c r="AA362" i="8" s="1"/>
  <c r="AD362" i="8" s="1"/>
  <c r="AG362" i="8"/>
  <c r="Y348" i="8"/>
  <c r="AB348" i="8" s="1"/>
  <c r="AE348" i="8" s="1"/>
  <c r="Z350" i="8"/>
  <c r="AC350" i="8" s="1"/>
  <c r="AF350" i="8" s="1"/>
  <c r="Z361" i="8"/>
  <c r="AC361" i="8" s="1"/>
  <c r="AF361" i="8" s="1"/>
  <c r="AG370" i="8"/>
  <c r="X370" i="8"/>
  <c r="AA370" i="8" s="1"/>
  <c r="AD370" i="8" s="1"/>
  <c r="X348" i="8"/>
  <c r="AA348" i="8" s="1"/>
  <c r="AD348" i="8" s="1"/>
  <c r="Y330" i="8"/>
  <c r="AB330" i="8" s="1"/>
  <c r="AE330" i="8" s="1"/>
  <c r="Y365" i="8"/>
  <c r="AB365" i="8" s="1"/>
  <c r="AE365" i="8" s="1"/>
  <c r="V336" i="8"/>
  <c r="Z336" i="8" s="1"/>
  <c r="AC336" i="8" s="1"/>
  <c r="AF336" i="8" s="1"/>
  <c r="Z365" i="8"/>
  <c r="AC365" i="8" s="1"/>
  <c r="AF365" i="8" s="1"/>
  <c r="Z370" i="8"/>
  <c r="AC370" i="8" s="1"/>
  <c r="AF370" i="8" s="1"/>
  <c r="AG361" i="8"/>
  <c r="V353" i="8"/>
  <c r="Z353" i="8" s="1"/>
  <c r="AC353" i="8" s="1"/>
  <c r="AF353" i="8" s="1"/>
  <c r="V369" i="8"/>
  <c r="X369" i="8" s="1"/>
  <c r="AA369" i="8" s="1"/>
  <c r="AD369" i="8" s="1"/>
  <c r="Y366" i="8"/>
  <c r="AB366" i="8" s="1"/>
  <c r="AE366" i="8" s="1"/>
  <c r="Z319" i="8"/>
  <c r="AC319" i="8" s="1"/>
  <c r="AF319" i="8" s="1"/>
  <c r="V376" i="8"/>
  <c r="Y376" i="8" s="1"/>
  <c r="AB376" i="8" s="1"/>
  <c r="AE376" i="8" s="1"/>
  <c r="V360" i="8"/>
  <c r="X360" i="8" s="1"/>
  <c r="AA360" i="8" s="1"/>
  <c r="AD360" i="8" s="1"/>
  <c r="V355" i="8"/>
  <c r="Y351" i="8"/>
  <c r="AB351" i="8" s="1"/>
  <c r="AE351" i="8" s="1"/>
  <c r="X366" i="8"/>
  <c r="AA366" i="8" s="1"/>
  <c r="AD366" i="8" s="1"/>
  <c r="Y319" i="8"/>
  <c r="AB319" i="8" s="1"/>
  <c r="AE319" i="8" s="1"/>
  <c r="AG322" i="8"/>
  <c r="X314" i="8"/>
  <c r="AA314" i="8" s="1"/>
  <c r="AD314" i="8" s="1"/>
  <c r="AG365" i="8"/>
  <c r="X319" i="8"/>
  <c r="AA319" i="8" s="1"/>
  <c r="AD319" i="8" s="1"/>
  <c r="Z351" i="8"/>
  <c r="AC351" i="8" s="1"/>
  <c r="AF351" i="8" s="1"/>
  <c r="Z366" i="8"/>
  <c r="AC366" i="8" s="1"/>
  <c r="AF366" i="8" s="1"/>
  <c r="Y363" i="8"/>
  <c r="AB363" i="8" s="1"/>
  <c r="AE363" i="8" s="1"/>
  <c r="V304" i="8"/>
  <c r="Y304" i="8" s="1"/>
  <c r="AB304" i="8" s="1"/>
  <c r="AE304" i="8" s="1"/>
  <c r="V338" i="8"/>
  <c r="X338" i="8" s="1"/>
  <c r="AA338" i="8" s="1"/>
  <c r="AD338" i="8" s="1"/>
  <c r="Z322" i="8"/>
  <c r="AC322" i="8" s="1"/>
  <c r="AF322" i="8" s="1"/>
  <c r="X351" i="8"/>
  <c r="AA351" i="8" s="1"/>
  <c r="AD351" i="8" s="1"/>
  <c r="Z363" i="8"/>
  <c r="AC363" i="8" s="1"/>
  <c r="AF363" i="8" s="1"/>
  <c r="X322" i="8"/>
  <c r="AA322" i="8" s="1"/>
  <c r="AD322" i="8" s="1"/>
  <c r="V310" i="8"/>
  <c r="Z310" i="8" s="1"/>
  <c r="AC310" i="8" s="1"/>
  <c r="AF310" i="8" s="1"/>
  <c r="X363" i="8"/>
  <c r="AA363" i="8" s="1"/>
  <c r="AD363" i="8" s="1"/>
  <c r="Z335" i="8"/>
  <c r="AC335" i="8" s="1"/>
  <c r="AF335" i="8" s="1"/>
  <c r="Y335" i="8"/>
  <c r="AB335" i="8" s="1"/>
  <c r="AE335" i="8" s="1"/>
  <c r="AG335" i="8"/>
  <c r="X335" i="8"/>
  <c r="AA335" i="8" s="1"/>
  <c r="AD335" i="8" s="1"/>
  <c r="X352" i="8"/>
  <c r="AA352" i="8" s="1"/>
  <c r="AD352" i="8" s="1"/>
  <c r="Y352" i="8"/>
  <c r="AB352" i="8" s="1"/>
  <c r="AE352" i="8" s="1"/>
  <c r="AG352" i="8"/>
  <c r="Z352" i="8"/>
  <c r="AC352" i="8" s="1"/>
  <c r="AF352" i="8" s="1"/>
  <c r="Z333" i="8"/>
  <c r="AC333" i="8" s="1"/>
  <c r="AF333" i="8" s="1"/>
  <c r="X333" i="8"/>
  <c r="AA333" i="8" s="1"/>
  <c r="AD333" i="8" s="1"/>
  <c r="Y333" i="8"/>
  <c r="AB333" i="8" s="1"/>
  <c r="AE333" i="8" s="1"/>
  <c r="AG333" i="8"/>
  <c r="X347" i="8"/>
  <c r="AA347" i="8" s="1"/>
  <c r="AD347" i="8" s="1"/>
  <c r="Y347" i="8"/>
  <c r="AB347" i="8" s="1"/>
  <c r="AE347" i="8" s="1"/>
  <c r="Z347" i="8"/>
  <c r="AC347" i="8" s="1"/>
  <c r="AF347" i="8" s="1"/>
  <c r="AG347" i="8"/>
  <c r="Y371" i="8"/>
  <c r="AB371" i="8" s="1"/>
  <c r="AE371" i="8" s="1"/>
  <c r="X371" i="8"/>
  <c r="AA371" i="8" s="1"/>
  <c r="AD371" i="8" s="1"/>
  <c r="Z371" i="8"/>
  <c r="AC371" i="8" s="1"/>
  <c r="AF371" i="8" s="1"/>
  <c r="AG371" i="8"/>
  <c r="V354" i="8"/>
  <c r="V337" i="8"/>
  <c r="AG303" i="8"/>
  <c r="X303" i="8"/>
  <c r="AA303" i="8" s="1"/>
  <c r="AD303" i="8" s="1"/>
  <c r="Y303" i="8"/>
  <c r="AB303" i="8" s="1"/>
  <c r="AE303" i="8" s="1"/>
  <c r="Z303" i="8"/>
  <c r="AC303" i="8" s="1"/>
  <c r="AF303" i="8" s="1"/>
  <c r="V327" i="8"/>
  <c r="X387" i="8"/>
  <c r="AA387" i="8" s="1"/>
  <c r="AD387" i="8" s="1"/>
  <c r="AG387" i="8"/>
  <c r="Z387" i="8"/>
  <c r="AC387" i="8" s="1"/>
  <c r="AF387" i="8" s="1"/>
  <c r="Y387" i="8"/>
  <c r="AB387" i="8" s="1"/>
  <c r="AE387" i="8" s="1"/>
  <c r="AG334" i="8"/>
  <c r="Z334" i="8"/>
  <c r="AC334" i="8" s="1"/>
  <c r="AF334" i="8" s="1"/>
  <c r="Y334" i="8"/>
  <c r="AB334" i="8" s="1"/>
  <c r="AE334" i="8" s="1"/>
  <c r="X334" i="8"/>
  <c r="AA334" i="8" s="1"/>
  <c r="AD334" i="8" s="1"/>
  <c r="X317" i="8"/>
  <c r="AA317" i="8" s="1"/>
  <c r="AD317" i="8" s="1"/>
  <c r="Z317" i="8"/>
  <c r="AC317" i="8" s="1"/>
  <c r="AF317" i="8" s="1"/>
  <c r="Y317" i="8"/>
  <c r="AB317" i="8" s="1"/>
  <c r="AE317" i="8" s="1"/>
  <c r="AG317" i="8"/>
  <c r="V386" i="8"/>
  <c r="Z364" i="8"/>
  <c r="AC364" i="8" s="1"/>
  <c r="AF364" i="8" s="1"/>
  <c r="AG364" i="8"/>
  <c r="X364" i="8"/>
  <c r="AA364" i="8" s="1"/>
  <c r="AD364" i="8" s="1"/>
  <c r="Y364" i="8"/>
  <c r="AB364" i="8" s="1"/>
  <c r="AE364" i="8" s="1"/>
  <c r="V377" i="8"/>
  <c r="Y326" i="8"/>
  <c r="AB326" i="8" s="1"/>
  <c r="AE326" i="8" s="1"/>
  <c r="Z326" i="8"/>
  <c r="AC326" i="8" s="1"/>
  <c r="AF326" i="8" s="1"/>
  <c r="AG326" i="8"/>
  <c r="X326" i="8"/>
  <c r="AA326" i="8" s="1"/>
  <c r="AD326" i="8" s="1"/>
  <c r="Z311" i="8"/>
  <c r="AC311" i="8" s="1"/>
  <c r="AF311" i="8" s="1"/>
  <c r="AG311" i="8"/>
  <c r="X311" i="8"/>
  <c r="AA311" i="8" s="1"/>
  <c r="AD311" i="8" s="1"/>
  <c r="Y311" i="8"/>
  <c r="AB311" i="8" s="1"/>
  <c r="AE311" i="8" s="1"/>
  <c r="V308" i="8"/>
  <c r="Y344" i="8"/>
  <c r="AB344" i="8" s="1"/>
  <c r="AE344" i="8" s="1"/>
  <c r="X344" i="8"/>
  <c r="AA344" i="8" s="1"/>
  <c r="AD344" i="8" s="1"/>
  <c r="Z344" i="8"/>
  <c r="AC344" i="8" s="1"/>
  <c r="AF344" i="8" s="1"/>
  <c r="AG344" i="8"/>
  <c r="AG385" i="8"/>
  <c r="Y367" i="8"/>
  <c r="AB367" i="8" s="1"/>
  <c r="AE367" i="8" s="1"/>
  <c r="Z367" i="8"/>
  <c r="AC367" i="8" s="1"/>
  <c r="AF367" i="8" s="1"/>
  <c r="AG367" i="8"/>
  <c r="X367" i="8"/>
  <c r="AA367" i="8" s="1"/>
  <c r="AD367" i="8" s="1"/>
  <c r="Y340" i="8"/>
  <c r="AB340" i="8" s="1"/>
  <c r="AE340" i="8" s="1"/>
  <c r="AG340" i="8"/>
  <c r="X340" i="8"/>
  <c r="AA340" i="8" s="1"/>
  <c r="AD340" i="8" s="1"/>
  <c r="Z340" i="8"/>
  <c r="AC340" i="8" s="1"/>
  <c r="AF340" i="8" s="1"/>
  <c r="D304" i="8"/>
  <c r="V358" i="8"/>
  <c r="V343" i="8"/>
  <c r="V332" i="8"/>
  <c r="V359" i="8"/>
  <c r="V380" i="8"/>
  <c r="Z349" i="8"/>
  <c r="AC349" i="8" s="1"/>
  <c r="AF349" i="8" s="1"/>
  <c r="Y349" i="8"/>
  <c r="AB349" i="8" s="1"/>
  <c r="AE349" i="8" s="1"/>
  <c r="AG349" i="8"/>
  <c r="X349" i="8"/>
  <c r="AA349" i="8" s="1"/>
  <c r="AD349" i="8" s="1"/>
  <c r="Y388" i="8"/>
  <c r="AB388" i="8" s="1"/>
  <c r="AE388" i="8" s="1"/>
  <c r="X388" i="8"/>
  <c r="AA388" i="8" s="1"/>
  <c r="AD388" i="8" s="1"/>
  <c r="AG388" i="8"/>
  <c r="Z388" i="8"/>
  <c r="AC388" i="8" s="1"/>
  <c r="AF388" i="8" s="1"/>
  <c r="V328" i="8"/>
  <c r="V323" i="8"/>
  <c r="V309" i="8"/>
  <c r="V357" i="8"/>
  <c r="Y391" i="8"/>
  <c r="AB391" i="8" s="1"/>
  <c r="AE391" i="8" s="1"/>
  <c r="X391" i="8"/>
  <c r="AA391" i="8" s="1"/>
  <c r="AD391" i="8" s="1"/>
  <c r="X306" i="8"/>
  <c r="AA306" i="8" s="1"/>
  <c r="AD306" i="8" s="1"/>
  <c r="AG306" i="8"/>
  <c r="Y306" i="8"/>
  <c r="AB306" i="8" s="1"/>
  <c r="AE306" i="8" s="1"/>
  <c r="Z306" i="8"/>
  <c r="AC306" i="8" s="1"/>
  <c r="AF306" i="8" s="1"/>
  <c r="V307" i="8"/>
  <c r="Z383" i="8"/>
  <c r="AC383" i="8" s="1"/>
  <c r="AF383" i="8" s="1"/>
  <c r="X383" i="8"/>
  <c r="AA383" i="8" s="1"/>
  <c r="AD383" i="8" s="1"/>
  <c r="Y383" i="8"/>
  <c r="AB383" i="8" s="1"/>
  <c r="AE383" i="8" s="1"/>
  <c r="AG383" i="8"/>
  <c r="V375" i="8"/>
  <c r="V339" i="8"/>
  <c r="AG316" i="8"/>
  <c r="Z316" i="8"/>
  <c r="AC316" i="8" s="1"/>
  <c r="AF316" i="8" s="1"/>
  <c r="X316" i="8"/>
  <c r="AA316" i="8" s="1"/>
  <c r="AD316" i="8" s="1"/>
  <c r="Y316" i="8"/>
  <c r="AB316" i="8" s="1"/>
  <c r="AE316" i="8" s="1"/>
  <c r="V368" i="8"/>
  <c r="V305" i="8"/>
  <c r="Z341" i="8" l="1"/>
  <c r="AC341" i="8" s="1"/>
  <c r="AF341" i="8" s="1"/>
  <c r="Y331" i="8"/>
  <c r="AB331" i="8" s="1"/>
  <c r="AE331" i="8" s="1"/>
  <c r="Y502" i="8"/>
  <c r="AB502" i="8" s="1"/>
  <c r="AE502" i="8" s="1"/>
  <c r="X506" i="8"/>
  <c r="AA506" i="8" s="1"/>
  <c r="AD506" i="8" s="1"/>
  <c r="Z345" i="8"/>
  <c r="AC345" i="8" s="1"/>
  <c r="AF345" i="8" s="1"/>
  <c r="Y373" i="8"/>
  <c r="AB373" i="8" s="1"/>
  <c r="AE373" i="8" s="1"/>
  <c r="Y341" i="8"/>
  <c r="AB341" i="8" s="1"/>
  <c r="AE341" i="8" s="1"/>
  <c r="X330" i="8"/>
  <c r="AA330" i="8" s="1"/>
  <c r="AD330" i="8" s="1"/>
  <c r="AG330" i="8"/>
  <c r="Z314" i="8"/>
  <c r="AC314" i="8" s="1"/>
  <c r="AF314" i="8" s="1"/>
  <c r="Z506" i="8"/>
  <c r="AC506" i="8" s="1"/>
  <c r="AF506" i="8" s="1"/>
  <c r="X417" i="8"/>
  <c r="AA417" i="8" s="1"/>
  <c r="AD417" i="8" s="1"/>
  <c r="Y346" i="8"/>
  <c r="AB346" i="8" s="1"/>
  <c r="AE346" i="8" s="1"/>
  <c r="Z346" i="8"/>
  <c r="AC346" i="8" s="1"/>
  <c r="AF346" i="8" s="1"/>
  <c r="Z519" i="8"/>
  <c r="AC519" i="8" s="1"/>
  <c r="AF519" i="8" s="1"/>
  <c r="X373" i="8"/>
  <c r="AA373" i="8" s="1"/>
  <c r="AD373" i="8" s="1"/>
  <c r="Y519" i="8"/>
  <c r="AB519" i="8" s="1"/>
  <c r="AE519" i="8" s="1"/>
  <c r="Z409" i="8"/>
  <c r="AC409" i="8" s="1"/>
  <c r="AF409" i="8" s="1"/>
  <c r="X519" i="8"/>
  <c r="AA519" i="8" s="1"/>
  <c r="AD519" i="8" s="1"/>
  <c r="AG393" i="8"/>
  <c r="Y374" i="8"/>
  <c r="AB374" i="8" s="1"/>
  <c r="AE374" i="8" s="1"/>
  <c r="Z393" i="8"/>
  <c r="AC393" i="8" s="1"/>
  <c r="AF393" i="8" s="1"/>
  <c r="Y393" i="8"/>
  <c r="AB393" i="8" s="1"/>
  <c r="AE393" i="8" s="1"/>
  <c r="AG346" i="8"/>
  <c r="AG374" i="8"/>
  <c r="X374" i="8"/>
  <c r="AA374" i="8" s="1"/>
  <c r="AD374" i="8" s="1"/>
  <c r="X456" i="8"/>
  <c r="AA456" i="8" s="1"/>
  <c r="AD456" i="8" s="1"/>
  <c r="AG341" i="8"/>
  <c r="X324" i="8"/>
  <c r="AA324" i="8" s="1"/>
  <c r="AD324" i="8" s="1"/>
  <c r="AG390" i="8"/>
  <c r="Y420" i="8"/>
  <c r="AB420" i="8" s="1"/>
  <c r="AE420" i="8" s="1"/>
  <c r="AG321" i="8"/>
  <c r="X420" i="8"/>
  <c r="AA420" i="8" s="1"/>
  <c r="AD420" i="8" s="1"/>
  <c r="Y516" i="8"/>
  <c r="AB516" i="8" s="1"/>
  <c r="AE516" i="8" s="1"/>
  <c r="Z436" i="8"/>
  <c r="AC436" i="8" s="1"/>
  <c r="AF436" i="8" s="1"/>
  <c r="X516" i="8"/>
  <c r="AA516" i="8" s="1"/>
  <c r="AD516" i="8" s="1"/>
  <c r="AG516" i="8"/>
  <c r="Z321" i="8"/>
  <c r="AC321" i="8" s="1"/>
  <c r="AF321" i="8" s="1"/>
  <c r="Z420" i="8"/>
  <c r="AC420" i="8" s="1"/>
  <c r="AF420" i="8" s="1"/>
  <c r="Y321" i="8"/>
  <c r="AB321" i="8" s="1"/>
  <c r="AE321" i="8" s="1"/>
  <c r="Z356" i="8"/>
  <c r="AC356" i="8" s="1"/>
  <c r="AF356" i="8" s="1"/>
  <c r="AG391" i="8"/>
  <c r="AG356" i="8"/>
  <c r="X346" i="8"/>
  <c r="AA346" i="8" s="1"/>
  <c r="AD346" i="8" s="1"/>
  <c r="X390" i="8"/>
  <c r="AA390" i="8" s="1"/>
  <c r="AD390" i="8" s="1"/>
  <c r="X321" i="8"/>
  <c r="AA321" i="8" s="1"/>
  <c r="AD321" i="8" s="1"/>
  <c r="Y345" i="8"/>
  <c r="AB345" i="8" s="1"/>
  <c r="AE345" i="8" s="1"/>
  <c r="Z324" i="8"/>
  <c r="AC324" i="8" s="1"/>
  <c r="AF324" i="8" s="1"/>
  <c r="AG436" i="8"/>
  <c r="Z502" i="8"/>
  <c r="AC502" i="8" s="1"/>
  <c r="AF502" i="8" s="1"/>
  <c r="X385" i="8"/>
  <c r="AA385" i="8" s="1"/>
  <c r="AD385" i="8" s="1"/>
  <c r="AG518" i="8"/>
  <c r="Z508" i="8"/>
  <c r="AC508" i="8" s="1"/>
  <c r="AF508" i="8" s="1"/>
  <c r="X508" i="8"/>
  <c r="AA508" i="8" s="1"/>
  <c r="AD508" i="8" s="1"/>
  <c r="Y436" i="8"/>
  <c r="AB436" i="8" s="1"/>
  <c r="AE436" i="8" s="1"/>
  <c r="Z390" i="8"/>
  <c r="AC390" i="8" s="1"/>
  <c r="AF390" i="8" s="1"/>
  <c r="Z407" i="8"/>
  <c r="AC407" i="8" s="1"/>
  <c r="AF407" i="8" s="1"/>
  <c r="X490" i="8"/>
  <c r="AA490" i="8" s="1"/>
  <c r="AD490" i="8" s="1"/>
  <c r="Y409" i="8"/>
  <c r="AB409" i="8" s="1"/>
  <c r="AE409" i="8" s="1"/>
  <c r="X409" i="8"/>
  <c r="AA409" i="8" s="1"/>
  <c r="AD409" i="8" s="1"/>
  <c r="AG420" i="8"/>
  <c r="Z338" i="8"/>
  <c r="AC338" i="8" s="1"/>
  <c r="AF338" i="8" s="1"/>
  <c r="AG384" i="8"/>
  <c r="Z384" i="8"/>
  <c r="AC384" i="8" s="1"/>
  <c r="AF384" i="8" s="1"/>
  <c r="Y384" i="8"/>
  <c r="AB384" i="8" s="1"/>
  <c r="AE384" i="8" s="1"/>
  <c r="Y356" i="8"/>
  <c r="AB356" i="8" s="1"/>
  <c r="AE356" i="8" s="1"/>
  <c r="X384" i="8"/>
  <c r="AA384" i="8" s="1"/>
  <c r="AD384" i="8" s="1"/>
  <c r="Z461" i="8"/>
  <c r="AC461" i="8" s="1"/>
  <c r="AF461" i="8" s="1"/>
  <c r="Z391" i="8"/>
  <c r="AC391" i="8" s="1"/>
  <c r="AF391" i="8" s="1"/>
  <c r="X356" i="8"/>
  <c r="AA356" i="8" s="1"/>
  <c r="AD356" i="8" s="1"/>
  <c r="X389" i="8"/>
  <c r="AA389" i="8" s="1"/>
  <c r="AD389" i="8" s="1"/>
  <c r="Z389" i="8"/>
  <c r="AC389" i="8" s="1"/>
  <c r="AF389" i="8" s="1"/>
  <c r="Y389" i="8"/>
  <c r="AB389" i="8" s="1"/>
  <c r="AE389" i="8" s="1"/>
  <c r="AG353" i="8"/>
  <c r="Y360" i="8"/>
  <c r="AB360" i="8" s="1"/>
  <c r="AE360" i="8" s="1"/>
  <c r="Y385" i="8"/>
  <c r="AB385" i="8" s="1"/>
  <c r="AE385" i="8" s="1"/>
  <c r="X461" i="8"/>
  <c r="AA461" i="8" s="1"/>
  <c r="AD461" i="8" s="1"/>
  <c r="X518" i="8"/>
  <c r="AA518" i="8" s="1"/>
  <c r="AD518" i="8" s="1"/>
  <c r="Z385" i="8"/>
  <c r="AC385" i="8" s="1"/>
  <c r="AF385" i="8" s="1"/>
  <c r="Y518" i="8"/>
  <c r="AB518" i="8" s="1"/>
  <c r="AE518" i="8" s="1"/>
  <c r="Y508" i="8"/>
  <c r="AB508" i="8" s="1"/>
  <c r="AE508" i="8" s="1"/>
  <c r="Z405" i="8"/>
  <c r="AC405" i="8" s="1"/>
  <c r="AF405" i="8" s="1"/>
  <c r="AG405" i="8"/>
  <c r="Y405" i="8"/>
  <c r="AB405" i="8" s="1"/>
  <c r="AE405" i="8" s="1"/>
  <c r="X405" i="8"/>
  <c r="AA405" i="8" s="1"/>
  <c r="AD405" i="8" s="1"/>
  <c r="Y490" i="8"/>
  <c r="AB490" i="8" s="1"/>
  <c r="AE490" i="8" s="1"/>
  <c r="AG338" i="8"/>
  <c r="X342" i="8"/>
  <c r="AA342" i="8" s="1"/>
  <c r="AD342" i="8" s="1"/>
  <c r="AG324" i="8"/>
  <c r="X312" i="8"/>
  <c r="AA312" i="8" s="1"/>
  <c r="AD312" i="8" s="1"/>
  <c r="Y336" i="8"/>
  <c r="AB336" i="8" s="1"/>
  <c r="AE336" i="8" s="1"/>
  <c r="AG312" i="8"/>
  <c r="Z355" i="8"/>
  <c r="AC355" i="8" s="1"/>
  <c r="AF355" i="8" s="1"/>
  <c r="AG461" i="8"/>
  <c r="Z312" i="8"/>
  <c r="AC312" i="8" s="1"/>
  <c r="AF312" i="8" s="1"/>
  <c r="AG342" i="8"/>
  <c r="Z360" i="8"/>
  <c r="AC360" i="8" s="1"/>
  <c r="AF360" i="8" s="1"/>
  <c r="Y461" i="8"/>
  <c r="AB461" i="8" s="1"/>
  <c r="AE461" i="8" s="1"/>
  <c r="Y390" i="8"/>
  <c r="AB390" i="8" s="1"/>
  <c r="AE390" i="8" s="1"/>
  <c r="Y517" i="8"/>
  <c r="AB517" i="8" s="1"/>
  <c r="AE517" i="8" s="1"/>
  <c r="AG517" i="8"/>
  <c r="Z517" i="8"/>
  <c r="AC517" i="8" s="1"/>
  <c r="AF517" i="8" s="1"/>
  <c r="X517" i="8"/>
  <c r="AA517" i="8" s="1"/>
  <c r="AD517" i="8" s="1"/>
  <c r="AG511" i="8"/>
  <c r="Z511" i="8"/>
  <c r="AC511" i="8" s="1"/>
  <c r="AF511" i="8" s="1"/>
  <c r="Y511" i="8"/>
  <c r="AB511" i="8" s="1"/>
  <c r="AE511" i="8" s="1"/>
  <c r="X511" i="8"/>
  <c r="AA511" i="8" s="1"/>
  <c r="AD511" i="8" s="1"/>
  <c r="Y369" i="8"/>
  <c r="AB369" i="8" s="1"/>
  <c r="AE369" i="8" s="1"/>
  <c r="Z468" i="8"/>
  <c r="AC468" i="8" s="1"/>
  <c r="AF468" i="8" s="1"/>
  <c r="Z490" i="8"/>
  <c r="AC490" i="8" s="1"/>
  <c r="AF490" i="8" s="1"/>
  <c r="Y353" i="8"/>
  <c r="AB353" i="8" s="1"/>
  <c r="AE353" i="8" s="1"/>
  <c r="Y468" i="8"/>
  <c r="AB468" i="8" s="1"/>
  <c r="AE468" i="8" s="1"/>
  <c r="X468" i="8"/>
  <c r="AA468" i="8" s="1"/>
  <c r="AD468" i="8" s="1"/>
  <c r="AG504" i="8"/>
  <c r="Y504" i="8"/>
  <c r="AB504" i="8" s="1"/>
  <c r="AE504" i="8" s="1"/>
  <c r="Z504" i="8"/>
  <c r="AC504" i="8" s="1"/>
  <c r="AF504" i="8" s="1"/>
  <c r="X504" i="8"/>
  <c r="AA504" i="8" s="1"/>
  <c r="AD504" i="8" s="1"/>
  <c r="AG491" i="8"/>
  <c r="Z491" i="8"/>
  <c r="AC491" i="8" s="1"/>
  <c r="AF491" i="8" s="1"/>
  <c r="X491" i="8"/>
  <c r="AA491" i="8" s="1"/>
  <c r="AD491" i="8" s="1"/>
  <c r="Y491" i="8"/>
  <c r="AB491" i="8" s="1"/>
  <c r="AE491" i="8" s="1"/>
  <c r="AG492" i="8"/>
  <c r="X492" i="8"/>
  <c r="AA492" i="8" s="1"/>
  <c r="AD492" i="8" s="1"/>
  <c r="Y492" i="8"/>
  <c r="AB492" i="8" s="1"/>
  <c r="AE492" i="8" s="1"/>
  <c r="Z492" i="8"/>
  <c r="AC492" i="8" s="1"/>
  <c r="AF492" i="8" s="1"/>
  <c r="X500" i="8"/>
  <c r="AA500" i="8" s="1"/>
  <c r="AD500" i="8" s="1"/>
  <c r="X505" i="8"/>
  <c r="AA505" i="8" s="1"/>
  <c r="AD505" i="8" s="1"/>
  <c r="Z505" i="8"/>
  <c r="AC505" i="8" s="1"/>
  <c r="AF505" i="8" s="1"/>
  <c r="AG505" i="8"/>
  <c r="Y505" i="8"/>
  <c r="AB505" i="8" s="1"/>
  <c r="AE505" i="8" s="1"/>
  <c r="AG489" i="8"/>
  <c r="Z489" i="8"/>
  <c r="AC489" i="8" s="1"/>
  <c r="AF489" i="8" s="1"/>
  <c r="X489" i="8"/>
  <c r="AA489" i="8" s="1"/>
  <c r="AD489" i="8" s="1"/>
  <c r="Y489" i="8"/>
  <c r="AB489" i="8" s="1"/>
  <c r="AE489" i="8" s="1"/>
  <c r="Y488" i="8"/>
  <c r="AB488" i="8" s="1"/>
  <c r="AE488" i="8" s="1"/>
  <c r="Z488" i="8"/>
  <c r="AC488" i="8" s="1"/>
  <c r="AF488" i="8" s="1"/>
  <c r="AG488" i="8"/>
  <c r="X488" i="8"/>
  <c r="AA488" i="8" s="1"/>
  <c r="AD488" i="8" s="1"/>
  <c r="X436" i="8"/>
  <c r="AA436" i="8" s="1"/>
  <c r="AD436" i="8" s="1"/>
  <c r="Y500" i="8"/>
  <c r="AB500" i="8" s="1"/>
  <c r="AE500" i="8" s="1"/>
  <c r="AG471" i="8"/>
  <c r="X471" i="8"/>
  <c r="AA471" i="8" s="1"/>
  <c r="AD471" i="8" s="1"/>
  <c r="Z500" i="8"/>
  <c r="AC500" i="8" s="1"/>
  <c r="AF500" i="8" s="1"/>
  <c r="AG468" i="8"/>
  <c r="X407" i="8"/>
  <c r="AA407" i="8" s="1"/>
  <c r="AD407" i="8" s="1"/>
  <c r="AG407" i="8"/>
  <c r="Y407" i="8"/>
  <c r="AB407" i="8" s="1"/>
  <c r="AE407" i="8" s="1"/>
  <c r="Y471" i="8"/>
  <c r="AB471" i="8" s="1"/>
  <c r="AE471" i="8" s="1"/>
  <c r="Z471" i="8"/>
  <c r="AC471" i="8" s="1"/>
  <c r="AF471" i="8" s="1"/>
  <c r="C397" i="8"/>
  <c r="D396" i="8"/>
  <c r="Z422" i="8"/>
  <c r="AC422" i="8" s="1"/>
  <c r="AF422" i="8" s="1"/>
  <c r="AG422" i="8"/>
  <c r="X422" i="8"/>
  <c r="AA422" i="8" s="1"/>
  <c r="AD422" i="8" s="1"/>
  <c r="Y422" i="8"/>
  <c r="AB422" i="8" s="1"/>
  <c r="AE422" i="8" s="1"/>
  <c r="AG369" i="8"/>
  <c r="Z369" i="8"/>
  <c r="AC369" i="8" s="1"/>
  <c r="AF369" i="8" s="1"/>
  <c r="X353" i="8"/>
  <c r="AA353" i="8" s="1"/>
  <c r="AD353" i="8" s="1"/>
  <c r="Y499" i="8"/>
  <c r="AB499" i="8" s="1"/>
  <c r="AE499" i="8" s="1"/>
  <c r="Z499" i="8"/>
  <c r="AC499" i="8" s="1"/>
  <c r="AF499" i="8" s="1"/>
  <c r="AG499" i="8"/>
  <c r="X499" i="8"/>
  <c r="AA499" i="8" s="1"/>
  <c r="AD499" i="8" s="1"/>
  <c r="Y342" i="8"/>
  <c r="AB342" i="8" s="1"/>
  <c r="AE342" i="8" s="1"/>
  <c r="Z477" i="8"/>
  <c r="AC477" i="8" s="1"/>
  <c r="AF477" i="8" s="1"/>
  <c r="X477" i="8"/>
  <c r="AA477" i="8" s="1"/>
  <c r="AD477" i="8" s="1"/>
  <c r="AG477" i="8"/>
  <c r="Y477" i="8"/>
  <c r="AB477" i="8" s="1"/>
  <c r="AE477" i="8" s="1"/>
  <c r="Z487" i="8"/>
  <c r="AC487" i="8" s="1"/>
  <c r="AF487" i="8" s="1"/>
  <c r="Y487" i="8"/>
  <c r="AB487" i="8" s="1"/>
  <c r="AE487" i="8" s="1"/>
  <c r="AG487" i="8"/>
  <c r="X487" i="8"/>
  <c r="AA487" i="8" s="1"/>
  <c r="AD487" i="8" s="1"/>
  <c r="Y469" i="8"/>
  <c r="AB469" i="8" s="1"/>
  <c r="AE469" i="8" s="1"/>
  <c r="X469" i="8"/>
  <c r="AA469" i="8" s="1"/>
  <c r="AD469" i="8" s="1"/>
  <c r="Z469" i="8"/>
  <c r="AC469" i="8" s="1"/>
  <c r="AF469" i="8" s="1"/>
  <c r="AG469" i="8"/>
  <c r="X376" i="8"/>
  <c r="AA376" i="8" s="1"/>
  <c r="AD376" i="8" s="1"/>
  <c r="Y470" i="8"/>
  <c r="AB470" i="8" s="1"/>
  <c r="AE470" i="8" s="1"/>
  <c r="X470" i="8"/>
  <c r="AA470" i="8" s="1"/>
  <c r="AD470" i="8" s="1"/>
  <c r="Z470" i="8"/>
  <c r="AC470" i="8" s="1"/>
  <c r="AF470" i="8" s="1"/>
  <c r="AG470" i="8"/>
  <c r="Y423" i="8"/>
  <c r="AB423" i="8" s="1"/>
  <c r="AE423" i="8" s="1"/>
  <c r="X423" i="8"/>
  <c r="AA423" i="8" s="1"/>
  <c r="AD423" i="8" s="1"/>
  <c r="AG423" i="8"/>
  <c r="Z423" i="8"/>
  <c r="AC423" i="8" s="1"/>
  <c r="AF423" i="8" s="1"/>
  <c r="Y338" i="8"/>
  <c r="AB338" i="8" s="1"/>
  <c r="AE338" i="8" s="1"/>
  <c r="AG360" i="8"/>
  <c r="AG482" i="8"/>
  <c r="X482" i="8"/>
  <c r="AA482" i="8" s="1"/>
  <c r="AD482" i="8" s="1"/>
  <c r="Z482" i="8"/>
  <c r="AC482" i="8" s="1"/>
  <c r="AF482" i="8" s="1"/>
  <c r="Y482" i="8"/>
  <c r="AB482" i="8" s="1"/>
  <c r="AE482" i="8" s="1"/>
  <c r="AG410" i="8"/>
  <c r="Y410" i="8"/>
  <c r="AB410" i="8" s="1"/>
  <c r="AE410" i="8" s="1"/>
  <c r="Z410" i="8"/>
  <c r="AC410" i="8" s="1"/>
  <c r="AF410" i="8" s="1"/>
  <c r="X410" i="8"/>
  <c r="AA410" i="8" s="1"/>
  <c r="AD410" i="8" s="1"/>
  <c r="AG329" i="8"/>
  <c r="Y329" i="8"/>
  <c r="AB329" i="8" s="1"/>
  <c r="AE329" i="8" s="1"/>
  <c r="Z329" i="8"/>
  <c r="AC329" i="8" s="1"/>
  <c r="AF329" i="8" s="1"/>
  <c r="X329" i="8"/>
  <c r="AA329" i="8" s="1"/>
  <c r="AD329" i="8" s="1"/>
  <c r="Z445" i="8"/>
  <c r="AC445" i="8" s="1"/>
  <c r="AF445" i="8" s="1"/>
  <c r="Y445" i="8"/>
  <c r="AB445" i="8" s="1"/>
  <c r="AE445" i="8" s="1"/>
  <c r="X445" i="8"/>
  <c r="AA445" i="8" s="1"/>
  <c r="AD445" i="8" s="1"/>
  <c r="AG445" i="8"/>
  <c r="Y454" i="8"/>
  <c r="AB454" i="8" s="1"/>
  <c r="AE454" i="8" s="1"/>
  <c r="AG454" i="8"/>
  <c r="X454" i="8"/>
  <c r="AA454" i="8" s="1"/>
  <c r="AD454" i="8" s="1"/>
  <c r="Z454" i="8"/>
  <c r="AC454" i="8" s="1"/>
  <c r="AF454" i="8" s="1"/>
  <c r="Z398" i="8"/>
  <c r="AC398" i="8" s="1"/>
  <c r="AF398" i="8" s="1"/>
  <c r="X398" i="8"/>
  <c r="AA398" i="8" s="1"/>
  <c r="AD398" i="8" s="1"/>
  <c r="Y398" i="8"/>
  <c r="AB398" i="8" s="1"/>
  <c r="AE398" i="8" s="1"/>
  <c r="AG398" i="8"/>
  <c r="Z451" i="8"/>
  <c r="AC451" i="8" s="1"/>
  <c r="AF451" i="8" s="1"/>
  <c r="Y451" i="8"/>
  <c r="AB451" i="8" s="1"/>
  <c r="AE451" i="8" s="1"/>
  <c r="X451" i="8"/>
  <c r="AA451" i="8" s="1"/>
  <c r="AD451" i="8" s="1"/>
  <c r="AG451" i="8"/>
  <c r="X304" i="8"/>
  <c r="AA304" i="8" s="1"/>
  <c r="AD304" i="8" s="1"/>
  <c r="AG376" i="8"/>
  <c r="X310" i="8"/>
  <c r="AA310" i="8" s="1"/>
  <c r="AD310" i="8" s="1"/>
  <c r="AG336" i="8"/>
  <c r="AG304" i="8"/>
  <c r="Y310" i="8"/>
  <c r="AB310" i="8" s="1"/>
  <c r="AE310" i="8" s="1"/>
  <c r="X336" i="8"/>
  <c r="AA336" i="8" s="1"/>
  <c r="AD336" i="8" s="1"/>
  <c r="Z304" i="8"/>
  <c r="AC304" i="8" s="1"/>
  <c r="AF304" i="8" s="1"/>
  <c r="AG310" i="8"/>
  <c r="Z376" i="8"/>
  <c r="AC376" i="8" s="1"/>
  <c r="AF376" i="8" s="1"/>
  <c r="AG355" i="8"/>
  <c r="Y355" i="8"/>
  <c r="AB355" i="8" s="1"/>
  <c r="AE355" i="8" s="1"/>
  <c r="X355" i="8"/>
  <c r="AA355" i="8" s="1"/>
  <c r="AD355" i="8" s="1"/>
  <c r="Z368" i="8"/>
  <c r="AC368" i="8" s="1"/>
  <c r="AF368" i="8" s="1"/>
  <c r="X368" i="8"/>
  <c r="AA368" i="8" s="1"/>
  <c r="AD368" i="8" s="1"/>
  <c r="Y368" i="8"/>
  <c r="AB368" i="8" s="1"/>
  <c r="AE368" i="8" s="1"/>
  <c r="AG368" i="8"/>
  <c r="X358" i="8"/>
  <c r="AA358" i="8" s="1"/>
  <c r="AD358" i="8" s="1"/>
  <c r="AG358" i="8"/>
  <c r="Y358" i="8"/>
  <c r="AB358" i="8" s="1"/>
  <c r="AE358" i="8" s="1"/>
  <c r="Z358" i="8"/>
  <c r="AC358" i="8" s="1"/>
  <c r="AF358" i="8" s="1"/>
  <c r="Y308" i="8"/>
  <c r="AB308" i="8" s="1"/>
  <c r="AE308" i="8" s="1"/>
  <c r="Z308" i="8"/>
  <c r="AC308" i="8" s="1"/>
  <c r="AF308" i="8" s="1"/>
  <c r="X308" i="8"/>
  <c r="AA308" i="8" s="1"/>
  <c r="AD308" i="8" s="1"/>
  <c r="AG308" i="8"/>
  <c r="AG357" i="8"/>
  <c r="X357" i="8"/>
  <c r="AA357" i="8" s="1"/>
  <c r="AD357" i="8" s="1"/>
  <c r="Y357" i="8"/>
  <c r="AB357" i="8" s="1"/>
  <c r="AE357" i="8" s="1"/>
  <c r="Z357" i="8"/>
  <c r="AC357" i="8" s="1"/>
  <c r="AF357" i="8" s="1"/>
  <c r="X380" i="8"/>
  <c r="AA380" i="8" s="1"/>
  <c r="AD380" i="8" s="1"/>
  <c r="Y380" i="8"/>
  <c r="AB380" i="8" s="1"/>
  <c r="AE380" i="8" s="1"/>
  <c r="AG380" i="8"/>
  <c r="Z380" i="8"/>
  <c r="AC380" i="8" s="1"/>
  <c r="AF380" i="8" s="1"/>
  <c r="AG339" i="8"/>
  <c r="X339" i="8"/>
  <c r="AA339" i="8" s="1"/>
  <c r="AD339" i="8" s="1"/>
  <c r="Z339" i="8"/>
  <c r="AC339" i="8" s="1"/>
  <c r="AF339" i="8" s="1"/>
  <c r="Y339" i="8"/>
  <c r="AB339" i="8" s="1"/>
  <c r="AE339" i="8" s="1"/>
  <c r="Z359" i="8"/>
  <c r="AC359" i="8" s="1"/>
  <c r="AF359" i="8" s="1"/>
  <c r="AG359" i="8"/>
  <c r="Y359" i="8"/>
  <c r="AB359" i="8" s="1"/>
  <c r="AE359" i="8" s="1"/>
  <c r="X359" i="8"/>
  <c r="AA359" i="8" s="1"/>
  <c r="AD359" i="8" s="1"/>
  <c r="Z386" i="8"/>
  <c r="AC386" i="8" s="1"/>
  <c r="AF386" i="8" s="1"/>
  <c r="Y386" i="8"/>
  <c r="AB386" i="8" s="1"/>
  <c r="AE386" i="8" s="1"/>
  <c r="X386" i="8"/>
  <c r="AA386" i="8" s="1"/>
  <c r="AD386" i="8" s="1"/>
  <c r="AG386" i="8"/>
  <c r="Z332" i="8"/>
  <c r="AC332" i="8" s="1"/>
  <c r="AF332" i="8" s="1"/>
  <c r="X332" i="8"/>
  <c r="AA332" i="8" s="1"/>
  <c r="AD332" i="8" s="1"/>
  <c r="AG332" i="8"/>
  <c r="Y332" i="8"/>
  <c r="AB332" i="8" s="1"/>
  <c r="AE332" i="8" s="1"/>
  <c r="Z327" i="8"/>
  <c r="AC327" i="8" s="1"/>
  <c r="AF327" i="8" s="1"/>
  <c r="Y327" i="8"/>
  <c r="AB327" i="8" s="1"/>
  <c r="AE327" i="8" s="1"/>
  <c r="AG327" i="8"/>
  <c r="X327" i="8"/>
  <c r="AA327" i="8" s="1"/>
  <c r="AD327" i="8" s="1"/>
  <c r="Y305" i="8"/>
  <c r="AB305" i="8" s="1"/>
  <c r="AE305" i="8" s="1"/>
  <c r="AG305" i="8"/>
  <c r="X305" i="8"/>
  <c r="AA305" i="8" s="1"/>
  <c r="AD305" i="8" s="1"/>
  <c r="Z305" i="8"/>
  <c r="AC305" i="8" s="1"/>
  <c r="AF305" i="8" s="1"/>
  <c r="Z343" i="8"/>
  <c r="AC343" i="8" s="1"/>
  <c r="AF343" i="8" s="1"/>
  <c r="X343" i="8"/>
  <c r="AA343" i="8" s="1"/>
  <c r="AD343" i="8" s="1"/>
  <c r="AG343" i="8"/>
  <c r="Y343" i="8"/>
  <c r="AB343" i="8" s="1"/>
  <c r="AE343" i="8" s="1"/>
  <c r="Y309" i="8"/>
  <c r="AB309" i="8" s="1"/>
  <c r="AE309" i="8" s="1"/>
  <c r="Z309" i="8"/>
  <c r="AC309" i="8" s="1"/>
  <c r="AF309" i="8" s="1"/>
  <c r="AG309" i="8"/>
  <c r="X309" i="8"/>
  <c r="AA309" i="8" s="1"/>
  <c r="AD309" i="8" s="1"/>
  <c r="Y323" i="8"/>
  <c r="AB323" i="8" s="1"/>
  <c r="AE323" i="8" s="1"/>
  <c r="AG323" i="8"/>
  <c r="Z323" i="8"/>
  <c r="AC323" i="8" s="1"/>
  <c r="AF323" i="8" s="1"/>
  <c r="X323" i="8"/>
  <c r="AA323" i="8" s="1"/>
  <c r="AD323" i="8" s="1"/>
  <c r="D305" i="8"/>
  <c r="X307" i="8"/>
  <c r="AA307" i="8" s="1"/>
  <c r="AD307" i="8" s="1"/>
  <c r="Y307" i="8"/>
  <c r="AB307" i="8" s="1"/>
  <c r="AE307" i="8" s="1"/>
  <c r="AG307" i="8"/>
  <c r="Z307" i="8"/>
  <c r="AC307" i="8" s="1"/>
  <c r="AF307" i="8" s="1"/>
  <c r="Z328" i="8"/>
  <c r="AC328" i="8" s="1"/>
  <c r="AF328" i="8" s="1"/>
  <c r="X328" i="8"/>
  <c r="AA328" i="8" s="1"/>
  <c r="AD328" i="8" s="1"/>
  <c r="Y328" i="8"/>
  <c r="AB328" i="8" s="1"/>
  <c r="AE328" i="8" s="1"/>
  <c r="AG328" i="8"/>
  <c r="Y337" i="8"/>
  <c r="AB337" i="8" s="1"/>
  <c r="AE337" i="8" s="1"/>
  <c r="AG337" i="8"/>
  <c r="Z337" i="8"/>
  <c r="AC337" i="8" s="1"/>
  <c r="AF337" i="8" s="1"/>
  <c r="X337" i="8"/>
  <c r="AA337" i="8" s="1"/>
  <c r="AD337" i="8" s="1"/>
  <c r="Z375" i="8"/>
  <c r="AC375" i="8" s="1"/>
  <c r="AF375" i="8" s="1"/>
  <c r="X375" i="8"/>
  <c r="AA375" i="8" s="1"/>
  <c r="AD375" i="8" s="1"/>
  <c r="AG375" i="8"/>
  <c r="Y375" i="8"/>
  <c r="AB375" i="8" s="1"/>
  <c r="AE375" i="8" s="1"/>
  <c r="AG377" i="8"/>
  <c r="Z377" i="8"/>
  <c r="AC377" i="8" s="1"/>
  <c r="AF377" i="8" s="1"/>
  <c r="X377" i="8"/>
  <c r="AA377" i="8" s="1"/>
  <c r="AD377" i="8" s="1"/>
  <c r="Y377" i="8"/>
  <c r="AB377" i="8" s="1"/>
  <c r="AE377" i="8" s="1"/>
  <c r="Y354" i="8"/>
  <c r="AB354" i="8" s="1"/>
  <c r="AE354" i="8" s="1"/>
  <c r="X354" i="8"/>
  <c r="AA354" i="8" s="1"/>
  <c r="AD354" i="8" s="1"/>
  <c r="AG354" i="8"/>
  <c r="Z354" i="8"/>
  <c r="AC354" i="8" s="1"/>
  <c r="AF354" i="8" s="1"/>
  <c r="C398" i="8" l="1"/>
  <c r="D397" i="8"/>
  <c r="D306" i="8"/>
  <c r="D398" i="8" l="1"/>
  <c r="C399" i="8"/>
  <c r="D307" i="8"/>
  <c r="D399" i="8" l="1"/>
  <c r="C400" i="8"/>
  <c r="D308" i="8"/>
  <c r="D400" i="8" l="1"/>
  <c r="C401" i="8"/>
  <c r="D309" i="8"/>
  <c r="D401" i="8" l="1"/>
  <c r="C402" i="8"/>
  <c r="D310" i="8"/>
  <c r="D402" i="8" l="1"/>
  <c r="C403" i="8"/>
  <c r="D311" i="8"/>
  <c r="D403" i="8" l="1"/>
  <c r="C404" i="8"/>
  <c r="D312" i="8"/>
  <c r="C405" i="8" l="1"/>
  <c r="D404" i="8"/>
  <c r="D313" i="8"/>
  <c r="D405" i="8" l="1"/>
  <c r="C406" i="8"/>
  <c r="D314" i="8"/>
  <c r="D406" i="8" l="1"/>
  <c r="C407" i="8"/>
  <c r="D315" i="8"/>
  <c r="D407" i="8" l="1"/>
  <c r="C408" i="8"/>
  <c r="D316" i="8"/>
  <c r="D408" i="8" l="1"/>
  <c r="C409" i="8"/>
  <c r="D317" i="8"/>
  <c r="C410" i="8" l="1"/>
  <c r="D409" i="8"/>
  <c r="D318" i="8"/>
  <c r="C411" i="8" l="1"/>
  <c r="D410" i="8"/>
  <c r="D319" i="8"/>
  <c r="C412" i="8" l="1"/>
  <c r="D411" i="8"/>
  <c r="D320" i="8"/>
  <c r="C413" i="8" l="1"/>
  <c r="D412" i="8"/>
  <c r="D321" i="8"/>
  <c r="C414" i="8" l="1"/>
  <c r="D413" i="8"/>
  <c r="D322" i="8"/>
  <c r="D414" i="8" l="1"/>
  <c r="C415" i="8"/>
  <c r="D323" i="8"/>
  <c r="D415" i="8" l="1"/>
  <c r="C416" i="8"/>
  <c r="D324" i="8"/>
  <c r="C417" i="8" l="1"/>
  <c r="D416" i="8"/>
  <c r="D325" i="8"/>
  <c r="D417" i="8" l="1"/>
  <c r="C418" i="8"/>
  <c r="D326" i="8"/>
  <c r="D418" i="8" l="1"/>
  <c r="C419" i="8"/>
  <c r="D327" i="8"/>
  <c r="D419" i="8" l="1"/>
  <c r="C420" i="8"/>
  <c r="D328" i="8"/>
  <c r="C421" i="8" l="1"/>
  <c r="D420" i="8"/>
  <c r="D329" i="8"/>
  <c r="D421" i="8" l="1"/>
  <c r="C422" i="8"/>
  <c r="D330" i="8"/>
  <c r="D422" i="8" l="1"/>
  <c r="C423" i="8"/>
  <c r="D331" i="8"/>
  <c r="D423" i="8" l="1"/>
  <c r="C424" i="8"/>
  <c r="D332" i="8"/>
  <c r="D424" i="8" l="1"/>
  <c r="C425" i="8"/>
  <c r="D333" i="8"/>
  <c r="C426" i="8" l="1"/>
  <c r="D425" i="8"/>
  <c r="D334" i="8"/>
  <c r="C427" i="8" l="1"/>
  <c r="D426" i="8"/>
  <c r="D335" i="8"/>
  <c r="C428" i="8" l="1"/>
  <c r="D427" i="8"/>
  <c r="D336" i="8"/>
  <c r="C429" i="8" l="1"/>
  <c r="D428" i="8"/>
  <c r="D337" i="8"/>
  <c r="C430" i="8" l="1"/>
  <c r="D429" i="8"/>
  <c r="D338" i="8"/>
  <c r="D430" i="8" l="1"/>
  <c r="C431" i="8"/>
  <c r="D339" i="8"/>
  <c r="D431" i="8" l="1"/>
  <c r="C432" i="8"/>
  <c r="D340" i="8"/>
  <c r="D432" i="8" l="1"/>
  <c r="C433" i="8"/>
  <c r="D341" i="8"/>
  <c r="D433" i="8" l="1"/>
  <c r="C434" i="8"/>
  <c r="D342" i="8"/>
  <c r="D434" i="8" l="1"/>
  <c r="C435" i="8"/>
  <c r="D343" i="8"/>
  <c r="D435" i="8" l="1"/>
  <c r="C436" i="8"/>
  <c r="D344" i="8"/>
  <c r="C437" i="8" l="1"/>
  <c r="D436" i="8"/>
  <c r="D345" i="8"/>
  <c r="D437" i="8" l="1"/>
  <c r="C438" i="8"/>
  <c r="D346" i="8"/>
  <c r="D438" i="8" l="1"/>
  <c r="C439" i="8"/>
  <c r="D347" i="8"/>
  <c r="D439" i="8" l="1"/>
  <c r="C440" i="8"/>
  <c r="D348" i="8"/>
  <c r="D440" i="8" l="1"/>
  <c r="C441" i="8"/>
  <c r="D349" i="8"/>
  <c r="C442" i="8" l="1"/>
  <c r="D441" i="8"/>
  <c r="D350" i="8"/>
  <c r="C443" i="8" l="1"/>
  <c r="D442" i="8"/>
  <c r="D351" i="8"/>
  <c r="C444" i="8" l="1"/>
  <c r="D443" i="8"/>
  <c r="D352" i="8"/>
  <c r="C445" i="8" l="1"/>
  <c r="D444" i="8"/>
  <c r="D353" i="8"/>
  <c r="C446" i="8" l="1"/>
  <c r="D445" i="8"/>
  <c r="D354" i="8"/>
  <c r="D446" i="8" l="1"/>
  <c r="C447" i="8"/>
  <c r="D355" i="8"/>
  <c r="D447" i="8" l="1"/>
  <c r="C448" i="8"/>
  <c r="D356" i="8"/>
  <c r="C449" i="8" l="1"/>
  <c r="D448" i="8"/>
  <c r="D357" i="8"/>
  <c r="D449" i="8" l="1"/>
  <c r="C450" i="8"/>
  <c r="D358" i="8"/>
  <c r="D450" i="8" l="1"/>
  <c r="C451" i="8"/>
  <c r="D359" i="8"/>
  <c r="D451" i="8" l="1"/>
  <c r="C452" i="8"/>
  <c r="D360" i="8"/>
  <c r="C453" i="8" l="1"/>
  <c r="D452" i="8"/>
  <c r="D361" i="8"/>
  <c r="D453" i="8" l="1"/>
  <c r="C454" i="8"/>
  <c r="D362" i="8"/>
  <c r="D454" i="8" l="1"/>
  <c r="C455" i="8"/>
  <c r="D363" i="8"/>
  <c r="D455" i="8" l="1"/>
  <c r="C456" i="8"/>
  <c r="D364" i="8"/>
  <c r="D456" i="8" l="1"/>
  <c r="C457" i="8"/>
  <c r="D365" i="8"/>
  <c r="C458" i="8" l="1"/>
  <c r="D457" i="8"/>
  <c r="D366" i="8"/>
  <c r="C459" i="8" l="1"/>
  <c r="D458" i="8"/>
  <c r="D367" i="8"/>
  <c r="C460" i="8" l="1"/>
  <c r="D459" i="8"/>
  <c r="D368" i="8"/>
  <c r="C461" i="8" l="1"/>
  <c r="D460" i="8"/>
  <c r="D369" i="8"/>
  <c r="C462" i="8" l="1"/>
  <c r="D461" i="8"/>
  <c r="D370" i="8"/>
  <c r="D462" i="8" l="1"/>
  <c r="C463" i="8"/>
  <c r="D371" i="8"/>
  <c r="D463" i="8" l="1"/>
  <c r="C464" i="8"/>
  <c r="D372" i="8"/>
  <c r="D464" i="8" l="1"/>
  <c r="C465" i="8"/>
  <c r="D373" i="8"/>
  <c r="D465" i="8" l="1"/>
  <c r="C466" i="8"/>
  <c r="D374" i="8"/>
  <c r="D466" i="8" l="1"/>
  <c r="C467" i="8"/>
  <c r="D375" i="8"/>
  <c r="D467" i="8" l="1"/>
  <c r="C468" i="8"/>
  <c r="D376" i="8"/>
  <c r="C469" i="8" l="1"/>
  <c r="D468" i="8"/>
  <c r="D377" i="8"/>
  <c r="D469" i="8" l="1"/>
  <c r="C470" i="8"/>
  <c r="D378" i="8"/>
  <c r="D470" i="8" l="1"/>
  <c r="C471" i="8"/>
  <c r="D379" i="8"/>
  <c r="D471" i="8" l="1"/>
  <c r="C472" i="8"/>
  <c r="D380" i="8"/>
  <c r="D472" i="8" l="1"/>
  <c r="C473" i="8"/>
  <c r="D381" i="8"/>
  <c r="C474" i="8" l="1"/>
  <c r="D473" i="8"/>
  <c r="D382" i="8"/>
  <c r="C475" i="8" l="1"/>
  <c r="D474" i="8"/>
  <c r="D383" i="8"/>
  <c r="C476" i="8" l="1"/>
  <c r="D475" i="8"/>
  <c r="D384" i="8"/>
  <c r="C477" i="8" l="1"/>
  <c r="D476" i="8"/>
  <c r="D385" i="8"/>
  <c r="D477" i="8" l="1"/>
  <c r="C478" i="8"/>
  <c r="D386" i="8"/>
  <c r="C479" i="8" l="1"/>
  <c r="D478" i="8"/>
  <c r="D387" i="8"/>
  <c r="D479" i="8" l="1"/>
  <c r="C480" i="8"/>
  <c r="D388" i="8"/>
  <c r="C481" i="8" l="1"/>
  <c r="D480" i="8"/>
  <c r="D389" i="8"/>
  <c r="C482" i="8" l="1"/>
  <c r="D481" i="8"/>
  <c r="D390" i="8"/>
  <c r="D391" i="8"/>
  <c r="C483" i="8" l="1"/>
  <c r="D482"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G228" i="8" a="1"/>
  <c r="G228" i="8" s="1"/>
  <c r="G229" i="8" a="1"/>
  <c r="G229" i="8" s="1"/>
  <c r="G230" i="8" a="1"/>
  <c r="G230" i="8" s="1"/>
  <c r="G231" i="8" a="1"/>
  <c r="G231" i="8" s="1"/>
  <c r="G232" i="8" a="1"/>
  <c r="G232" i="8" s="1"/>
  <c r="G233" i="8" a="1"/>
  <c r="G233" i="8" s="1"/>
  <c r="G234" i="8" a="1"/>
  <c r="G234" i="8" s="1"/>
  <c r="G235" i="8" a="1"/>
  <c r="G235" i="8" s="1"/>
  <c r="G236" i="8" a="1"/>
  <c r="G236" i="8" s="1"/>
  <c r="G237" i="8" a="1"/>
  <c r="G237" i="8" s="1"/>
  <c r="G238" i="8" a="1"/>
  <c r="G238" i="8" s="1"/>
  <c r="G239" i="8" a="1"/>
  <c r="G239" i="8" s="1"/>
  <c r="G240" i="8" a="1"/>
  <c r="G240" i="8" s="1"/>
  <c r="G241" i="8" a="1"/>
  <c r="G241" i="8" s="1"/>
  <c r="G242" i="8" a="1"/>
  <c r="G242" i="8" s="1"/>
  <c r="G243" i="8" a="1"/>
  <c r="G243" i="8" s="1"/>
  <c r="G244" i="8" a="1"/>
  <c r="G244" i="8" s="1"/>
  <c r="G245" i="8" a="1"/>
  <c r="G245" i="8" s="1"/>
  <c r="G246" i="8" a="1"/>
  <c r="G246" i="8" s="1"/>
  <c r="G247" i="8" a="1"/>
  <c r="G247" i="8" s="1"/>
  <c r="G248" i="8" a="1"/>
  <c r="G248" i="8" s="1"/>
  <c r="G249" i="8" a="1"/>
  <c r="G249" i="8" s="1"/>
  <c r="G250" i="8" a="1"/>
  <c r="G250" i="8" s="1"/>
  <c r="G251" i="8" a="1"/>
  <c r="G251" i="8" s="1"/>
  <c r="G252" i="8" a="1"/>
  <c r="G252" i="8" s="1"/>
  <c r="G253" i="8" a="1"/>
  <c r="G253" i="8" s="1"/>
  <c r="G254" i="8" a="1"/>
  <c r="G254" i="8" s="1"/>
  <c r="G255" i="8" a="1"/>
  <c r="G255" i="8" s="1"/>
  <c r="G256" i="8" a="1"/>
  <c r="G256" i="8" s="1"/>
  <c r="G257" i="8" a="1"/>
  <c r="G257" i="8" s="1"/>
  <c r="G258" i="8" a="1"/>
  <c r="G258" i="8" s="1"/>
  <c r="G259" i="8" a="1"/>
  <c r="G259" i="8" s="1"/>
  <c r="G260" i="8" a="1"/>
  <c r="G260" i="8" s="1"/>
  <c r="G261" i="8" a="1"/>
  <c r="G261" i="8" s="1"/>
  <c r="G262" i="8" a="1"/>
  <c r="G262" i="8" s="1"/>
  <c r="G263" i="8" a="1"/>
  <c r="G263" i="8" s="1"/>
  <c r="G264" i="8" a="1"/>
  <c r="G264" i="8" s="1"/>
  <c r="G265" i="8" a="1"/>
  <c r="G265" i="8" s="1"/>
  <c r="G266" i="8" a="1"/>
  <c r="G266" i="8" s="1"/>
  <c r="G267" i="8" a="1"/>
  <c r="G267" i="8" s="1"/>
  <c r="G268" i="8" a="1"/>
  <c r="G268" i="8" s="1"/>
  <c r="G269" i="8" a="1"/>
  <c r="G269" i="8" s="1"/>
  <c r="G270" i="8" a="1"/>
  <c r="G270" i="8" s="1"/>
  <c r="G271" i="8" a="1"/>
  <c r="G271" i="8" s="1"/>
  <c r="G272" i="8" a="1"/>
  <c r="G272" i="8" s="1"/>
  <c r="G273" i="8" a="1"/>
  <c r="G273" i="8" s="1"/>
  <c r="G274" i="8" a="1"/>
  <c r="G274" i="8" s="1"/>
  <c r="G275" i="8" a="1"/>
  <c r="G275" i="8" s="1"/>
  <c r="G276" i="8" a="1"/>
  <c r="G276" i="8" s="1"/>
  <c r="G277" i="8" a="1"/>
  <c r="G277" i="8" s="1"/>
  <c r="G278" i="8" a="1"/>
  <c r="G278" i="8" s="1"/>
  <c r="G279" i="8" a="1"/>
  <c r="G279" i="8" s="1"/>
  <c r="G280" i="8" a="1"/>
  <c r="G280" i="8" s="1"/>
  <c r="G281" i="8" a="1"/>
  <c r="G281" i="8" s="1"/>
  <c r="G282" i="8" a="1"/>
  <c r="G282" i="8" s="1"/>
  <c r="G283" i="8" a="1"/>
  <c r="G283" i="8" s="1"/>
  <c r="G284" i="8" a="1"/>
  <c r="G284" i="8" s="1"/>
  <c r="G285" i="8" a="1"/>
  <c r="G285" i="8" s="1"/>
  <c r="G286" i="8" a="1"/>
  <c r="G286" i="8" s="1"/>
  <c r="G287" i="8" a="1"/>
  <c r="G287" i="8" s="1"/>
  <c r="G288" i="8" a="1"/>
  <c r="G288" i="8" s="1"/>
  <c r="G289" i="8" a="1"/>
  <c r="G289" i="8" s="1"/>
  <c r="G290" i="8" a="1"/>
  <c r="G290" i="8" s="1"/>
  <c r="G291" i="8" a="1"/>
  <c r="G291" i="8" s="1"/>
  <c r="G292" i="8" a="1"/>
  <c r="G292" i="8" s="1"/>
  <c r="G293" i="8" a="1"/>
  <c r="G293" i="8" s="1"/>
  <c r="G294" i="8" a="1"/>
  <c r="G294" i="8" s="1"/>
  <c r="G295" i="8" a="1"/>
  <c r="G295" i="8" s="1"/>
  <c r="G296" i="8" a="1"/>
  <c r="G296" i="8" s="1"/>
  <c r="G297" i="8" a="1"/>
  <c r="G297" i="8" s="1"/>
  <c r="G298" i="8" a="1"/>
  <c r="G298" i="8" s="1"/>
  <c r="G299" i="8" a="1"/>
  <c r="G299" i="8" s="1"/>
  <c r="G300" i="8" a="1"/>
  <c r="G300" i="8" s="1"/>
  <c r="G301" i="8" a="1"/>
  <c r="G301" i="8" s="1"/>
  <c r="I228" i="8"/>
  <c r="J228" i="8" s="1"/>
  <c r="S228" i="8" s="1"/>
  <c r="I229" i="8"/>
  <c r="J229" i="8" s="1"/>
  <c r="S229" i="8" s="1"/>
  <c r="I230" i="8"/>
  <c r="J230" i="8" s="1"/>
  <c r="S230" i="8" s="1"/>
  <c r="T230" i="8" s="1"/>
  <c r="I231" i="8"/>
  <c r="J231" i="8" s="1"/>
  <c r="S231" i="8" s="1"/>
  <c r="I232" i="8"/>
  <c r="J232" i="8" s="1"/>
  <c r="S232" i="8" s="1"/>
  <c r="I233" i="8"/>
  <c r="J233" i="8" s="1"/>
  <c r="S233" i="8" s="1"/>
  <c r="U233" i="8" s="1"/>
  <c r="I234" i="8"/>
  <c r="J234" i="8" s="1"/>
  <c r="S234" i="8" s="1"/>
  <c r="U234" i="8" s="1"/>
  <c r="I235" i="8"/>
  <c r="J235" i="8" s="1"/>
  <c r="S235" i="8" s="1"/>
  <c r="T235" i="8" s="1"/>
  <c r="I236" i="8"/>
  <c r="J236" i="8" s="1"/>
  <c r="S236" i="8" s="1"/>
  <c r="U236" i="8" s="1"/>
  <c r="I237" i="8"/>
  <c r="J237" i="8" s="1"/>
  <c r="S237" i="8" s="1"/>
  <c r="I238" i="8"/>
  <c r="J238" i="8" s="1"/>
  <c r="S238" i="8" s="1"/>
  <c r="U238" i="8" s="1"/>
  <c r="I239" i="8"/>
  <c r="J239" i="8" s="1"/>
  <c r="S239" i="8" s="1"/>
  <c r="U239" i="8" s="1"/>
  <c r="I240" i="8"/>
  <c r="J240" i="8" s="1"/>
  <c r="S240" i="8" s="1"/>
  <c r="T240" i="8" s="1"/>
  <c r="I241" i="8"/>
  <c r="J241" i="8" s="1"/>
  <c r="S241" i="8" s="1"/>
  <c r="I242" i="8"/>
  <c r="J242" i="8" s="1"/>
  <c r="S242" i="8" s="1"/>
  <c r="T242" i="8" s="1"/>
  <c r="I243" i="8"/>
  <c r="J243" i="8" s="1"/>
  <c r="S243" i="8" s="1"/>
  <c r="I244" i="8"/>
  <c r="J244" i="8" s="1"/>
  <c r="S244" i="8" s="1"/>
  <c r="I245" i="8"/>
  <c r="J245" i="8" s="1"/>
  <c r="S245" i="8" s="1"/>
  <c r="I246" i="8"/>
  <c r="J246" i="8" s="1"/>
  <c r="S246" i="8" s="1"/>
  <c r="I247" i="8"/>
  <c r="J247" i="8" s="1"/>
  <c r="S247" i="8" s="1"/>
  <c r="I248" i="8"/>
  <c r="J248" i="8" s="1"/>
  <c r="S248" i="8" s="1"/>
  <c r="T248" i="8" s="1"/>
  <c r="I249" i="8"/>
  <c r="J249" i="8" s="1"/>
  <c r="S249" i="8" s="1"/>
  <c r="T249" i="8" s="1"/>
  <c r="I250" i="8"/>
  <c r="J250" i="8" s="1"/>
  <c r="S250" i="8" s="1"/>
  <c r="T250" i="8" s="1"/>
  <c r="I251" i="8"/>
  <c r="J251" i="8" s="1"/>
  <c r="S251" i="8" s="1"/>
  <c r="T251" i="8" s="1"/>
  <c r="I252" i="8"/>
  <c r="J252" i="8" s="1"/>
  <c r="S252" i="8" s="1"/>
  <c r="U252" i="8" s="1"/>
  <c r="I253" i="8"/>
  <c r="J253" i="8" s="1"/>
  <c r="S253" i="8" s="1"/>
  <c r="U253" i="8" s="1"/>
  <c r="I254" i="8"/>
  <c r="J254" i="8" s="1"/>
  <c r="S254" i="8" s="1"/>
  <c r="I255" i="8"/>
  <c r="J255" i="8" s="1"/>
  <c r="S255" i="8" s="1"/>
  <c r="U255" i="8" s="1"/>
  <c r="I256" i="8"/>
  <c r="J256" i="8" s="1"/>
  <c r="S256" i="8" s="1"/>
  <c r="I257" i="8"/>
  <c r="J257" i="8" s="1"/>
  <c r="S257" i="8" s="1"/>
  <c r="U257" i="8" s="1"/>
  <c r="I258" i="8"/>
  <c r="J258" i="8" s="1"/>
  <c r="S258" i="8" s="1"/>
  <c r="T258" i="8" s="1"/>
  <c r="I259" i="8"/>
  <c r="J259" i="8" s="1"/>
  <c r="S259" i="8" s="1"/>
  <c r="T259" i="8" s="1"/>
  <c r="I260" i="8"/>
  <c r="J260" i="8" s="1"/>
  <c r="S260" i="8" s="1"/>
  <c r="I261" i="8"/>
  <c r="J261" i="8" s="1"/>
  <c r="S261" i="8" s="1"/>
  <c r="U261" i="8" s="1"/>
  <c r="I262" i="8"/>
  <c r="J262" i="8" s="1"/>
  <c r="S262" i="8" s="1"/>
  <c r="U262" i="8" s="1"/>
  <c r="I263" i="8"/>
  <c r="J263" i="8" s="1"/>
  <c r="S263" i="8" s="1"/>
  <c r="U263" i="8" s="1"/>
  <c r="I264" i="8"/>
  <c r="J264" i="8" s="1"/>
  <c r="S264" i="8" s="1"/>
  <c r="T264" i="8" s="1"/>
  <c r="I265" i="8"/>
  <c r="J265" i="8" s="1"/>
  <c r="S265" i="8" s="1"/>
  <c r="U265" i="8" s="1"/>
  <c r="I266" i="8"/>
  <c r="J266" i="8" s="1"/>
  <c r="S266" i="8" s="1"/>
  <c r="U266" i="8" s="1"/>
  <c r="I267" i="8"/>
  <c r="J267" i="8" s="1"/>
  <c r="S267" i="8" s="1"/>
  <c r="T267" i="8" s="1"/>
  <c r="I268" i="8"/>
  <c r="J268" i="8" s="1"/>
  <c r="S268" i="8" s="1"/>
  <c r="U268" i="8" s="1"/>
  <c r="I269" i="8"/>
  <c r="J269" i="8" s="1"/>
  <c r="S269" i="8" s="1"/>
  <c r="U269" i="8" s="1"/>
  <c r="I270" i="8"/>
  <c r="J270" i="8" s="1"/>
  <c r="S270" i="8" s="1"/>
  <c r="U270" i="8" s="1"/>
  <c r="I271" i="8"/>
  <c r="J271" i="8" s="1"/>
  <c r="S271" i="8" s="1"/>
  <c r="U271" i="8" s="1"/>
  <c r="I272" i="8"/>
  <c r="J272" i="8" s="1"/>
  <c r="S272" i="8" s="1"/>
  <c r="U272" i="8" s="1"/>
  <c r="I273" i="8"/>
  <c r="J273" i="8" s="1"/>
  <c r="S273" i="8" s="1"/>
  <c r="U273" i="8" s="1"/>
  <c r="I274" i="8"/>
  <c r="J274" i="8" s="1"/>
  <c r="S274" i="8" s="1"/>
  <c r="T274" i="8" s="1"/>
  <c r="I275" i="8"/>
  <c r="J275" i="8" s="1"/>
  <c r="S275" i="8" s="1"/>
  <c r="I276" i="8"/>
  <c r="J276" i="8" s="1"/>
  <c r="S276" i="8" s="1"/>
  <c r="T276" i="8" s="1"/>
  <c r="I277" i="8"/>
  <c r="J277" i="8" s="1"/>
  <c r="S277" i="8" s="1"/>
  <c r="U277" i="8" s="1"/>
  <c r="I278" i="8"/>
  <c r="J278" i="8" s="1"/>
  <c r="S278" i="8" s="1"/>
  <c r="T278" i="8" s="1"/>
  <c r="I279" i="8"/>
  <c r="J279" i="8" s="1"/>
  <c r="S279" i="8" s="1"/>
  <c r="T279" i="8" s="1"/>
  <c r="I280" i="8"/>
  <c r="J280" i="8" s="1"/>
  <c r="S280" i="8" s="1"/>
  <c r="U280" i="8" s="1"/>
  <c r="I281" i="8"/>
  <c r="J281" i="8" s="1"/>
  <c r="S281" i="8" s="1"/>
  <c r="T281" i="8" s="1"/>
  <c r="I282" i="8"/>
  <c r="J282" i="8" s="1"/>
  <c r="S282" i="8" s="1"/>
  <c r="T282" i="8" s="1"/>
  <c r="I283" i="8"/>
  <c r="J283" i="8" s="1"/>
  <c r="S283" i="8" s="1"/>
  <c r="T283" i="8" s="1"/>
  <c r="I284" i="8"/>
  <c r="J284" i="8" s="1"/>
  <c r="S284" i="8" s="1"/>
  <c r="U284" i="8" s="1"/>
  <c r="I285" i="8"/>
  <c r="J285" i="8" s="1"/>
  <c r="S285" i="8" s="1"/>
  <c r="T285" i="8" s="1"/>
  <c r="I286" i="8"/>
  <c r="J286" i="8" s="1"/>
  <c r="S286" i="8" s="1"/>
  <c r="I287" i="8"/>
  <c r="J287" i="8" s="1"/>
  <c r="S287" i="8" s="1"/>
  <c r="U287" i="8" s="1"/>
  <c r="I288" i="8"/>
  <c r="J288" i="8" s="1"/>
  <c r="S288" i="8" s="1"/>
  <c r="U288" i="8" s="1"/>
  <c r="I289" i="8"/>
  <c r="J289" i="8" s="1"/>
  <c r="S289" i="8" s="1"/>
  <c r="I290" i="8"/>
  <c r="J290" i="8" s="1"/>
  <c r="S290" i="8" s="1"/>
  <c r="U290" i="8" s="1"/>
  <c r="I291" i="8"/>
  <c r="J291" i="8" s="1"/>
  <c r="S291" i="8" s="1"/>
  <c r="T291" i="8" s="1"/>
  <c r="I292" i="8"/>
  <c r="J292" i="8" s="1"/>
  <c r="S292" i="8" s="1"/>
  <c r="I293" i="8"/>
  <c r="J293" i="8" s="1"/>
  <c r="S293" i="8" s="1"/>
  <c r="I294" i="8"/>
  <c r="J294" i="8" s="1"/>
  <c r="S294" i="8" s="1"/>
  <c r="I295" i="8"/>
  <c r="J295" i="8" s="1"/>
  <c r="S295" i="8" s="1"/>
  <c r="I296" i="8"/>
  <c r="J296" i="8" s="1"/>
  <c r="S296" i="8" s="1"/>
  <c r="T296" i="8" s="1"/>
  <c r="I297" i="8"/>
  <c r="J297" i="8" s="1"/>
  <c r="S297" i="8" s="1"/>
  <c r="U297" i="8" s="1"/>
  <c r="I298" i="8"/>
  <c r="J298" i="8" s="1"/>
  <c r="S298" i="8" s="1"/>
  <c r="U298" i="8" s="1"/>
  <c r="I299" i="8"/>
  <c r="J299" i="8" s="1"/>
  <c r="S299" i="8" s="1"/>
  <c r="T299" i="8" s="1"/>
  <c r="I300" i="8"/>
  <c r="J300" i="8" s="1"/>
  <c r="S300" i="8" s="1"/>
  <c r="T300" i="8" s="1"/>
  <c r="I301" i="8"/>
  <c r="J301" i="8" s="1"/>
  <c r="S301" i="8" s="1"/>
  <c r="P228" i="8"/>
  <c r="P229" i="8"/>
  <c r="P230" i="8"/>
  <c r="W230" i="8" s="1"/>
  <c r="P231" i="8"/>
  <c r="W231" i="8" s="1"/>
  <c r="P232" i="8"/>
  <c r="W232" i="8" s="1"/>
  <c r="P233" i="8"/>
  <c r="W233" i="8" s="1"/>
  <c r="P234" i="8"/>
  <c r="W234" i="8" s="1"/>
  <c r="P235" i="8"/>
  <c r="W235" i="8" s="1"/>
  <c r="P236" i="8"/>
  <c r="W236" i="8" s="1"/>
  <c r="P237" i="8"/>
  <c r="W237" i="8" s="1"/>
  <c r="P238" i="8"/>
  <c r="W238" i="8" s="1"/>
  <c r="P239" i="8"/>
  <c r="W239" i="8" s="1"/>
  <c r="P240" i="8"/>
  <c r="W240" i="8" s="1"/>
  <c r="P241" i="8"/>
  <c r="W241" i="8" s="1"/>
  <c r="P242" i="8"/>
  <c r="W242" i="8" s="1"/>
  <c r="P243" i="8"/>
  <c r="W243" i="8" s="1"/>
  <c r="P244" i="8"/>
  <c r="W244" i="8" s="1"/>
  <c r="P245" i="8"/>
  <c r="W245" i="8" s="1"/>
  <c r="P246" i="8"/>
  <c r="W246" i="8" s="1"/>
  <c r="P247" i="8"/>
  <c r="W247" i="8" s="1"/>
  <c r="P248" i="8"/>
  <c r="W248" i="8" s="1"/>
  <c r="P249" i="8"/>
  <c r="W249" i="8" s="1"/>
  <c r="P250" i="8"/>
  <c r="W250" i="8" s="1"/>
  <c r="P251" i="8"/>
  <c r="W251" i="8" s="1"/>
  <c r="P252" i="8"/>
  <c r="W252" i="8" s="1"/>
  <c r="P253" i="8"/>
  <c r="W253" i="8" s="1"/>
  <c r="P254" i="8"/>
  <c r="W254" i="8" s="1"/>
  <c r="P255" i="8"/>
  <c r="W255" i="8" s="1"/>
  <c r="P256" i="8"/>
  <c r="W256" i="8" s="1"/>
  <c r="P257" i="8"/>
  <c r="W257" i="8" s="1"/>
  <c r="P258" i="8"/>
  <c r="W258" i="8" s="1"/>
  <c r="P259" i="8"/>
  <c r="W259" i="8" s="1"/>
  <c r="P260" i="8"/>
  <c r="W260" i="8" s="1"/>
  <c r="P261" i="8"/>
  <c r="P262" i="8"/>
  <c r="W262" i="8" s="1"/>
  <c r="P263" i="8"/>
  <c r="W263" i="8" s="1"/>
  <c r="P264" i="8"/>
  <c r="W264" i="8" s="1"/>
  <c r="P265" i="8"/>
  <c r="W265" i="8" s="1"/>
  <c r="P266" i="8"/>
  <c r="W266" i="8" s="1"/>
  <c r="P267" i="8"/>
  <c r="W267" i="8" s="1"/>
  <c r="P268" i="8"/>
  <c r="W268" i="8" s="1"/>
  <c r="P269" i="8"/>
  <c r="W269" i="8" s="1"/>
  <c r="P270" i="8"/>
  <c r="W270" i="8" s="1"/>
  <c r="P271" i="8"/>
  <c r="W271" i="8" s="1"/>
  <c r="P272" i="8"/>
  <c r="P273" i="8"/>
  <c r="P274" i="8"/>
  <c r="W274" i="8" s="1"/>
  <c r="P275" i="8"/>
  <c r="W275" i="8" s="1"/>
  <c r="P276" i="8"/>
  <c r="P277" i="8"/>
  <c r="P278" i="8"/>
  <c r="W278" i="8" s="1"/>
  <c r="P279" i="8"/>
  <c r="W279" i="8" s="1"/>
  <c r="P280" i="8"/>
  <c r="W280" i="8" s="1"/>
  <c r="P281" i="8"/>
  <c r="W281" i="8" s="1"/>
  <c r="P282" i="8"/>
  <c r="W282" i="8" s="1"/>
  <c r="P283" i="8"/>
  <c r="W283" i="8" s="1"/>
  <c r="P284" i="8"/>
  <c r="W284" i="8" s="1"/>
  <c r="P285" i="8"/>
  <c r="W285" i="8" s="1"/>
  <c r="P286" i="8"/>
  <c r="W286" i="8" s="1"/>
  <c r="P287" i="8"/>
  <c r="W287" i="8" s="1"/>
  <c r="P288" i="8"/>
  <c r="W288" i="8" s="1"/>
  <c r="P289" i="8"/>
  <c r="W289" i="8" s="1"/>
  <c r="P290" i="8"/>
  <c r="W290" i="8" s="1"/>
  <c r="P291" i="8"/>
  <c r="W291" i="8" s="1"/>
  <c r="P292" i="8"/>
  <c r="W292" i="8" s="1"/>
  <c r="P293" i="8"/>
  <c r="W293" i="8" s="1"/>
  <c r="P294" i="8"/>
  <c r="W294" i="8" s="1"/>
  <c r="P295" i="8"/>
  <c r="W295" i="8" s="1"/>
  <c r="P296" i="8"/>
  <c r="W296" i="8" s="1"/>
  <c r="P297" i="8"/>
  <c r="W297" i="8" s="1"/>
  <c r="P298" i="8"/>
  <c r="W298" i="8" s="1"/>
  <c r="P299" i="8"/>
  <c r="W299" i="8" s="1"/>
  <c r="P300" i="8"/>
  <c r="W300" i="8" s="1"/>
  <c r="P301" i="8"/>
  <c r="W301" i="8" s="1"/>
  <c r="W228" i="8"/>
  <c r="W229" i="8"/>
  <c r="W261" i="8"/>
  <c r="W272" i="8"/>
  <c r="W273" i="8"/>
  <c r="W276" i="8"/>
  <c r="W277" i="8"/>
  <c r="W158" i="2"/>
  <c r="W159" i="2"/>
  <c r="W160" i="2"/>
  <c r="W161" i="2"/>
  <c r="W162" i="2"/>
  <c r="W163" i="2"/>
  <c r="W164" i="2"/>
  <c r="W165" i="2"/>
  <c r="W166" i="2"/>
  <c r="W167" i="2"/>
  <c r="W168" i="2"/>
  <c r="W169" i="2"/>
  <c r="W170" i="2"/>
  <c r="W171" i="2"/>
  <c r="W172" i="2"/>
  <c r="W173" i="2"/>
  <c r="W174" i="2"/>
  <c r="W175"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F218" i="2"/>
  <c r="H218" i="2" s="1"/>
  <c r="AV218" i="2" s="1"/>
  <c r="F219" i="2"/>
  <c r="H219" i="2" s="1"/>
  <c r="AV219" i="2" s="1"/>
  <c r="F220" i="2"/>
  <c r="H220" i="2" s="1"/>
  <c r="AV220" i="2" s="1"/>
  <c r="F221" i="2"/>
  <c r="H221" i="2" s="1"/>
  <c r="AV221" i="2" s="1"/>
  <c r="F222" i="2"/>
  <c r="H222" i="2" s="1"/>
  <c r="AV222" i="2" s="1"/>
  <c r="F223" i="2"/>
  <c r="H223" i="2" s="1"/>
  <c r="AV223" i="2" s="1"/>
  <c r="F224" i="2"/>
  <c r="H224" i="2" s="1"/>
  <c r="AV224" i="2" s="1"/>
  <c r="F225" i="2"/>
  <c r="H225" i="2" s="1"/>
  <c r="AV225" i="2" s="1"/>
  <c r="F226" i="2"/>
  <c r="H226" i="2" s="1"/>
  <c r="AV226" i="2" s="1"/>
  <c r="F227" i="2"/>
  <c r="H227" i="2" s="1"/>
  <c r="AV227" i="2" s="1"/>
  <c r="F228" i="2"/>
  <c r="H228" i="2" s="1"/>
  <c r="AV228" i="2" s="1"/>
  <c r="F229" i="2"/>
  <c r="H229" i="2" s="1"/>
  <c r="AV229" i="2" s="1"/>
  <c r="F230" i="2"/>
  <c r="H230" i="2" s="1"/>
  <c r="AV230" i="2" s="1"/>
  <c r="F231" i="2"/>
  <c r="H231" i="2" s="1"/>
  <c r="AV231" i="2" s="1"/>
  <c r="F232" i="2"/>
  <c r="H232" i="2" s="1"/>
  <c r="AV232" i="2" s="1"/>
  <c r="F233" i="2"/>
  <c r="H233" i="2" s="1"/>
  <c r="AV233" i="2" s="1"/>
  <c r="F234" i="2"/>
  <c r="H234" i="2" s="1"/>
  <c r="AV234" i="2" s="1"/>
  <c r="F235" i="2"/>
  <c r="H235" i="2" s="1"/>
  <c r="AV235" i="2" s="1"/>
  <c r="F236" i="2"/>
  <c r="H236" i="2" s="1"/>
  <c r="AV236" i="2" s="1"/>
  <c r="F237" i="2"/>
  <c r="H237" i="2" s="1"/>
  <c r="AV237" i="2" s="1"/>
  <c r="F238" i="2"/>
  <c r="H238" i="2" s="1"/>
  <c r="AV238" i="2" s="1"/>
  <c r="F239" i="2"/>
  <c r="H239" i="2" s="1"/>
  <c r="AV239" i="2" s="1"/>
  <c r="F240" i="2"/>
  <c r="H240" i="2" s="1"/>
  <c r="AV240" i="2" s="1"/>
  <c r="F241" i="2"/>
  <c r="H241" i="2" s="1"/>
  <c r="AV241" i="2" s="1"/>
  <c r="F242" i="2"/>
  <c r="H242" i="2" s="1"/>
  <c r="AV242" i="2" s="1"/>
  <c r="F243" i="2"/>
  <c r="H243" i="2" s="1"/>
  <c r="AV243" i="2" s="1"/>
  <c r="F244" i="2"/>
  <c r="H244" i="2" s="1"/>
  <c r="AV244" i="2" s="1"/>
  <c r="F245" i="2"/>
  <c r="H245" i="2" s="1"/>
  <c r="AV245" i="2" s="1"/>
  <c r="F246" i="2"/>
  <c r="F247" i="2"/>
  <c r="H247" i="2" s="1"/>
  <c r="AV247" i="2" s="1"/>
  <c r="F248" i="2"/>
  <c r="H248" i="2" s="1"/>
  <c r="AV248" i="2" s="1"/>
  <c r="F249" i="2"/>
  <c r="H249" i="2" s="1"/>
  <c r="AV249" i="2" s="1"/>
  <c r="F250" i="2"/>
  <c r="H250" i="2" s="1"/>
  <c r="AV250" i="2" s="1"/>
  <c r="F251" i="2"/>
  <c r="H251" i="2" s="1"/>
  <c r="AV251" i="2" s="1"/>
  <c r="F252" i="2"/>
  <c r="H252" i="2" s="1"/>
  <c r="AV252" i="2" s="1"/>
  <c r="F253" i="2"/>
  <c r="H253" i="2" s="1"/>
  <c r="AV253" i="2" s="1"/>
  <c r="F254" i="2"/>
  <c r="H254" i="2" s="1"/>
  <c r="AV254" i="2" s="1"/>
  <c r="F255" i="2"/>
  <c r="H255" i="2" s="1"/>
  <c r="AV255" i="2" s="1"/>
  <c r="F256" i="2"/>
  <c r="H256" i="2" s="1"/>
  <c r="AV256" i="2" s="1"/>
  <c r="F257" i="2"/>
  <c r="H257" i="2" s="1"/>
  <c r="AV257" i="2" s="1"/>
  <c r="F258" i="2"/>
  <c r="H258" i="2" s="1"/>
  <c r="AV258" i="2" s="1"/>
  <c r="F259" i="2"/>
  <c r="H259" i="2" s="1"/>
  <c r="AV259" i="2" s="1"/>
  <c r="F260" i="2"/>
  <c r="H260" i="2" s="1"/>
  <c r="AV260" i="2" s="1"/>
  <c r="F261" i="2"/>
  <c r="H261" i="2" s="1"/>
  <c r="AV261" i="2" s="1"/>
  <c r="F262" i="2"/>
  <c r="H262" i="2" s="1"/>
  <c r="AV262" i="2" s="1"/>
  <c r="F263" i="2"/>
  <c r="H263" i="2" s="1"/>
  <c r="AV263" i="2" s="1"/>
  <c r="F264" i="2"/>
  <c r="H264" i="2" s="1"/>
  <c r="AV264" i="2" s="1"/>
  <c r="F265" i="2"/>
  <c r="H265" i="2" s="1"/>
  <c r="AV265" i="2" s="1"/>
  <c r="F266" i="2"/>
  <c r="H266" i="2" s="1"/>
  <c r="AV266" i="2" s="1"/>
  <c r="F267" i="2"/>
  <c r="H267" i="2" s="1"/>
  <c r="AV267" i="2" s="1"/>
  <c r="F268" i="2"/>
  <c r="H268" i="2" s="1"/>
  <c r="AV268" i="2" s="1"/>
  <c r="F269" i="2"/>
  <c r="H269" i="2" s="1"/>
  <c r="AV269" i="2" s="1"/>
  <c r="F270" i="2"/>
  <c r="H270" i="2" s="1"/>
  <c r="AV270" i="2" s="1"/>
  <c r="F271" i="2"/>
  <c r="H271" i="2" s="1"/>
  <c r="AV271" i="2" s="1"/>
  <c r="F272" i="2"/>
  <c r="H272" i="2" s="1"/>
  <c r="AV272" i="2" s="1"/>
  <c r="F273" i="2"/>
  <c r="H273" i="2" s="1"/>
  <c r="AV273" i="2" s="1"/>
  <c r="F274" i="2"/>
  <c r="H274" i="2" s="1"/>
  <c r="AV274" i="2" s="1"/>
  <c r="F275" i="2"/>
  <c r="H275" i="2" s="1"/>
  <c r="AV275" i="2" s="1"/>
  <c r="F276" i="2"/>
  <c r="H276" i="2" s="1"/>
  <c r="AV276" i="2" s="1"/>
  <c r="F277" i="2"/>
  <c r="H277" i="2" s="1"/>
  <c r="AV277" i="2" s="1"/>
  <c r="F278" i="2"/>
  <c r="H278" i="2" s="1"/>
  <c r="AV278" i="2" s="1"/>
  <c r="F279" i="2"/>
  <c r="H279" i="2" s="1"/>
  <c r="AV279" i="2" s="1"/>
  <c r="F280" i="2"/>
  <c r="H280" i="2" s="1"/>
  <c r="AV280" i="2" s="1"/>
  <c r="F281" i="2"/>
  <c r="H281" i="2" s="1"/>
  <c r="AV281" i="2" s="1"/>
  <c r="F282" i="2"/>
  <c r="H282" i="2" s="1"/>
  <c r="AV282" i="2" s="1"/>
  <c r="F283" i="2"/>
  <c r="H283" i="2" s="1"/>
  <c r="AV283" i="2" s="1"/>
  <c r="F284" i="2"/>
  <c r="H284" i="2" s="1"/>
  <c r="AV284" i="2" s="1"/>
  <c r="F285" i="2"/>
  <c r="H285" i="2" s="1"/>
  <c r="AV285" i="2" s="1"/>
  <c r="F286" i="2"/>
  <c r="H286" i="2" s="1"/>
  <c r="AV286" i="2" s="1"/>
  <c r="F287" i="2"/>
  <c r="H287" i="2" s="1"/>
  <c r="AV287" i="2" s="1"/>
  <c r="F288" i="2"/>
  <c r="H288" i="2" s="1"/>
  <c r="AV288" i="2" s="1"/>
  <c r="F289" i="2"/>
  <c r="H289" i="2" s="1"/>
  <c r="AV289" i="2" s="1"/>
  <c r="F290" i="2"/>
  <c r="H290" i="2" s="1"/>
  <c r="AV290" i="2" s="1"/>
  <c r="F291" i="2"/>
  <c r="H291" i="2" s="1"/>
  <c r="AV291" i="2" s="1"/>
  <c r="F292" i="2"/>
  <c r="H292" i="2" s="1"/>
  <c r="AV292" i="2" s="1"/>
  <c r="F293" i="2"/>
  <c r="H293" i="2" s="1"/>
  <c r="AV293" i="2" s="1"/>
  <c r="F294" i="2"/>
  <c r="H294" i="2" s="1"/>
  <c r="AV294" i="2" s="1"/>
  <c r="F295" i="2"/>
  <c r="H295" i="2" s="1"/>
  <c r="AV295" i="2" s="1"/>
  <c r="F296" i="2"/>
  <c r="H296" i="2" s="1"/>
  <c r="AV296" i="2" s="1"/>
  <c r="F297" i="2"/>
  <c r="H297" i="2" s="1"/>
  <c r="AV297" i="2" s="1"/>
  <c r="F298" i="2"/>
  <c r="H298" i="2" s="1"/>
  <c r="AV298" i="2" s="1"/>
  <c r="F299" i="2"/>
  <c r="H299" i="2" s="1"/>
  <c r="AV299" i="2" s="1"/>
  <c r="F300" i="2"/>
  <c r="H300" i="2" s="1"/>
  <c r="AV300" i="2" s="1"/>
  <c r="L218" i="2"/>
  <c r="AI218" i="2" s="1"/>
  <c r="L219" i="2"/>
  <c r="AI219" i="2" s="1"/>
  <c r="L220" i="2"/>
  <c r="AI220" i="2" s="1"/>
  <c r="L221" i="2"/>
  <c r="AI221" i="2" s="1"/>
  <c r="L222" i="2"/>
  <c r="AU222" i="2" s="1"/>
  <c r="L223" i="2"/>
  <c r="AU223" i="2" s="1"/>
  <c r="L224" i="2"/>
  <c r="AU224" i="2" s="1"/>
  <c r="L225" i="2"/>
  <c r="AU225" i="2" s="1"/>
  <c r="L226" i="2"/>
  <c r="AU226" i="2" s="1"/>
  <c r="L227" i="2"/>
  <c r="AI227" i="2" s="1"/>
  <c r="L228" i="2"/>
  <c r="AI228" i="2" s="1"/>
  <c r="L229" i="2"/>
  <c r="AI229" i="2" s="1"/>
  <c r="L230" i="2"/>
  <c r="AI230" i="2" s="1"/>
  <c r="L231" i="2"/>
  <c r="AI231" i="2" s="1"/>
  <c r="L232" i="2"/>
  <c r="AI232" i="2" s="1"/>
  <c r="L233" i="2"/>
  <c r="AI233" i="2" s="1"/>
  <c r="L234" i="2"/>
  <c r="AI234" i="2" s="1"/>
  <c r="L235" i="2"/>
  <c r="AI235" i="2" s="1"/>
  <c r="L236" i="2"/>
  <c r="AI236" i="2" s="1"/>
  <c r="L237" i="2"/>
  <c r="AI237" i="2" s="1"/>
  <c r="L238" i="2"/>
  <c r="AI238" i="2" s="1"/>
  <c r="L239" i="2"/>
  <c r="AU239" i="2" s="1"/>
  <c r="L240" i="2"/>
  <c r="AU240" i="2" s="1"/>
  <c r="L241" i="2"/>
  <c r="AU241" i="2" s="1"/>
  <c r="L242" i="2"/>
  <c r="AU242" i="2" s="1"/>
  <c r="L243" i="2"/>
  <c r="AU243" i="2" s="1"/>
  <c r="L244" i="2"/>
  <c r="AI244" i="2" s="1"/>
  <c r="L245" i="2"/>
  <c r="AU245" i="2" s="1"/>
  <c r="L246" i="2"/>
  <c r="AI246" i="2" s="1"/>
  <c r="L247" i="2"/>
  <c r="AI247" i="2" s="1"/>
  <c r="L248" i="2"/>
  <c r="AU248" i="2" s="1"/>
  <c r="L249" i="2"/>
  <c r="AU249" i="2" s="1"/>
  <c r="L250" i="2"/>
  <c r="AI250" i="2" s="1"/>
  <c r="L251" i="2"/>
  <c r="AU251" i="2" s="1"/>
  <c r="L252" i="2"/>
  <c r="AI252" i="2" s="1"/>
  <c r="L253" i="2"/>
  <c r="AI253" i="2" s="1"/>
  <c r="L254" i="2"/>
  <c r="AI254" i="2" s="1"/>
  <c r="L255" i="2"/>
  <c r="AU255" i="2" s="1"/>
  <c r="L256" i="2"/>
  <c r="AI256" i="2" s="1"/>
  <c r="L257" i="2"/>
  <c r="AU257" i="2" s="1"/>
  <c r="L258" i="2"/>
  <c r="AU258" i="2" s="1"/>
  <c r="L259" i="2"/>
  <c r="AU259" i="2" s="1"/>
  <c r="L260" i="2"/>
  <c r="AU260" i="2" s="1"/>
  <c r="L261" i="2"/>
  <c r="AU261" i="2" s="1"/>
  <c r="L262" i="2"/>
  <c r="AU262" i="2" s="1"/>
  <c r="L263" i="2"/>
  <c r="AI263" i="2" s="1"/>
  <c r="L264" i="2"/>
  <c r="AU264" i="2" s="1"/>
  <c r="L265" i="2"/>
  <c r="AU265" i="2" s="1"/>
  <c r="L266" i="2"/>
  <c r="AU266" i="2" s="1"/>
  <c r="L267" i="2"/>
  <c r="AU267" i="2" s="1"/>
  <c r="L268" i="2"/>
  <c r="AI268" i="2" s="1"/>
  <c r="L269" i="2"/>
  <c r="AI269" i="2" s="1"/>
  <c r="L270" i="2"/>
  <c r="AI270" i="2" s="1"/>
  <c r="L271" i="2"/>
  <c r="AU271" i="2" s="1"/>
  <c r="L272" i="2"/>
  <c r="AI272" i="2" s="1"/>
  <c r="L273" i="2"/>
  <c r="AU273" i="2" s="1"/>
  <c r="L274" i="2"/>
  <c r="AU274" i="2" s="1"/>
  <c r="L275" i="2"/>
  <c r="AU275" i="2" s="1"/>
  <c r="L276" i="2"/>
  <c r="AU276" i="2" s="1"/>
  <c r="L277" i="2"/>
  <c r="AU277" i="2" s="1"/>
  <c r="L278" i="2"/>
  <c r="AU278" i="2" s="1"/>
  <c r="L279" i="2"/>
  <c r="AU279" i="2" s="1"/>
  <c r="L280" i="2"/>
  <c r="AU280" i="2" s="1"/>
  <c r="L281" i="2"/>
  <c r="AU281" i="2" s="1"/>
  <c r="L282" i="2"/>
  <c r="AU282" i="2" s="1"/>
  <c r="L283" i="2"/>
  <c r="AU283" i="2" s="1"/>
  <c r="L284" i="2"/>
  <c r="AU284" i="2" s="1"/>
  <c r="L285" i="2"/>
  <c r="AI285" i="2" s="1"/>
  <c r="L286" i="2"/>
  <c r="AI286" i="2" s="1"/>
  <c r="L287" i="2"/>
  <c r="AU287" i="2" s="1"/>
  <c r="L288" i="2"/>
  <c r="AU288" i="2" s="1"/>
  <c r="L289" i="2"/>
  <c r="AU289" i="2" s="1"/>
  <c r="L290" i="2"/>
  <c r="AU290" i="2" s="1"/>
  <c r="L291" i="2"/>
  <c r="AU291" i="2" s="1"/>
  <c r="L292" i="2"/>
  <c r="AU292" i="2" s="1"/>
  <c r="L293" i="2"/>
  <c r="AU293" i="2" s="1"/>
  <c r="L294" i="2"/>
  <c r="AU294" i="2" s="1"/>
  <c r="L295" i="2"/>
  <c r="AU295" i="2" s="1"/>
  <c r="L296" i="2"/>
  <c r="AU296" i="2" s="1"/>
  <c r="L297" i="2"/>
  <c r="AU297" i="2" s="1"/>
  <c r="L298" i="2"/>
  <c r="AU298" i="2" s="1"/>
  <c r="L299" i="2"/>
  <c r="AU299" i="2" s="1"/>
  <c r="L300" i="2"/>
  <c r="AU300" i="2" s="1"/>
  <c r="AB218" i="2"/>
  <c r="AB219" i="2"/>
  <c r="AB220" i="2"/>
  <c r="AW220" i="2" s="1"/>
  <c r="AB221" i="2"/>
  <c r="AB222" i="2"/>
  <c r="AC222" i="2" s="1"/>
  <c r="AJ222" i="2" s="1"/>
  <c r="AB223" i="2"/>
  <c r="AW223" i="2" s="1"/>
  <c r="AB224" i="2"/>
  <c r="AW224" i="2" s="1"/>
  <c r="AB225" i="2"/>
  <c r="AC225" i="2" s="1"/>
  <c r="AJ225" i="2" s="1"/>
  <c r="AB226" i="2"/>
  <c r="AC226" i="2" s="1"/>
  <c r="AJ226" i="2" s="1"/>
  <c r="AB227" i="2"/>
  <c r="AC227" i="2" s="1"/>
  <c r="AJ227" i="2" s="1"/>
  <c r="AB228" i="2"/>
  <c r="AP228" i="2" s="1"/>
  <c r="AB229" i="2"/>
  <c r="AC229" i="2" s="1"/>
  <c r="AJ229" i="2" s="1"/>
  <c r="AB230" i="2"/>
  <c r="AK230" i="2" s="1"/>
  <c r="AB231" i="2"/>
  <c r="AK231" i="2" s="1"/>
  <c r="AB232" i="2"/>
  <c r="AC232" i="2" s="1"/>
  <c r="AJ232" i="2" s="1"/>
  <c r="AB233" i="2"/>
  <c r="AB234" i="2"/>
  <c r="AK234" i="2" s="1"/>
  <c r="AB235" i="2"/>
  <c r="AW235" i="2" s="1"/>
  <c r="AB236" i="2"/>
  <c r="AK236" i="2" s="1"/>
  <c r="AB237" i="2"/>
  <c r="AB238" i="2"/>
  <c r="AW238" i="2" s="1"/>
  <c r="AB239" i="2"/>
  <c r="AW239" i="2" s="1"/>
  <c r="AB240" i="2"/>
  <c r="AW240" i="2" s="1"/>
  <c r="AB241" i="2"/>
  <c r="AC241" i="2" s="1"/>
  <c r="AJ241" i="2" s="1"/>
  <c r="AB242" i="2"/>
  <c r="AB243" i="2"/>
  <c r="AC243" i="2" s="1"/>
  <c r="AJ243" i="2" s="1"/>
  <c r="AB244" i="2"/>
  <c r="AC244" i="2" s="1"/>
  <c r="AJ244" i="2" s="1"/>
  <c r="AB245" i="2"/>
  <c r="AB246" i="2"/>
  <c r="AB247" i="2"/>
  <c r="AB248" i="2"/>
  <c r="AC248" i="2" s="1"/>
  <c r="AJ248" i="2" s="1"/>
  <c r="AB249" i="2"/>
  <c r="AC249" i="2" s="1"/>
  <c r="AJ249" i="2" s="1"/>
  <c r="AB250" i="2"/>
  <c r="AB251" i="2"/>
  <c r="AB252" i="2"/>
  <c r="AW252" i="2" s="1"/>
  <c r="AB253" i="2"/>
  <c r="AC253" i="2" s="1"/>
  <c r="AJ253" i="2" s="1"/>
  <c r="AB254" i="2"/>
  <c r="AB255" i="2"/>
  <c r="AW255" i="2" s="1"/>
  <c r="AB256" i="2"/>
  <c r="AB257" i="2"/>
  <c r="AC257" i="2" s="1"/>
  <c r="AJ257" i="2" s="1"/>
  <c r="AB258" i="2"/>
  <c r="AW258" i="2" s="1"/>
  <c r="AB259" i="2"/>
  <c r="AC259" i="2" s="1"/>
  <c r="AJ259" i="2" s="1"/>
  <c r="AB260" i="2"/>
  <c r="AC260" i="2" s="1"/>
  <c r="AJ260" i="2" s="1"/>
  <c r="AB261" i="2"/>
  <c r="AB262" i="2"/>
  <c r="AB263" i="2"/>
  <c r="AB264" i="2"/>
  <c r="AB265" i="2"/>
  <c r="AB266" i="2"/>
  <c r="AB267" i="2"/>
  <c r="AB268" i="2"/>
  <c r="AC268" i="2" s="1"/>
  <c r="AJ268" i="2" s="1"/>
  <c r="AB269" i="2"/>
  <c r="AW269" i="2" s="1"/>
  <c r="AB270" i="2"/>
  <c r="AW270" i="2" s="1"/>
  <c r="AB271" i="2"/>
  <c r="AB272" i="2"/>
  <c r="AW272" i="2" s="1"/>
  <c r="AB273" i="2"/>
  <c r="AC273" i="2" s="1"/>
  <c r="AJ273" i="2" s="1"/>
  <c r="AB274" i="2"/>
  <c r="AW274" i="2" s="1"/>
  <c r="AB275" i="2"/>
  <c r="AW275" i="2" s="1"/>
  <c r="AB276" i="2"/>
  <c r="AW276" i="2" s="1"/>
  <c r="AB277" i="2"/>
  <c r="AB278" i="2"/>
  <c r="AB279" i="2"/>
  <c r="AK279" i="2" s="1"/>
  <c r="AB280" i="2"/>
  <c r="AB281" i="2"/>
  <c r="AB282" i="2"/>
  <c r="AB283" i="2"/>
  <c r="AK283" i="2" s="1"/>
  <c r="AB284" i="2"/>
  <c r="AW284" i="2" s="1"/>
  <c r="AB285" i="2"/>
  <c r="AW285" i="2" s="1"/>
  <c r="AB286" i="2"/>
  <c r="AB287" i="2"/>
  <c r="AW287" i="2" s="1"/>
  <c r="AB288" i="2"/>
  <c r="AW288" i="2" s="1"/>
  <c r="AB289" i="2"/>
  <c r="AC289" i="2" s="1"/>
  <c r="AJ289" i="2" s="1"/>
  <c r="AB290" i="2"/>
  <c r="AB291" i="2"/>
  <c r="AC291" i="2" s="1"/>
  <c r="AJ291" i="2" s="1"/>
  <c r="AB292" i="2"/>
  <c r="AP292" i="2" s="1"/>
  <c r="AB293" i="2"/>
  <c r="AC293" i="2" s="1"/>
  <c r="AJ293" i="2" s="1"/>
  <c r="AB294" i="2"/>
  <c r="AW294" i="2" s="1"/>
  <c r="AB295" i="2"/>
  <c r="AB296" i="2"/>
  <c r="AC296" i="2" s="1"/>
  <c r="AJ296" i="2" s="1"/>
  <c r="AB297" i="2"/>
  <c r="AC297" i="2" s="1"/>
  <c r="AJ297" i="2" s="1"/>
  <c r="AB298" i="2"/>
  <c r="AB299" i="2"/>
  <c r="AB300" i="2"/>
  <c r="AC300" i="2" s="1"/>
  <c r="AJ300" i="2" s="1"/>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2" i="2"/>
  <c r="AO253" i="2"/>
  <c r="AO254" i="2"/>
  <c r="AO255" i="2"/>
  <c r="AO256" i="2"/>
  <c r="AO257" i="2"/>
  <c r="AO258"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Q218" i="2"/>
  <c r="AQ219" i="2"/>
  <c r="AQ220" i="2"/>
  <c r="AQ221" i="2"/>
  <c r="AQ222" i="2"/>
  <c r="AQ223" i="2"/>
  <c r="AQ224" i="2"/>
  <c r="AQ225" i="2"/>
  <c r="AQ226" i="2"/>
  <c r="AQ227" i="2"/>
  <c r="AQ228" i="2"/>
  <c r="AQ229" i="2"/>
  <c r="AQ230" i="2"/>
  <c r="AQ231" i="2"/>
  <c r="AQ232" i="2"/>
  <c r="AQ233" i="2"/>
  <c r="AQ234" i="2"/>
  <c r="AQ235" i="2"/>
  <c r="AQ236" i="2"/>
  <c r="AQ237" i="2"/>
  <c r="AQ238" i="2"/>
  <c r="AQ239" i="2"/>
  <c r="AQ240" i="2"/>
  <c r="AQ241" i="2"/>
  <c r="AQ242" i="2"/>
  <c r="AQ243" i="2"/>
  <c r="AQ244" i="2"/>
  <c r="AQ245" i="2"/>
  <c r="AQ246" i="2"/>
  <c r="AQ247" i="2"/>
  <c r="AQ248" i="2"/>
  <c r="AQ249" i="2"/>
  <c r="AQ250" i="2"/>
  <c r="AQ251" i="2"/>
  <c r="AQ252" i="2"/>
  <c r="AQ253" i="2"/>
  <c r="AQ254" i="2"/>
  <c r="AQ255" i="2"/>
  <c r="AQ256" i="2"/>
  <c r="AQ257" i="2"/>
  <c r="AQ258" i="2"/>
  <c r="AQ259" i="2"/>
  <c r="AQ260" i="2"/>
  <c r="AQ261" i="2"/>
  <c r="AQ262" i="2"/>
  <c r="AQ263" i="2"/>
  <c r="AQ264" i="2"/>
  <c r="AQ265" i="2"/>
  <c r="AQ266" i="2"/>
  <c r="AQ267" i="2"/>
  <c r="AQ268" i="2"/>
  <c r="AQ269" i="2"/>
  <c r="AQ270" i="2"/>
  <c r="AQ271" i="2"/>
  <c r="AQ272" i="2"/>
  <c r="AQ273" i="2"/>
  <c r="AQ274" i="2"/>
  <c r="AQ275" i="2"/>
  <c r="AQ276" i="2"/>
  <c r="AQ277" i="2"/>
  <c r="AQ278" i="2"/>
  <c r="AQ279" i="2"/>
  <c r="AQ280" i="2"/>
  <c r="AQ281" i="2"/>
  <c r="AQ282" i="2"/>
  <c r="AQ283" i="2"/>
  <c r="AQ284" i="2"/>
  <c r="AQ285" i="2"/>
  <c r="AQ286" i="2"/>
  <c r="AQ287" i="2"/>
  <c r="AQ288" i="2"/>
  <c r="AQ289" i="2"/>
  <c r="AQ290" i="2"/>
  <c r="AQ291" i="2"/>
  <c r="AQ292" i="2"/>
  <c r="AQ293" i="2"/>
  <c r="AQ294" i="2"/>
  <c r="AQ295" i="2"/>
  <c r="AQ296" i="2"/>
  <c r="AQ297" i="2"/>
  <c r="AQ298" i="2"/>
  <c r="AQ299" i="2"/>
  <c r="AQ300" i="2"/>
  <c r="AX218" i="2"/>
  <c r="AS218" i="2" s="1"/>
  <c r="AX219" i="2"/>
  <c r="AM219" i="2" s="1"/>
  <c r="BC219" i="2" s="1"/>
  <c r="AX220" i="2"/>
  <c r="AN220" i="2" s="1"/>
  <c r="AX221" i="2"/>
  <c r="AX222" i="2"/>
  <c r="AX223" i="2"/>
  <c r="AX224" i="2"/>
  <c r="AX225" i="2"/>
  <c r="AX226" i="2"/>
  <c r="AS226" i="2" s="1"/>
  <c r="AX227" i="2"/>
  <c r="AM227" i="2" s="1"/>
  <c r="BC227" i="2" s="1"/>
  <c r="AX228" i="2"/>
  <c r="AM228" i="2" s="1"/>
  <c r="BC228" i="2" s="1"/>
  <c r="AX229" i="2"/>
  <c r="AR229" i="2" s="1"/>
  <c r="AX230" i="2"/>
  <c r="AM230" i="2" s="1"/>
  <c r="BC230" i="2" s="1"/>
  <c r="AX231" i="2"/>
  <c r="AR231" i="2" s="1"/>
  <c r="AX232" i="2"/>
  <c r="AR232" i="2" s="1"/>
  <c r="AX233" i="2"/>
  <c r="AN233" i="2" s="1"/>
  <c r="AX234" i="2"/>
  <c r="AM234" i="2" s="1"/>
  <c r="BC234" i="2" s="1"/>
  <c r="AX235" i="2"/>
  <c r="AM235" i="2" s="1"/>
  <c r="BC235" i="2" s="1"/>
  <c r="AX236" i="2"/>
  <c r="AM236" i="2" s="1"/>
  <c r="BC236" i="2" s="1"/>
  <c r="AX237" i="2"/>
  <c r="AS237" i="2" s="1"/>
  <c r="AX238" i="2"/>
  <c r="AS238" i="2" s="1"/>
  <c r="AX239" i="2"/>
  <c r="AR239" i="2" s="1"/>
  <c r="AX240" i="2"/>
  <c r="AX241" i="2"/>
  <c r="AX242" i="2"/>
  <c r="AS242" i="2" s="1"/>
  <c r="AX243" i="2"/>
  <c r="AS243" i="2" s="1"/>
  <c r="AX244" i="2"/>
  <c r="AM244" i="2" s="1"/>
  <c r="BC244" i="2" s="1"/>
  <c r="AX245" i="2"/>
  <c r="AR245" i="2" s="1"/>
  <c r="AX246" i="2"/>
  <c r="AS246" i="2" s="1"/>
  <c r="AX247" i="2"/>
  <c r="AM247" i="2" s="1"/>
  <c r="BC247" i="2" s="1"/>
  <c r="AX248" i="2"/>
  <c r="AR248" i="2" s="1"/>
  <c r="AX249" i="2"/>
  <c r="AN249" i="2" s="1"/>
  <c r="AX250" i="2"/>
  <c r="AN250" i="2" s="1"/>
  <c r="AX251" i="2"/>
  <c r="AN251" i="2" s="1"/>
  <c r="AX252" i="2"/>
  <c r="AN252" i="2" s="1"/>
  <c r="AX253" i="2"/>
  <c r="AX254" i="2"/>
  <c r="AX255" i="2"/>
  <c r="AX256" i="2"/>
  <c r="AS256" i="2" s="1"/>
  <c r="AX257" i="2"/>
  <c r="AX258" i="2"/>
  <c r="AS258" i="2" s="1"/>
  <c r="AX259" i="2"/>
  <c r="AS259" i="2" s="1"/>
  <c r="AX260" i="2"/>
  <c r="AM260" i="2" s="1"/>
  <c r="BC260" i="2" s="1"/>
  <c r="AX261" i="2"/>
  <c r="AR261" i="2" s="1"/>
  <c r="AX262" i="2"/>
  <c r="AS262" i="2" s="1"/>
  <c r="AX263" i="2"/>
  <c r="AM263" i="2" s="1"/>
  <c r="BC263" i="2" s="1"/>
  <c r="AX264" i="2"/>
  <c r="AS264" i="2" s="1"/>
  <c r="AX265" i="2"/>
  <c r="AS265" i="2" s="1"/>
  <c r="AX266" i="2"/>
  <c r="AM266" i="2" s="1"/>
  <c r="BC266" i="2" s="1"/>
  <c r="AX267" i="2"/>
  <c r="AS267" i="2" s="1"/>
  <c r="AX268" i="2"/>
  <c r="AR268" i="2" s="1"/>
  <c r="AX269" i="2"/>
  <c r="AX270" i="2"/>
  <c r="AS270" i="2" s="1"/>
  <c r="AX271" i="2"/>
  <c r="AS271" i="2" s="1"/>
  <c r="AX272" i="2"/>
  <c r="AS272" i="2" s="1"/>
  <c r="AX273" i="2"/>
  <c r="AX274" i="2"/>
  <c r="AS274" i="2" s="1"/>
  <c r="AX275" i="2"/>
  <c r="AN275" i="2" s="1"/>
  <c r="AX276" i="2"/>
  <c r="AM276" i="2" s="1"/>
  <c r="BC276" i="2" s="1"/>
  <c r="AX277" i="2"/>
  <c r="AR277" i="2" s="1"/>
  <c r="AX278" i="2"/>
  <c r="AR278" i="2" s="1"/>
  <c r="AX279" i="2"/>
  <c r="AS279" i="2" s="1"/>
  <c r="AX280" i="2"/>
  <c r="AS280" i="2" s="1"/>
  <c r="AX281" i="2"/>
  <c r="AR281" i="2" s="1"/>
  <c r="AX282" i="2"/>
  <c r="AX283" i="2"/>
  <c r="AN283" i="2" s="1"/>
  <c r="AX284" i="2"/>
  <c r="AS284" i="2" s="1"/>
  <c r="AX285" i="2"/>
  <c r="AM285" i="2" s="1"/>
  <c r="BC285" i="2" s="1"/>
  <c r="AX286" i="2"/>
  <c r="AX287" i="2"/>
  <c r="AN287" i="2" s="1"/>
  <c r="AX288" i="2"/>
  <c r="AX289" i="2"/>
  <c r="AX290" i="2"/>
  <c r="AR290" i="2" s="1"/>
  <c r="AX291" i="2"/>
  <c r="AN291" i="2" s="1"/>
  <c r="AX292" i="2"/>
  <c r="AM292" i="2" s="1"/>
  <c r="BC292" i="2" s="1"/>
  <c r="AX293" i="2"/>
  <c r="AR293" i="2" s="1"/>
  <c r="AX294" i="2"/>
  <c r="AS294" i="2" s="1"/>
  <c r="AX295" i="2"/>
  <c r="AN295" i="2" s="1"/>
  <c r="AX296" i="2"/>
  <c r="AN296" i="2" s="1"/>
  <c r="AX297" i="2"/>
  <c r="AN297" i="2" s="1"/>
  <c r="AX298" i="2"/>
  <c r="AS298" i="2" s="1"/>
  <c r="AX299" i="2"/>
  <c r="AR299" i="2" s="1"/>
  <c r="AX300" i="2"/>
  <c r="AM300" i="2" s="1"/>
  <c r="BC300" i="2" s="1"/>
  <c r="AY218" i="2"/>
  <c r="AY219" i="2"/>
  <c r="AY220" i="2"/>
  <c r="AY221" i="2"/>
  <c r="AY222" i="2"/>
  <c r="AY223" i="2"/>
  <c r="AY224" i="2"/>
  <c r="AY225" i="2"/>
  <c r="AY226" i="2"/>
  <c r="AY227" i="2"/>
  <c r="AY228" i="2"/>
  <c r="AY229" i="2"/>
  <c r="AY230" i="2"/>
  <c r="AY231" i="2"/>
  <c r="AY232" i="2"/>
  <c r="AY233" i="2"/>
  <c r="AY234" i="2"/>
  <c r="AY235" i="2"/>
  <c r="AY236" i="2"/>
  <c r="AY237" i="2"/>
  <c r="AY238" i="2"/>
  <c r="AY239" i="2"/>
  <c r="AY240" i="2"/>
  <c r="AY241" i="2"/>
  <c r="AY242" i="2"/>
  <c r="AY243" i="2"/>
  <c r="AY244" i="2"/>
  <c r="AY245" i="2"/>
  <c r="AY246" i="2"/>
  <c r="AY247" i="2"/>
  <c r="AY248" i="2"/>
  <c r="AY249" i="2"/>
  <c r="AY250" i="2"/>
  <c r="AY251" i="2"/>
  <c r="AY252" i="2"/>
  <c r="AY253" i="2"/>
  <c r="AY254" i="2"/>
  <c r="AY255" i="2"/>
  <c r="AY256" i="2"/>
  <c r="AY257" i="2"/>
  <c r="AY258" i="2"/>
  <c r="AY259" i="2"/>
  <c r="AY260" i="2"/>
  <c r="AY261" i="2"/>
  <c r="AY262" i="2"/>
  <c r="AY263" i="2"/>
  <c r="AY264" i="2"/>
  <c r="AY265" i="2"/>
  <c r="AY266" i="2"/>
  <c r="AY267" i="2"/>
  <c r="AY268" i="2"/>
  <c r="AY269" i="2"/>
  <c r="AY270" i="2"/>
  <c r="AY271" i="2"/>
  <c r="AY272" i="2"/>
  <c r="AY273" i="2"/>
  <c r="AY274" i="2"/>
  <c r="AY275" i="2"/>
  <c r="AY276" i="2"/>
  <c r="AY277" i="2"/>
  <c r="AY278" i="2"/>
  <c r="AY279" i="2"/>
  <c r="AY280" i="2"/>
  <c r="AY281" i="2"/>
  <c r="AY282" i="2"/>
  <c r="AY283" i="2"/>
  <c r="AY284" i="2"/>
  <c r="AY285" i="2"/>
  <c r="AY286" i="2"/>
  <c r="AY287" i="2"/>
  <c r="AY288" i="2"/>
  <c r="AY289" i="2"/>
  <c r="AY290" i="2"/>
  <c r="AY291" i="2"/>
  <c r="AY292" i="2"/>
  <c r="AY293" i="2"/>
  <c r="AY294" i="2"/>
  <c r="AY295" i="2"/>
  <c r="AY296" i="2"/>
  <c r="AY297" i="2"/>
  <c r="AY298" i="2"/>
  <c r="AY299" i="2"/>
  <c r="AY300" i="2"/>
  <c r="AZ218" i="2"/>
  <c r="AZ219" i="2"/>
  <c r="AZ220" i="2"/>
  <c r="AZ221" i="2"/>
  <c r="AZ222" i="2"/>
  <c r="AZ223" i="2"/>
  <c r="AZ224" i="2"/>
  <c r="AZ225" i="2"/>
  <c r="AZ226" i="2"/>
  <c r="AZ227" i="2"/>
  <c r="AZ228" i="2"/>
  <c r="AZ229" i="2"/>
  <c r="AZ230" i="2"/>
  <c r="AZ231" i="2"/>
  <c r="AZ232" i="2"/>
  <c r="AZ233" i="2"/>
  <c r="AZ234" i="2"/>
  <c r="AZ235" i="2"/>
  <c r="AZ236" i="2"/>
  <c r="AZ237" i="2"/>
  <c r="AZ238" i="2"/>
  <c r="AZ239" i="2"/>
  <c r="AZ240" i="2"/>
  <c r="AZ241" i="2"/>
  <c r="AZ242" i="2"/>
  <c r="AZ243" i="2"/>
  <c r="AZ244" i="2"/>
  <c r="AZ245" i="2"/>
  <c r="AZ246" i="2"/>
  <c r="AZ247" i="2"/>
  <c r="AZ248" i="2"/>
  <c r="AZ249" i="2"/>
  <c r="AZ250" i="2"/>
  <c r="AZ251" i="2"/>
  <c r="AZ252" i="2"/>
  <c r="AZ253" i="2"/>
  <c r="AZ254" i="2"/>
  <c r="AZ255" i="2"/>
  <c r="AZ256" i="2"/>
  <c r="AZ257" i="2"/>
  <c r="AZ258" i="2"/>
  <c r="AZ259" i="2"/>
  <c r="AZ260" i="2"/>
  <c r="AZ261" i="2"/>
  <c r="AZ262" i="2"/>
  <c r="AZ263" i="2"/>
  <c r="AZ264" i="2"/>
  <c r="AZ265" i="2"/>
  <c r="AZ266" i="2"/>
  <c r="AZ267" i="2"/>
  <c r="AZ268" i="2"/>
  <c r="AZ269" i="2"/>
  <c r="AZ270" i="2"/>
  <c r="AZ271" i="2"/>
  <c r="AZ272" i="2"/>
  <c r="AZ273" i="2"/>
  <c r="AZ274" i="2"/>
  <c r="AZ275" i="2"/>
  <c r="AZ276" i="2"/>
  <c r="AZ277" i="2"/>
  <c r="AZ278" i="2"/>
  <c r="AZ279" i="2"/>
  <c r="AZ280" i="2"/>
  <c r="AZ281" i="2"/>
  <c r="AZ282" i="2"/>
  <c r="AZ283" i="2"/>
  <c r="AZ284" i="2"/>
  <c r="AZ285" i="2"/>
  <c r="AZ286" i="2"/>
  <c r="AZ287" i="2"/>
  <c r="AZ288" i="2"/>
  <c r="AZ289" i="2"/>
  <c r="AZ290" i="2"/>
  <c r="AZ291" i="2"/>
  <c r="AZ292" i="2"/>
  <c r="AZ293" i="2"/>
  <c r="AZ294" i="2"/>
  <c r="AZ295" i="2"/>
  <c r="AZ296" i="2"/>
  <c r="AZ297" i="2"/>
  <c r="AZ298" i="2"/>
  <c r="AZ299" i="2"/>
  <c r="AZ300" i="2"/>
  <c r="BA218" i="2"/>
  <c r="BA219" i="2"/>
  <c r="BA220" i="2"/>
  <c r="BA221" i="2"/>
  <c r="BA222" i="2"/>
  <c r="BA223" i="2"/>
  <c r="BA224" i="2"/>
  <c r="BA225" i="2"/>
  <c r="BA226" i="2"/>
  <c r="BA227" i="2"/>
  <c r="BA228" i="2"/>
  <c r="BA229" i="2"/>
  <c r="BA230" i="2"/>
  <c r="BA231" i="2"/>
  <c r="BA232" i="2"/>
  <c r="BA233" i="2"/>
  <c r="BA234" i="2"/>
  <c r="BA235" i="2"/>
  <c r="BA236" i="2"/>
  <c r="BA237" i="2"/>
  <c r="BA238" i="2"/>
  <c r="BA239" i="2"/>
  <c r="BA240" i="2"/>
  <c r="BA241" i="2"/>
  <c r="BA242" i="2"/>
  <c r="BA243" i="2"/>
  <c r="BA244" i="2"/>
  <c r="BA245" i="2"/>
  <c r="BA246" i="2"/>
  <c r="BA247" i="2"/>
  <c r="BA248" i="2"/>
  <c r="BA249" i="2"/>
  <c r="BA250" i="2"/>
  <c r="BA251" i="2"/>
  <c r="BA252" i="2"/>
  <c r="BA253" i="2"/>
  <c r="BA254" i="2"/>
  <c r="BA255" i="2"/>
  <c r="BA256" i="2"/>
  <c r="BA257" i="2"/>
  <c r="BA258" i="2"/>
  <c r="BA259" i="2"/>
  <c r="BA260" i="2"/>
  <c r="BA261" i="2"/>
  <c r="BA262" i="2"/>
  <c r="BA263" i="2"/>
  <c r="BA264" i="2"/>
  <c r="BA265" i="2"/>
  <c r="BA266" i="2"/>
  <c r="BA267" i="2"/>
  <c r="BA268" i="2"/>
  <c r="BA269" i="2"/>
  <c r="BA270" i="2"/>
  <c r="BA271" i="2"/>
  <c r="BA272" i="2"/>
  <c r="BA273" i="2"/>
  <c r="BA274" i="2"/>
  <c r="BA275" i="2"/>
  <c r="BA276" i="2"/>
  <c r="BA277" i="2"/>
  <c r="BA278" i="2"/>
  <c r="BA279" i="2"/>
  <c r="BA280" i="2"/>
  <c r="BA281" i="2"/>
  <c r="BA282" i="2"/>
  <c r="BA283" i="2"/>
  <c r="BA284" i="2"/>
  <c r="BA285" i="2"/>
  <c r="BA286" i="2"/>
  <c r="BA287" i="2"/>
  <c r="BA288" i="2"/>
  <c r="BA289" i="2"/>
  <c r="BA290" i="2"/>
  <c r="BA291" i="2"/>
  <c r="BA292" i="2"/>
  <c r="BA293" i="2"/>
  <c r="BA294" i="2"/>
  <c r="BA295" i="2"/>
  <c r="BA296" i="2"/>
  <c r="BA297" i="2"/>
  <c r="BA298" i="2"/>
  <c r="BA299" i="2"/>
  <c r="BA300" i="2"/>
  <c r="BB218" i="2"/>
  <c r="BB219" i="2"/>
  <c r="BB220" i="2"/>
  <c r="BB221" i="2"/>
  <c r="BB222" i="2"/>
  <c r="BB223" i="2"/>
  <c r="BB224" i="2"/>
  <c r="BB225" i="2"/>
  <c r="BB226" i="2"/>
  <c r="BB227" i="2"/>
  <c r="BB228" i="2"/>
  <c r="BB229" i="2"/>
  <c r="BB230" i="2"/>
  <c r="BB231" i="2"/>
  <c r="BB232" i="2"/>
  <c r="BB233" i="2"/>
  <c r="BB234" i="2"/>
  <c r="BB235" i="2"/>
  <c r="BB236" i="2"/>
  <c r="BB237" i="2"/>
  <c r="BB238" i="2"/>
  <c r="BB239" i="2"/>
  <c r="BB240" i="2"/>
  <c r="BB241" i="2"/>
  <c r="BB242" i="2"/>
  <c r="BB243" i="2"/>
  <c r="BB244" i="2"/>
  <c r="BB245" i="2"/>
  <c r="BB246" i="2"/>
  <c r="BB247" i="2"/>
  <c r="BB248" i="2"/>
  <c r="BB249" i="2"/>
  <c r="BB250" i="2"/>
  <c r="BB251" i="2"/>
  <c r="BB252" i="2"/>
  <c r="BB253" i="2"/>
  <c r="BB254" i="2"/>
  <c r="BB255" i="2"/>
  <c r="BB256" i="2"/>
  <c r="BB257" i="2"/>
  <c r="BB258" i="2"/>
  <c r="BB259" i="2"/>
  <c r="BB260" i="2"/>
  <c r="BB261" i="2"/>
  <c r="BB262" i="2"/>
  <c r="BB263" i="2"/>
  <c r="BB264" i="2"/>
  <c r="BB265" i="2"/>
  <c r="BB266" i="2"/>
  <c r="BB267" i="2"/>
  <c r="BB268" i="2"/>
  <c r="BB269" i="2"/>
  <c r="BB270" i="2"/>
  <c r="BB271" i="2"/>
  <c r="BB272" i="2"/>
  <c r="BB273" i="2"/>
  <c r="BB274" i="2"/>
  <c r="BB275" i="2"/>
  <c r="BB276" i="2"/>
  <c r="BB277" i="2"/>
  <c r="BB278" i="2"/>
  <c r="BB279" i="2"/>
  <c r="BB280" i="2"/>
  <c r="BB281" i="2"/>
  <c r="BB282" i="2"/>
  <c r="BB283" i="2"/>
  <c r="BB284" i="2"/>
  <c r="BB285" i="2"/>
  <c r="BB286" i="2"/>
  <c r="BB287" i="2"/>
  <c r="BB288" i="2"/>
  <c r="BB289" i="2"/>
  <c r="BB290" i="2"/>
  <c r="BB291" i="2"/>
  <c r="BB292" i="2"/>
  <c r="BB293" i="2"/>
  <c r="BB294" i="2"/>
  <c r="BB295" i="2"/>
  <c r="BB296" i="2"/>
  <c r="BB297" i="2"/>
  <c r="BB298" i="2"/>
  <c r="BB299" i="2"/>
  <c r="BB300" i="2"/>
  <c r="BD218" i="2"/>
  <c r="BD219" i="2"/>
  <c r="BD220" i="2"/>
  <c r="BD221" i="2"/>
  <c r="BD222" i="2"/>
  <c r="BD223" i="2"/>
  <c r="BD224" i="2"/>
  <c r="BD225" i="2"/>
  <c r="BD226" i="2"/>
  <c r="BD227" i="2"/>
  <c r="BD228" i="2"/>
  <c r="BD229" i="2"/>
  <c r="BD230" i="2"/>
  <c r="BD231" i="2"/>
  <c r="BD232" i="2"/>
  <c r="BD233" i="2"/>
  <c r="BD234" i="2"/>
  <c r="BD235" i="2"/>
  <c r="BD236" i="2"/>
  <c r="BD237" i="2"/>
  <c r="BD238" i="2"/>
  <c r="BD239" i="2"/>
  <c r="BD240" i="2"/>
  <c r="BD241" i="2"/>
  <c r="BD242" i="2"/>
  <c r="BD243" i="2"/>
  <c r="BD244" i="2"/>
  <c r="BD245" i="2"/>
  <c r="BD246" i="2"/>
  <c r="BD247" i="2"/>
  <c r="BD248" i="2"/>
  <c r="BD249" i="2"/>
  <c r="BD250" i="2"/>
  <c r="BD251" i="2"/>
  <c r="BD252" i="2"/>
  <c r="BD253" i="2"/>
  <c r="BD254" i="2"/>
  <c r="BD255" i="2"/>
  <c r="BD256" i="2"/>
  <c r="BD257" i="2"/>
  <c r="BD258" i="2"/>
  <c r="BD259" i="2"/>
  <c r="BD260" i="2"/>
  <c r="BD261" i="2"/>
  <c r="BD262" i="2"/>
  <c r="BD263" i="2"/>
  <c r="BD264" i="2"/>
  <c r="BD265" i="2"/>
  <c r="BD266" i="2"/>
  <c r="BD267" i="2"/>
  <c r="BD268" i="2"/>
  <c r="BD269" i="2"/>
  <c r="BD270" i="2"/>
  <c r="BD271" i="2"/>
  <c r="BD272" i="2"/>
  <c r="BD273" i="2"/>
  <c r="BD274" i="2"/>
  <c r="BD275" i="2"/>
  <c r="BD276" i="2"/>
  <c r="BD277" i="2"/>
  <c r="BD278" i="2"/>
  <c r="BD279" i="2"/>
  <c r="BD280" i="2"/>
  <c r="BD281" i="2"/>
  <c r="BD282" i="2"/>
  <c r="BD283" i="2"/>
  <c r="BD284" i="2"/>
  <c r="BD285" i="2"/>
  <c r="BD286" i="2"/>
  <c r="BD287" i="2"/>
  <c r="BD288" i="2"/>
  <c r="BD289" i="2"/>
  <c r="BD290" i="2"/>
  <c r="BD291" i="2"/>
  <c r="BD292" i="2"/>
  <c r="BD293" i="2"/>
  <c r="BD294" i="2"/>
  <c r="BD295" i="2"/>
  <c r="BD296" i="2"/>
  <c r="BD297" i="2"/>
  <c r="BD298" i="2"/>
  <c r="BD299" i="2"/>
  <c r="BD300" i="2"/>
  <c r="AS227" i="2" l="1"/>
  <c r="AR243" i="2"/>
  <c r="AI271" i="2"/>
  <c r="AI275" i="2"/>
  <c r="AI274" i="2"/>
  <c r="AW300" i="2"/>
  <c r="AC252" i="2"/>
  <c r="AJ252" i="2" s="1"/>
  <c r="AI281" i="2"/>
  <c r="AU238" i="2"/>
  <c r="AI267" i="2"/>
  <c r="AK268" i="2"/>
  <c r="AI223" i="2"/>
  <c r="AC236" i="2"/>
  <c r="AJ236" i="2" s="1"/>
  <c r="AS236" i="2"/>
  <c r="AS229" i="2"/>
  <c r="AS228" i="2"/>
  <c r="AW253" i="2"/>
  <c r="AN244" i="2"/>
  <c r="AN243" i="2"/>
  <c r="AM290" i="2"/>
  <c r="BC290" i="2" s="1"/>
  <c r="AI287" i="2"/>
  <c r="AC290" i="2"/>
  <c r="AJ290" i="2" s="1"/>
  <c r="AC242" i="2"/>
  <c r="AJ242" i="2" s="1"/>
  <c r="AC287" i="2"/>
  <c r="AJ287" i="2" s="1"/>
  <c r="AC271" i="2"/>
  <c r="AJ271" i="2" s="1"/>
  <c r="AC255" i="2"/>
  <c r="AJ255" i="2" s="1"/>
  <c r="AC239" i="2"/>
  <c r="AJ239" i="2" s="1"/>
  <c r="AC223" i="2"/>
  <c r="AJ223" i="2" s="1"/>
  <c r="AC286" i="2"/>
  <c r="AJ286" i="2" s="1"/>
  <c r="AC254" i="2"/>
  <c r="AJ254" i="2" s="1"/>
  <c r="C484" i="8"/>
  <c r="D483" i="8"/>
  <c r="AW290" i="2"/>
  <c r="AK253" i="2"/>
  <c r="AI242" i="2"/>
  <c r="AW289" i="2"/>
  <c r="AK252" i="2"/>
  <c r="AI241" i="2"/>
  <c r="AI240" i="2"/>
  <c r="AW292" i="2"/>
  <c r="AM271" i="2"/>
  <c r="BC271" i="2" s="1"/>
  <c r="AI258" i="2"/>
  <c r="AW291" i="2"/>
  <c r="AR220" i="2"/>
  <c r="AI243" i="2"/>
  <c r="AP268" i="2"/>
  <c r="AI239" i="2"/>
  <c r="AP253" i="2"/>
  <c r="AI226" i="2"/>
  <c r="AC247" i="2"/>
  <c r="AJ247" i="2" s="1"/>
  <c r="AU227" i="2"/>
  <c r="AP252" i="2"/>
  <c r="AI289" i="2"/>
  <c r="AI225" i="2"/>
  <c r="AR284" i="2"/>
  <c r="AI259" i="2"/>
  <c r="AP236" i="2"/>
  <c r="AI288" i="2"/>
  <c r="AI224" i="2"/>
  <c r="AC277" i="2"/>
  <c r="AJ277" i="2" s="1"/>
  <c r="AC261" i="2"/>
  <c r="AJ261" i="2" s="1"/>
  <c r="AC245" i="2"/>
  <c r="AJ245" i="2" s="1"/>
  <c r="AU236" i="2"/>
  <c r="AS234" i="2"/>
  <c r="AM299" i="2"/>
  <c r="BC299" i="2" s="1"/>
  <c r="AU235" i="2"/>
  <c r="AI266" i="2"/>
  <c r="AC246" i="2"/>
  <c r="AJ246" i="2" s="1"/>
  <c r="AM294" i="2"/>
  <c r="BC294" i="2" s="1"/>
  <c r="AI265" i="2"/>
  <c r="AM293" i="2"/>
  <c r="BC293" i="2" s="1"/>
  <c r="AR292" i="2"/>
  <c r="AI298" i="2"/>
  <c r="AI249" i="2"/>
  <c r="AU220" i="2"/>
  <c r="AP225" i="2"/>
  <c r="AM267" i="2"/>
  <c r="BC267" i="2" s="1"/>
  <c r="AC258" i="2"/>
  <c r="AJ258" i="2" s="1"/>
  <c r="AC288" i="2"/>
  <c r="AJ288" i="2" s="1"/>
  <c r="AC272" i="2"/>
  <c r="AJ272" i="2" s="1"/>
  <c r="AC256" i="2"/>
  <c r="AJ256" i="2" s="1"/>
  <c r="AC240" i="2"/>
  <c r="AJ240" i="2" s="1"/>
  <c r="AC224" i="2"/>
  <c r="AJ224" i="2" s="1"/>
  <c r="AM298" i="2"/>
  <c r="BC298" i="2" s="1"/>
  <c r="AU234" i="2"/>
  <c r="AU233" i="2"/>
  <c r="AC294" i="2"/>
  <c r="AJ294" i="2" s="1"/>
  <c r="AR291" i="2"/>
  <c r="AI297" i="2"/>
  <c r="AU219" i="2"/>
  <c r="AR283" i="2"/>
  <c r="AM259" i="2"/>
  <c r="BC259" i="2" s="1"/>
  <c r="AW271" i="2"/>
  <c r="AU218" i="2"/>
  <c r="AR275" i="2"/>
  <c r="AM243" i="2"/>
  <c r="BC243" i="2" s="1"/>
  <c r="AS266" i="2"/>
  <c r="AR260" i="2"/>
  <c r="AK294" i="2"/>
  <c r="AI284" i="2"/>
  <c r="AW257" i="2"/>
  <c r="AS260" i="2"/>
  <c r="AR258" i="2"/>
  <c r="AN261" i="2"/>
  <c r="AK292" i="2"/>
  <c r="AI283" i="2"/>
  <c r="AW256" i="2"/>
  <c r="AS244" i="2"/>
  <c r="AR251" i="2"/>
  <c r="AN259" i="2"/>
  <c r="AK289" i="2"/>
  <c r="AI282" i="2"/>
  <c r="AR219" i="2"/>
  <c r="AU237" i="2"/>
  <c r="AS235" i="2"/>
  <c r="AN219" i="2"/>
  <c r="AK225" i="2"/>
  <c r="AC220" i="2"/>
  <c r="AJ220" i="2" s="1"/>
  <c r="AC221" i="2"/>
  <c r="AJ221" i="2" s="1"/>
  <c r="AK222" i="2"/>
  <c r="AI278" i="2"/>
  <c r="AC284" i="2"/>
  <c r="AJ284" i="2" s="1"/>
  <c r="AW236" i="2"/>
  <c r="AI257" i="2"/>
  <c r="AS278" i="2"/>
  <c r="AR294" i="2"/>
  <c r="AR249" i="2"/>
  <c r="AN248" i="2"/>
  <c r="AI264" i="2"/>
  <c r="AU231" i="2"/>
  <c r="AI260" i="2"/>
  <c r="AS277" i="2"/>
  <c r="AR247" i="2"/>
  <c r="AK226" i="2"/>
  <c r="AI280" i="2"/>
  <c r="AU230" i="2"/>
  <c r="AR242" i="2"/>
  <c r="AM258" i="2"/>
  <c r="BC258" i="2" s="1"/>
  <c r="AI279" i="2"/>
  <c r="AC237" i="2"/>
  <c r="AJ237" i="2" s="1"/>
  <c r="AW237" i="2"/>
  <c r="AU229" i="2"/>
  <c r="AN280" i="2"/>
  <c r="AN242" i="2"/>
  <c r="AM246" i="2"/>
  <c r="BC246" i="2" s="1"/>
  <c r="AI296" i="2"/>
  <c r="AU228" i="2"/>
  <c r="AR280" i="2"/>
  <c r="AC219" i="2"/>
  <c r="AJ219" i="2" s="1"/>
  <c r="AW273" i="2"/>
  <c r="H246" i="2"/>
  <c r="AV246" i="2" s="1"/>
  <c r="AU272" i="2"/>
  <c r="AR276" i="2"/>
  <c r="AN277" i="2"/>
  <c r="AC281" i="2"/>
  <c r="AJ281" i="2" s="1"/>
  <c r="AC265" i="2"/>
  <c r="AJ265" i="2" s="1"/>
  <c r="AC233" i="2"/>
  <c r="AJ233" i="2" s="1"/>
  <c r="AW221" i="2"/>
  <c r="AN276" i="2"/>
  <c r="AK300" i="2"/>
  <c r="AI292" i="2"/>
  <c r="AC280" i="2"/>
  <c r="AJ280" i="2" s="1"/>
  <c r="AC264" i="2"/>
  <c r="AJ264" i="2" s="1"/>
  <c r="AU256" i="2"/>
  <c r="AR274" i="2"/>
  <c r="AP300" i="2"/>
  <c r="AN274" i="2"/>
  <c r="AM296" i="2"/>
  <c r="BC296" i="2" s="1"/>
  <c r="AI291" i="2"/>
  <c r="AI273" i="2"/>
  <c r="AI248" i="2"/>
  <c r="AC292" i="2"/>
  <c r="AJ292" i="2" s="1"/>
  <c r="AN279" i="2"/>
  <c r="AM245" i="2"/>
  <c r="BC245" i="2" s="1"/>
  <c r="AI295" i="2"/>
  <c r="AI277" i="2"/>
  <c r="AR279" i="2"/>
  <c r="AN278" i="2"/>
  <c r="AI294" i="2"/>
  <c r="AI276" i="2"/>
  <c r="AC298" i="2"/>
  <c r="AJ298" i="2" s="1"/>
  <c r="AC282" i="2"/>
  <c r="AJ282" i="2" s="1"/>
  <c r="AC266" i="2"/>
  <c r="AJ266" i="2" s="1"/>
  <c r="AC250" i="2"/>
  <c r="AJ250" i="2" s="1"/>
  <c r="AM242" i="2"/>
  <c r="BC242" i="2" s="1"/>
  <c r="AI293" i="2"/>
  <c r="AI255" i="2"/>
  <c r="AM297" i="2"/>
  <c r="BC297" i="2" s="1"/>
  <c r="AW268" i="2"/>
  <c r="AU221" i="2"/>
  <c r="AS230" i="2"/>
  <c r="AR262" i="2"/>
  <c r="AP289" i="2"/>
  <c r="AN262" i="2"/>
  <c r="AM295" i="2"/>
  <c r="BC295" i="2" s="1"/>
  <c r="AK293" i="2"/>
  <c r="AI290" i="2"/>
  <c r="AI245" i="2"/>
  <c r="AC278" i="2"/>
  <c r="AJ278" i="2" s="1"/>
  <c r="AC262" i="2"/>
  <c r="AJ262" i="2" s="1"/>
  <c r="AS276" i="2"/>
  <c r="AR246" i="2"/>
  <c r="AP222" i="2"/>
  <c r="AN247" i="2"/>
  <c r="AM262" i="2"/>
  <c r="BC262" i="2" s="1"/>
  <c r="AI300" i="2"/>
  <c r="AI262" i="2"/>
  <c r="AW241" i="2"/>
  <c r="AU232" i="2"/>
  <c r="AS275" i="2"/>
  <c r="AR244" i="2"/>
  <c r="AN246" i="2"/>
  <c r="AM261" i="2"/>
  <c r="BC261" i="2" s="1"/>
  <c r="AK228" i="2"/>
  <c r="AI299" i="2"/>
  <c r="AI261" i="2"/>
  <c r="U256" i="8"/>
  <c r="T256" i="8"/>
  <c r="T293" i="8"/>
  <c r="U293" i="8"/>
  <c r="T260" i="8"/>
  <c r="U260" i="8"/>
  <c r="U228" i="8"/>
  <c r="T228" i="8"/>
  <c r="T275" i="8"/>
  <c r="U275" i="8"/>
  <c r="T244" i="8"/>
  <c r="U244" i="8"/>
  <c r="T292" i="8"/>
  <c r="U292" i="8"/>
  <c r="T301" i="8"/>
  <c r="U301" i="8"/>
  <c r="T237" i="8"/>
  <c r="U237" i="8"/>
  <c r="T294" i="8"/>
  <c r="U294" i="8"/>
  <c r="U229" i="8"/>
  <c r="T229" i="8"/>
  <c r="U245" i="8"/>
  <c r="T245" i="8"/>
  <c r="T247" i="8"/>
  <c r="U247" i="8"/>
  <c r="U231" i="8"/>
  <c r="T231" i="8"/>
  <c r="U240" i="8"/>
  <c r="V240" i="8" s="1"/>
  <c r="U259" i="8"/>
  <c r="V259" i="8" s="1"/>
  <c r="U291" i="8"/>
  <c r="V291" i="8" s="1"/>
  <c r="X291" i="8" s="1"/>
  <c r="AA291" i="8" s="1"/>
  <c r="AD291" i="8" s="1"/>
  <c r="U285" i="8"/>
  <c r="V285" i="8" s="1"/>
  <c r="T290" i="8"/>
  <c r="V290" i="8" s="1"/>
  <c r="Y290" i="8" s="1"/>
  <c r="AB290" i="8" s="1"/>
  <c r="AE290" i="8" s="1"/>
  <c r="U276" i="8"/>
  <c r="V276" i="8" s="1"/>
  <c r="T277" i="8"/>
  <c r="V277" i="8" s="1"/>
  <c r="X277" i="8" s="1"/>
  <c r="AA277" i="8" s="1"/>
  <c r="AD277" i="8" s="1"/>
  <c r="U274" i="8"/>
  <c r="V274" i="8" s="1"/>
  <c r="T269" i="8"/>
  <c r="V269" i="8" s="1"/>
  <c r="T253" i="8"/>
  <c r="V253" i="8" s="1"/>
  <c r="Y253" i="8" s="1"/>
  <c r="AB253" i="8" s="1"/>
  <c r="AE253" i="8" s="1"/>
  <c r="U300" i="8"/>
  <c r="V300" i="8" s="1"/>
  <c r="U283" i="8"/>
  <c r="V283" i="8" s="1"/>
  <c r="Y283" i="8" s="1"/>
  <c r="AB283" i="8" s="1"/>
  <c r="AE283" i="8" s="1"/>
  <c r="T234" i="8"/>
  <c r="V234" i="8" s="1"/>
  <c r="Y234" i="8" s="1"/>
  <c r="AB234" i="8" s="1"/>
  <c r="AE234" i="8" s="1"/>
  <c r="U282" i="8"/>
  <c r="V282" i="8" s="1"/>
  <c r="U258" i="8"/>
  <c r="V258" i="8" s="1"/>
  <c r="T268" i="8"/>
  <c r="V268" i="8" s="1"/>
  <c r="Y268" i="8" s="1"/>
  <c r="AB268" i="8" s="1"/>
  <c r="AE268" i="8" s="1"/>
  <c r="T233" i="8"/>
  <c r="V233" i="8" s="1"/>
  <c r="Z233" i="8" s="1"/>
  <c r="AC233" i="8" s="1"/>
  <c r="AF233" i="8" s="1"/>
  <c r="U281" i="8"/>
  <c r="V281" i="8" s="1"/>
  <c r="T266" i="8"/>
  <c r="V266" i="8" s="1"/>
  <c r="U279" i="8"/>
  <c r="V279" i="8" s="1"/>
  <c r="U251" i="8"/>
  <c r="V251" i="8" s="1"/>
  <c r="Y251" i="8" s="1"/>
  <c r="AB251" i="8" s="1"/>
  <c r="AE251" i="8" s="1"/>
  <c r="T265" i="8"/>
  <c r="V265" i="8" s="1"/>
  <c r="U278" i="8"/>
  <c r="V278" i="8" s="1"/>
  <c r="Z278" i="8" s="1"/>
  <c r="AC278" i="8" s="1"/>
  <c r="AF278" i="8" s="1"/>
  <c r="U250" i="8"/>
  <c r="V250" i="8" s="1"/>
  <c r="T298" i="8"/>
  <c r="V298" i="8" s="1"/>
  <c r="T262" i="8"/>
  <c r="V262" i="8" s="1"/>
  <c r="Y262" i="8" s="1"/>
  <c r="AB262" i="8" s="1"/>
  <c r="AE262" i="8" s="1"/>
  <c r="U249" i="8"/>
  <c r="V249" i="8" s="1"/>
  <c r="T297" i="8"/>
  <c r="V297" i="8" s="1"/>
  <c r="Y297" i="8" s="1"/>
  <c r="AB297" i="8" s="1"/>
  <c r="AE297" i="8" s="1"/>
  <c r="T261" i="8"/>
  <c r="V261" i="8" s="1"/>
  <c r="X261" i="8" s="1"/>
  <c r="AA261" i="8" s="1"/>
  <c r="AD261" i="8" s="1"/>
  <c r="T252" i="8"/>
  <c r="V252" i="8" s="1"/>
  <c r="Y252" i="8" s="1"/>
  <c r="AB252" i="8" s="1"/>
  <c r="AE252" i="8" s="1"/>
  <c r="U242" i="8"/>
  <c r="V242" i="8" s="1"/>
  <c r="AG242" i="8" s="1"/>
  <c r="T284" i="8"/>
  <c r="V284" i="8" s="1"/>
  <c r="Y284" i="8" s="1"/>
  <c r="AB284" i="8" s="1"/>
  <c r="AE284" i="8" s="1"/>
  <c r="U267" i="8"/>
  <c r="V267" i="8" s="1"/>
  <c r="X267" i="8" s="1"/>
  <c r="AA267" i="8" s="1"/>
  <c r="AD267" i="8" s="1"/>
  <c r="T238" i="8"/>
  <c r="V238" i="8" s="1"/>
  <c r="X238" i="8" s="1"/>
  <c r="AA238" i="8" s="1"/>
  <c r="AD238" i="8" s="1"/>
  <c r="T272" i="8"/>
  <c r="V272" i="8" s="1"/>
  <c r="AG272" i="8" s="1"/>
  <c r="U299" i="8"/>
  <c r="V299" i="8" s="1"/>
  <c r="X299" i="8" s="1"/>
  <c r="AA299" i="8" s="1"/>
  <c r="AD299" i="8" s="1"/>
  <c r="U230" i="8"/>
  <c r="V230" i="8" s="1"/>
  <c r="T270" i="8"/>
  <c r="V270" i="8" s="1"/>
  <c r="Y270" i="8" s="1"/>
  <c r="AB270" i="8" s="1"/>
  <c r="AE270" i="8" s="1"/>
  <c r="T236" i="8"/>
  <c r="V236" i="8" s="1"/>
  <c r="AG238" i="8"/>
  <c r="Y238" i="8"/>
  <c r="AB238" i="8" s="1"/>
  <c r="AE238" i="8" s="1"/>
  <c r="U248" i="8"/>
  <c r="V248" i="8" s="1"/>
  <c r="T271" i="8"/>
  <c r="V271" i="8" s="1"/>
  <c r="U232" i="8"/>
  <c r="T232" i="8"/>
  <c r="U296" i="8"/>
  <c r="V296" i="8" s="1"/>
  <c r="T295" i="8"/>
  <c r="U295" i="8"/>
  <c r="T239" i="8"/>
  <c r="V239" i="8" s="1"/>
  <c r="U246" i="8"/>
  <c r="T246" i="8"/>
  <c r="T287" i="8"/>
  <c r="V287" i="8" s="1"/>
  <c r="U264" i="8"/>
  <c r="V264" i="8" s="1"/>
  <c r="T263" i="8"/>
  <c r="V263" i="8" s="1"/>
  <c r="T243" i="8"/>
  <c r="U243" i="8"/>
  <c r="U289" i="8"/>
  <c r="T289" i="8"/>
  <c r="U241" i="8"/>
  <c r="T241" i="8"/>
  <c r="T257" i="8"/>
  <c r="V257" i="8" s="1"/>
  <c r="T280" i="8"/>
  <c r="V280" i="8" s="1"/>
  <c r="T255" i="8"/>
  <c r="V255" i="8" s="1"/>
  <c r="U286" i="8"/>
  <c r="T286" i="8"/>
  <c r="U254" i="8"/>
  <c r="T254" i="8"/>
  <c r="T273" i="8"/>
  <c r="V273" i="8" s="1"/>
  <c r="T288" i="8"/>
  <c r="V288" i="8" s="1"/>
  <c r="U235" i="8"/>
  <c r="V235" i="8" s="1"/>
  <c r="AW218" i="2"/>
  <c r="AW234" i="2"/>
  <c r="AP235" i="2"/>
  <c r="AW267" i="2"/>
  <c r="AW250" i="2"/>
  <c r="AW233" i="2"/>
  <c r="AP234" i="2"/>
  <c r="AW283" i="2"/>
  <c r="AW249" i="2"/>
  <c r="AN235" i="2"/>
  <c r="AW299" i="2"/>
  <c r="AW248" i="2"/>
  <c r="AP248" i="2"/>
  <c r="AW298" i="2"/>
  <c r="AN298" i="2"/>
  <c r="AC251" i="2"/>
  <c r="AJ251" i="2" s="1"/>
  <c r="AK296" i="2"/>
  <c r="AW251" i="2"/>
  <c r="AW282" i="2"/>
  <c r="AW265" i="2"/>
  <c r="AW231" i="2"/>
  <c r="AN265" i="2"/>
  <c r="AM283" i="2"/>
  <c r="BC283" i="2" s="1"/>
  <c r="AC231" i="2"/>
  <c r="AJ231" i="2" s="1"/>
  <c r="AW246" i="2"/>
  <c r="AS219" i="2"/>
  <c r="AP230" i="2"/>
  <c r="AM279" i="2"/>
  <c r="BC279" i="2" s="1"/>
  <c r="AW296" i="2"/>
  <c r="AW279" i="2"/>
  <c r="AW262" i="2"/>
  <c r="AW245" i="2"/>
  <c r="AW228" i="2"/>
  <c r="AS293" i="2"/>
  <c r="AS248" i="2"/>
  <c r="AR267" i="2"/>
  <c r="AR230" i="2"/>
  <c r="AP293" i="2"/>
  <c r="AP229" i="2"/>
  <c r="AN260" i="2"/>
  <c r="AN230" i="2"/>
  <c r="AM278" i="2"/>
  <c r="BC278" i="2" s="1"/>
  <c r="AM239" i="2"/>
  <c r="BC239" i="2" s="1"/>
  <c r="AC275" i="2"/>
  <c r="AJ275" i="2" s="1"/>
  <c r="AK297" i="2"/>
  <c r="AC299" i="2"/>
  <c r="AJ299" i="2" s="1"/>
  <c r="AP283" i="2"/>
  <c r="AN268" i="2"/>
  <c r="AM252" i="2"/>
  <c r="BC252" i="2" s="1"/>
  <c r="AN267" i="2"/>
  <c r="AM251" i="2"/>
  <c r="BC251" i="2" s="1"/>
  <c r="AC235" i="2"/>
  <c r="AJ235" i="2" s="1"/>
  <c r="AW266" i="2"/>
  <c r="AW232" i="2"/>
  <c r="AP249" i="2"/>
  <c r="AW264" i="2"/>
  <c r="AW247" i="2"/>
  <c r="AW230" i="2"/>
  <c r="AS300" i="2"/>
  <c r="AS252" i="2"/>
  <c r="AS220" i="2"/>
  <c r="AM280" i="2"/>
  <c r="BC280" i="2" s="1"/>
  <c r="AC283" i="2"/>
  <c r="AJ283" i="2" s="1"/>
  <c r="AC230" i="2"/>
  <c r="AJ230" i="2" s="1"/>
  <c r="AW280" i="2"/>
  <c r="AP294" i="2"/>
  <c r="AN231" i="2"/>
  <c r="AK235" i="2"/>
  <c r="AC276" i="2"/>
  <c r="AJ276" i="2" s="1"/>
  <c r="AC228" i="2"/>
  <c r="AJ228" i="2" s="1"/>
  <c r="AW295" i="2"/>
  <c r="AM277" i="2"/>
  <c r="BC277" i="2" s="1"/>
  <c r="AK232" i="2"/>
  <c r="AC274" i="2"/>
  <c r="AJ274" i="2" s="1"/>
  <c r="AW277" i="2"/>
  <c r="AW260" i="2"/>
  <c r="AW243" i="2"/>
  <c r="AW226" i="2"/>
  <c r="AS291" i="2"/>
  <c r="AR298" i="2"/>
  <c r="AR264" i="2"/>
  <c r="AR227" i="2"/>
  <c r="AN284" i="2"/>
  <c r="AN258" i="2"/>
  <c r="AN228" i="2"/>
  <c r="AM275" i="2"/>
  <c r="BC275" i="2" s="1"/>
  <c r="AK249" i="2"/>
  <c r="AC267" i="2"/>
  <c r="AJ267" i="2" s="1"/>
  <c r="AC218" i="2"/>
  <c r="AJ218" i="2" s="1"/>
  <c r="AW219" i="2"/>
  <c r="AC295" i="2"/>
  <c r="AJ295" i="2" s="1"/>
  <c r="AP297" i="2"/>
  <c r="AN266" i="2"/>
  <c r="AP296" i="2"/>
  <c r="AP232" i="2"/>
  <c r="AW281" i="2"/>
  <c r="AP279" i="2"/>
  <c r="AP231" i="2"/>
  <c r="AN232" i="2"/>
  <c r="AW297" i="2"/>
  <c r="AW263" i="2"/>
  <c r="AW229" i="2"/>
  <c r="AS299" i="2"/>
  <c r="AS251" i="2"/>
  <c r="AR235" i="2"/>
  <c r="AW278" i="2"/>
  <c r="AW261" i="2"/>
  <c r="AW244" i="2"/>
  <c r="AW227" i="2"/>
  <c r="AS292" i="2"/>
  <c r="AS247" i="2"/>
  <c r="AR300" i="2"/>
  <c r="AR266" i="2"/>
  <c r="AR228" i="2"/>
  <c r="AN292" i="2"/>
  <c r="AN229" i="2"/>
  <c r="AW293" i="2"/>
  <c r="AW259" i="2"/>
  <c r="AW242" i="2"/>
  <c r="AW225" i="2"/>
  <c r="AS283" i="2"/>
  <c r="AS245" i="2"/>
  <c r="AR295" i="2"/>
  <c r="AR263" i="2"/>
  <c r="AR226" i="2"/>
  <c r="AP226" i="2"/>
  <c r="AN226" i="2"/>
  <c r="AM274" i="2"/>
  <c r="BC274" i="2" s="1"/>
  <c r="AM229" i="2"/>
  <c r="BC229" i="2" s="1"/>
  <c r="AK248" i="2"/>
  <c r="AK229" i="2"/>
  <c r="AU270" i="2"/>
  <c r="AU253" i="2"/>
  <c r="AU285" i="2"/>
  <c r="AU252" i="2"/>
  <c r="AU247" i="2"/>
  <c r="AU246" i="2"/>
  <c r="AU244" i="2"/>
  <c r="AI251" i="2"/>
  <c r="AU254" i="2"/>
  <c r="AU286" i="2"/>
  <c r="AU269" i="2"/>
  <c r="AU268" i="2"/>
  <c r="AU250" i="2"/>
  <c r="AI222" i="2"/>
  <c r="AU263" i="2"/>
  <c r="AN285" i="2"/>
  <c r="AN289" i="2"/>
  <c r="AR289" i="2"/>
  <c r="AN273" i="2"/>
  <c r="AR273" i="2"/>
  <c r="AM273" i="2"/>
  <c r="BC273" i="2" s="1"/>
  <c r="AN257" i="2"/>
  <c r="AS257" i="2"/>
  <c r="AN225" i="2"/>
  <c r="AS225" i="2"/>
  <c r="AN288" i="2"/>
  <c r="AM288" i="2"/>
  <c r="BC288" i="2" s="1"/>
  <c r="AR288" i="2"/>
  <c r="AN272" i="2"/>
  <c r="AR272" i="2"/>
  <c r="AN256" i="2"/>
  <c r="AR256" i="2"/>
  <c r="AM256" i="2"/>
  <c r="BC256" i="2" s="1"/>
  <c r="AN240" i="2"/>
  <c r="AS240" i="2"/>
  <c r="AS224" i="2"/>
  <c r="AR224" i="2"/>
  <c r="AM225" i="2"/>
  <c r="BC225" i="2" s="1"/>
  <c r="AN271" i="2"/>
  <c r="AR271" i="2"/>
  <c r="AN255" i="2"/>
  <c r="AR255" i="2"/>
  <c r="AM255" i="2"/>
  <c r="BC255" i="2" s="1"/>
  <c r="AS239" i="2"/>
  <c r="AN239" i="2"/>
  <c r="AN223" i="2"/>
  <c r="AS223" i="2"/>
  <c r="AR223" i="2"/>
  <c r="AM224" i="2"/>
  <c r="BC224" i="2" s="1"/>
  <c r="AR286" i="2"/>
  <c r="AM286" i="2"/>
  <c r="BC286" i="2" s="1"/>
  <c r="AS286" i="2"/>
  <c r="AM270" i="2"/>
  <c r="BC270" i="2" s="1"/>
  <c r="AN270" i="2"/>
  <c r="AR270" i="2"/>
  <c r="AN254" i="2"/>
  <c r="AR254" i="2"/>
  <c r="AN238" i="2"/>
  <c r="AR238" i="2"/>
  <c r="AM238" i="2"/>
  <c r="BC238" i="2" s="1"/>
  <c r="AN222" i="2"/>
  <c r="AS222" i="2"/>
  <c r="AR225" i="2"/>
  <c r="AM257" i="2"/>
  <c r="BC257" i="2" s="1"/>
  <c r="AM223" i="2"/>
  <c r="BC223" i="2" s="1"/>
  <c r="AR282" i="2"/>
  <c r="AS282" i="2"/>
  <c r="AM282" i="2"/>
  <c r="BC282" i="2" s="1"/>
  <c r="AN282" i="2"/>
  <c r="AS250" i="2"/>
  <c r="AR250" i="2"/>
  <c r="AM250" i="2"/>
  <c r="BC250" i="2" s="1"/>
  <c r="AN234" i="2"/>
  <c r="AR234" i="2"/>
  <c r="AN218" i="2"/>
  <c r="AR218" i="2"/>
  <c r="AM218" i="2"/>
  <c r="BC218" i="2" s="1"/>
  <c r="AS289" i="2"/>
  <c r="AS255" i="2"/>
  <c r="AS297" i="2"/>
  <c r="AR297" i="2"/>
  <c r="AM281" i="2"/>
  <c r="BC281" i="2" s="1"/>
  <c r="AS281" i="2"/>
  <c r="AN281" i="2"/>
  <c r="AR265" i="2"/>
  <c r="AM265" i="2"/>
  <c r="BC265" i="2" s="1"/>
  <c r="AM249" i="2"/>
  <c r="BC249" i="2" s="1"/>
  <c r="AS249" i="2"/>
  <c r="AS233" i="2"/>
  <c r="AM233" i="2"/>
  <c r="BC233" i="2" s="1"/>
  <c r="AR233" i="2"/>
  <c r="AS288" i="2"/>
  <c r="AS254" i="2"/>
  <c r="AR269" i="2"/>
  <c r="AM269" i="2"/>
  <c r="BC269" i="2" s="1"/>
  <c r="AS269" i="2"/>
  <c r="AM253" i="2"/>
  <c r="BC253" i="2" s="1"/>
  <c r="AN253" i="2"/>
  <c r="AR253" i="2"/>
  <c r="AR237" i="2"/>
  <c r="AN237" i="2"/>
  <c r="AM237" i="2"/>
  <c r="BC237" i="2" s="1"/>
  <c r="AN221" i="2"/>
  <c r="AS221" i="2"/>
  <c r="AR285" i="2"/>
  <c r="AR257" i="2"/>
  <c r="AR222" i="2"/>
  <c r="AM289" i="2"/>
  <c r="BC289" i="2" s="1"/>
  <c r="AM254" i="2"/>
  <c r="BC254" i="2" s="1"/>
  <c r="AM222" i="2"/>
  <c r="BC222" i="2" s="1"/>
  <c r="AR221" i="2"/>
  <c r="AN286" i="2"/>
  <c r="AM221" i="2"/>
  <c r="BC221" i="2" s="1"/>
  <c r="AS285" i="2"/>
  <c r="AS253" i="2"/>
  <c r="AN224" i="2"/>
  <c r="AN241" i="2"/>
  <c r="AS241" i="2"/>
  <c r="AR241" i="2"/>
  <c r="AM241" i="2"/>
  <c r="BC241" i="2" s="1"/>
  <c r="AM287" i="2"/>
  <c r="BC287" i="2" s="1"/>
  <c r="AR287" i="2"/>
  <c r="AS287" i="2"/>
  <c r="AR240" i="2"/>
  <c r="AM272" i="2"/>
  <c r="BC272" i="2" s="1"/>
  <c r="AM240" i="2"/>
  <c r="BC240" i="2" s="1"/>
  <c r="AS273" i="2"/>
  <c r="AN269" i="2"/>
  <c r="AC285" i="2"/>
  <c r="AJ285" i="2" s="1"/>
  <c r="AC270" i="2"/>
  <c r="AJ270" i="2" s="1"/>
  <c r="AC238" i="2"/>
  <c r="AJ238" i="2" s="1"/>
  <c r="AN300" i="2"/>
  <c r="AN264" i="2"/>
  <c r="AM220" i="2"/>
  <c r="BC220" i="2" s="1"/>
  <c r="AC269" i="2"/>
  <c r="AJ269" i="2" s="1"/>
  <c r="AS232" i="2"/>
  <c r="AW286" i="2"/>
  <c r="AW254" i="2"/>
  <c r="AW222" i="2"/>
  <c r="AS268" i="2"/>
  <c r="AS231" i="2"/>
  <c r="AR296" i="2"/>
  <c r="AR259" i="2"/>
  <c r="AN299" i="2"/>
  <c r="AN263" i="2"/>
  <c r="AN245" i="2"/>
  <c r="AN227" i="2"/>
  <c r="AM291" i="2"/>
  <c r="BC291" i="2" s="1"/>
  <c r="AC234" i="2"/>
  <c r="AJ234" i="2" s="1"/>
  <c r="AR236" i="2"/>
  <c r="AN294" i="2"/>
  <c r="AM231" i="2"/>
  <c r="BC231" i="2" s="1"/>
  <c r="AS261" i="2"/>
  <c r="AN293" i="2"/>
  <c r="AM284" i="2"/>
  <c r="BC284" i="2" s="1"/>
  <c r="AM248" i="2"/>
  <c r="BC248" i="2" s="1"/>
  <c r="AS296" i="2"/>
  <c r="AR252" i="2"/>
  <c r="AN236" i="2"/>
  <c r="AS295" i="2"/>
  <c r="AM264" i="2"/>
  <c r="BC264" i="2" s="1"/>
  <c r="AS263" i="2"/>
  <c r="AM268" i="2"/>
  <c r="BC268" i="2" s="1"/>
  <c r="AM232" i="2"/>
  <c r="BC232" i="2" s="1"/>
  <c r="AS290" i="2"/>
  <c r="AN290" i="2"/>
  <c r="AM226" i="2"/>
  <c r="BC226" i="2" s="1"/>
  <c r="AC263" i="2"/>
  <c r="AJ263" i="2" s="1"/>
  <c r="AC279" i="2"/>
  <c r="AJ279" i="2" s="1"/>
  <c r="V292" i="8" l="1"/>
  <c r="V246" i="8"/>
  <c r="V231" i="8"/>
  <c r="V245" i="8"/>
  <c r="X245" i="8" s="1"/>
  <c r="AA245" i="8" s="1"/>
  <c r="AD245" i="8" s="1"/>
  <c r="V228" i="8"/>
  <c r="AG228" i="8" s="1"/>
  <c r="V294" i="8"/>
  <c r="Y294" i="8" s="1"/>
  <c r="AB294" i="8" s="1"/>
  <c r="AE294" i="8" s="1"/>
  <c r="V256" i="8"/>
  <c r="Z256" i="8" s="1"/>
  <c r="AC256" i="8" s="1"/>
  <c r="AF256" i="8" s="1"/>
  <c r="V229" i="8"/>
  <c r="Y229" i="8" s="1"/>
  <c r="AB229" i="8" s="1"/>
  <c r="AE229" i="8" s="1"/>
  <c r="V260" i="8"/>
  <c r="X260" i="8" s="1"/>
  <c r="AA260" i="8" s="1"/>
  <c r="AD260" i="8" s="1"/>
  <c r="Z238" i="8"/>
  <c r="AC238" i="8" s="1"/>
  <c r="AF238" i="8" s="1"/>
  <c r="V244" i="8"/>
  <c r="Z244" i="8" s="1"/>
  <c r="AC244" i="8" s="1"/>
  <c r="AF244" i="8" s="1"/>
  <c r="Z253" i="8"/>
  <c r="AC253" i="8" s="1"/>
  <c r="AF253" i="8" s="1"/>
  <c r="V247" i="8"/>
  <c r="Y247" i="8" s="1"/>
  <c r="AB247" i="8" s="1"/>
  <c r="AE247" i="8" s="1"/>
  <c r="V275" i="8"/>
  <c r="X272" i="8"/>
  <c r="AA272" i="8" s="1"/>
  <c r="AD272" i="8" s="1"/>
  <c r="AG253" i="8"/>
  <c r="Y261" i="8"/>
  <c r="AB261" i="8" s="1"/>
  <c r="AE261" i="8" s="1"/>
  <c r="X253" i="8"/>
  <c r="AA253" i="8" s="1"/>
  <c r="AD253" i="8" s="1"/>
  <c r="Z299" i="8"/>
  <c r="AC299" i="8" s="1"/>
  <c r="AF299" i="8" s="1"/>
  <c r="C485" i="8"/>
  <c r="D484" i="8"/>
  <c r="V301" i="8"/>
  <c r="Y301" i="8" s="1"/>
  <c r="AB301" i="8" s="1"/>
  <c r="AE301" i="8" s="1"/>
  <c r="AG283" i="8"/>
  <c r="V241" i="8"/>
  <c r="Z241" i="8" s="1"/>
  <c r="AC241" i="8" s="1"/>
  <c r="AF241" i="8" s="1"/>
  <c r="AG261" i="8"/>
  <c r="Z261" i="8"/>
  <c r="AC261" i="8" s="1"/>
  <c r="AF261" i="8" s="1"/>
  <c r="V237" i="8"/>
  <c r="Z237" i="8" s="1"/>
  <c r="AC237" i="8" s="1"/>
  <c r="AF237" i="8" s="1"/>
  <c r="AG285" i="8"/>
  <c r="Z285" i="8"/>
  <c r="AC285" i="8" s="1"/>
  <c r="AF285" i="8" s="1"/>
  <c r="X285" i="8"/>
  <c r="AA285" i="8" s="1"/>
  <c r="AD285" i="8" s="1"/>
  <c r="Y285" i="8"/>
  <c r="AB285" i="8" s="1"/>
  <c r="AE285" i="8" s="1"/>
  <c r="AG276" i="8"/>
  <c r="Y276" i="8"/>
  <c r="AB276" i="8" s="1"/>
  <c r="AE276" i="8" s="1"/>
  <c r="X276" i="8"/>
  <c r="AA276" i="8" s="1"/>
  <c r="AD276" i="8" s="1"/>
  <c r="Z252" i="8"/>
  <c r="AC252" i="8" s="1"/>
  <c r="AF252" i="8" s="1"/>
  <c r="X290" i="8"/>
  <c r="AA290" i="8" s="1"/>
  <c r="AD290" i="8" s="1"/>
  <c r="AG252" i="8"/>
  <c r="AG290" i="8"/>
  <c r="X233" i="8"/>
  <c r="AA233" i="8" s="1"/>
  <c r="AD233" i="8" s="1"/>
  <c r="X252" i="8"/>
  <c r="AA252" i="8" s="1"/>
  <c r="AD252" i="8" s="1"/>
  <c r="Z290" i="8"/>
  <c r="AC290" i="8" s="1"/>
  <c r="AF290" i="8" s="1"/>
  <c r="AG268" i="8"/>
  <c r="V293" i="8"/>
  <c r="Z269" i="8"/>
  <c r="AC269" i="8" s="1"/>
  <c r="AF269" i="8" s="1"/>
  <c r="AG269" i="8"/>
  <c r="Y269" i="8"/>
  <c r="AB269" i="8" s="1"/>
  <c r="AE269" i="8" s="1"/>
  <c r="V254" i="8"/>
  <c r="X254" i="8" s="1"/>
  <c r="AA254" i="8" s="1"/>
  <c r="AD254" i="8" s="1"/>
  <c r="Z262" i="8"/>
  <c r="AC262" i="8" s="1"/>
  <c r="AF262" i="8" s="1"/>
  <c r="X262" i="8"/>
  <c r="AA262" i="8" s="1"/>
  <c r="AD262" i="8" s="1"/>
  <c r="V286" i="8"/>
  <c r="Y286" i="8" s="1"/>
  <c r="AB286" i="8" s="1"/>
  <c r="AE286" i="8" s="1"/>
  <c r="Z276" i="8"/>
  <c r="AC276" i="8" s="1"/>
  <c r="AF276" i="8" s="1"/>
  <c r="V295" i="8"/>
  <c r="Z295" i="8" s="1"/>
  <c r="AC295" i="8" s="1"/>
  <c r="AF295" i="8" s="1"/>
  <c r="AG277" i="8"/>
  <c r="Z251" i="8"/>
  <c r="AC251" i="8" s="1"/>
  <c r="AF251" i="8" s="1"/>
  <c r="Y277" i="8"/>
  <c r="AB277" i="8" s="1"/>
  <c r="AE277" i="8" s="1"/>
  <c r="Z277" i="8"/>
  <c r="AC277" i="8" s="1"/>
  <c r="AF277" i="8" s="1"/>
  <c r="X251" i="8"/>
  <c r="AA251" i="8" s="1"/>
  <c r="AD251" i="8" s="1"/>
  <c r="AG251" i="8"/>
  <c r="X278" i="8"/>
  <c r="AA278" i="8" s="1"/>
  <c r="AD278" i="8" s="1"/>
  <c r="AG262" i="8"/>
  <c r="Y245" i="8"/>
  <c r="AB245" i="8" s="1"/>
  <c r="AE245" i="8" s="1"/>
  <c r="Z281" i="8"/>
  <c r="AC281" i="8" s="1"/>
  <c r="AF281" i="8" s="1"/>
  <c r="X281" i="8"/>
  <c r="AA281" i="8" s="1"/>
  <c r="AD281" i="8" s="1"/>
  <c r="AG281" i="8"/>
  <c r="Y281" i="8"/>
  <c r="AB281" i="8" s="1"/>
  <c r="AE281" i="8" s="1"/>
  <c r="Y279" i="8"/>
  <c r="AB279" i="8" s="1"/>
  <c r="AE279" i="8" s="1"/>
  <c r="X279" i="8"/>
  <c r="AA279" i="8" s="1"/>
  <c r="AD279" i="8" s="1"/>
  <c r="Z279" i="8"/>
  <c r="AC279" i="8" s="1"/>
  <c r="AF279" i="8" s="1"/>
  <c r="AG279" i="8"/>
  <c r="Z258" i="8"/>
  <c r="AC258" i="8" s="1"/>
  <c r="AF258" i="8" s="1"/>
  <c r="AG258" i="8"/>
  <c r="X258" i="8"/>
  <c r="AA258" i="8" s="1"/>
  <c r="AD258" i="8" s="1"/>
  <c r="Y258" i="8"/>
  <c r="AB258" i="8" s="1"/>
  <c r="AE258" i="8" s="1"/>
  <c r="Z236" i="8"/>
  <c r="AC236" i="8" s="1"/>
  <c r="AF236" i="8" s="1"/>
  <c r="Y236" i="8"/>
  <c r="AB236" i="8" s="1"/>
  <c r="AE236" i="8" s="1"/>
  <c r="X269" i="8"/>
  <c r="AA269" i="8" s="1"/>
  <c r="AD269" i="8" s="1"/>
  <c r="AG291" i="8"/>
  <c r="Z291" i="8"/>
  <c r="AC291" i="8" s="1"/>
  <c r="AF291" i="8" s="1"/>
  <c r="Z283" i="8"/>
  <c r="AC283" i="8" s="1"/>
  <c r="AF283" i="8" s="1"/>
  <c r="X283" i="8"/>
  <c r="AA283" i="8" s="1"/>
  <c r="AD283" i="8" s="1"/>
  <c r="V243" i="8"/>
  <c r="AG243" i="8" s="1"/>
  <c r="AG299" i="8"/>
  <c r="Z270" i="8"/>
  <c r="AC270" i="8" s="1"/>
  <c r="AF270" i="8" s="1"/>
  <c r="AG236" i="8"/>
  <c r="AG297" i="8"/>
  <c r="AG270" i="8"/>
  <c r="AG278" i="8"/>
  <c r="Y278" i="8"/>
  <c r="AB278" i="8" s="1"/>
  <c r="AE278" i="8" s="1"/>
  <c r="Z267" i="8"/>
  <c r="AC267" i="8" s="1"/>
  <c r="AF267" i="8" s="1"/>
  <c r="Y233" i="8"/>
  <c r="AB233" i="8" s="1"/>
  <c r="AE233" i="8" s="1"/>
  <c r="X236" i="8"/>
  <c r="AA236" i="8" s="1"/>
  <c r="AD236" i="8" s="1"/>
  <c r="Z297" i="8"/>
  <c r="AC297" i="8" s="1"/>
  <c r="AF297" i="8" s="1"/>
  <c r="X270" i="8"/>
  <c r="AA270" i="8" s="1"/>
  <c r="AD270" i="8" s="1"/>
  <c r="Z234" i="8"/>
  <c r="AC234" i="8" s="1"/>
  <c r="AF234" i="8" s="1"/>
  <c r="X234" i="8"/>
  <c r="AA234" i="8" s="1"/>
  <c r="AD234" i="8" s="1"/>
  <c r="AG267" i="8"/>
  <c r="Y299" i="8"/>
  <c r="AB299" i="8" s="1"/>
  <c r="AE299" i="8" s="1"/>
  <c r="AG234" i="8"/>
  <c r="X268" i="8"/>
  <c r="AA268" i="8" s="1"/>
  <c r="AD268" i="8" s="1"/>
  <c r="Z272" i="8"/>
  <c r="AC272" i="8" s="1"/>
  <c r="AF272" i="8" s="1"/>
  <c r="X242" i="8"/>
  <c r="AA242" i="8" s="1"/>
  <c r="AD242" i="8" s="1"/>
  <c r="X297" i="8"/>
  <c r="AA297" i="8" s="1"/>
  <c r="AD297" i="8" s="1"/>
  <c r="X284" i="8"/>
  <c r="AA284" i="8" s="1"/>
  <c r="AD284" i="8" s="1"/>
  <c r="Z284" i="8"/>
  <c r="AC284" i="8" s="1"/>
  <c r="AF284" i="8" s="1"/>
  <c r="AG233" i="8"/>
  <c r="Y291" i="8"/>
  <c r="AB291" i="8" s="1"/>
  <c r="AE291" i="8" s="1"/>
  <c r="Y267" i="8"/>
  <c r="AB267" i="8" s="1"/>
  <c r="AE267" i="8" s="1"/>
  <c r="Y242" i="8"/>
  <c r="AB242" i="8" s="1"/>
  <c r="AE242" i="8" s="1"/>
  <c r="Z268" i="8"/>
  <c r="AC268" i="8" s="1"/>
  <c r="AF268" i="8" s="1"/>
  <c r="Y272" i="8"/>
  <c r="AB272" i="8" s="1"/>
  <c r="AE272" i="8" s="1"/>
  <c r="AG284" i="8"/>
  <c r="Z242" i="8"/>
  <c r="AC242" i="8" s="1"/>
  <c r="AF242" i="8" s="1"/>
  <c r="X296" i="8"/>
  <c r="AA296" i="8" s="1"/>
  <c r="AD296" i="8" s="1"/>
  <c r="Y296" i="8"/>
  <c r="AB296" i="8" s="1"/>
  <c r="AE296" i="8" s="1"/>
  <c r="Z296" i="8"/>
  <c r="AC296" i="8" s="1"/>
  <c r="AF296" i="8" s="1"/>
  <c r="AG296" i="8"/>
  <c r="Y264" i="8"/>
  <c r="AB264" i="8" s="1"/>
  <c r="AE264" i="8" s="1"/>
  <c r="X264" i="8"/>
  <c r="AA264" i="8" s="1"/>
  <c r="AD264" i="8" s="1"/>
  <c r="Z264" i="8"/>
  <c r="AC264" i="8" s="1"/>
  <c r="AF264" i="8" s="1"/>
  <c r="AG264" i="8"/>
  <c r="Y246" i="8"/>
  <c r="AB246" i="8" s="1"/>
  <c r="AE246" i="8" s="1"/>
  <c r="X246" i="8"/>
  <c r="AA246" i="8" s="1"/>
  <c r="AD246" i="8" s="1"/>
  <c r="AG246" i="8"/>
  <c r="Z246" i="8"/>
  <c r="AC246" i="8" s="1"/>
  <c r="AF246" i="8" s="1"/>
  <c r="X259" i="8"/>
  <c r="AA259" i="8" s="1"/>
  <c r="AD259" i="8" s="1"/>
  <c r="Z259" i="8"/>
  <c r="AC259" i="8" s="1"/>
  <c r="AF259" i="8" s="1"/>
  <c r="AG259" i="8"/>
  <c r="Y259" i="8"/>
  <c r="AB259" i="8" s="1"/>
  <c r="AE259" i="8" s="1"/>
  <c r="Y265" i="8"/>
  <c r="AB265" i="8" s="1"/>
  <c r="AE265" i="8" s="1"/>
  <c r="X265" i="8"/>
  <c r="AA265" i="8" s="1"/>
  <c r="AD265" i="8" s="1"/>
  <c r="Z265" i="8"/>
  <c r="AC265" i="8" s="1"/>
  <c r="AF265" i="8" s="1"/>
  <c r="AG265" i="8"/>
  <c r="V289" i="8"/>
  <c r="Z287" i="8"/>
  <c r="AC287" i="8" s="1"/>
  <c r="AF287" i="8" s="1"/>
  <c r="X287" i="8"/>
  <c r="AA287" i="8" s="1"/>
  <c r="AD287" i="8" s="1"/>
  <c r="AG287" i="8"/>
  <c r="Y287" i="8"/>
  <c r="AB287" i="8" s="1"/>
  <c r="AE287" i="8" s="1"/>
  <c r="Z294" i="8"/>
  <c r="AC294" i="8" s="1"/>
  <c r="AF294" i="8" s="1"/>
  <c r="Y240" i="8"/>
  <c r="AB240" i="8" s="1"/>
  <c r="AE240" i="8" s="1"/>
  <c r="X240" i="8"/>
  <c r="AA240" i="8" s="1"/>
  <c r="AD240" i="8" s="1"/>
  <c r="AG240" i="8"/>
  <c r="Z240" i="8"/>
  <c r="AC240" i="8" s="1"/>
  <c r="AF240" i="8" s="1"/>
  <c r="Z239" i="8"/>
  <c r="AC239" i="8" s="1"/>
  <c r="AF239" i="8" s="1"/>
  <c r="X239" i="8"/>
  <c r="AA239" i="8" s="1"/>
  <c r="AD239" i="8" s="1"/>
  <c r="AG239" i="8"/>
  <c r="Y239" i="8"/>
  <c r="AB239" i="8" s="1"/>
  <c r="AE239" i="8" s="1"/>
  <c r="Y231" i="8"/>
  <c r="AB231" i="8" s="1"/>
  <c r="AE231" i="8" s="1"/>
  <c r="AG231" i="8"/>
  <c r="X231" i="8"/>
  <c r="AA231" i="8" s="1"/>
  <c r="AD231" i="8" s="1"/>
  <c r="Z231" i="8"/>
  <c r="AC231" i="8" s="1"/>
  <c r="AF231" i="8" s="1"/>
  <c r="Y263" i="8"/>
  <c r="AB263" i="8" s="1"/>
  <c r="AE263" i="8" s="1"/>
  <c r="X263" i="8"/>
  <c r="AA263" i="8" s="1"/>
  <c r="AD263" i="8" s="1"/>
  <c r="Z263" i="8"/>
  <c r="AC263" i="8" s="1"/>
  <c r="AF263" i="8" s="1"/>
  <c r="AG263" i="8"/>
  <c r="Y248" i="8"/>
  <c r="AB248" i="8" s="1"/>
  <c r="AE248" i="8" s="1"/>
  <c r="AG248" i="8"/>
  <c r="Z248" i="8"/>
  <c r="AC248" i="8" s="1"/>
  <c r="AF248" i="8" s="1"/>
  <c r="X248" i="8"/>
  <c r="AA248" i="8" s="1"/>
  <c r="AD248" i="8" s="1"/>
  <c r="Y266" i="8"/>
  <c r="AB266" i="8" s="1"/>
  <c r="AE266" i="8" s="1"/>
  <c r="X266" i="8"/>
  <c r="AA266" i="8" s="1"/>
  <c r="AD266" i="8" s="1"/>
  <c r="Z266" i="8"/>
  <c r="AC266" i="8" s="1"/>
  <c r="AF266" i="8" s="1"/>
  <c r="AG266" i="8"/>
  <c r="Y249" i="8"/>
  <c r="AB249" i="8" s="1"/>
  <c r="AE249" i="8" s="1"/>
  <c r="AG249" i="8"/>
  <c r="X249" i="8"/>
  <c r="AA249" i="8" s="1"/>
  <c r="AD249" i="8" s="1"/>
  <c r="Z249" i="8"/>
  <c r="AC249" i="8" s="1"/>
  <c r="AF249" i="8" s="1"/>
  <c r="Y257" i="8"/>
  <c r="AB257" i="8" s="1"/>
  <c r="AE257" i="8" s="1"/>
  <c r="AG257" i="8"/>
  <c r="X257" i="8"/>
  <c r="AA257" i="8" s="1"/>
  <c r="AD257" i="8" s="1"/>
  <c r="Z257" i="8"/>
  <c r="AC257" i="8" s="1"/>
  <c r="AF257" i="8" s="1"/>
  <c r="X288" i="8"/>
  <c r="AA288" i="8" s="1"/>
  <c r="AD288" i="8" s="1"/>
  <c r="Z288" i="8"/>
  <c r="AC288" i="8" s="1"/>
  <c r="AF288" i="8" s="1"/>
  <c r="AG288" i="8"/>
  <c r="Y288" i="8"/>
  <c r="AB288" i="8" s="1"/>
  <c r="AE288" i="8" s="1"/>
  <c r="AG300" i="8"/>
  <c r="Y300" i="8"/>
  <c r="AB300" i="8" s="1"/>
  <c r="AE300" i="8" s="1"/>
  <c r="X300" i="8"/>
  <c r="AA300" i="8" s="1"/>
  <c r="AD300" i="8" s="1"/>
  <c r="Z300" i="8"/>
  <c r="AC300" i="8" s="1"/>
  <c r="AF300" i="8" s="1"/>
  <c r="Y282" i="8"/>
  <c r="AB282" i="8" s="1"/>
  <c r="AE282" i="8" s="1"/>
  <c r="Z282" i="8"/>
  <c r="AC282" i="8" s="1"/>
  <c r="AF282" i="8" s="1"/>
  <c r="AG282" i="8"/>
  <c r="X282" i="8"/>
  <c r="AA282" i="8" s="1"/>
  <c r="AD282" i="8" s="1"/>
  <c r="Z271" i="8"/>
  <c r="AC271" i="8" s="1"/>
  <c r="AF271" i="8" s="1"/>
  <c r="X271" i="8"/>
  <c r="AA271" i="8" s="1"/>
  <c r="AD271" i="8" s="1"/>
  <c r="AG271" i="8"/>
  <c r="Y271" i="8"/>
  <c r="AB271" i="8" s="1"/>
  <c r="AE271" i="8" s="1"/>
  <c r="Z255" i="8"/>
  <c r="AC255" i="8" s="1"/>
  <c r="AF255" i="8" s="1"/>
  <c r="X255" i="8"/>
  <c r="AA255" i="8" s="1"/>
  <c r="AD255" i="8" s="1"/>
  <c r="Y255" i="8"/>
  <c r="AB255" i="8" s="1"/>
  <c r="AE255" i="8" s="1"/>
  <c r="AG255" i="8"/>
  <c r="V232" i="8"/>
  <c r="Y280" i="8"/>
  <c r="AB280" i="8" s="1"/>
  <c r="AE280" i="8" s="1"/>
  <c r="X280" i="8"/>
  <c r="AA280" i="8" s="1"/>
  <c r="AD280" i="8" s="1"/>
  <c r="Z280" i="8"/>
  <c r="AC280" i="8" s="1"/>
  <c r="AF280" i="8" s="1"/>
  <c r="AG280" i="8"/>
  <c r="X235" i="8"/>
  <c r="AA235" i="8" s="1"/>
  <c r="AD235" i="8" s="1"/>
  <c r="AG235" i="8"/>
  <c r="Y235" i="8"/>
  <c r="AB235" i="8" s="1"/>
  <c r="AE235" i="8" s="1"/>
  <c r="Z235" i="8"/>
  <c r="AC235" i="8" s="1"/>
  <c r="AF235" i="8" s="1"/>
  <c r="Y274" i="8"/>
  <c r="AB274" i="8" s="1"/>
  <c r="AE274" i="8" s="1"/>
  <c r="X274" i="8"/>
  <c r="AA274" i="8" s="1"/>
  <c r="AD274" i="8" s="1"/>
  <c r="Z274" i="8"/>
  <c r="AC274" i="8" s="1"/>
  <c r="AF274" i="8" s="1"/>
  <c r="AG274" i="8"/>
  <c r="Y250" i="8"/>
  <c r="AB250" i="8" s="1"/>
  <c r="AE250" i="8" s="1"/>
  <c r="AG250" i="8"/>
  <c r="X250" i="8"/>
  <c r="AA250" i="8" s="1"/>
  <c r="AD250" i="8" s="1"/>
  <c r="Z250" i="8"/>
  <c r="AC250" i="8" s="1"/>
  <c r="AF250" i="8" s="1"/>
  <c r="Z292" i="8"/>
  <c r="AC292" i="8" s="1"/>
  <c r="AF292" i="8" s="1"/>
  <c r="Y292" i="8"/>
  <c r="AB292" i="8" s="1"/>
  <c r="AE292" i="8" s="1"/>
  <c r="AG292" i="8"/>
  <c r="X292" i="8"/>
  <c r="AA292" i="8" s="1"/>
  <c r="AD292" i="8" s="1"/>
  <c r="Y298" i="8"/>
  <c r="AB298" i="8" s="1"/>
  <c r="AE298" i="8" s="1"/>
  <c r="Z298" i="8"/>
  <c r="AC298" i="8" s="1"/>
  <c r="AF298" i="8" s="1"/>
  <c r="X298" i="8"/>
  <c r="AA298" i="8" s="1"/>
  <c r="AD298" i="8" s="1"/>
  <c r="AG298" i="8"/>
  <c r="AG273" i="8"/>
  <c r="X273" i="8"/>
  <c r="AA273" i="8" s="1"/>
  <c r="AD273" i="8" s="1"/>
  <c r="Y273" i="8"/>
  <c r="AB273" i="8" s="1"/>
  <c r="AE273" i="8" s="1"/>
  <c r="Z273" i="8"/>
  <c r="AC273" i="8" s="1"/>
  <c r="AF273" i="8" s="1"/>
  <c r="Y230" i="8"/>
  <c r="AB230" i="8" s="1"/>
  <c r="AE230" i="8" s="1"/>
  <c r="Z230" i="8"/>
  <c r="AC230" i="8" s="1"/>
  <c r="AF230" i="8" s="1"/>
  <c r="X230" i="8"/>
  <c r="AA230" i="8" s="1"/>
  <c r="AD230" i="8" s="1"/>
  <c r="AG230" i="8"/>
  <c r="Y228" i="8" l="1"/>
  <c r="AB228" i="8" s="1"/>
  <c r="AE228" i="8" s="1"/>
  <c r="AG256" i="8"/>
  <c r="Z245" i="8"/>
  <c r="AC245" i="8" s="1"/>
  <c r="AF245" i="8" s="1"/>
  <c r="AG245" i="8"/>
  <c r="Y256" i="8"/>
  <c r="AB256" i="8" s="1"/>
  <c r="AE256" i="8" s="1"/>
  <c r="X256" i="8"/>
  <c r="AA256" i="8" s="1"/>
  <c r="AD256" i="8" s="1"/>
  <c r="Z247" i="8"/>
  <c r="AC247" i="8" s="1"/>
  <c r="AF247" i="8" s="1"/>
  <c r="X229" i="8"/>
  <c r="AA229" i="8" s="1"/>
  <c r="AD229" i="8" s="1"/>
  <c r="AG294" i="8"/>
  <c r="X294" i="8"/>
  <c r="AA294" i="8" s="1"/>
  <c r="AD294" i="8" s="1"/>
  <c r="Z229" i="8"/>
  <c r="AC229" i="8" s="1"/>
  <c r="AF229" i="8" s="1"/>
  <c r="Y260" i="8"/>
  <c r="AB260" i="8" s="1"/>
  <c r="AE260" i="8" s="1"/>
  <c r="AG229" i="8"/>
  <c r="AG260" i="8"/>
  <c r="AG254" i="8"/>
  <c r="Z260" i="8"/>
  <c r="AC260" i="8" s="1"/>
  <c r="AF260" i="8" s="1"/>
  <c r="X228" i="8"/>
  <c r="AA228" i="8" s="1"/>
  <c r="AD228" i="8" s="1"/>
  <c r="Z228" i="8"/>
  <c r="AC228" i="8" s="1"/>
  <c r="AF228" i="8" s="1"/>
  <c r="X247" i="8"/>
  <c r="AA247" i="8" s="1"/>
  <c r="AD247" i="8" s="1"/>
  <c r="X237" i="8"/>
  <c r="AA237" i="8" s="1"/>
  <c r="AD237" i="8" s="1"/>
  <c r="AG247" i="8"/>
  <c r="Y295" i="8"/>
  <c r="AB295" i="8" s="1"/>
  <c r="AE295" i="8" s="1"/>
  <c r="Z301" i="8"/>
  <c r="AC301" i="8" s="1"/>
  <c r="AF301" i="8" s="1"/>
  <c r="X301" i="8"/>
  <c r="AA301" i="8" s="1"/>
  <c r="AD301" i="8" s="1"/>
  <c r="AG301" i="8"/>
  <c r="AG237" i="8"/>
  <c r="Y237" i="8"/>
  <c r="AB237" i="8" s="1"/>
  <c r="AE237" i="8" s="1"/>
  <c r="AG244" i="8"/>
  <c r="Y244" i="8"/>
  <c r="AB244" i="8" s="1"/>
  <c r="AE244" i="8" s="1"/>
  <c r="X244" i="8"/>
  <c r="AA244" i="8" s="1"/>
  <c r="AD244" i="8" s="1"/>
  <c r="AG241" i="8"/>
  <c r="Y241" i="8"/>
  <c r="AB241" i="8" s="1"/>
  <c r="AE241" i="8" s="1"/>
  <c r="X241" i="8"/>
  <c r="AA241" i="8" s="1"/>
  <c r="AD241" i="8" s="1"/>
  <c r="AG275" i="8"/>
  <c r="Y275" i="8"/>
  <c r="AB275" i="8" s="1"/>
  <c r="AE275" i="8" s="1"/>
  <c r="Z275" i="8"/>
  <c r="AC275" i="8" s="1"/>
  <c r="AF275" i="8" s="1"/>
  <c r="X275" i="8"/>
  <c r="AA275" i="8" s="1"/>
  <c r="AD275" i="8" s="1"/>
  <c r="D485" i="8"/>
  <c r="C486" i="8"/>
  <c r="X295" i="8"/>
  <c r="AA295" i="8" s="1"/>
  <c r="AD295" i="8" s="1"/>
  <c r="AG295" i="8"/>
  <c r="Z243" i="8"/>
  <c r="AC243" i="8" s="1"/>
  <c r="AF243" i="8" s="1"/>
  <c r="Y293" i="8"/>
  <c r="AB293" i="8" s="1"/>
  <c r="AE293" i="8" s="1"/>
  <c r="AG293" i="8"/>
  <c r="Z293" i="8"/>
  <c r="AC293" i="8" s="1"/>
  <c r="AF293" i="8" s="1"/>
  <c r="X293" i="8"/>
  <c r="AA293" i="8" s="1"/>
  <c r="AD293" i="8" s="1"/>
  <c r="AG286" i="8"/>
  <c r="X286" i="8"/>
  <c r="AA286" i="8" s="1"/>
  <c r="AD286" i="8" s="1"/>
  <c r="Y254" i="8"/>
  <c r="AB254" i="8" s="1"/>
  <c r="AE254" i="8" s="1"/>
  <c r="Z254" i="8"/>
  <c r="AC254" i="8" s="1"/>
  <c r="AF254" i="8" s="1"/>
  <c r="Y243" i="8"/>
  <c r="AB243" i="8" s="1"/>
  <c r="AE243" i="8" s="1"/>
  <c r="X243" i="8"/>
  <c r="AA243" i="8" s="1"/>
  <c r="AD243" i="8" s="1"/>
  <c r="Z286" i="8"/>
  <c r="AC286" i="8" s="1"/>
  <c r="AF286" i="8" s="1"/>
  <c r="X289" i="8"/>
  <c r="AA289" i="8" s="1"/>
  <c r="AD289" i="8" s="1"/>
  <c r="Y289" i="8"/>
  <c r="AB289" i="8" s="1"/>
  <c r="AE289" i="8" s="1"/>
  <c r="Z289" i="8"/>
  <c r="AC289" i="8" s="1"/>
  <c r="AF289" i="8" s="1"/>
  <c r="AG289" i="8"/>
  <c r="Y232" i="8"/>
  <c r="AB232" i="8" s="1"/>
  <c r="AE232" i="8" s="1"/>
  <c r="Z232" i="8"/>
  <c r="AC232" i="8" s="1"/>
  <c r="AF232" i="8" s="1"/>
  <c r="X232" i="8"/>
  <c r="AA232" i="8" s="1"/>
  <c r="AD232" i="8" s="1"/>
  <c r="AG232" i="8"/>
  <c r="C487" i="8" l="1"/>
  <c r="D486" i="8"/>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W130" i="2"/>
  <c r="W131" i="2"/>
  <c r="W132" i="2"/>
  <c r="W133" i="2"/>
  <c r="W134" i="2"/>
  <c r="W135" i="2"/>
  <c r="W136" i="2"/>
  <c r="W137" i="2"/>
  <c r="W138" i="2"/>
  <c r="W139" i="2"/>
  <c r="W140" i="2"/>
  <c r="W141" i="2"/>
  <c r="W142" i="2"/>
  <c r="W143" i="2"/>
  <c r="W144" i="2"/>
  <c r="W145" i="2"/>
  <c r="W146" i="2"/>
  <c r="W147" i="2"/>
  <c r="W148" i="2"/>
  <c r="W150" i="2"/>
  <c r="W151" i="2"/>
  <c r="W152" i="2"/>
  <c r="W153" i="2"/>
  <c r="W154" i="2"/>
  <c r="W155" i="2"/>
  <c r="W156" i="2"/>
  <c r="W157"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D487" i="8" l="1"/>
  <c r="C488" i="8"/>
  <c r="G51" i="8" a="1"/>
  <c r="G51" i="8" s="1"/>
  <c r="G52" i="8" a="1"/>
  <c r="G52" i="8" s="1"/>
  <c r="G53" i="8" a="1"/>
  <c r="G53" i="8" s="1"/>
  <c r="G54" i="8" a="1"/>
  <c r="G54" i="8" s="1"/>
  <c r="G55" i="8" a="1"/>
  <c r="G55" i="8" s="1"/>
  <c r="G56" i="8" a="1"/>
  <c r="G56" i="8" s="1"/>
  <c r="G57" i="8" a="1"/>
  <c r="G57" i="8" s="1"/>
  <c r="G58" i="8" a="1"/>
  <c r="G58" i="8" s="1"/>
  <c r="G59" i="8" a="1"/>
  <c r="G59" i="8" s="1"/>
  <c r="G60" i="8" a="1"/>
  <c r="G60" i="8" s="1"/>
  <c r="G61" i="8" a="1"/>
  <c r="G61" i="8" s="1"/>
  <c r="G62" i="8" a="1"/>
  <c r="G62" i="8" s="1"/>
  <c r="G63" i="8" a="1"/>
  <c r="G63" i="8" s="1"/>
  <c r="G64" i="8" a="1"/>
  <c r="G64" i="8" s="1"/>
  <c r="G65" i="8" a="1"/>
  <c r="G65" i="8" s="1"/>
  <c r="G66" i="8" a="1"/>
  <c r="G66" i="8" s="1"/>
  <c r="G67" i="8" a="1"/>
  <c r="G67" i="8" s="1"/>
  <c r="G68" i="8" a="1"/>
  <c r="G68" i="8" s="1"/>
  <c r="G69" i="8" a="1"/>
  <c r="G69" i="8" s="1"/>
  <c r="G70" i="8" a="1"/>
  <c r="G70" i="8" s="1"/>
  <c r="G71" i="8" a="1"/>
  <c r="G71" i="8" s="1"/>
  <c r="G72" i="8" a="1"/>
  <c r="G72" i="8" s="1"/>
  <c r="G73" i="8" a="1"/>
  <c r="G73" i="8" s="1"/>
  <c r="G75" i="8" a="1"/>
  <c r="G75" i="8" s="1"/>
  <c r="G76" i="8" a="1"/>
  <c r="G76" i="8" s="1"/>
  <c r="G77" i="8" a="1"/>
  <c r="G77" i="8" s="1"/>
  <c r="G78" i="8" a="1"/>
  <c r="G78" i="8" s="1"/>
  <c r="G79" i="8" a="1"/>
  <c r="G79" i="8" s="1"/>
  <c r="G80" i="8" a="1"/>
  <c r="G80" i="8" s="1"/>
  <c r="G81" i="8" a="1"/>
  <c r="G81" i="8" s="1"/>
  <c r="G82" i="8" a="1"/>
  <c r="G82" i="8" s="1"/>
  <c r="G83" i="8" a="1"/>
  <c r="G83" i="8" s="1"/>
  <c r="G84" i="8" a="1"/>
  <c r="G84" i="8" s="1"/>
  <c r="G85" i="8" a="1"/>
  <c r="G85" i="8" s="1"/>
  <c r="G86" i="8" a="1"/>
  <c r="G86" i="8" s="1"/>
  <c r="G87" i="8" a="1"/>
  <c r="G87" i="8" s="1"/>
  <c r="G88" i="8" a="1"/>
  <c r="G88" i="8" s="1"/>
  <c r="G89" i="8" a="1"/>
  <c r="G89" i="8" s="1"/>
  <c r="G90" i="8" a="1"/>
  <c r="G90" i="8" s="1"/>
  <c r="G91" i="8" a="1"/>
  <c r="G91" i="8" s="1"/>
  <c r="G92" i="8" a="1"/>
  <c r="G92" i="8" s="1"/>
  <c r="G93" i="8" a="1"/>
  <c r="G93" i="8" s="1"/>
  <c r="G94" i="8" a="1"/>
  <c r="G94" i="8" s="1"/>
  <c r="G95" i="8" a="1"/>
  <c r="G95" i="8" s="1"/>
  <c r="G96" i="8" a="1"/>
  <c r="G96" i="8" s="1"/>
  <c r="G97" i="8" a="1"/>
  <c r="G97" i="8" s="1"/>
  <c r="G98" i="8" a="1"/>
  <c r="G98" i="8" s="1"/>
  <c r="G99" i="8" a="1"/>
  <c r="G99" i="8" s="1"/>
  <c r="G100" i="8" a="1"/>
  <c r="G100" i="8" s="1"/>
  <c r="G101" i="8" a="1"/>
  <c r="G101" i="8" s="1"/>
  <c r="G102" i="8" a="1"/>
  <c r="G102" i="8" s="1"/>
  <c r="G103" i="8" a="1"/>
  <c r="G103" i="8" s="1"/>
  <c r="G104" i="8" a="1"/>
  <c r="G104" i="8" s="1"/>
  <c r="G105" i="8" a="1"/>
  <c r="G105" i="8" s="1"/>
  <c r="G106" i="8" a="1"/>
  <c r="G106" i="8" s="1"/>
  <c r="G107" i="8" a="1"/>
  <c r="G107" i="8" s="1"/>
  <c r="G108" i="8" a="1"/>
  <c r="G108" i="8" s="1"/>
  <c r="G109" i="8" a="1"/>
  <c r="G109" i="8" s="1"/>
  <c r="G110" i="8" a="1"/>
  <c r="G110" i="8" s="1"/>
  <c r="G111" i="8" a="1"/>
  <c r="G111" i="8" s="1"/>
  <c r="G112" i="8" a="1"/>
  <c r="G112" i="8" s="1"/>
  <c r="G113" i="8" a="1"/>
  <c r="G113" i="8" s="1"/>
  <c r="G114" i="8" a="1"/>
  <c r="G114" i="8" s="1"/>
  <c r="G115" i="8" a="1"/>
  <c r="G115" i="8" s="1"/>
  <c r="G116" i="8" a="1"/>
  <c r="G116" i="8" s="1"/>
  <c r="G117" i="8" a="1"/>
  <c r="G117" i="8" s="1"/>
  <c r="G118" i="8" a="1"/>
  <c r="G118" i="8" s="1"/>
  <c r="G119" i="8" a="1"/>
  <c r="G119" i="8" s="1"/>
  <c r="G120" i="8" a="1"/>
  <c r="G120" i="8" s="1"/>
  <c r="G121" i="8" a="1"/>
  <c r="G121" i="8" s="1"/>
  <c r="G122" i="8" a="1"/>
  <c r="G122" i="8" s="1"/>
  <c r="G123" i="8" a="1"/>
  <c r="G123" i="8" s="1"/>
  <c r="G124" i="8" a="1"/>
  <c r="G124" i="8" s="1"/>
  <c r="G125" i="8" a="1"/>
  <c r="G125" i="8" s="1"/>
  <c r="G126" i="8" a="1"/>
  <c r="G126" i="8" s="1"/>
  <c r="G127" i="8" a="1"/>
  <c r="G127" i="8" s="1"/>
  <c r="G128" i="8" a="1"/>
  <c r="G128" i="8" s="1"/>
  <c r="G129" i="8" a="1"/>
  <c r="G129" i="8" s="1"/>
  <c r="G130" i="8" a="1"/>
  <c r="G130" i="8" s="1"/>
  <c r="G131" i="8" a="1"/>
  <c r="G131" i="8" s="1"/>
  <c r="G132" i="8" a="1"/>
  <c r="G132" i="8" s="1"/>
  <c r="G133" i="8" a="1"/>
  <c r="G133" i="8" s="1"/>
  <c r="G134" i="8" a="1"/>
  <c r="G134" i="8" s="1"/>
  <c r="G135" i="8" a="1"/>
  <c r="G135" i="8" s="1"/>
  <c r="G136" i="8" a="1"/>
  <c r="G136" i="8" s="1"/>
  <c r="G137" i="8" a="1"/>
  <c r="G137" i="8" s="1"/>
  <c r="G138" i="8" a="1"/>
  <c r="G138" i="8" s="1"/>
  <c r="G139" i="8" a="1"/>
  <c r="G139" i="8" s="1"/>
  <c r="G140" i="8" a="1"/>
  <c r="G140" i="8" s="1"/>
  <c r="G141" i="8" a="1"/>
  <c r="G141" i="8" s="1"/>
  <c r="G142" i="8" a="1"/>
  <c r="G142" i="8" s="1"/>
  <c r="G143" i="8" a="1"/>
  <c r="G143" i="8" s="1"/>
  <c r="G144" i="8" a="1"/>
  <c r="G144" i="8" s="1"/>
  <c r="G145" i="8" a="1"/>
  <c r="G145" i="8" s="1"/>
  <c r="G146" i="8" a="1"/>
  <c r="G146" i="8" s="1"/>
  <c r="G147" i="8" a="1"/>
  <c r="G147" i="8" s="1"/>
  <c r="G148" i="8" a="1"/>
  <c r="G148" i="8" s="1"/>
  <c r="G149" i="8" a="1"/>
  <c r="G149" i="8" s="1"/>
  <c r="G150" i="8" a="1"/>
  <c r="G150" i="8" s="1"/>
  <c r="G151" i="8" a="1"/>
  <c r="G151" i="8" s="1"/>
  <c r="G152" i="8" a="1"/>
  <c r="G152" i="8" s="1"/>
  <c r="G153" i="8" a="1"/>
  <c r="G153" i="8" s="1"/>
  <c r="G154" i="8" a="1"/>
  <c r="G154" i="8" s="1"/>
  <c r="G155" i="8" a="1"/>
  <c r="G155" i="8" s="1"/>
  <c r="G156" i="8" a="1"/>
  <c r="G156" i="8" s="1"/>
  <c r="G157" i="8" a="1"/>
  <c r="G157" i="8" s="1"/>
  <c r="G158" i="8" a="1"/>
  <c r="G158" i="8" s="1"/>
  <c r="G159" i="8" a="1"/>
  <c r="G159" i="8" s="1"/>
  <c r="G160" i="8" a="1"/>
  <c r="G160" i="8" s="1"/>
  <c r="G161" i="8" a="1"/>
  <c r="G161" i="8" s="1"/>
  <c r="G162" i="8" a="1"/>
  <c r="G162" i="8" s="1"/>
  <c r="G163" i="8" a="1"/>
  <c r="G163" i="8" s="1"/>
  <c r="G164" i="8" a="1"/>
  <c r="G164" i="8" s="1"/>
  <c r="G165" i="8" a="1"/>
  <c r="G165" i="8" s="1"/>
  <c r="G166" i="8" a="1"/>
  <c r="G166" i="8" s="1"/>
  <c r="G167" i="8" a="1"/>
  <c r="G167" i="8" s="1"/>
  <c r="G168" i="8" a="1"/>
  <c r="G168" i="8" s="1"/>
  <c r="G169" i="8" a="1"/>
  <c r="G169" i="8" s="1"/>
  <c r="G170" i="8" a="1"/>
  <c r="G170" i="8" s="1"/>
  <c r="G171" i="8" a="1"/>
  <c r="G171" i="8" s="1"/>
  <c r="G172" i="8" a="1"/>
  <c r="G172" i="8" s="1"/>
  <c r="G173" i="8" a="1"/>
  <c r="G173" i="8" s="1"/>
  <c r="G174" i="8" a="1"/>
  <c r="G174" i="8" s="1"/>
  <c r="G175" i="8" a="1"/>
  <c r="G175" i="8" s="1"/>
  <c r="G176" i="8" a="1"/>
  <c r="G176" i="8" s="1"/>
  <c r="G177" i="8" a="1"/>
  <c r="G177" i="8" s="1"/>
  <c r="G178" i="8" a="1"/>
  <c r="G178" i="8" s="1"/>
  <c r="G179" i="8" a="1"/>
  <c r="G179" i="8" s="1"/>
  <c r="G180" i="8" a="1"/>
  <c r="G180" i="8" s="1"/>
  <c r="G181" i="8" a="1"/>
  <c r="G181" i="8" s="1"/>
  <c r="G182" i="8" a="1"/>
  <c r="G182" i="8" s="1"/>
  <c r="G183" i="8" a="1"/>
  <c r="G183" i="8" s="1"/>
  <c r="G184" i="8" a="1"/>
  <c r="G184" i="8" s="1"/>
  <c r="G185" i="8" a="1"/>
  <c r="G185" i="8" s="1"/>
  <c r="G186" i="8" a="1"/>
  <c r="G186" i="8" s="1"/>
  <c r="G187" i="8" a="1"/>
  <c r="G187" i="8" s="1"/>
  <c r="G188" i="8" a="1"/>
  <c r="G188" i="8" s="1"/>
  <c r="G189" i="8" a="1"/>
  <c r="G189" i="8" s="1"/>
  <c r="G190" i="8" a="1"/>
  <c r="G190" i="8" s="1"/>
  <c r="G191" i="8" a="1"/>
  <c r="G191" i="8" s="1"/>
  <c r="G192" i="8" a="1"/>
  <c r="G192" i="8" s="1"/>
  <c r="G193" i="8" a="1"/>
  <c r="G193" i="8" s="1"/>
  <c r="G194" i="8" a="1"/>
  <c r="G194" i="8" s="1"/>
  <c r="G195" i="8" a="1"/>
  <c r="G195" i="8" s="1"/>
  <c r="G196" i="8" a="1"/>
  <c r="G196" i="8" s="1"/>
  <c r="G197" i="8" a="1"/>
  <c r="G197" i="8" s="1"/>
  <c r="G198" i="8" a="1"/>
  <c r="G198" i="8" s="1"/>
  <c r="G199" i="8" a="1"/>
  <c r="G199" i="8" s="1"/>
  <c r="G200" i="8" a="1"/>
  <c r="G200" i="8" s="1"/>
  <c r="G201" i="8" a="1"/>
  <c r="G201" i="8" s="1"/>
  <c r="G202" i="8" a="1"/>
  <c r="G202" i="8" s="1"/>
  <c r="G203" i="8" a="1"/>
  <c r="G203" i="8" s="1"/>
  <c r="G204" i="8" a="1"/>
  <c r="G204" i="8" s="1"/>
  <c r="G205" i="8" a="1"/>
  <c r="G205" i="8" s="1"/>
  <c r="G206" i="8" a="1"/>
  <c r="G206" i="8" s="1"/>
  <c r="G207" i="8" a="1"/>
  <c r="G207" i="8" s="1"/>
  <c r="G208" i="8" a="1"/>
  <c r="G208" i="8" s="1"/>
  <c r="G209" i="8" a="1"/>
  <c r="G209" i="8" s="1"/>
  <c r="G210" i="8" a="1"/>
  <c r="G210" i="8" s="1"/>
  <c r="G211" i="8" a="1"/>
  <c r="G211" i="8" s="1"/>
  <c r="G212" i="8" a="1"/>
  <c r="G212" i="8" s="1"/>
  <c r="G213" i="8" a="1"/>
  <c r="G213" i="8" s="1"/>
  <c r="G214" i="8" a="1"/>
  <c r="G214" i="8" s="1"/>
  <c r="G215" i="8" a="1"/>
  <c r="G215" i="8" s="1"/>
  <c r="G216" i="8" a="1"/>
  <c r="G216" i="8" s="1"/>
  <c r="G217" i="8" a="1"/>
  <c r="G217" i="8" s="1"/>
  <c r="G218" i="8" a="1"/>
  <c r="G218" i="8" s="1"/>
  <c r="G219" i="8" a="1"/>
  <c r="G219" i="8" s="1"/>
  <c r="G220" i="8" a="1"/>
  <c r="G220" i="8" s="1"/>
  <c r="G221" i="8" a="1"/>
  <c r="G221" i="8" s="1"/>
  <c r="G222" i="8" a="1"/>
  <c r="G222" i="8" s="1"/>
  <c r="G223" i="8" a="1"/>
  <c r="G223" i="8" s="1"/>
  <c r="G224" i="8" a="1"/>
  <c r="G224" i="8" s="1"/>
  <c r="G225" i="8" a="1"/>
  <c r="G225" i="8" s="1"/>
  <c r="G226" i="8" a="1"/>
  <c r="G226" i="8" s="1"/>
  <c r="G227" i="8" a="1"/>
  <c r="G227" i="8" s="1"/>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P127" i="8"/>
  <c r="P125" i="8"/>
  <c r="P121" i="8"/>
  <c r="D488" i="8" l="1"/>
  <c r="C489" i="8"/>
  <c r="BD125" i="2"/>
  <c r="BB125" i="2"/>
  <c r="BA125" i="2"/>
  <c r="AZ125" i="2"/>
  <c r="AY125" i="2"/>
  <c r="AQ125" i="2"/>
  <c r="AO125" i="2"/>
  <c r="AB125" i="2"/>
  <c r="L125" i="2"/>
  <c r="AI125" i="2" s="1"/>
  <c r="F125" i="2"/>
  <c r="B125" i="2"/>
  <c r="P105" i="8"/>
  <c r="P104" i="8"/>
  <c r="P101" i="8"/>
  <c r="P98" i="8"/>
  <c r="P95" i="8"/>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P81" i="8"/>
  <c r="D489" i="8" l="1"/>
  <c r="C490" i="8"/>
  <c r="C228" i="8"/>
  <c r="H125" i="2"/>
  <c r="AV125" i="2" s="1"/>
  <c r="AW125" i="2"/>
  <c r="AC125" i="2"/>
  <c r="AJ125" i="2" s="1"/>
  <c r="AU125" i="2"/>
  <c r="C491" i="8" l="1"/>
  <c r="D490" i="8"/>
  <c r="C229" i="8"/>
  <c r="D229" i="8" s="1"/>
  <c r="D228" i="8"/>
  <c r="L4" i="2"/>
  <c r="L5" i="2"/>
  <c r="L6" i="2"/>
  <c r="L7" i="2"/>
  <c r="L8" i="2"/>
  <c r="L9" i="2"/>
  <c r="L10" i="2"/>
  <c r="L11" i="2"/>
  <c r="L13" i="2"/>
  <c r="L14" i="2"/>
  <c r="L16" i="2"/>
  <c r="L17" i="2"/>
  <c r="L18" i="2"/>
  <c r="L19" i="2"/>
  <c r="L20" i="2"/>
  <c r="L21" i="2"/>
  <c r="L22" i="2"/>
  <c r="L24" i="2"/>
  <c r="L25" i="2"/>
  <c r="L26" i="2"/>
  <c r="L27" i="2"/>
  <c r="L28" i="2"/>
  <c r="L29" i="2"/>
  <c r="L30" i="2"/>
  <c r="L31" i="2"/>
  <c r="L32" i="2"/>
  <c r="L33" i="2"/>
  <c r="L34" i="2"/>
  <c r="L35" i="2"/>
  <c r="L36"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5" i="2"/>
  <c r="L76" i="2"/>
  <c r="L77" i="2"/>
  <c r="L78" i="2"/>
  <c r="L79" i="2"/>
  <c r="L80" i="2"/>
  <c r="L81" i="2"/>
  <c r="L82" i="2"/>
  <c r="L83" i="2"/>
  <c r="L84" i="2"/>
  <c r="L85" i="2"/>
  <c r="L86" i="2"/>
  <c r="L87" i="2"/>
  <c r="L88" i="2"/>
  <c r="L89" i="2"/>
  <c r="L90" i="2"/>
  <c r="L91" i="2"/>
  <c r="L92" i="2"/>
  <c r="L93" i="2"/>
  <c r="L94" i="2"/>
  <c r="L95" i="2"/>
  <c r="L96" i="2"/>
  <c r="L98" i="2"/>
  <c r="L99" i="2"/>
  <c r="L100" i="2"/>
  <c r="L101" i="2"/>
  <c r="L102" i="2"/>
  <c r="L103" i="2"/>
  <c r="L104" i="2"/>
  <c r="L105" i="2"/>
  <c r="L106" i="2"/>
  <c r="L107" i="2"/>
  <c r="L109" i="2"/>
  <c r="L110" i="2"/>
  <c r="L111" i="2"/>
  <c r="L112" i="2"/>
  <c r="L113" i="2"/>
  <c r="L114" i="2"/>
  <c r="L115" i="2"/>
  <c r="L116" i="2"/>
  <c r="L117" i="2"/>
  <c r="L118" i="2"/>
  <c r="L119" i="2"/>
  <c r="L120" i="2"/>
  <c r="L121" i="2"/>
  <c r="L122" i="2"/>
  <c r="L123" i="2"/>
  <c r="L124"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37" i="2"/>
  <c r="B175" i="5"/>
  <c r="B176" i="5"/>
  <c r="B177" i="5"/>
  <c r="B178" i="5"/>
  <c r="B179" i="5"/>
  <c r="B180" i="5"/>
  <c r="O176" i="5" a="1"/>
  <c r="O176" i="5" s="1"/>
  <c r="S176" i="5"/>
  <c r="T176" i="5"/>
  <c r="V176" i="5"/>
  <c r="L23" i="2"/>
  <c r="D491" i="8" l="1"/>
  <c r="C492" i="8"/>
  <c r="C230" i="8"/>
  <c r="C231" i="8" s="1"/>
  <c r="U176" i="5"/>
  <c r="I6" i="8"/>
  <c r="J6" i="8" s="1"/>
  <c r="S6" i="8" s="1"/>
  <c r="G6" i="8" a="1"/>
  <c r="G6" i="8" s="1"/>
  <c r="B6" i="8"/>
  <c r="P6" i="8"/>
  <c r="W6" i="8" s="1"/>
  <c r="AS6" i="8"/>
  <c r="B5"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216" i="8"/>
  <c r="B217" i="8"/>
  <c r="B218" i="8"/>
  <c r="B219" i="8"/>
  <c r="B220" i="8"/>
  <c r="B221" i="8"/>
  <c r="B222" i="8"/>
  <c r="B223" i="8"/>
  <c r="B224" i="8"/>
  <c r="B225" i="8"/>
  <c r="B226" i="8"/>
  <c r="B227" i="8"/>
  <c r="C493" i="8" l="1"/>
  <c r="D492" i="8"/>
  <c r="D230" i="8"/>
  <c r="D231" i="8"/>
  <c r="C232" i="8"/>
  <c r="U6" i="8"/>
  <c r="T6" i="8"/>
  <c r="C494" i="8" l="1"/>
  <c r="D493" i="8"/>
  <c r="D232" i="8"/>
  <c r="C233" i="8"/>
  <c r="V6" i="8"/>
  <c r="X6" i="8" s="1"/>
  <c r="AA6" i="8" s="1"/>
  <c r="AD6" i="8" s="1"/>
  <c r="AG6" i="8" l="1"/>
  <c r="C495" i="8"/>
  <c r="D494" i="8"/>
  <c r="C234" i="8"/>
  <c r="D233" i="8"/>
  <c r="Z6" i="8"/>
  <c r="AC6" i="8" s="1"/>
  <c r="AF6" i="8" s="1"/>
  <c r="Y6" i="8"/>
  <c r="AB6" i="8" s="1"/>
  <c r="AE6" i="8" s="1"/>
  <c r="L15" i="2"/>
  <c r="B75" i="5"/>
  <c r="B76" i="5"/>
  <c r="B77" i="5"/>
  <c r="L12" i="2"/>
  <c r="B45" i="5"/>
  <c r="B46" i="5"/>
  <c r="B47" i="5"/>
  <c r="B48" i="5"/>
  <c r="B49" i="5"/>
  <c r="B27" i="5"/>
  <c r="O27" i="5" a="1"/>
  <c r="O27" i="5" s="1"/>
  <c r="S27" i="5"/>
  <c r="T27" i="5"/>
  <c r="V27" i="5"/>
  <c r="B28" i="5"/>
  <c r="O28" i="5" a="1"/>
  <c r="O28" i="5" s="1"/>
  <c r="S28" i="5"/>
  <c r="T28" i="5"/>
  <c r="V28" i="5"/>
  <c r="X2" i="8"/>
  <c r="P4" i="8"/>
  <c r="P5"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1" i="8"/>
  <c r="P62" i="8"/>
  <c r="P63" i="8"/>
  <c r="P64" i="8"/>
  <c r="P65" i="8"/>
  <c r="P66" i="8"/>
  <c r="P67" i="8"/>
  <c r="P68" i="8"/>
  <c r="P69" i="8"/>
  <c r="P70" i="8"/>
  <c r="P71" i="8"/>
  <c r="P72" i="8"/>
  <c r="P73" i="8"/>
  <c r="P74" i="8"/>
  <c r="P75" i="8"/>
  <c r="P76" i="8"/>
  <c r="P77" i="8"/>
  <c r="P78" i="8"/>
  <c r="P79" i="8"/>
  <c r="P80" i="8"/>
  <c r="P82" i="8"/>
  <c r="P83" i="8"/>
  <c r="P84" i="8"/>
  <c r="P85" i="8"/>
  <c r="P86" i="8"/>
  <c r="P87" i="8"/>
  <c r="P88" i="8"/>
  <c r="P89" i="8"/>
  <c r="P90" i="8"/>
  <c r="P91" i="8"/>
  <c r="P92" i="8"/>
  <c r="P93" i="8"/>
  <c r="P94" i="8"/>
  <c r="P96" i="8"/>
  <c r="P97" i="8"/>
  <c r="P99" i="8"/>
  <c r="P100" i="8"/>
  <c r="P102" i="8"/>
  <c r="P103" i="8"/>
  <c r="P106" i="8"/>
  <c r="P107" i="8"/>
  <c r="P108" i="8"/>
  <c r="P109" i="8"/>
  <c r="P110" i="8"/>
  <c r="P111" i="8"/>
  <c r="P112" i="8"/>
  <c r="P113" i="8"/>
  <c r="P114" i="8"/>
  <c r="P115" i="8"/>
  <c r="P116" i="8"/>
  <c r="P117" i="8"/>
  <c r="P118" i="8"/>
  <c r="P119" i="8"/>
  <c r="P120" i="8"/>
  <c r="P122" i="8"/>
  <c r="P123" i="8"/>
  <c r="P124" i="8"/>
  <c r="P126"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D495" i="8" l="1"/>
  <c r="C496" i="8"/>
  <c r="C235" i="8"/>
  <c r="D234" i="8"/>
  <c r="U27" i="5"/>
  <c r="U28" i="5"/>
  <c r="AO4" i="2"/>
  <c r="C497" i="8" l="1"/>
  <c r="D496" i="8"/>
  <c r="C236" i="8"/>
  <c r="D235" i="8"/>
  <c r="AS9" i="8"/>
  <c r="AS8" i="8"/>
  <c r="AS7" i="8"/>
  <c r="AS5" i="8"/>
  <c r="AS4" i="8"/>
  <c r="C498" i="8" l="1"/>
  <c r="D497" i="8"/>
  <c r="C237" i="8"/>
  <c r="D236" i="8"/>
  <c r="AT6" i="8"/>
  <c r="AT7" i="8"/>
  <c r="AT9" i="8"/>
  <c r="AT4" i="8"/>
  <c r="AT8" i="8"/>
  <c r="AT5" i="8"/>
  <c r="B164" i="2"/>
  <c r="T19" i="5"/>
  <c r="C499" i="8" l="1"/>
  <c r="D498" i="8"/>
  <c r="C238" i="8"/>
  <c r="D237" i="8"/>
  <c r="AY5" i="2"/>
  <c r="T14" i="5"/>
  <c r="W4" i="8"/>
  <c r="W5"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C500" i="8" l="1"/>
  <c r="D499" i="8"/>
  <c r="C239" i="8"/>
  <c r="D238" i="8"/>
  <c r="L106" i="7"/>
  <c r="L104" i="7"/>
  <c r="L116" i="7"/>
  <c r="L109" i="7"/>
  <c r="L122" i="7"/>
  <c r="L168" i="7"/>
  <c r="L126" i="7"/>
  <c r="L111" i="7"/>
  <c r="L144" i="7"/>
  <c r="L170" i="7"/>
  <c r="L127" i="7"/>
  <c r="L129" i="7"/>
  <c r="L149" i="7"/>
  <c r="L153" i="7"/>
  <c r="L133" i="7"/>
  <c r="L135" i="7"/>
  <c r="L114" i="7"/>
  <c r="L173" i="7"/>
  <c r="L174" i="7"/>
  <c r="L175" i="7"/>
  <c r="L176" i="7"/>
  <c r="L157" i="7"/>
  <c r="L137" i="7"/>
  <c r="L117" i="7"/>
  <c r="L140" i="7"/>
  <c r="L177" i="7"/>
  <c r="L165" i="7"/>
  <c r="L141" i="7"/>
  <c r="L145" i="7"/>
  <c r="L179" i="7"/>
  <c r="L128" i="7"/>
  <c r="L169" i="7"/>
  <c r="L171" i="7"/>
  <c r="L172" i="7"/>
  <c r="L189" i="7"/>
  <c r="L178" i="7"/>
  <c r="L191" i="7"/>
  <c r="L192" i="7"/>
  <c r="L193" i="7"/>
  <c r="L194" i="7"/>
  <c r="L195" i="7"/>
  <c r="L200" i="7"/>
  <c r="L119" i="7"/>
  <c r="L24" i="7"/>
  <c r="L20" i="7"/>
  <c r="L49" i="7"/>
  <c r="L19" i="7"/>
  <c r="L26" i="7"/>
  <c r="L27" i="7"/>
  <c r="L29" i="7"/>
  <c r="L54" i="7"/>
  <c r="L28" i="7"/>
  <c r="L31" i="7"/>
  <c r="L32" i="7"/>
  <c r="L58" i="7"/>
  <c r="L34" i="7"/>
  <c r="L60" i="7"/>
  <c r="L33" i="7"/>
  <c r="L46" i="7"/>
  <c r="L39" i="7"/>
  <c r="L40" i="7"/>
  <c r="L35" i="7"/>
  <c r="L41" i="7"/>
  <c r="L47" i="7"/>
  <c r="L120" i="7"/>
  <c r="L43" i="7"/>
  <c r="L121" i="7"/>
  <c r="L63" i="7"/>
  <c r="L74" i="7"/>
  <c r="L78" i="7"/>
  <c r="L81" i="7"/>
  <c r="L64" i="7"/>
  <c r="L130" i="7"/>
  <c r="L48" i="7"/>
  <c r="L103" i="7"/>
  <c r="L66" i="7"/>
  <c r="L71" i="7"/>
  <c r="L107" i="7"/>
  <c r="L132" i="7"/>
  <c r="L52" i="7"/>
  <c r="L108" i="7"/>
  <c r="L59" i="7"/>
  <c r="L134" i="7"/>
  <c r="L75" i="7"/>
  <c r="L112" i="7"/>
  <c r="L113" i="7"/>
  <c r="L65" i="7"/>
  <c r="L143" i="7"/>
  <c r="L69" i="7"/>
  <c r="L136" i="7"/>
  <c r="L138" i="7"/>
  <c r="L77" i="7"/>
  <c r="L148" i="7"/>
  <c r="L79" i="7"/>
  <c r="L152" i="7"/>
  <c r="L155" i="7"/>
  <c r="L163" i="7"/>
  <c r="L167" i="7"/>
  <c r="L80" i="7"/>
  <c r="L123" i="7"/>
  <c r="L124" i="7"/>
  <c r="L125" i="7"/>
  <c r="L42" i="7"/>
  <c r="L44" i="7"/>
  <c r="L36" i="7"/>
  <c r="L45" i="7"/>
  <c r="L110" i="7"/>
  <c r="L37" i="7"/>
  <c r="L115" i="7"/>
  <c r="L50" i="7"/>
  <c r="L118" i="7"/>
  <c r="L51" i="7"/>
  <c r="L72" i="7"/>
  <c r="L55" i="7"/>
  <c r="L73" i="7"/>
  <c r="L38" i="7"/>
  <c r="L56" i="7"/>
  <c r="L57" i="7"/>
  <c r="L5" i="7"/>
  <c r="L9" i="7"/>
  <c r="L12" i="7"/>
  <c r="L4" i="7"/>
  <c r="L6" i="7"/>
  <c r="L7" i="7"/>
  <c r="L13" i="7"/>
  <c r="L16" i="7"/>
  <c r="L8" i="7"/>
  <c r="L10" i="7"/>
  <c r="L21" i="7"/>
  <c r="L17" i="7"/>
  <c r="L14" i="7"/>
  <c r="L22" i="7"/>
  <c r="L156" i="7"/>
  <c r="L25" i="7"/>
  <c r="L158" i="7"/>
  <c r="L159" i="7"/>
  <c r="L160" i="7"/>
  <c r="L15" i="7"/>
  <c r="L18" i="7"/>
  <c r="L23" i="7"/>
  <c r="L11" i="7"/>
  <c r="L30" i="7"/>
  <c r="L166" i="7"/>
  <c r="L187" i="7"/>
  <c r="L190" i="7"/>
  <c r="L196" i="7"/>
  <c r="L197" i="7"/>
  <c r="L198" i="7"/>
  <c r="L203" i="7"/>
  <c r="L199" i="7"/>
  <c r="L202" i="7"/>
  <c r="L204" i="7"/>
  <c r="L205" i="7"/>
  <c r="L206" i="7"/>
  <c r="L201" i="7"/>
  <c r="L53" i="7"/>
  <c r="L61" i="7"/>
  <c r="L62" i="7"/>
  <c r="L67" i="7"/>
  <c r="L68" i="7"/>
  <c r="L70" i="7"/>
  <c r="L76" i="7"/>
  <c r="L82" i="7"/>
  <c r="L105" i="7"/>
  <c r="L188" i="7"/>
  <c r="L131" i="7"/>
  <c r="L180" i="7"/>
  <c r="L146" i="7"/>
  <c r="L150" i="7"/>
  <c r="L151" i="7"/>
  <c r="L139" i="7"/>
  <c r="L154" i="7"/>
  <c r="L142" i="7"/>
  <c r="L181" i="7"/>
  <c r="L147" i="7"/>
  <c r="L182" i="7"/>
  <c r="L161" i="7"/>
  <c r="L162" i="7"/>
  <c r="L183" i="7"/>
  <c r="L164" i="7"/>
  <c r="L184" i="7"/>
  <c r="L185" i="7"/>
  <c r="L186" i="7"/>
  <c r="C501" i="8" l="1"/>
  <c r="D500" i="8"/>
  <c r="D239" i="8"/>
  <c r="C240" i="8"/>
  <c r="B14" i="7"/>
  <c r="B22" i="7"/>
  <c r="B156" i="7"/>
  <c r="B25" i="7"/>
  <c r="B158" i="7"/>
  <c r="B159" i="7"/>
  <c r="B160" i="7"/>
  <c r="B15" i="7"/>
  <c r="B18" i="7"/>
  <c r="B23" i="7"/>
  <c r="B11" i="7"/>
  <c r="B30" i="7"/>
  <c r="B166" i="7"/>
  <c r="B187" i="7"/>
  <c r="B190" i="7"/>
  <c r="B196" i="7"/>
  <c r="B197" i="7"/>
  <c r="B198" i="7"/>
  <c r="B203" i="7"/>
  <c r="B199" i="7"/>
  <c r="B202" i="7"/>
  <c r="B204" i="7"/>
  <c r="B205" i="7"/>
  <c r="B206" i="7"/>
  <c r="B201" i="7"/>
  <c r="B53" i="7"/>
  <c r="B61" i="7"/>
  <c r="B62" i="7"/>
  <c r="B67" i="7"/>
  <c r="B68" i="7"/>
  <c r="B70" i="7"/>
  <c r="B76" i="7"/>
  <c r="B82" i="7"/>
  <c r="B105" i="7"/>
  <c r="B188" i="7"/>
  <c r="B131" i="7"/>
  <c r="B180" i="7"/>
  <c r="B146" i="7"/>
  <c r="B150" i="7"/>
  <c r="B151" i="7"/>
  <c r="B139" i="7"/>
  <c r="B154" i="7"/>
  <c r="B142" i="7"/>
  <c r="B181" i="7"/>
  <c r="B147" i="7"/>
  <c r="B182" i="7"/>
  <c r="B161" i="7"/>
  <c r="B162" i="7"/>
  <c r="B183" i="7"/>
  <c r="B164" i="7"/>
  <c r="B184" i="7"/>
  <c r="B185" i="7"/>
  <c r="B186" i="7"/>
  <c r="C11" i="7"/>
  <c r="E14" i="7"/>
  <c r="E22" i="7"/>
  <c r="E156" i="7"/>
  <c r="E25" i="7"/>
  <c r="E158" i="7"/>
  <c r="E159" i="7"/>
  <c r="E160" i="7"/>
  <c r="E15" i="7"/>
  <c r="E18" i="7"/>
  <c r="E23" i="7"/>
  <c r="E11" i="7"/>
  <c r="E30" i="7"/>
  <c r="E166" i="7"/>
  <c r="E187" i="7"/>
  <c r="E190" i="7"/>
  <c r="E196" i="7"/>
  <c r="E197" i="7"/>
  <c r="E198" i="7"/>
  <c r="E203" i="7"/>
  <c r="E199" i="7"/>
  <c r="E202" i="7"/>
  <c r="E204" i="7"/>
  <c r="E205" i="7"/>
  <c r="E206" i="7"/>
  <c r="E201" i="7"/>
  <c r="E53" i="7"/>
  <c r="E61" i="7"/>
  <c r="E62" i="7"/>
  <c r="E67" i="7"/>
  <c r="E68" i="7"/>
  <c r="E70" i="7"/>
  <c r="E76" i="7"/>
  <c r="E82" i="7"/>
  <c r="E105" i="7"/>
  <c r="E188" i="7"/>
  <c r="E131" i="7"/>
  <c r="E180" i="7"/>
  <c r="E146" i="7"/>
  <c r="E150" i="7"/>
  <c r="E151" i="7"/>
  <c r="E139" i="7"/>
  <c r="E154" i="7"/>
  <c r="E142" i="7"/>
  <c r="E181" i="7"/>
  <c r="E147" i="7"/>
  <c r="E182" i="7"/>
  <c r="E161" i="7"/>
  <c r="E162" i="7"/>
  <c r="E183" i="7"/>
  <c r="E164" i="7"/>
  <c r="E184" i="7"/>
  <c r="E185" i="7"/>
  <c r="E186" i="7"/>
  <c r="D501" i="8" l="1"/>
  <c r="C502" i="8"/>
  <c r="D240" i="8"/>
  <c r="C241" i="8"/>
  <c r="BD4" i="2"/>
  <c r="V4" i="5"/>
  <c r="T4" i="5"/>
  <c r="S4" i="5"/>
  <c r="C503" i="8" l="1"/>
  <c r="D502" i="8"/>
  <c r="D241" i="8"/>
  <c r="C242" i="8"/>
  <c r="U4" i="5"/>
  <c r="D503" i="8" l="1"/>
  <c r="C504" i="8"/>
  <c r="D242" i="8"/>
  <c r="C243" i="8"/>
  <c r="I221" i="8"/>
  <c r="J221" i="8" s="1"/>
  <c r="S221" i="8" s="1"/>
  <c r="T221" i="8" s="1"/>
  <c r="I222" i="8"/>
  <c r="J222" i="8" s="1"/>
  <c r="S222" i="8" s="1"/>
  <c r="T222" i="8" s="1"/>
  <c r="I223" i="8"/>
  <c r="J223" i="8" s="1"/>
  <c r="S223" i="8" s="1"/>
  <c r="T223" i="8" s="1"/>
  <c r="I224" i="8"/>
  <c r="J224" i="8" s="1"/>
  <c r="S224" i="8" s="1"/>
  <c r="T224" i="8" s="1"/>
  <c r="I225" i="8"/>
  <c r="J225" i="8" s="1"/>
  <c r="S225" i="8" s="1"/>
  <c r="U225" i="8" s="1"/>
  <c r="I226" i="8"/>
  <c r="J226" i="8" s="1"/>
  <c r="S226" i="8" s="1"/>
  <c r="U226" i="8" s="1"/>
  <c r="I227" i="8"/>
  <c r="J227" i="8" s="1"/>
  <c r="S227" i="8" s="1"/>
  <c r="T227" i="8" s="1"/>
  <c r="I177" i="8"/>
  <c r="J177" i="8" s="1"/>
  <c r="S177" i="8" s="1"/>
  <c r="U177" i="8" s="1"/>
  <c r="I178" i="8"/>
  <c r="J178" i="8" s="1"/>
  <c r="S178" i="8" s="1"/>
  <c r="U178" i="8" s="1"/>
  <c r="I179" i="8"/>
  <c r="J179" i="8" s="1"/>
  <c r="S179" i="8" s="1"/>
  <c r="U179" i="8" s="1"/>
  <c r="I180" i="8"/>
  <c r="J180" i="8" s="1"/>
  <c r="S180" i="8" s="1"/>
  <c r="U180" i="8" s="1"/>
  <c r="I181" i="8"/>
  <c r="J181" i="8" s="1"/>
  <c r="S181" i="8" s="1"/>
  <c r="T181" i="8" s="1"/>
  <c r="I182" i="8"/>
  <c r="J182" i="8" s="1"/>
  <c r="S182" i="8" s="1"/>
  <c r="T182" i="8" s="1"/>
  <c r="I183" i="8"/>
  <c r="J183" i="8" s="1"/>
  <c r="S183" i="8" s="1"/>
  <c r="T183" i="8" s="1"/>
  <c r="I184" i="8"/>
  <c r="J184" i="8" s="1"/>
  <c r="S184" i="8" s="1"/>
  <c r="U184" i="8" s="1"/>
  <c r="I185" i="8"/>
  <c r="J185" i="8" s="1"/>
  <c r="S185" i="8" s="1"/>
  <c r="T185" i="8" s="1"/>
  <c r="I186" i="8"/>
  <c r="J186" i="8" s="1"/>
  <c r="S186" i="8" s="1"/>
  <c r="U186" i="8" s="1"/>
  <c r="I187" i="8"/>
  <c r="J187" i="8" s="1"/>
  <c r="S187" i="8" s="1"/>
  <c r="U187" i="8" s="1"/>
  <c r="I188" i="8"/>
  <c r="J188" i="8" s="1"/>
  <c r="S188" i="8" s="1"/>
  <c r="I189" i="8"/>
  <c r="J189" i="8" s="1"/>
  <c r="S189" i="8" s="1"/>
  <c r="I190" i="8"/>
  <c r="J190" i="8" s="1"/>
  <c r="S190" i="8" s="1"/>
  <c r="I191" i="8"/>
  <c r="J191" i="8" s="1"/>
  <c r="S191" i="8" s="1"/>
  <c r="I192" i="8"/>
  <c r="J192" i="8" s="1"/>
  <c r="S192" i="8" s="1"/>
  <c r="U192" i="8" s="1"/>
  <c r="I193" i="8"/>
  <c r="J193" i="8" s="1"/>
  <c r="S193" i="8" s="1"/>
  <c r="U193" i="8" s="1"/>
  <c r="I194" i="8"/>
  <c r="J194" i="8" s="1"/>
  <c r="S194" i="8" s="1"/>
  <c r="U194" i="8" s="1"/>
  <c r="I195" i="8"/>
  <c r="J195" i="8" s="1"/>
  <c r="S195" i="8" s="1"/>
  <c r="T195" i="8" s="1"/>
  <c r="I196" i="8"/>
  <c r="J196" i="8" s="1"/>
  <c r="S196" i="8" s="1"/>
  <c r="U196" i="8" s="1"/>
  <c r="I197" i="8"/>
  <c r="J197" i="8" s="1"/>
  <c r="S197" i="8" s="1"/>
  <c r="T197" i="8" s="1"/>
  <c r="I198" i="8"/>
  <c r="J198" i="8" s="1"/>
  <c r="S198" i="8" s="1"/>
  <c r="T198" i="8" s="1"/>
  <c r="I199" i="8"/>
  <c r="J199" i="8" s="1"/>
  <c r="S199" i="8" s="1"/>
  <c r="T199" i="8" s="1"/>
  <c r="I200" i="8"/>
  <c r="J200" i="8" s="1"/>
  <c r="S200" i="8" s="1"/>
  <c r="U200" i="8" s="1"/>
  <c r="I201" i="8"/>
  <c r="J201" i="8" s="1"/>
  <c r="S201" i="8" s="1"/>
  <c r="U201" i="8" s="1"/>
  <c r="I202" i="8"/>
  <c r="J202" i="8" s="1"/>
  <c r="S202" i="8" s="1"/>
  <c r="U202" i="8" s="1"/>
  <c r="I203" i="8"/>
  <c r="J203" i="8" s="1"/>
  <c r="S203" i="8" s="1"/>
  <c r="I204" i="8"/>
  <c r="J204" i="8" s="1"/>
  <c r="S204" i="8" s="1"/>
  <c r="I205" i="8"/>
  <c r="J205" i="8" s="1"/>
  <c r="S205" i="8" s="1"/>
  <c r="T205" i="8" s="1"/>
  <c r="I206" i="8"/>
  <c r="J206" i="8" s="1"/>
  <c r="S206" i="8" s="1"/>
  <c r="I207" i="8"/>
  <c r="J207" i="8" s="1"/>
  <c r="S207" i="8" s="1"/>
  <c r="T207" i="8" s="1"/>
  <c r="I208" i="8"/>
  <c r="J208" i="8" s="1"/>
  <c r="S208" i="8" s="1"/>
  <c r="U208" i="8" s="1"/>
  <c r="I209" i="8"/>
  <c r="J209" i="8" s="1"/>
  <c r="S209" i="8" s="1"/>
  <c r="U209" i="8" s="1"/>
  <c r="I210" i="8"/>
  <c r="J210" i="8" s="1"/>
  <c r="S210" i="8" s="1"/>
  <c r="U210" i="8" s="1"/>
  <c r="I211" i="8"/>
  <c r="J211" i="8" s="1"/>
  <c r="S211" i="8" s="1"/>
  <c r="T211" i="8" s="1"/>
  <c r="I212" i="8"/>
  <c r="J212" i="8" s="1"/>
  <c r="S212" i="8" s="1"/>
  <c r="U212" i="8" s="1"/>
  <c r="I213" i="8"/>
  <c r="J213" i="8" s="1"/>
  <c r="S213" i="8" s="1"/>
  <c r="T213" i="8" s="1"/>
  <c r="I214" i="8"/>
  <c r="J214" i="8" s="1"/>
  <c r="S214" i="8" s="1"/>
  <c r="U214" i="8" s="1"/>
  <c r="I215" i="8"/>
  <c r="J215" i="8" s="1"/>
  <c r="S215" i="8" s="1"/>
  <c r="T215" i="8" s="1"/>
  <c r="I216" i="8"/>
  <c r="J216" i="8" s="1"/>
  <c r="S216" i="8" s="1"/>
  <c r="T216" i="8" s="1"/>
  <c r="I217" i="8"/>
  <c r="J217" i="8" s="1"/>
  <c r="S217" i="8" s="1"/>
  <c r="T217" i="8" s="1"/>
  <c r="I218" i="8"/>
  <c r="J218" i="8" s="1"/>
  <c r="S218" i="8" s="1"/>
  <c r="U218" i="8" s="1"/>
  <c r="I219" i="8"/>
  <c r="J219" i="8" s="1"/>
  <c r="S219" i="8" s="1"/>
  <c r="U219" i="8" s="1"/>
  <c r="I220" i="8"/>
  <c r="J220" i="8" s="1"/>
  <c r="S220" i="8" s="1"/>
  <c r="T220" i="8" s="1"/>
  <c r="I176" i="8"/>
  <c r="J176" i="8" s="1"/>
  <c r="S176" i="8" s="1"/>
  <c r="T176" i="8" s="1"/>
  <c r="I170" i="8"/>
  <c r="J170" i="8" s="1"/>
  <c r="S170" i="8" s="1"/>
  <c r="U170" i="8" s="1"/>
  <c r="I171" i="8"/>
  <c r="J171" i="8" s="1"/>
  <c r="S171" i="8" s="1"/>
  <c r="U171" i="8" s="1"/>
  <c r="I172" i="8"/>
  <c r="J172" i="8" s="1"/>
  <c r="S172" i="8" s="1"/>
  <c r="U172" i="8" s="1"/>
  <c r="I173" i="8"/>
  <c r="J173" i="8" s="1"/>
  <c r="S173" i="8" s="1"/>
  <c r="I174" i="8"/>
  <c r="J174" i="8" s="1"/>
  <c r="S174" i="8" s="1"/>
  <c r="U174" i="8" s="1"/>
  <c r="I175" i="8"/>
  <c r="J175" i="8" s="1"/>
  <c r="S175" i="8" s="1"/>
  <c r="T175" i="8" s="1"/>
  <c r="I169" i="8"/>
  <c r="J169" i="8" s="1"/>
  <c r="S169" i="8" s="1"/>
  <c r="T169" i="8" s="1"/>
  <c r="I140" i="8"/>
  <c r="J140" i="8" s="1"/>
  <c r="S140" i="8" s="1"/>
  <c r="U140" i="8" s="1"/>
  <c r="I141" i="8"/>
  <c r="J141" i="8" s="1"/>
  <c r="S141" i="8" s="1"/>
  <c r="T141" i="8" s="1"/>
  <c r="I142" i="8"/>
  <c r="J142" i="8" s="1"/>
  <c r="S142" i="8" s="1"/>
  <c r="T142" i="8" s="1"/>
  <c r="I143" i="8"/>
  <c r="J143" i="8" s="1"/>
  <c r="S143" i="8" s="1"/>
  <c r="T143" i="8" s="1"/>
  <c r="I144" i="8"/>
  <c r="J144" i="8" s="1"/>
  <c r="S144" i="8" s="1"/>
  <c r="T144" i="8" s="1"/>
  <c r="I145" i="8"/>
  <c r="J145" i="8" s="1"/>
  <c r="S145" i="8" s="1"/>
  <c r="T145" i="8" s="1"/>
  <c r="I146" i="8"/>
  <c r="J146" i="8" s="1"/>
  <c r="S146" i="8" s="1"/>
  <c r="T146" i="8" s="1"/>
  <c r="I147" i="8"/>
  <c r="J147" i="8" s="1"/>
  <c r="S147" i="8" s="1"/>
  <c r="T147" i="8" s="1"/>
  <c r="I148" i="8"/>
  <c r="J148" i="8" s="1"/>
  <c r="S148" i="8" s="1"/>
  <c r="U148" i="8" s="1"/>
  <c r="I149" i="8"/>
  <c r="J149" i="8" s="1"/>
  <c r="S149" i="8" s="1"/>
  <c r="U149" i="8" s="1"/>
  <c r="I150" i="8"/>
  <c r="J150" i="8" s="1"/>
  <c r="S150" i="8" s="1"/>
  <c r="T150" i="8" s="1"/>
  <c r="I151" i="8"/>
  <c r="J151" i="8" s="1"/>
  <c r="S151" i="8" s="1"/>
  <c r="T151" i="8" s="1"/>
  <c r="I152" i="8"/>
  <c r="J152" i="8" s="1"/>
  <c r="S152" i="8" s="1"/>
  <c r="I153" i="8"/>
  <c r="J153" i="8" s="1"/>
  <c r="S153" i="8" s="1"/>
  <c r="I154" i="8"/>
  <c r="J154" i="8" s="1"/>
  <c r="S154" i="8" s="1"/>
  <c r="U154" i="8" s="1"/>
  <c r="I155" i="8"/>
  <c r="J155" i="8" s="1"/>
  <c r="S155" i="8" s="1"/>
  <c r="U155" i="8" s="1"/>
  <c r="I156" i="8"/>
  <c r="J156" i="8" s="1"/>
  <c r="S156" i="8" s="1"/>
  <c r="U156" i="8" s="1"/>
  <c r="I157" i="8"/>
  <c r="J157" i="8" s="1"/>
  <c r="S157" i="8" s="1"/>
  <c r="T157" i="8" s="1"/>
  <c r="I158" i="8"/>
  <c r="J158" i="8" s="1"/>
  <c r="S158" i="8" s="1"/>
  <c r="T158" i="8" s="1"/>
  <c r="I159" i="8"/>
  <c r="J159" i="8" s="1"/>
  <c r="S159" i="8" s="1"/>
  <c r="T159" i="8" s="1"/>
  <c r="I160" i="8"/>
  <c r="J160" i="8" s="1"/>
  <c r="S160" i="8" s="1"/>
  <c r="I161" i="8"/>
  <c r="J161" i="8" s="1"/>
  <c r="S161" i="8" s="1"/>
  <c r="T161" i="8" s="1"/>
  <c r="I162" i="8"/>
  <c r="J162" i="8" s="1"/>
  <c r="S162" i="8" s="1"/>
  <c r="T162" i="8" s="1"/>
  <c r="I163" i="8"/>
  <c r="J163" i="8" s="1"/>
  <c r="S163" i="8" s="1"/>
  <c r="T163" i="8" s="1"/>
  <c r="I164" i="8"/>
  <c r="J164" i="8" s="1"/>
  <c r="S164" i="8" s="1"/>
  <c r="I165" i="8"/>
  <c r="J165" i="8" s="1"/>
  <c r="S165" i="8" s="1"/>
  <c r="I166" i="8"/>
  <c r="J166" i="8" s="1"/>
  <c r="S166" i="8" s="1"/>
  <c r="I167" i="8"/>
  <c r="J167" i="8" s="1"/>
  <c r="S167" i="8" s="1"/>
  <c r="T167" i="8" s="1"/>
  <c r="I168" i="8"/>
  <c r="J168" i="8" s="1"/>
  <c r="S168" i="8" s="1"/>
  <c r="T168" i="8" s="1"/>
  <c r="I139" i="8"/>
  <c r="J139" i="8" s="1"/>
  <c r="S139" i="8" s="1"/>
  <c r="I138" i="8"/>
  <c r="J138" i="8" s="1"/>
  <c r="S138" i="8" s="1"/>
  <c r="D504" i="8" l="1"/>
  <c r="C505" i="8"/>
  <c r="D243" i="8"/>
  <c r="C244" i="8"/>
  <c r="U224" i="8"/>
  <c r="V224" i="8" s="1"/>
  <c r="U223" i="8"/>
  <c r="V223" i="8" s="1"/>
  <c r="U222" i="8"/>
  <c r="V222" i="8" s="1"/>
  <c r="U221" i="8"/>
  <c r="V221" i="8" s="1"/>
  <c r="T226" i="8"/>
  <c r="V226" i="8" s="1"/>
  <c r="U227" i="8"/>
  <c r="V227" i="8" s="1"/>
  <c r="AG227" i="8" s="1"/>
  <c r="U220" i="8"/>
  <c r="V220" i="8" s="1"/>
  <c r="U217" i="8"/>
  <c r="V217" i="8" s="1"/>
  <c r="U216" i="8"/>
  <c r="V216" i="8" s="1"/>
  <c r="T219" i="8"/>
  <c r="V219" i="8" s="1"/>
  <c r="T218" i="8"/>
  <c r="V218" i="8" s="1"/>
  <c r="T225" i="8"/>
  <c r="V225" i="8" s="1"/>
  <c r="U188" i="8"/>
  <c r="T188" i="8"/>
  <c r="T191" i="8"/>
  <c r="U191" i="8"/>
  <c r="U204" i="8"/>
  <c r="T204" i="8"/>
  <c r="U173" i="8"/>
  <c r="T173" i="8"/>
  <c r="T189" i="8"/>
  <c r="U189" i="8"/>
  <c r="U203" i="8"/>
  <c r="T203" i="8"/>
  <c r="U215" i="8"/>
  <c r="V215" i="8" s="1"/>
  <c r="T210" i="8"/>
  <c r="V210" i="8" s="1"/>
  <c r="T209" i="8"/>
  <c r="V209" i="8" s="1"/>
  <c r="AG209" i="8" s="1"/>
  <c r="T202" i="8"/>
  <c r="V202" i="8" s="1"/>
  <c r="T201" i="8"/>
  <c r="V201" i="8" s="1"/>
  <c r="T200" i="8"/>
  <c r="V200" i="8" s="1"/>
  <c r="U199" i="8"/>
  <c r="V199" i="8" s="1"/>
  <c r="U198" i="8"/>
  <c r="V198" i="8" s="1"/>
  <c r="U195" i="8"/>
  <c r="V195" i="8" s="1"/>
  <c r="T196" i="8"/>
  <c r="V196" i="8" s="1"/>
  <c r="U211" i="8"/>
  <c r="V211" i="8" s="1"/>
  <c r="U205" i="8"/>
  <c r="V205" i="8" s="1"/>
  <c r="T214" i="8"/>
  <c r="V214" i="8" s="1"/>
  <c r="U197" i="8"/>
  <c r="V197" i="8" s="1"/>
  <c r="T212" i="8"/>
  <c r="V212" i="8" s="1"/>
  <c r="T194" i="8"/>
  <c r="V194" i="8" s="1"/>
  <c r="T193" i="8"/>
  <c r="V193" i="8" s="1"/>
  <c r="T187" i="8"/>
  <c r="V187" i="8" s="1"/>
  <c r="U185" i="8"/>
  <c r="V185" i="8" s="1"/>
  <c r="AG185" i="8" s="1"/>
  <c r="T186" i="8"/>
  <c r="V186" i="8" s="1"/>
  <c r="T184" i="8"/>
  <c r="V184" i="8" s="1"/>
  <c r="T179" i="8"/>
  <c r="V179" i="8" s="1"/>
  <c r="T178" i="8"/>
  <c r="V178" i="8" s="1"/>
  <c r="T177" i="8"/>
  <c r="V177" i="8" s="1"/>
  <c r="U182" i="8"/>
  <c r="V182" i="8" s="1"/>
  <c r="T180" i="8"/>
  <c r="V180" i="8" s="1"/>
  <c r="U213" i="8"/>
  <c r="V213" i="8" s="1"/>
  <c r="U176" i="8"/>
  <c r="V176" i="8" s="1"/>
  <c r="AG176" i="8" s="1"/>
  <c r="U207" i="8"/>
  <c r="V207" i="8" s="1"/>
  <c r="U183" i="8"/>
  <c r="V183" i="8" s="1"/>
  <c r="U206" i="8"/>
  <c r="T206" i="8"/>
  <c r="U190" i="8"/>
  <c r="T190" i="8"/>
  <c r="U181" i="8"/>
  <c r="V181" i="8" s="1"/>
  <c r="T208" i="8"/>
  <c r="V208" i="8" s="1"/>
  <c r="AG208" i="8" s="1"/>
  <c r="T192" i="8"/>
  <c r="V192" i="8" s="1"/>
  <c r="U138" i="8"/>
  <c r="T138" i="8"/>
  <c r="T172" i="8"/>
  <c r="V172" i="8" s="1"/>
  <c r="U169" i="8"/>
  <c r="V169" i="8" s="1"/>
  <c r="T171" i="8"/>
  <c r="V171" i="8" s="1"/>
  <c r="T170" i="8"/>
  <c r="V170" i="8" s="1"/>
  <c r="U175" i="8"/>
  <c r="V175" i="8" s="1"/>
  <c r="T174" i="8"/>
  <c r="V174" i="8" s="1"/>
  <c r="T160" i="8"/>
  <c r="U160" i="8"/>
  <c r="U161" i="8"/>
  <c r="V161" i="8" s="1"/>
  <c r="U166" i="8"/>
  <c r="T166" i="8"/>
  <c r="U165" i="8"/>
  <c r="T165" i="8"/>
  <c r="U164" i="8"/>
  <c r="T164" i="8"/>
  <c r="U143" i="8"/>
  <c r="V143" i="8" s="1"/>
  <c r="AG143" i="8" s="1"/>
  <c r="U144" i="8"/>
  <c r="V144" i="8" s="1"/>
  <c r="AG144" i="8" s="1"/>
  <c r="U159" i="8"/>
  <c r="V159" i="8" s="1"/>
  <c r="T149" i="8"/>
  <c r="V149" i="8" s="1"/>
  <c r="T148" i="8"/>
  <c r="V148" i="8" s="1"/>
  <c r="U142" i="8"/>
  <c r="V142" i="8" s="1"/>
  <c r="U141" i="8"/>
  <c r="V141" i="8" s="1"/>
  <c r="T140" i="8"/>
  <c r="V140" i="8" s="1"/>
  <c r="AG140" i="8" s="1"/>
  <c r="U158" i="8"/>
  <c r="V158" i="8" s="1"/>
  <c r="U157" i="8"/>
  <c r="V157" i="8" s="1"/>
  <c r="U150" i="8"/>
  <c r="V150" i="8" s="1"/>
  <c r="T156" i="8"/>
  <c r="V156" i="8" s="1"/>
  <c r="T155" i="8"/>
  <c r="V155" i="8" s="1"/>
  <c r="AG155" i="8" s="1"/>
  <c r="T154" i="8"/>
  <c r="V154" i="8" s="1"/>
  <c r="U145" i="8"/>
  <c r="V145" i="8" s="1"/>
  <c r="T152" i="8"/>
  <c r="U152" i="8"/>
  <c r="U151" i="8"/>
  <c r="V151" i="8" s="1"/>
  <c r="U163" i="8"/>
  <c r="V163" i="8" s="1"/>
  <c r="U168" i="8"/>
  <c r="V168" i="8" s="1"/>
  <c r="U147" i="8"/>
  <c r="V147" i="8" s="1"/>
  <c r="U167" i="8"/>
  <c r="V167" i="8" s="1"/>
  <c r="U146" i="8"/>
  <c r="V146" i="8" s="1"/>
  <c r="T139" i="8"/>
  <c r="U139" i="8"/>
  <c r="U162" i="8"/>
  <c r="V162" i="8" s="1"/>
  <c r="T153" i="8"/>
  <c r="U153" i="8"/>
  <c r="D505" i="8" l="1"/>
  <c r="C506" i="8"/>
  <c r="AG220" i="8"/>
  <c r="AG223" i="8"/>
  <c r="D244" i="8"/>
  <c r="C245" i="8"/>
  <c r="AG177" i="8"/>
  <c r="AG219" i="8"/>
  <c r="AG194" i="8"/>
  <c r="AG217" i="8"/>
  <c r="Y154" i="8"/>
  <c r="AB154" i="8" s="1"/>
  <c r="AE154" i="8" s="1"/>
  <c r="AG154" i="8"/>
  <c r="AG218" i="8"/>
  <c r="AG145" i="8"/>
  <c r="AG186" i="8"/>
  <c r="AG158" i="8"/>
  <c r="AG199" i="8"/>
  <c r="AG179" i="8"/>
  <c r="AG184" i="8"/>
  <c r="AG187" i="8"/>
  <c r="AG193" i="8"/>
  <c r="AG141" i="8"/>
  <c r="AG148" i="8"/>
  <c r="AG149" i="8"/>
  <c r="AG214" i="8"/>
  <c r="X226" i="8"/>
  <c r="AA226" i="8" s="1"/>
  <c r="AD226" i="8" s="1"/>
  <c r="AG226" i="8"/>
  <c r="AG201" i="8"/>
  <c r="AG181" i="8"/>
  <c r="AG162" i="8"/>
  <c r="AG161" i="8"/>
  <c r="AG210" i="8"/>
  <c r="AG215" i="8"/>
  <c r="AG167" i="8"/>
  <c r="AG142" i="8"/>
  <c r="AG147" i="8"/>
  <c r="AG197" i="8"/>
  <c r="AG175" i="8"/>
  <c r="AG163" i="8"/>
  <c r="AG159" i="8"/>
  <c r="AG170" i="8"/>
  <c r="AG213" i="8"/>
  <c r="AG205" i="8"/>
  <c r="AG221" i="8"/>
  <c r="AG178" i="8"/>
  <c r="AG192" i="8"/>
  <c r="AG156" i="8"/>
  <c r="AG150" i="8"/>
  <c r="Z202" i="8"/>
  <c r="AC202" i="8" s="1"/>
  <c r="AF202" i="8" s="1"/>
  <c r="AG202" i="8"/>
  <c r="AG157" i="8"/>
  <c r="AG216" i="8"/>
  <c r="AG212" i="8"/>
  <c r="AG174" i="8"/>
  <c r="AG211" i="8"/>
  <c r="AG222" i="8"/>
  <c r="X169" i="8"/>
  <c r="AA169" i="8" s="1"/>
  <c r="AD169" i="8" s="1"/>
  <c r="AG169" i="8"/>
  <c r="AG196" i="8"/>
  <c r="AG198" i="8"/>
  <c r="AG200" i="8"/>
  <c r="AG225" i="8"/>
  <c r="AG146" i="8"/>
  <c r="AG183" i="8"/>
  <c r="AG207" i="8"/>
  <c r="AG168" i="8"/>
  <c r="AG151" i="8"/>
  <c r="X171" i="8"/>
  <c r="AA171" i="8" s="1"/>
  <c r="AD171" i="8" s="1"/>
  <c r="AG171" i="8"/>
  <c r="AG180" i="8"/>
  <c r="AG172" i="8"/>
  <c r="AG182" i="8"/>
  <c r="AG195" i="8"/>
  <c r="Z224" i="8"/>
  <c r="AC224" i="8" s="1"/>
  <c r="AF224" i="8" s="1"/>
  <c r="AG224" i="8"/>
  <c r="X155" i="8"/>
  <c r="AA155" i="8" s="1"/>
  <c r="AD155" i="8" s="1"/>
  <c r="X185" i="8"/>
  <c r="AA185" i="8" s="1"/>
  <c r="AD185" i="8" s="1"/>
  <c r="Y140" i="8"/>
  <c r="AB140" i="8" s="1"/>
  <c r="AE140" i="8" s="1"/>
  <c r="Z144" i="8"/>
  <c r="AC144" i="8" s="1"/>
  <c r="AF144" i="8" s="1"/>
  <c r="Z223" i="8"/>
  <c r="AC223" i="8" s="1"/>
  <c r="AF223" i="8" s="1"/>
  <c r="V206" i="8"/>
  <c r="AG206" i="8" s="1"/>
  <c r="V138" i="8"/>
  <c r="Y221" i="8"/>
  <c r="AB221" i="8" s="1"/>
  <c r="AE221" i="8" s="1"/>
  <c r="Z211" i="8"/>
  <c r="AC211" i="8" s="1"/>
  <c r="AF211" i="8" s="1"/>
  <c r="X184" i="8"/>
  <c r="AA184" i="8" s="1"/>
  <c r="AD184" i="8" s="1"/>
  <c r="Z193" i="8"/>
  <c r="AC193" i="8" s="1"/>
  <c r="AF193" i="8" s="1"/>
  <c r="X215" i="8"/>
  <c r="AA215" i="8" s="1"/>
  <c r="AD215" i="8" s="1"/>
  <c r="Y209" i="8"/>
  <c r="AB209" i="8" s="1"/>
  <c r="AE209" i="8" s="1"/>
  <c r="X174" i="8"/>
  <c r="AA174" i="8" s="1"/>
  <c r="AD174" i="8" s="1"/>
  <c r="X194" i="8"/>
  <c r="AA194" i="8" s="1"/>
  <c r="AD194" i="8" s="1"/>
  <c r="Y187" i="8"/>
  <c r="AB187" i="8" s="1"/>
  <c r="AE187" i="8" s="1"/>
  <c r="X210" i="8"/>
  <c r="AA210" i="8" s="1"/>
  <c r="AD210" i="8" s="1"/>
  <c r="Y219" i="8"/>
  <c r="AB219" i="8" s="1"/>
  <c r="AE219" i="8" s="1"/>
  <c r="X212" i="8"/>
  <c r="AA212" i="8" s="1"/>
  <c r="AD212" i="8" s="1"/>
  <c r="X172" i="8"/>
  <c r="AA172" i="8" s="1"/>
  <c r="AD172" i="8" s="1"/>
  <c r="Y159" i="8"/>
  <c r="AB159" i="8" s="1"/>
  <c r="AE159" i="8" s="1"/>
  <c r="Y170" i="8"/>
  <c r="AB170" i="8" s="1"/>
  <c r="AE170" i="8" s="1"/>
  <c r="X161" i="8"/>
  <c r="AA161" i="8" s="1"/>
  <c r="AD161" i="8" s="1"/>
  <c r="Z186" i="8"/>
  <c r="AC186" i="8" s="1"/>
  <c r="AF186" i="8" s="1"/>
  <c r="Z201" i="8"/>
  <c r="AC201" i="8" s="1"/>
  <c r="AF201" i="8" s="1"/>
  <c r="Y214" i="8"/>
  <c r="AB214" i="8" s="1"/>
  <c r="AE214" i="8" s="1"/>
  <c r="V189" i="8"/>
  <c r="Y218" i="8"/>
  <c r="AB218" i="8" s="1"/>
  <c r="AE218" i="8" s="1"/>
  <c r="Y205" i="8"/>
  <c r="AB205" i="8" s="1"/>
  <c r="AE205" i="8" s="1"/>
  <c r="V173" i="8"/>
  <c r="Y177" i="8"/>
  <c r="AB177" i="8" s="1"/>
  <c r="AE177" i="8" s="1"/>
  <c r="Z145" i="8"/>
  <c r="AC145" i="8" s="1"/>
  <c r="AF145" i="8" s="1"/>
  <c r="Y156" i="8"/>
  <c r="AB156" i="8" s="1"/>
  <c r="AE156" i="8" s="1"/>
  <c r="Z179" i="8"/>
  <c r="AC179" i="8" s="1"/>
  <c r="AF179" i="8" s="1"/>
  <c r="V191" i="8"/>
  <c r="Y226" i="8"/>
  <c r="AB226" i="8" s="1"/>
  <c r="AE226" i="8" s="1"/>
  <c r="Z226" i="8"/>
  <c r="AC226" i="8" s="1"/>
  <c r="AF226" i="8" s="1"/>
  <c r="Y224" i="8"/>
  <c r="AB224" i="8" s="1"/>
  <c r="AE224" i="8" s="1"/>
  <c r="X224" i="8"/>
  <c r="AA224" i="8" s="1"/>
  <c r="AD224" i="8" s="1"/>
  <c r="Y223" i="8"/>
  <c r="AB223" i="8" s="1"/>
  <c r="AE223" i="8" s="1"/>
  <c r="X223" i="8"/>
  <c r="AA223" i="8" s="1"/>
  <c r="AD223" i="8" s="1"/>
  <c r="Z222" i="8"/>
  <c r="AC222" i="8" s="1"/>
  <c r="AF222" i="8" s="1"/>
  <c r="Y222" i="8"/>
  <c r="AB222" i="8" s="1"/>
  <c r="AE222" i="8" s="1"/>
  <c r="X222" i="8"/>
  <c r="AA222" i="8" s="1"/>
  <c r="AD222" i="8" s="1"/>
  <c r="X221" i="8"/>
  <c r="AA221" i="8" s="1"/>
  <c r="AD221" i="8" s="1"/>
  <c r="Z221" i="8"/>
  <c r="AC221" i="8" s="1"/>
  <c r="AF221" i="8" s="1"/>
  <c r="Z218" i="8"/>
  <c r="AC218" i="8" s="1"/>
  <c r="AF218" i="8" s="1"/>
  <c r="Z215" i="8"/>
  <c r="AC215" i="8" s="1"/>
  <c r="AF215" i="8" s="1"/>
  <c r="Y215" i="8"/>
  <c r="AB215" i="8" s="1"/>
  <c r="AE215" i="8" s="1"/>
  <c r="Z220" i="8"/>
  <c r="AC220" i="8" s="1"/>
  <c r="AF220" i="8" s="1"/>
  <c r="Y220" i="8"/>
  <c r="AB220" i="8" s="1"/>
  <c r="AE220" i="8" s="1"/>
  <c r="X220" i="8"/>
  <c r="AA220" i="8" s="1"/>
  <c r="AD220" i="8" s="1"/>
  <c r="Z227" i="8"/>
  <c r="AC227" i="8" s="1"/>
  <c r="AF227" i="8" s="1"/>
  <c r="Y227" i="8"/>
  <c r="AB227" i="8" s="1"/>
  <c r="AE227" i="8" s="1"/>
  <c r="X227" i="8"/>
  <c r="AA227" i="8" s="1"/>
  <c r="AD227" i="8" s="1"/>
  <c r="Z219" i="8"/>
  <c r="AC219" i="8" s="1"/>
  <c r="AF219" i="8" s="1"/>
  <c r="X218" i="8"/>
  <c r="AA218" i="8" s="1"/>
  <c r="AD218" i="8" s="1"/>
  <c r="X219" i="8"/>
  <c r="AA219" i="8" s="1"/>
  <c r="AD219" i="8" s="1"/>
  <c r="Y216" i="8"/>
  <c r="AB216" i="8" s="1"/>
  <c r="AE216" i="8" s="1"/>
  <c r="X216" i="8"/>
  <c r="AA216" i="8" s="1"/>
  <c r="AD216" i="8" s="1"/>
  <c r="Z216" i="8"/>
  <c r="AC216" i="8" s="1"/>
  <c r="AF216" i="8" s="1"/>
  <c r="X217" i="8"/>
  <c r="AA217" i="8" s="1"/>
  <c r="AD217" i="8" s="1"/>
  <c r="Z217" i="8"/>
  <c r="AC217" i="8" s="1"/>
  <c r="AF217" i="8" s="1"/>
  <c r="Y217" i="8"/>
  <c r="AB217" i="8" s="1"/>
  <c r="AE217" i="8" s="1"/>
  <c r="Y225" i="8"/>
  <c r="AB225" i="8" s="1"/>
  <c r="AE225" i="8" s="1"/>
  <c r="X225" i="8"/>
  <c r="AA225" i="8" s="1"/>
  <c r="AD225" i="8" s="1"/>
  <c r="Z225" i="8"/>
  <c r="AC225" i="8" s="1"/>
  <c r="AF225" i="8" s="1"/>
  <c r="V188" i="8"/>
  <c r="Z187" i="8"/>
  <c r="AC187" i="8" s="1"/>
  <c r="AF187" i="8" s="1"/>
  <c r="X187" i="8"/>
  <c r="AA187" i="8" s="1"/>
  <c r="AD187" i="8" s="1"/>
  <c r="X193" i="8"/>
  <c r="AA193" i="8" s="1"/>
  <c r="AD193" i="8" s="1"/>
  <c r="Y193" i="8"/>
  <c r="AB193" i="8" s="1"/>
  <c r="AE193" i="8" s="1"/>
  <c r="V204" i="8"/>
  <c r="AG204" i="8" s="1"/>
  <c r="Y201" i="8"/>
  <c r="AB201" i="8" s="1"/>
  <c r="AE201" i="8" s="1"/>
  <c r="V190" i="8"/>
  <c r="AG190" i="8" s="1"/>
  <c r="V203" i="8"/>
  <c r="Y210" i="8"/>
  <c r="AB210" i="8" s="1"/>
  <c r="AE210" i="8" s="1"/>
  <c r="Z210" i="8"/>
  <c r="AC210" i="8" s="1"/>
  <c r="AF210" i="8" s="1"/>
  <c r="Z209" i="8"/>
  <c r="AC209" i="8" s="1"/>
  <c r="AF209" i="8" s="1"/>
  <c r="X209" i="8"/>
  <c r="AA209" i="8" s="1"/>
  <c r="AD209" i="8" s="1"/>
  <c r="Z214" i="8"/>
  <c r="AC214" i="8" s="1"/>
  <c r="AF214" i="8" s="1"/>
  <c r="X214" i="8"/>
  <c r="AA214" i="8" s="1"/>
  <c r="AD214" i="8" s="1"/>
  <c r="Y212" i="8"/>
  <c r="AB212" i="8" s="1"/>
  <c r="AE212" i="8" s="1"/>
  <c r="Z212" i="8"/>
  <c r="AC212" i="8" s="1"/>
  <c r="AF212" i="8" s="1"/>
  <c r="Y202" i="8"/>
  <c r="AB202" i="8" s="1"/>
  <c r="AE202" i="8" s="1"/>
  <c r="X202" i="8"/>
  <c r="AA202" i="8" s="1"/>
  <c r="AD202" i="8" s="1"/>
  <c r="X201" i="8"/>
  <c r="AA201" i="8" s="1"/>
  <c r="AD201" i="8" s="1"/>
  <c r="Z200" i="8"/>
  <c r="AC200" i="8" s="1"/>
  <c r="AF200" i="8" s="1"/>
  <c r="X200" i="8"/>
  <c r="AA200" i="8" s="1"/>
  <c r="AD200" i="8" s="1"/>
  <c r="Y198" i="8"/>
  <c r="AB198" i="8" s="1"/>
  <c r="AE198" i="8" s="1"/>
  <c r="X198" i="8"/>
  <c r="AA198" i="8" s="1"/>
  <c r="AD198" i="8" s="1"/>
  <c r="Z198" i="8"/>
  <c r="AC198" i="8" s="1"/>
  <c r="AF198" i="8" s="1"/>
  <c r="Z195" i="8"/>
  <c r="AC195" i="8" s="1"/>
  <c r="AF195" i="8" s="1"/>
  <c r="X195" i="8"/>
  <c r="AA195" i="8" s="1"/>
  <c r="AD195" i="8" s="1"/>
  <c r="Y195" i="8"/>
  <c r="AB195" i="8" s="1"/>
  <c r="AE195" i="8" s="1"/>
  <c r="Y200" i="8"/>
  <c r="AB200" i="8" s="1"/>
  <c r="AE200" i="8" s="1"/>
  <c r="X205" i="8"/>
  <c r="AA205" i="8" s="1"/>
  <c r="AD205" i="8" s="1"/>
  <c r="Z205" i="8"/>
  <c r="AC205" i="8" s="1"/>
  <c r="AF205" i="8" s="1"/>
  <c r="X211" i="8"/>
  <c r="AA211" i="8" s="1"/>
  <c r="AD211" i="8" s="1"/>
  <c r="Y211" i="8"/>
  <c r="AB211" i="8" s="1"/>
  <c r="AE211" i="8" s="1"/>
  <c r="Y194" i="8"/>
  <c r="AB194" i="8" s="1"/>
  <c r="AE194" i="8" s="1"/>
  <c r="Z194" i="8"/>
  <c r="AC194" i="8" s="1"/>
  <c r="AF194" i="8" s="1"/>
  <c r="Z185" i="8"/>
  <c r="AC185" i="8" s="1"/>
  <c r="AF185" i="8" s="1"/>
  <c r="Y185" i="8"/>
  <c r="AB185" i="8" s="1"/>
  <c r="AE185" i="8" s="1"/>
  <c r="X186" i="8"/>
  <c r="AA186" i="8" s="1"/>
  <c r="AD186" i="8" s="1"/>
  <c r="Y186" i="8"/>
  <c r="AB186" i="8" s="1"/>
  <c r="AE186" i="8" s="1"/>
  <c r="Y184" i="8"/>
  <c r="AB184" i="8" s="1"/>
  <c r="AE184" i="8" s="1"/>
  <c r="Z184" i="8"/>
  <c r="AC184" i="8" s="1"/>
  <c r="AF184" i="8" s="1"/>
  <c r="Z177" i="8"/>
  <c r="AC177" i="8" s="1"/>
  <c r="AF177" i="8" s="1"/>
  <c r="X177" i="8"/>
  <c r="AA177" i="8" s="1"/>
  <c r="AD177" i="8" s="1"/>
  <c r="Y179" i="8"/>
  <c r="AB179" i="8" s="1"/>
  <c r="AE179" i="8" s="1"/>
  <c r="X179" i="8"/>
  <c r="AA179" i="8" s="1"/>
  <c r="AD179" i="8" s="1"/>
  <c r="X183" i="8"/>
  <c r="AA183" i="8" s="1"/>
  <c r="AD183" i="8" s="1"/>
  <c r="Y183" i="8"/>
  <c r="AB183" i="8" s="1"/>
  <c r="AE183" i="8" s="1"/>
  <c r="Z183" i="8"/>
  <c r="AC183" i="8" s="1"/>
  <c r="AF183" i="8" s="1"/>
  <c r="Z207" i="8"/>
  <c r="AC207" i="8" s="1"/>
  <c r="AF207" i="8" s="1"/>
  <c r="X207" i="8"/>
  <c r="AA207" i="8" s="1"/>
  <c r="AD207" i="8" s="1"/>
  <c r="Y207" i="8"/>
  <c r="AB207" i="8" s="1"/>
  <c r="AE207" i="8" s="1"/>
  <c r="Z176" i="8"/>
  <c r="AC176" i="8" s="1"/>
  <c r="AF176" i="8" s="1"/>
  <c r="X176" i="8"/>
  <c r="AA176" i="8" s="1"/>
  <c r="AD176" i="8" s="1"/>
  <c r="Y176" i="8"/>
  <c r="AB176" i="8" s="1"/>
  <c r="AE176" i="8" s="1"/>
  <c r="Z181" i="8"/>
  <c r="AC181" i="8" s="1"/>
  <c r="AF181" i="8" s="1"/>
  <c r="X181" i="8"/>
  <c r="AA181" i="8" s="1"/>
  <c r="AD181" i="8" s="1"/>
  <c r="Y181" i="8"/>
  <c r="AB181" i="8" s="1"/>
  <c r="AE181" i="8" s="1"/>
  <c r="Z196" i="8"/>
  <c r="AC196" i="8" s="1"/>
  <c r="AF196" i="8" s="1"/>
  <c r="Y196" i="8"/>
  <c r="AB196" i="8" s="1"/>
  <c r="AE196" i="8" s="1"/>
  <c r="X196" i="8"/>
  <c r="AA196" i="8" s="1"/>
  <c r="AD196" i="8" s="1"/>
  <c r="Z213" i="8"/>
  <c r="AC213" i="8" s="1"/>
  <c r="AF213" i="8" s="1"/>
  <c r="Y213" i="8"/>
  <c r="AB213" i="8" s="1"/>
  <c r="AE213" i="8" s="1"/>
  <c r="X213" i="8"/>
  <c r="AA213" i="8" s="1"/>
  <c r="AD213" i="8" s="1"/>
  <c r="Z208" i="8"/>
  <c r="AC208" i="8" s="1"/>
  <c r="AF208" i="8" s="1"/>
  <c r="Y208" i="8"/>
  <c r="AB208" i="8" s="1"/>
  <c r="AE208" i="8" s="1"/>
  <c r="X208" i="8"/>
  <c r="AA208" i="8" s="1"/>
  <c r="AD208" i="8" s="1"/>
  <c r="V166" i="8"/>
  <c r="AG166" i="8" s="1"/>
  <c r="Z197" i="8"/>
  <c r="AC197" i="8" s="1"/>
  <c r="AF197" i="8" s="1"/>
  <c r="Y197" i="8"/>
  <c r="AB197" i="8" s="1"/>
  <c r="AE197" i="8" s="1"/>
  <c r="X197" i="8"/>
  <c r="AA197" i="8" s="1"/>
  <c r="AD197" i="8" s="1"/>
  <c r="Z192" i="8"/>
  <c r="AC192" i="8" s="1"/>
  <c r="AF192" i="8" s="1"/>
  <c r="Y192" i="8"/>
  <c r="AB192" i="8" s="1"/>
  <c r="AE192" i="8" s="1"/>
  <c r="X192" i="8"/>
  <c r="AA192" i="8" s="1"/>
  <c r="AD192" i="8" s="1"/>
  <c r="X199" i="8"/>
  <c r="AA199" i="8" s="1"/>
  <c r="AD199" i="8" s="1"/>
  <c r="Z199" i="8"/>
  <c r="AC199" i="8" s="1"/>
  <c r="AF199" i="8" s="1"/>
  <c r="Y199" i="8"/>
  <c r="AB199" i="8" s="1"/>
  <c r="AE199" i="8" s="1"/>
  <c r="Z178" i="8"/>
  <c r="AC178" i="8" s="1"/>
  <c r="AF178" i="8" s="1"/>
  <c r="Y178" i="8"/>
  <c r="AB178" i="8" s="1"/>
  <c r="AE178" i="8" s="1"/>
  <c r="X178" i="8"/>
  <c r="AA178" i="8" s="1"/>
  <c r="AD178" i="8" s="1"/>
  <c r="Z180" i="8"/>
  <c r="AC180" i="8" s="1"/>
  <c r="AF180" i="8" s="1"/>
  <c r="Y180" i="8"/>
  <c r="AB180" i="8" s="1"/>
  <c r="AE180" i="8" s="1"/>
  <c r="X180" i="8"/>
  <c r="AA180" i="8" s="1"/>
  <c r="AD180" i="8" s="1"/>
  <c r="X182" i="8"/>
  <c r="AA182" i="8" s="1"/>
  <c r="AD182" i="8" s="1"/>
  <c r="Z182" i="8"/>
  <c r="AC182" i="8" s="1"/>
  <c r="AF182" i="8" s="1"/>
  <c r="Y182" i="8"/>
  <c r="AB182" i="8" s="1"/>
  <c r="AE182" i="8" s="1"/>
  <c r="X170" i="8"/>
  <c r="AA170" i="8" s="1"/>
  <c r="AD170" i="8" s="1"/>
  <c r="V160" i="8"/>
  <c r="AG160" i="8" s="1"/>
  <c r="Z171" i="8"/>
  <c r="AC171" i="8" s="1"/>
  <c r="AF171" i="8" s="1"/>
  <c r="Y171" i="8"/>
  <c r="AB171" i="8" s="1"/>
  <c r="AE171" i="8" s="1"/>
  <c r="Z170" i="8"/>
  <c r="AC170" i="8" s="1"/>
  <c r="AF170" i="8" s="1"/>
  <c r="X175" i="8"/>
  <c r="AA175" i="8" s="1"/>
  <c r="AD175" i="8" s="1"/>
  <c r="Z175" i="8"/>
  <c r="AC175" i="8" s="1"/>
  <c r="AF175" i="8" s="1"/>
  <c r="Y175" i="8"/>
  <c r="AB175" i="8" s="1"/>
  <c r="AE175" i="8" s="1"/>
  <c r="Y172" i="8"/>
  <c r="AB172" i="8" s="1"/>
  <c r="AE172" i="8" s="1"/>
  <c r="Z172" i="8"/>
  <c r="AC172" i="8" s="1"/>
  <c r="AF172" i="8" s="1"/>
  <c r="Y174" i="8"/>
  <c r="AB174" i="8" s="1"/>
  <c r="AE174" i="8" s="1"/>
  <c r="Z174" i="8"/>
  <c r="AC174" i="8" s="1"/>
  <c r="AF174" i="8" s="1"/>
  <c r="Z169" i="8"/>
  <c r="AC169" i="8" s="1"/>
  <c r="AF169" i="8" s="1"/>
  <c r="Y169" i="8"/>
  <c r="AB169" i="8" s="1"/>
  <c r="AE169" i="8" s="1"/>
  <c r="X144" i="8"/>
  <c r="AA144" i="8" s="1"/>
  <c r="AD144" i="8" s="1"/>
  <c r="V165" i="8"/>
  <c r="Y161" i="8"/>
  <c r="AB161" i="8" s="1"/>
  <c r="AE161" i="8" s="1"/>
  <c r="Z161" i="8"/>
  <c r="AC161" i="8" s="1"/>
  <c r="AF161" i="8" s="1"/>
  <c r="V164" i="8"/>
  <c r="Y144" i="8"/>
  <c r="AB144" i="8" s="1"/>
  <c r="AE144" i="8" s="1"/>
  <c r="Z155" i="8"/>
  <c r="AC155" i="8" s="1"/>
  <c r="AF155" i="8" s="1"/>
  <c r="Y155" i="8"/>
  <c r="AB155" i="8" s="1"/>
  <c r="AE155" i="8" s="1"/>
  <c r="X154" i="8"/>
  <c r="AA154" i="8" s="1"/>
  <c r="AD154" i="8" s="1"/>
  <c r="Z154" i="8"/>
  <c r="AC154" i="8" s="1"/>
  <c r="AF154" i="8" s="1"/>
  <c r="X157" i="8"/>
  <c r="AA157" i="8" s="1"/>
  <c r="AD157" i="8" s="1"/>
  <c r="Z157" i="8"/>
  <c r="AC157" i="8" s="1"/>
  <c r="AF157" i="8" s="1"/>
  <c r="Y157" i="8"/>
  <c r="AB157" i="8" s="1"/>
  <c r="AE157" i="8" s="1"/>
  <c r="X158" i="8"/>
  <c r="AA158" i="8" s="1"/>
  <c r="AD158" i="8" s="1"/>
  <c r="Z158" i="8"/>
  <c r="AC158" i="8" s="1"/>
  <c r="AF158" i="8" s="1"/>
  <c r="Y158" i="8"/>
  <c r="AB158" i="8" s="1"/>
  <c r="AE158" i="8" s="1"/>
  <c r="Y141" i="8"/>
  <c r="AB141" i="8" s="1"/>
  <c r="AE141" i="8" s="1"/>
  <c r="X141" i="8"/>
  <c r="AA141" i="8" s="1"/>
  <c r="AD141" i="8" s="1"/>
  <c r="Z141" i="8"/>
  <c r="AC141" i="8" s="1"/>
  <c r="AF141" i="8" s="1"/>
  <c r="V153" i="8"/>
  <c r="X145" i="8"/>
  <c r="AA145" i="8" s="1"/>
  <c r="AD145" i="8" s="1"/>
  <c r="X156" i="8"/>
  <c r="AA156" i="8" s="1"/>
  <c r="AD156" i="8" s="1"/>
  <c r="X159" i="8"/>
  <c r="AA159" i="8" s="1"/>
  <c r="AD159" i="8" s="1"/>
  <c r="Z156" i="8"/>
  <c r="AC156" i="8" s="1"/>
  <c r="AF156" i="8" s="1"/>
  <c r="Z159" i="8"/>
  <c r="AC159" i="8" s="1"/>
  <c r="AF159" i="8" s="1"/>
  <c r="Y145" i="8"/>
  <c r="AB145" i="8" s="1"/>
  <c r="AE145" i="8" s="1"/>
  <c r="X140" i="8"/>
  <c r="AA140" i="8" s="1"/>
  <c r="AD140" i="8" s="1"/>
  <c r="Z140" i="8"/>
  <c r="AC140" i="8" s="1"/>
  <c r="AF140" i="8" s="1"/>
  <c r="Y167" i="8"/>
  <c r="AB167" i="8" s="1"/>
  <c r="AE167" i="8" s="1"/>
  <c r="Z167" i="8"/>
  <c r="AC167" i="8" s="1"/>
  <c r="AF167" i="8" s="1"/>
  <c r="X167" i="8"/>
  <c r="AA167" i="8" s="1"/>
  <c r="AD167" i="8" s="1"/>
  <c r="Z162" i="8"/>
  <c r="AC162" i="8" s="1"/>
  <c r="AF162" i="8" s="1"/>
  <c r="X162" i="8"/>
  <c r="AA162" i="8" s="1"/>
  <c r="AD162" i="8" s="1"/>
  <c r="Y162" i="8"/>
  <c r="AB162" i="8" s="1"/>
  <c r="AE162" i="8" s="1"/>
  <c r="Y151" i="8"/>
  <c r="AB151" i="8" s="1"/>
  <c r="AE151" i="8" s="1"/>
  <c r="Z151" i="8"/>
  <c r="AC151" i="8" s="1"/>
  <c r="AF151" i="8" s="1"/>
  <c r="X151" i="8"/>
  <c r="AA151" i="8" s="1"/>
  <c r="AD151" i="8" s="1"/>
  <c r="X148" i="8"/>
  <c r="AA148" i="8" s="1"/>
  <c r="AD148" i="8" s="1"/>
  <c r="Y148" i="8"/>
  <c r="AB148" i="8" s="1"/>
  <c r="AE148" i="8" s="1"/>
  <c r="Z148" i="8"/>
  <c r="AC148" i="8" s="1"/>
  <c r="AF148" i="8" s="1"/>
  <c r="Y168" i="8"/>
  <c r="AB168" i="8" s="1"/>
  <c r="AE168" i="8" s="1"/>
  <c r="Z168" i="8"/>
  <c r="AC168" i="8" s="1"/>
  <c r="AF168" i="8" s="1"/>
  <c r="X168" i="8"/>
  <c r="AA168" i="8" s="1"/>
  <c r="AD168" i="8" s="1"/>
  <c r="X149" i="8"/>
  <c r="AA149" i="8" s="1"/>
  <c r="AD149" i="8" s="1"/>
  <c r="Y149" i="8"/>
  <c r="AB149" i="8" s="1"/>
  <c r="AE149" i="8" s="1"/>
  <c r="Z149" i="8"/>
  <c r="AC149" i="8" s="1"/>
  <c r="AF149" i="8" s="1"/>
  <c r="Y150" i="8"/>
  <c r="AB150" i="8" s="1"/>
  <c r="AE150" i="8" s="1"/>
  <c r="Z150" i="8"/>
  <c r="AC150" i="8" s="1"/>
  <c r="AF150" i="8" s="1"/>
  <c r="X150" i="8"/>
  <c r="AA150" i="8" s="1"/>
  <c r="AD150" i="8" s="1"/>
  <c r="Z143" i="8"/>
  <c r="AC143" i="8" s="1"/>
  <c r="AF143" i="8" s="1"/>
  <c r="X143" i="8"/>
  <c r="AA143" i="8" s="1"/>
  <c r="AD143" i="8" s="1"/>
  <c r="Y143" i="8"/>
  <c r="AB143" i="8" s="1"/>
  <c r="AE143" i="8" s="1"/>
  <c r="X142" i="8"/>
  <c r="AA142" i="8" s="1"/>
  <c r="AD142" i="8" s="1"/>
  <c r="Z142" i="8"/>
  <c r="AC142" i="8" s="1"/>
  <c r="AF142" i="8" s="1"/>
  <c r="Y142" i="8"/>
  <c r="AB142" i="8" s="1"/>
  <c r="AE142" i="8" s="1"/>
  <c r="V139" i="8"/>
  <c r="V152" i="8"/>
  <c r="X163" i="8"/>
  <c r="AA163" i="8" s="1"/>
  <c r="AD163" i="8" s="1"/>
  <c r="Z163" i="8"/>
  <c r="AC163" i="8" s="1"/>
  <c r="AF163" i="8" s="1"/>
  <c r="Y163" i="8"/>
  <c r="AB163" i="8" s="1"/>
  <c r="AE163" i="8" s="1"/>
  <c r="Z146" i="8"/>
  <c r="AC146" i="8" s="1"/>
  <c r="AF146" i="8" s="1"/>
  <c r="X146" i="8"/>
  <c r="AA146" i="8" s="1"/>
  <c r="AD146" i="8" s="1"/>
  <c r="Y146" i="8"/>
  <c r="AB146" i="8" s="1"/>
  <c r="AE146" i="8" s="1"/>
  <c r="X147" i="8"/>
  <c r="AA147" i="8" s="1"/>
  <c r="AD147" i="8" s="1"/>
  <c r="Y147" i="8"/>
  <c r="AB147" i="8" s="1"/>
  <c r="AE147" i="8" s="1"/>
  <c r="Z147" i="8"/>
  <c r="AC147" i="8" s="1"/>
  <c r="AF147" i="8" s="1"/>
  <c r="E106" i="7"/>
  <c r="E104" i="7"/>
  <c r="E116" i="7"/>
  <c r="E109" i="7"/>
  <c r="E122" i="7"/>
  <c r="E168" i="7"/>
  <c r="E126" i="7"/>
  <c r="E111" i="7"/>
  <c r="E144" i="7"/>
  <c r="E170" i="7"/>
  <c r="E127" i="7"/>
  <c r="E129" i="7"/>
  <c r="E149" i="7"/>
  <c r="E153" i="7"/>
  <c r="E133" i="7"/>
  <c r="E135" i="7"/>
  <c r="E114" i="7"/>
  <c r="E173" i="7"/>
  <c r="E174" i="7"/>
  <c r="E175" i="7"/>
  <c r="E176" i="7"/>
  <c r="E157" i="7"/>
  <c r="E137" i="7"/>
  <c r="E117" i="7"/>
  <c r="E140" i="7"/>
  <c r="E177" i="7"/>
  <c r="E165" i="7"/>
  <c r="E141" i="7"/>
  <c r="E145" i="7"/>
  <c r="E179" i="7"/>
  <c r="E128" i="7"/>
  <c r="E169" i="7"/>
  <c r="E171" i="7"/>
  <c r="E172" i="7"/>
  <c r="E189" i="7"/>
  <c r="E178" i="7"/>
  <c r="E191" i="7"/>
  <c r="E192" i="7"/>
  <c r="E193" i="7"/>
  <c r="E194" i="7"/>
  <c r="E195" i="7"/>
  <c r="E200" i="7"/>
  <c r="E119" i="7"/>
  <c r="E24" i="7"/>
  <c r="E20" i="7"/>
  <c r="E49" i="7"/>
  <c r="E19" i="7"/>
  <c r="E26" i="7"/>
  <c r="E27" i="7"/>
  <c r="E29" i="7"/>
  <c r="E54" i="7"/>
  <c r="E28" i="7"/>
  <c r="E31" i="7"/>
  <c r="E32" i="7"/>
  <c r="E58" i="7"/>
  <c r="E34" i="7"/>
  <c r="E60" i="7"/>
  <c r="E33" i="7"/>
  <c r="E46" i="7"/>
  <c r="E39" i="7"/>
  <c r="E40" i="7"/>
  <c r="E35" i="7"/>
  <c r="E41" i="7"/>
  <c r="E47" i="7"/>
  <c r="E120" i="7"/>
  <c r="E43" i="7"/>
  <c r="E121" i="7"/>
  <c r="E63" i="7"/>
  <c r="E74" i="7"/>
  <c r="E78" i="7"/>
  <c r="E81" i="7"/>
  <c r="E64" i="7"/>
  <c r="E130" i="7"/>
  <c r="E48" i="7"/>
  <c r="E103" i="7"/>
  <c r="E66" i="7"/>
  <c r="E71" i="7"/>
  <c r="E107" i="7"/>
  <c r="E132" i="7"/>
  <c r="E52" i="7"/>
  <c r="E108" i="7"/>
  <c r="E59" i="7"/>
  <c r="E134" i="7"/>
  <c r="E75" i="7"/>
  <c r="E112" i="7"/>
  <c r="E113" i="7"/>
  <c r="E65" i="7"/>
  <c r="E143" i="7"/>
  <c r="E69" i="7"/>
  <c r="E136" i="7"/>
  <c r="E138" i="7"/>
  <c r="E77" i="7"/>
  <c r="E148" i="7"/>
  <c r="E79" i="7"/>
  <c r="E152" i="7"/>
  <c r="E155" i="7"/>
  <c r="E163" i="7"/>
  <c r="E167" i="7"/>
  <c r="E80" i="7"/>
  <c r="E123" i="7"/>
  <c r="E124" i="7"/>
  <c r="E125" i="7"/>
  <c r="E42" i="7"/>
  <c r="E44" i="7"/>
  <c r="E36" i="7"/>
  <c r="E45" i="7"/>
  <c r="E110" i="7"/>
  <c r="E37" i="7"/>
  <c r="E115" i="7"/>
  <c r="E50" i="7"/>
  <c r="E118" i="7"/>
  <c r="E51" i="7"/>
  <c r="E72" i="7"/>
  <c r="E55" i="7"/>
  <c r="E73" i="7"/>
  <c r="E38" i="7"/>
  <c r="E56" i="7"/>
  <c r="E57" i="7"/>
  <c r="E5" i="7"/>
  <c r="E9" i="7"/>
  <c r="E12" i="7"/>
  <c r="E4" i="7"/>
  <c r="E6" i="7"/>
  <c r="E7" i="7"/>
  <c r="E13" i="7"/>
  <c r="E16" i="7"/>
  <c r="E8" i="7"/>
  <c r="E10" i="7"/>
  <c r="E21" i="7"/>
  <c r="E17" i="7"/>
  <c r="C5" i="7"/>
  <c r="C9" i="7"/>
  <c r="C12" i="7"/>
  <c r="C4" i="7"/>
  <c r="C6" i="7"/>
  <c r="C7" i="7"/>
  <c r="C13" i="7"/>
  <c r="C8" i="7"/>
  <c r="C10" i="7"/>
  <c r="B106" i="7"/>
  <c r="B104" i="7"/>
  <c r="B116" i="7"/>
  <c r="B109" i="7"/>
  <c r="B122" i="7"/>
  <c r="B168" i="7"/>
  <c r="B126" i="7"/>
  <c r="B111" i="7"/>
  <c r="B144" i="7"/>
  <c r="B170" i="7"/>
  <c r="B127" i="7"/>
  <c r="B129" i="7"/>
  <c r="B149" i="7"/>
  <c r="B153" i="7"/>
  <c r="B133" i="7"/>
  <c r="B135" i="7"/>
  <c r="B114" i="7"/>
  <c r="B173" i="7"/>
  <c r="B174" i="7"/>
  <c r="B175" i="7"/>
  <c r="B176" i="7"/>
  <c r="B157" i="7"/>
  <c r="B137" i="7"/>
  <c r="B117" i="7"/>
  <c r="B140" i="7"/>
  <c r="B177" i="7"/>
  <c r="B165" i="7"/>
  <c r="B141" i="7"/>
  <c r="B145" i="7"/>
  <c r="B179" i="7"/>
  <c r="B128" i="7"/>
  <c r="B169" i="7"/>
  <c r="B171" i="7"/>
  <c r="B172" i="7"/>
  <c r="B189" i="7"/>
  <c r="B178" i="7"/>
  <c r="B191" i="7"/>
  <c r="B192" i="7"/>
  <c r="B193" i="7"/>
  <c r="B194" i="7"/>
  <c r="B195" i="7"/>
  <c r="B200" i="7"/>
  <c r="B119" i="7"/>
  <c r="B24" i="7"/>
  <c r="B20" i="7"/>
  <c r="B49" i="7"/>
  <c r="B19" i="7"/>
  <c r="B26" i="7"/>
  <c r="B27" i="7"/>
  <c r="B29" i="7"/>
  <c r="B54" i="7"/>
  <c r="B28" i="7"/>
  <c r="B31" i="7"/>
  <c r="B32" i="7"/>
  <c r="B58" i="7"/>
  <c r="B34" i="7"/>
  <c r="B60" i="7"/>
  <c r="B33" i="7"/>
  <c r="B46" i="7"/>
  <c r="B39" i="7"/>
  <c r="B40" i="7"/>
  <c r="B35" i="7"/>
  <c r="B41" i="7"/>
  <c r="B47" i="7"/>
  <c r="B120" i="7"/>
  <c r="B43" i="7"/>
  <c r="B121" i="7"/>
  <c r="B63" i="7"/>
  <c r="B74" i="7"/>
  <c r="B78" i="7"/>
  <c r="B81" i="7"/>
  <c r="B64" i="7"/>
  <c r="B130" i="7"/>
  <c r="B48" i="7"/>
  <c r="B103" i="7"/>
  <c r="B66" i="7"/>
  <c r="B71" i="7"/>
  <c r="B107" i="7"/>
  <c r="B132" i="7"/>
  <c r="B52" i="7"/>
  <c r="B108" i="7"/>
  <c r="B59" i="7"/>
  <c r="B134" i="7"/>
  <c r="B75" i="7"/>
  <c r="B112" i="7"/>
  <c r="B113" i="7"/>
  <c r="B65" i="7"/>
  <c r="B143" i="7"/>
  <c r="B69" i="7"/>
  <c r="B136" i="7"/>
  <c r="B138" i="7"/>
  <c r="B77" i="7"/>
  <c r="B148" i="7"/>
  <c r="B79" i="7"/>
  <c r="B152" i="7"/>
  <c r="B155" i="7"/>
  <c r="B163" i="7"/>
  <c r="B167" i="7"/>
  <c r="B80" i="7"/>
  <c r="B123" i="7"/>
  <c r="B124" i="7"/>
  <c r="B125" i="7"/>
  <c r="B42" i="7"/>
  <c r="B44" i="7"/>
  <c r="B36" i="7"/>
  <c r="B45" i="7"/>
  <c r="B110" i="7"/>
  <c r="B37" i="7"/>
  <c r="B115" i="7"/>
  <c r="B50" i="7"/>
  <c r="B118" i="7"/>
  <c r="B51" i="7"/>
  <c r="B72" i="7"/>
  <c r="B55" i="7"/>
  <c r="B73" i="7"/>
  <c r="B38" i="7"/>
  <c r="B56" i="7"/>
  <c r="B57" i="7"/>
  <c r="B5" i="7"/>
  <c r="B9" i="7"/>
  <c r="B12" i="7"/>
  <c r="B4" i="7"/>
  <c r="B6" i="7"/>
  <c r="B7" i="7"/>
  <c r="B13" i="7"/>
  <c r="B16" i="7"/>
  <c r="B8" i="7"/>
  <c r="B10" i="7"/>
  <c r="B21" i="7"/>
  <c r="B17" i="7"/>
  <c r="B4" i="8"/>
  <c r="B4" i="2"/>
  <c r="C4" i="8"/>
  <c r="C5" i="8" s="1"/>
  <c r="C6" i="8" s="1"/>
  <c r="D6" i="8" s="1"/>
  <c r="I4" i="8"/>
  <c r="J4" i="8" s="1"/>
  <c r="S4" i="8" s="1"/>
  <c r="T4" i="8" s="1"/>
  <c r="I20" i="8"/>
  <c r="J20" i="8" s="1"/>
  <c r="I21" i="8"/>
  <c r="J21" i="8" s="1"/>
  <c r="I22" i="8"/>
  <c r="J22" i="8" s="1"/>
  <c r="I23" i="8"/>
  <c r="J23" i="8" s="1"/>
  <c r="I24" i="8"/>
  <c r="J24" i="8" s="1"/>
  <c r="I25" i="8"/>
  <c r="J25" i="8" s="1"/>
  <c r="I26" i="8"/>
  <c r="J26" i="8" s="1"/>
  <c r="I27" i="8"/>
  <c r="J27" i="8" s="1"/>
  <c r="I28" i="8"/>
  <c r="J28" i="8" s="1"/>
  <c r="I29" i="8"/>
  <c r="J29" i="8" s="1"/>
  <c r="I30" i="8"/>
  <c r="J30" i="8" s="1"/>
  <c r="I31" i="8"/>
  <c r="J31" i="8" s="1"/>
  <c r="I32" i="8"/>
  <c r="J32" i="8" s="1"/>
  <c r="I33" i="8"/>
  <c r="J33" i="8" s="1"/>
  <c r="I34" i="8"/>
  <c r="J34" i="8" s="1"/>
  <c r="I35" i="8"/>
  <c r="J35" i="8" s="1"/>
  <c r="I36" i="8"/>
  <c r="J36" i="8" s="1"/>
  <c r="S36" i="8" s="1"/>
  <c r="T36" i="8" s="1"/>
  <c r="I37" i="8"/>
  <c r="J37" i="8" s="1"/>
  <c r="S37" i="8" s="1"/>
  <c r="U37" i="8" s="1"/>
  <c r="I38" i="8"/>
  <c r="J38" i="8" s="1"/>
  <c r="S38" i="8" s="1"/>
  <c r="U38" i="8" s="1"/>
  <c r="I39" i="8"/>
  <c r="J39" i="8" s="1"/>
  <c r="S39" i="8" s="1"/>
  <c r="U39" i="8" s="1"/>
  <c r="I40" i="8"/>
  <c r="J40" i="8" s="1"/>
  <c r="S40" i="8" s="1"/>
  <c r="I41" i="8"/>
  <c r="J41" i="8" s="1"/>
  <c r="S41" i="8" s="1"/>
  <c r="U41" i="8" s="1"/>
  <c r="I42" i="8"/>
  <c r="J42" i="8" s="1"/>
  <c r="S42" i="8" s="1"/>
  <c r="U42" i="8" s="1"/>
  <c r="I43" i="8"/>
  <c r="J43" i="8" s="1"/>
  <c r="S43" i="8" s="1"/>
  <c r="U43" i="8" s="1"/>
  <c r="I44" i="8"/>
  <c r="J44" i="8" s="1"/>
  <c r="S44" i="8" s="1"/>
  <c r="T44" i="8" s="1"/>
  <c r="I45" i="8"/>
  <c r="J45" i="8" s="1"/>
  <c r="S45" i="8" s="1"/>
  <c r="U45" i="8" s="1"/>
  <c r="I46" i="8"/>
  <c r="J46" i="8" s="1"/>
  <c r="S46" i="8" s="1"/>
  <c r="U46" i="8" s="1"/>
  <c r="I47" i="8"/>
  <c r="J47" i="8" s="1"/>
  <c r="S47" i="8" s="1"/>
  <c r="U47" i="8" s="1"/>
  <c r="I48" i="8"/>
  <c r="J48" i="8" s="1"/>
  <c r="S48" i="8" s="1"/>
  <c r="U48" i="8" s="1"/>
  <c r="I49" i="8"/>
  <c r="J49" i="8" s="1"/>
  <c r="S49" i="8" s="1"/>
  <c r="U49" i="8" s="1"/>
  <c r="I50" i="8"/>
  <c r="J50" i="8" s="1"/>
  <c r="S50" i="8" s="1"/>
  <c r="U50" i="8" s="1"/>
  <c r="I51" i="8"/>
  <c r="J51" i="8" s="1"/>
  <c r="S51" i="8" s="1"/>
  <c r="I52" i="8"/>
  <c r="J52" i="8" s="1"/>
  <c r="S52" i="8" s="1"/>
  <c r="U52" i="8" s="1"/>
  <c r="I53" i="8"/>
  <c r="J53" i="8" s="1"/>
  <c r="S53" i="8" s="1"/>
  <c r="T53" i="8" s="1"/>
  <c r="I54" i="8"/>
  <c r="J54" i="8" s="1"/>
  <c r="S54" i="8" s="1"/>
  <c r="T54" i="8" s="1"/>
  <c r="I55" i="8"/>
  <c r="J55" i="8" s="1"/>
  <c r="S55" i="8" s="1"/>
  <c r="U55" i="8" s="1"/>
  <c r="I56" i="8"/>
  <c r="J56" i="8" s="1"/>
  <c r="S56" i="8" s="1"/>
  <c r="U56" i="8" s="1"/>
  <c r="I57" i="8"/>
  <c r="J57" i="8" s="1"/>
  <c r="S57" i="8" s="1"/>
  <c r="U57" i="8" s="1"/>
  <c r="I58" i="8"/>
  <c r="J58" i="8" s="1"/>
  <c r="S58" i="8" s="1"/>
  <c r="U58" i="8" s="1"/>
  <c r="I59" i="8"/>
  <c r="J59" i="8" s="1"/>
  <c r="S59" i="8" s="1"/>
  <c r="U59" i="8" s="1"/>
  <c r="I60" i="8"/>
  <c r="J60" i="8" s="1"/>
  <c r="S60" i="8" s="1"/>
  <c r="T60" i="8" s="1"/>
  <c r="I61" i="8"/>
  <c r="J61" i="8" s="1"/>
  <c r="S61" i="8" s="1"/>
  <c r="U61" i="8" s="1"/>
  <c r="I62" i="8"/>
  <c r="J62" i="8" s="1"/>
  <c r="S62" i="8" s="1"/>
  <c r="U62" i="8" s="1"/>
  <c r="I63" i="8"/>
  <c r="J63" i="8" s="1"/>
  <c r="S63" i="8" s="1"/>
  <c r="U63" i="8" s="1"/>
  <c r="I64" i="8"/>
  <c r="J64" i="8" s="1"/>
  <c r="S64" i="8" s="1"/>
  <c r="U64" i="8" s="1"/>
  <c r="I65" i="8"/>
  <c r="J65" i="8" s="1"/>
  <c r="S65" i="8" s="1"/>
  <c r="U65" i="8" s="1"/>
  <c r="I66" i="8"/>
  <c r="J66" i="8" s="1"/>
  <c r="S66" i="8" s="1"/>
  <c r="U66" i="8" s="1"/>
  <c r="I67" i="8"/>
  <c r="J67" i="8" s="1"/>
  <c r="S67" i="8" s="1"/>
  <c r="I68" i="8"/>
  <c r="J68" i="8" s="1"/>
  <c r="S68" i="8" s="1"/>
  <c r="T68" i="8" s="1"/>
  <c r="I69" i="8"/>
  <c r="J69" i="8" s="1"/>
  <c r="S69" i="8" s="1"/>
  <c r="T69" i="8" s="1"/>
  <c r="I70" i="8"/>
  <c r="J70" i="8" s="1"/>
  <c r="S70" i="8" s="1"/>
  <c r="T70" i="8" s="1"/>
  <c r="I71" i="8"/>
  <c r="J71" i="8" s="1"/>
  <c r="S71" i="8" s="1"/>
  <c r="U71" i="8" s="1"/>
  <c r="I72" i="8"/>
  <c r="J72" i="8" s="1"/>
  <c r="S72" i="8" s="1"/>
  <c r="I73" i="8"/>
  <c r="J73" i="8" s="1"/>
  <c r="S73" i="8" s="1"/>
  <c r="U73" i="8" s="1"/>
  <c r="I74" i="8"/>
  <c r="J74" i="8" s="1"/>
  <c r="S74" i="8" s="1"/>
  <c r="U74" i="8" s="1"/>
  <c r="I75" i="8"/>
  <c r="J75" i="8" s="1"/>
  <c r="S75" i="8" s="1"/>
  <c r="U75" i="8" s="1"/>
  <c r="I76" i="8"/>
  <c r="J76" i="8" s="1"/>
  <c r="S76" i="8" s="1"/>
  <c r="T76" i="8" s="1"/>
  <c r="I77" i="8"/>
  <c r="J77" i="8" s="1"/>
  <c r="S77" i="8" s="1"/>
  <c r="U77" i="8" s="1"/>
  <c r="I78" i="8"/>
  <c r="J78" i="8" s="1"/>
  <c r="S78" i="8" s="1"/>
  <c r="U78" i="8" s="1"/>
  <c r="I79" i="8"/>
  <c r="J79" i="8" s="1"/>
  <c r="S79" i="8" s="1"/>
  <c r="U79" i="8" s="1"/>
  <c r="I80" i="8"/>
  <c r="J80" i="8" s="1"/>
  <c r="S80" i="8" s="1"/>
  <c r="U80" i="8" s="1"/>
  <c r="I81" i="8"/>
  <c r="J81" i="8" s="1"/>
  <c r="S81" i="8" s="1"/>
  <c r="U81" i="8" s="1"/>
  <c r="I82" i="8"/>
  <c r="J82" i="8" s="1"/>
  <c r="S82" i="8" s="1"/>
  <c r="U82" i="8" s="1"/>
  <c r="I83" i="8"/>
  <c r="J83" i="8" s="1"/>
  <c r="S83" i="8" s="1"/>
  <c r="I84" i="8"/>
  <c r="J84" i="8" s="1"/>
  <c r="S84" i="8" s="1"/>
  <c r="T84" i="8" s="1"/>
  <c r="I85" i="8"/>
  <c r="J85" i="8" s="1"/>
  <c r="S85" i="8" s="1"/>
  <c r="T85" i="8" s="1"/>
  <c r="I86" i="8"/>
  <c r="J86" i="8" s="1"/>
  <c r="S86" i="8" s="1"/>
  <c r="U86" i="8" s="1"/>
  <c r="I87" i="8"/>
  <c r="J87" i="8" s="1"/>
  <c r="S87" i="8" s="1"/>
  <c r="T87" i="8" s="1"/>
  <c r="I88" i="8"/>
  <c r="J88" i="8" s="1"/>
  <c r="S88" i="8" s="1"/>
  <c r="U88" i="8" s="1"/>
  <c r="I89" i="8"/>
  <c r="J89" i="8" s="1"/>
  <c r="S89" i="8" s="1"/>
  <c r="T89" i="8" s="1"/>
  <c r="I90" i="8"/>
  <c r="J90" i="8" s="1"/>
  <c r="S90" i="8" s="1"/>
  <c r="I91" i="8"/>
  <c r="J91" i="8" s="1"/>
  <c r="S91" i="8" s="1"/>
  <c r="T91" i="8" s="1"/>
  <c r="I92" i="8"/>
  <c r="J92" i="8" s="1"/>
  <c r="S92" i="8" s="1"/>
  <c r="T92" i="8" s="1"/>
  <c r="I93" i="8"/>
  <c r="J93" i="8" s="1"/>
  <c r="S93" i="8" s="1"/>
  <c r="U93" i="8" s="1"/>
  <c r="I94" i="8"/>
  <c r="J94" i="8" s="1"/>
  <c r="S94" i="8" s="1"/>
  <c r="U94" i="8" s="1"/>
  <c r="I95" i="8"/>
  <c r="J95" i="8" s="1"/>
  <c r="S95" i="8" s="1"/>
  <c r="U95" i="8" s="1"/>
  <c r="I96" i="8"/>
  <c r="J96" i="8" s="1"/>
  <c r="S96" i="8" s="1"/>
  <c r="U96" i="8" s="1"/>
  <c r="I97" i="8"/>
  <c r="J97" i="8" s="1"/>
  <c r="S97" i="8" s="1"/>
  <c r="U97" i="8" s="1"/>
  <c r="I98" i="8"/>
  <c r="J98" i="8" s="1"/>
  <c r="S98" i="8" s="1"/>
  <c r="U98" i="8" s="1"/>
  <c r="I99" i="8"/>
  <c r="J99" i="8" s="1"/>
  <c r="S99" i="8" s="1"/>
  <c r="I100" i="8"/>
  <c r="J100" i="8" s="1"/>
  <c r="S100" i="8" s="1"/>
  <c r="T100" i="8" s="1"/>
  <c r="I101" i="8"/>
  <c r="J101" i="8" s="1"/>
  <c r="S101" i="8" s="1"/>
  <c r="T101" i="8" s="1"/>
  <c r="I102" i="8"/>
  <c r="J102" i="8" s="1"/>
  <c r="S102" i="8" s="1"/>
  <c r="T102" i="8" s="1"/>
  <c r="I103" i="8"/>
  <c r="J103" i="8" s="1"/>
  <c r="S103" i="8" s="1"/>
  <c r="U103" i="8" s="1"/>
  <c r="I104" i="8"/>
  <c r="J104" i="8" s="1"/>
  <c r="S104" i="8" s="1"/>
  <c r="I105" i="8"/>
  <c r="J105" i="8" s="1"/>
  <c r="S105" i="8" s="1"/>
  <c r="U105" i="8" s="1"/>
  <c r="I106" i="8"/>
  <c r="J106" i="8" s="1"/>
  <c r="S106" i="8" s="1"/>
  <c r="U106" i="8" s="1"/>
  <c r="I107" i="8"/>
  <c r="J107" i="8" s="1"/>
  <c r="S107" i="8" s="1"/>
  <c r="U107" i="8" s="1"/>
  <c r="I108" i="8"/>
  <c r="J108" i="8" s="1"/>
  <c r="S108" i="8" s="1"/>
  <c r="T108" i="8" s="1"/>
  <c r="I109" i="8"/>
  <c r="J109" i="8" s="1"/>
  <c r="S109" i="8" s="1"/>
  <c r="T109" i="8" s="1"/>
  <c r="I110" i="8"/>
  <c r="J110" i="8" s="1"/>
  <c r="S110" i="8" s="1"/>
  <c r="U110" i="8" s="1"/>
  <c r="I111" i="8"/>
  <c r="J111" i="8" s="1"/>
  <c r="S111" i="8" s="1"/>
  <c r="U111" i="8" s="1"/>
  <c r="I112" i="8"/>
  <c r="J112" i="8" s="1"/>
  <c r="S112" i="8" s="1"/>
  <c r="U112" i="8" s="1"/>
  <c r="I113" i="8"/>
  <c r="J113" i="8" s="1"/>
  <c r="S113" i="8" s="1"/>
  <c r="U113" i="8" s="1"/>
  <c r="I114" i="8"/>
  <c r="J114" i="8" s="1"/>
  <c r="S114" i="8" s="1"/>
  <c r="U114" i="8" s="1"/>
  <c r="I115" i="8"/>
  <c r="J115" i="8" s="1"/>
  <c r="S115" i="8" s="1"/>
  <c r="I116" i="8"/>
  <c r="J116" i="8" s="1"/>
  <c r="S116" i="8" s="1"/>
  <c r="T116" i="8" s="1"/>
  <c r="I117" i="8"/>
  <c r="J117" i="8" s="1"/>
  <c r="S117" i="8" s="1"/>
  <c r="T117" i="8" s="1"/>
  <c r="I118" i="8"/>
  <c r="J118" i="8" s="1"/>
  <c r="S118" i="8" s="1"/>
  <c r="T118" i="8" s="1"/>
  <c r="I119" i="8"/>
  <c r="J119" i="8" s="1"/>
  <c r="S119" i="8" s="1"/>
  <c r="U119" i="8" s="1"/>
  <c r="I120" i="8"/>
  <c r="J120" i="8" s="1"/>
  <c r="S120" i="8" s="1"/>
  <c r="U120" i="8" s="1"/>
  <c r="I121" i="8"/>
  <c r="J121" i="8" s="1"/>
  <c r="S121" i="8" s="1"/>
  <c r="T121" i="8" s="1"/>
  <c r="I122" i="8"/>
  <c r="J122" i="8" s="1"/>
  <c r="S122" i="8" s="1"/>
  <c r="U122" i="8" s="1"/>
  <c r="I123" i="8"/>
  <c r="J123" i="8" s="1"/>
  <c r="S123" i="8" s="1"/>
  <c r="T123" i="8" s="1"/>
  <c r="I124" i="8"/>
  <c r="J124" i="8" s="1"/>
  <c r="S124" i="8" s="1"/>
  <c r="T124" i="8" s="1"/>
  <c r="I125" i="8"/>
  <c r="J125" i="8" s="1"/>
  <c r="S125" i="8" s="1"/>
  <c r="U125" i="8" s="1"/>
  <c r="I126" i="8"/>
  <c r="J126" i="8" s="1"/>
  <c r="S126" i="8" s="1"/>
  <c r="U126" i="8" s="1"/>
  <c r="I127" i="8"/>
  <c r="J127" i="8" s="1"/>
  <c r="S127" i="8" s="1"/>
  <c r="U127" i="8" s="1"/>
  <c r="I128" i="8"/>
  <c r="J128" i="8" s="1"/>
  <c r="S128" i="8" s="1"/>
  <c r="U128" i="8" s="1"/>
  <c r="I129" i="8"/>
  <c r="J129" i="8" s="1"/>
  <c r="S129" i="8" s="1"/>
  <c r="U129" i="8" s="1"/>
  <c r="I130" i="8"/>
  <c r="J130" i="8" s="1"/>
  <c r="S130" i="8" s="1"/>
  <c r="U130" i="8" s="1"/>
  <c r="I131" i="8"/>
  <c r="J131" i="8" s="1"/>
  <c r="S131" i="8" s="1"/>
  <c r="I132" i="8"/>
  <c r="J132" i="8" s="1"/>
  <c r="S132" i="8" s="1"/>
  <c r="T132" i="8" s="1"/>
  <c r="I133" i="8"/>
  <c r="J133" i="8" s="1"/>
  <c r="S133" i="8" s="1"/>
  <c r="T133" i="8" s="1"/>
  <c r="I134" i="8"/>
  <c r="J134" i="8" s="1"/>
  <c r="S134" i="8" s="1"/>
  <c r="T134" i="8" s="1"/>
  <c r="I135" i="8"/>
  <c r="J135" i="8" s="1"/>
  <c r="S135" i="8" s="1"/>
  <c r="U135" i="8" s="1"/>
  <c r="I136" i="8"/>
  <c r="J136" i="8" s="1"/>
  <c r="S136" i="8" s="1"/>
  <c r="I137" i="8"/>
  <c r="J137" i="8" s="1"/>
  <c r="S137" i="8" s="1"/>
  <c r="T137" i="8" s="1"/>
  <c r="I16" i="8"/>
  <c r="J16" i="8" s="1"/>
  <c r="I17" i="8"/>
  <c r="J17" i="8" s="1"/>
  <c r="I18" i="8"/>
  <c r="J18" i="8" s="1"/>
  <c r="I19" i="8"/>
  <c r="J19" i="8" s="1"/>
  <c r="I5" i="8"/>
  <c r="J5" i="8" s="1"/>
  <c r="I7" i="8"/>
  <c r="J7" i="8" s="1"/>
  <c r="I8" i="8"/>
  <c r="J8" i="8" s="1"/>
  <c r="I9" i="8"/>
  <c r="J9" i="8" s="1"/>
  <c r="I10" i="8"/>
  <c r="J10" i="8" s="1"/>
  <c r="I11" i="8"/>
  <c r="J11" i="8" s="1"/>
  <c r="I12" i="8"/>
  <c r="J12" i="8" s="1"/>
  <c r="I13" i="8"/>
  <c r="J13" i="8" s="1"/>
  <c r="I14" i="8"/>
  <c r="J14" i="8" s="1"/>
  <c r="I15" i="8"/>
  <c r="J15" i="8" s="1"/>
  <c r="C507" i="8" l="1"/>
  <c r="D506" i="8"/>
  <c r="D245" i="8"/>
  <c r="C246" i="8"/>
  <c r="AG189" i="8"/>
  <c r="Y138" i="8"/>
  <c r="AB138" i="8" s="1"/>
  <c r="AE138" i="8" s="1"/>
  <c r="AG138" i="8"/>
  <c r="AG152" i="8"/>
  <c r="AG191" i="8"/>
  <c r="AG165" i="8"/>
  <c r="AG203" i="8"/>
  <c r="AG139" i="8"/>
  <c r="AG188" i="8"/>
  <c r="AG164" i="8"/>
  <c r="Z153" i="8"/>
  <c r="AC153" i="8" s="1"/>
  <c r="AF153" i="8" s="1"/>
  <c r="AG153" i="8"/>
  <c r="AG173" i="8"/>
  <c r="X206" i="8"/>
  <c r="AA206" i="8" s="1"/>
  <c r="AD206" i="8" s="1"/>
  <c r="X160" i="8"/>
  <c r="AA160" i="8" s="1"/>
  <c r="AD160" i="8" s="1"/>
  <c r="Z190" i="8"/>
  <c r="AC190" i="8" s="1"/>
  <c r="AF190" i="8" s="1"/>
  <c r="Y166" i="8"/>
  <c r="AB166" i="8" s="1"/>
  <c r="AE166" i="8" s="1"/>
  <c r="Y206" i="8"/>
  <c r="AB206" i="8" s="1"/>
  <c r="AE206" i="8" s="1"/>
  <c r="Z206" i="8"/>
  <c r="AC206" i="8" s="1"/>
  <c r="AF206" i="8" s="1"/>
  <c r="Z191" i="8"/>
  <c r="AC191" i="8" s="1"/>
  <c r="AF191" i="8" s="1"/>
  <c r="Y173" i="8"/>
  <c r="AB173" i="8" s="1"/>
  <c r="AE173" i="8" s="1"/>
  <c r="Y189" i="8"/>
  <c r="AB189" i="8" s="1"/>
  <c r="AE189" i="8" s="1"/>
  <c r="X189" i="8"/>
  <c r="AA189" i="8" s="1"/>
  <c r="AD189" i="8" s="1"/>
  <c r="Z189" i="8"/>
  <c r="AC189" i="8" s="1"/>
  <c r="AF189" i="8" s="1"/>
  <c r="Y191" i="8"/>
  <c r="AB191" i="8" s="1"/>
  <c r="AE191" i="8" s="1"/>
  <c r="Z173" i="8"/>
  <c r="AC173" i="8" s="1"/>
  <c r="AF173" i="8" s="1"/>
  <c r="X138" i="8"/>
  <c r="AA138" i="8" s="1"/>
  <c r="AD138" i="8" s="1"/>
  <c r="Z138" i="8"/>
  <c r="AC138" i="8" s="1"/>
  <c r="AF138" i="8" s="1"/>
  <c r="X173" i="8"/>
  <c r="AA173" i="8" s="1"/>
  <c r="AD173" i="8" s="1"/>
  <c r="Y190" i="8"/>
  <c r="AB190" i="8" s="1"/>
  <c r="AE190" i="8" s="1"/>
  <c r="Y188" i="8"/>
  <c r="AB188" i="8" s="1"/>
  <c r="AE188" i="8" s="1"/>
  <c r="X165" i="8"/>
  <c r="AA165" i="8" s="1"/>
  <c r="AD165" i="8" s="1"/>
  <c r="Z160" i="8"/>
  <c r="AC160" i="8" s="1"/>
  <c r="AF160" i="8" s="1"/>
  <c r="X191" i="8"/>
  <c r="AA191" i="8" s="1"/>
  <c r="AD191" i="8" s="1"/>
  <c r="X190" i="8"/>
  <c r="AA190" i="8" s="1"/>
  <c r="AD190" i="8" s="1"/>
  <c r="Z188" i="8"/>
  <c r="AC188" i="8" s="1"/>
  <c r="AF188" i="8" s="1"/>
  <c r="X188" i="8"/>
  <c r="AA188" i="8" s="1"/>
  <c r="AD188" i="8" s="1"/>
  <c r="Y203" i="8"/>
  <c r="AB203" i="8" s="1"/>
  <c r="AE203" i="8" s="1"/>
  <c r="Z203" i="8"/>
  <c r="AC203" i="8" s="1"/>
  <c r="AF203" i="8" s="1"/>
  <c r="X203" i="8"/>
  <c r="AA203" i="8" s="1"/>
  <c r="AD203" i="8" s="1"/>
  <c r="X166" i="8"/>
  <c r="AA166" i="8" s="1"/>
  <c r="AD166" i="8" s="1"/>
  <c r="Z166" i="8"/>
  <c r="AC166" i="8" s="1"/>
  <c r="AF166" i="8" s="1"/>
  <c r="X204" i="8"/>
  <c r="AA204" i="8" s="1"/>
  <c r="AD204" i="8" s="1"/>
  <c r="Y204" i="8"/>
  <c r="AB204" i="8" s="1"/>
  <c r="AE204" i="8" s="1"/>
  <c r="Z204" i="8"/>
  <c r="AC204" i="8" s="1"/>
  <c r="AF204" i="8" s="1"/>
  <c r="Y160" i="8"/>
  <c r="AB160" i="8" s="1"/>
  <c r="AE160" i="8" s="1"/>
  <c r="Y165" i="8"/>
  <c r="AB165" i="8" s="1"/>
  <c r="AE165" i="8" s="1"/>
  <c r="Z165" i="8"/>
  <c r="AC165" i="8" s="1"/>
  <c r="AF165" i="8" s="1"/>
  <c r="T79" i="8"/>
  <c r="V79" i="8" s="1"/>
  <c r="T80" i="8"/>
  <c r="V80" i="8" s="1"/>
  <c r="Y164" i="8"/>
  <c r="AB164" i="8" s="1"/>
  <c r="AE164" i="8" s="1"/>
  <c r="X164" i="8"/>
  <c r="AA164" i="8" s="1"/>
  <c r="AD164" i="8" s="1"/>
  <c r="Z164" i="8"/>
  <c r="AC164" i="8" s="1"/>
  <c r="AF164" i="8" s="1"/>
  <c r="T81" i="8"/>
  <c r="V81" i="8" s="1"/>
  <c r="X153" i="8"/>
  <c r="AA153" i="8" s="1"/>
  <c r="AD153" i="8" s="1"/>
  <c r="Y153" i="8"/>
  <c r="AB153" i="8" s="1"/>
  <c r="AE153" i="8" s="1"/>
  <c r="T46" i="8"/>
  <c r="V46" i="8" s="1"/>
  <c r="Y139" i="8"/>
  <c r="AB139" i="8" s="1"/>
  <c r="AE139" i="8" s="1"/>
  <c r="X139" i="8"/>
  <c r="AA139" i="8" s="1"/>
  <c r="AD139" i="8" s="1"/>
  <c r="Z139" i="8"/>
  <c r="AC139" i="8" s="1"/>
  <c r="AF139" i="8" s="1"/>
  <c r="Y152" i="8"/>
  <c r="AB152" i="8" s="1"/>
  <c r="AE152" i="8" s="1"/>
  <c r="Z152" i="8"/>
  <c r="AC152" i="8" s="1"/>
  <c r="AF152" i="8" s="1"/>
  <c r="X152" i="8"/>
  <c r="AA152" i="8" s="1"/>
  <c r="AD152" i="8" s="1"/>
  <c r="T78" i="8"/>
  <c r="V78" i="8" s="1"/>
  <c r="AG78" i="8" s="1"/>
  <c r="T45" i="8"/>
  <c r="V45" i="8" s="1"/>
  <c r="T77" i="8"/>
  <c r="V77" i="8" s="1"/>
  <c r="T49" i="8"/>
  <c r="V49" i="8" s="1"/>
  <c r="T48" i="8"/>
  <c r="V48" i="8" s="1"/>
  <c r="T47" i="8"/>
  <c r="V47" i="8" s="1"/>
  <c r="T71" i="8"/>
  <c r="V71" i="8" s="1"/>
  <c r="T39" i="8"/>
  <c r="V39" i="8" s="1"/>
  <c r="T66" i="8"/>
  <c r="V66" i="8" s="1"/>
  <c r="T65" i="8"/>
  <c r="V65" i="8" s="1"/>
  <c r="T64" i="8"/>
  <c r="V64" i="8" s="1"/>
  <c r="T63" i="8"/>
  <c r="V63" i="8" s="1"/>
  <c r="T62" i="8"/>
  <c r="V62" i="8" s="1"/>
  <c r="T55" i="8"/>
  <c r="V55" i="8" s="1"/>
  <c r="T61" i="8"/>
  <c r="V61" i="8" s="1"/>
  <c r="T82" i="8"/>
  <c r="V82" i="8" s="1"/>
  <c r="T50" i="8"/>
  <c r="V50" i="8" s="1"/>
  <c r="U72" i="8"/>
  <c r="T72" i="8"/>
  <c r="U83" i="8"/>
  <c r="T83" i="8"/>
  <c r="U104" i="8"/>
  <c r="T104" i="8"/>
  <c r="U99" i="8"/>
  <c r="T99" i="8"/>
  <c r="D5" i="8"/>
  <c r="U67" i="8"/>
  <c r="T67" i="8"/>
  <c r="U136" i="8"/>
  <c r="T136" i="8"/>
  <c r="U131" i="8"/>
  <c r="T131" i="8"/>
  <c r="U51" i="8"/>
  <c r="T51" i="8"/>
  <c r="U90" i="8"/>
  <c r="T90" i="8"/>
  <c r="U40" i="8"/>
  <c r="T40" i="8"/>
  <c r="U115" i="8"/>
  <c r="T115" i="8"/>
  <c r="T98" i="8"/>
  <c r="V98" i="8" s="1"/>
  <c r="T97" i="8"/>
  <c r="V97" i="8" s="1"/>
  <c r="T112" i="8"/>
  <c r="V112" i="8" s="1"/>
  <c r="T127" i="8"/>
  <c r="V127" i="8" s="1"/>
  <c r="T126" i="8"/>
  <c r="V126" i="8" s="1"/>
  <c r="T110" i="8"/>
  <c r="V110" i="8" s="1"/>
  <c r="AG110" i="8" s="1"/>
  <c r="T94" i="8"/>
  <c r="V94" i="8" s="1"/>
  <c r="T125" i="8"/>
  <c r="V125" i="8" s="1"/>
  <c r="T93" i="8"/>
  <c r="V93" i="8" s="1"/>
  <c r="T75" i="8"/>
  <c r="V75" i="8" s="1"/>
  <c r="T59" i="8"/>
  <c r="V59" i="8" s="1"/>
  <c r="T43" i="8"/>
  <c r="V43" i="8" s="1"/>
  <c r="T130" i="8"/>
  <c r="V130" i="8" s="1"/>
  <c r="AG130" i="8" s="1"/>
  <c r="T129" i="8"/>
  <c r="V129" i="8" s="1"/>
  <c r="AG129" i="8" s="1"/>
  <c r="T96" i="8"/>
  <c r="V96" i="8" s="1"/>
  <c r="AG96" i="8" s="1"/>
  <c r="T107" i="8"/>
  <c r="V107" i="8" s="1"/>
  <c r="T74" i="8"/>
  <c r="V74" i="8" s="1"/>
  <c r="T58" i="8"/>
  <c r="V58" i="8" s="1"/>
  <c r="T42" i="8"/>
  <c r="V42" i="8" s="1"/>
  <c r="T122" i="8"/>
  <c r="V122" i="8" s="1"/>
  <c r="AG122" i="8" s="1"/>
  <c r="T106" i="8"/>
  <c r="V106" i="8" s="1"/>
  <c r="T73" i="8"/>
  <c r="V73" i="8" s="1"/>
  <c r="AG73" i="8" s="1"/>
  <c r="T57" i="8"/>
  <c r="V57" i="8" s="1"/>
  <c r="T41" i="8"/>
  <c r="V41" i="8" s="1"/>
  <c r="T105" i="8"/>
  <c r="V105" i="8" s="1"/>
  <c r="T56" i="8"/>
  <c r="V56" i="8" s="1"/>
  <c r="D4" i="8"/>
  <c r="T114" i="8"/>
  <c r="V114" i="8" s="1"/>
  <c r="AG114" i="8" s="1"/>
  <c r="T113" i="8"/>
  <c r="V113" i="8" s="1"/>
  <c r="AG113" i="8" s="1"/>
  <c r="T119" i="8"/>
  <c r="V119" i="8" s="1"/>
  <c r="T111" i="8"/>
  <c r="V111" i="8" s="1"/>
  <c r="AG111" i="8" s="1"/>
  <c r="T135" i="8"/>
  <c r="V135" i="8" s="1"/>
  <c r="AG135" i="8" s="1"/>
  <c r="T103" i="8"/>
  <c r="V103" i="8" s="1"/>
  <c r="T86" i="8"/>
  <c r="V86" i="8" s="1"/>
  <c r="AG86" i="8" s="1"/>
  <c r="T37" i="8"/>
  <c r="V37" i="8" s="1"/>
  <c r="T128" i="8"/>
  <c r="V128" i="8" s="1"/>
  <c r="AG128" i="8" s="1"/>
  <c r="T95" i="8"/>
  <c r="V95" i="8" s="1"/>
  <c r="T120" i="8"/>
  <c r="V120" i="8" s="1"/>
  <c r="AG120" i="8" s="1"/>
  <c r="T88" i="8"/>
  <c r="V88" i="8" s="1"/>
  <c r="T38" i="8"/>
  <c r="V38" i="8" s="1"/>
  <c r="T52" i="8"/>
  <c r="V52" i="8" s="1"/>
  <c r="U102" i="8"/>
  <c r="U118" i="8"/>
  <c r="U36" i="8"/>
  <c r="V36" i="8" s="1"/>
  <c r="U109" i="8"/>
  <c r="V109" i="8" s="1"/>
  <c r="U87" i="8"/>
  <c r="V87" i="8" s="1"/>
  <c r="U134" i="8"/>
  <c r="U70" i="8"/>
  <c r="U53" i="8"/>
  <c r="U54" i="8"/>
  <c r="V54" i="8" s="1"/>
  <c r="U123" i="8"/>
  <c r="V123" i="8" s="1"/>
  <c r="U117" i="8"/>
  <c r="V117" i="8" s="1"/>
  <c r="AG117" i="8" s="1"/>
  <c r="U100" i="8"/>
  <c r="V100" i="8" s="1"/>
  <c r="U60" i="8"/>
  <c r="U89" i="8"/>
  <c r="U44" i="8"/>
  <c r="U108" i="8"/>
  <c r="U124" i="8"/>
  <c r="U91" i="8"/>
  <c r="V91" i="8" s="1"/>
  <c r="U121" i="8"/>
  <c r="V121" i="8" s="1"/>
  <c r="U132" i="8"/>
  <c r="U137" i="8"/>
  <c r="V137" i="8" s="1"/>
  <c r="AG137" i="8" s="1"/>
  <c r="U85" i="8"/>
  <c r="V85" i="8" s="1"/>
  <c r="U133" i="8"/>
  <c r="U68" i="8"/>
  <c r="U101" i="8"/>
  <c r="U92" i="8"/>
  <c r="U69" i="8"/>
  <c r="V69" i="8" s="1"/>
  <c r="U76" i="8"/>
  <c r="U116" i="8"/>
  <c r="V116" i="8" s="1"/>
  <c r="U84" i="8"/>
  <c r="V84" i="8" s="1"/>
  <c r="D507" i="8" l="1"/>
  <c r="C508" i="8"/>
  <c r="AG127" i="8"/>
  <c r="C247" i="8"/>
  <c r="D246" i="8"/>
  <c r="AG95" i="8"/>
  <c r="AG85" i="8"/>
  <c r="AG77" i="8"/>
  <c r="AG88" i="8"/>
  <c r="AG97" i="8"/>
  <c r="AG93" i="8"/>
  <c r="AG69" i="8"/>
  <c r="AG62" i="8"/>
  <c r="AG112" i="8"/>
  <c r="AG54" i="8"/>
  <c r="AG58" i="8"/>
  <c r="AG63" i="8"/>
  <c r="AG103" i="8"/>
  <c r="AG119" i="8"/>
  <c r="AG39" i="8"/>
  <c r="AG71" i="8"/>
  <c r="AG100" i="8"/>
  <c r="AG106" i="8"/>
  <c r="AG126" i="8"/>
  <c r="AG55" i="8"/>
  <c r="AG123" i="8"/>
  <c r="AG37" i="8"/>
  <c r="AG42" i="8"/>
  <c r="AG91" i="8"/>
  <c r="AG59" i="8"/>
  <c r="AG48" i="8"/>
  <c r="Y66" i="8"/>
  <c r="AB66" i="8" s="1"/>
  <c r="AE66" i="8" s="1"/>
  <c r="AG66" i="8"/>
  <c r="AG81" i="8"/>
  <c r="AG56" i="8"/>
  <c r="AG75" i="8"/>
  <c r="AG49" i="8"/>
  <c r="AG38" i="8"/>
  <c r="AG41" i="8"/>
  <c r="AG125" i="8"/>
  <c r="AG50" i="8"/>
  <c r="AG45" i="8"/>
  <c r="AG80" i="8"/>
  <c r="AG84" i="8"/>
  <c r="AG57" i="8"/>
  <c r="AG94" i="8"/>
  <c r="AG82" i="8"/>
  <c r="AG79" i="8"/>
  <c r="AG116" i="8"/>
  <c r="AG61" i="8"/>
  <c r="AG74" i="8"/>
  <c r="Y98" i="8"/>
  <c r="AB98" i="8" s="1"/>
  <c r="AE98" i="8" s="1"/>
  <c r="AG98" i="8"/>
  <c r="AG64" i="8"/>
  <c r="AG107" i="8"/>
  <c r="AG65" i="8"/>
  <c r="AG46" i="8"/>
  <c r="AG87" i="8"/>
  <c r="AG109" i="8"/>
  <c r="AG121" i="8"/>
  <c r="AG36" i="8"/>
  <c r="AG43" i="8"/>
  <c r="AG47" i="8"/>
  <c r="AG52" i="8"/>
  <c r="AG105" i="8"/>
  <c r="Z114" i="8"/>
  <c r="AC114" i="8" s="1"/>
  <c r="AF114" i="8" s="1"/>
  <c r="X113" i="8"/>
  <c r="AA113" i="8" s="1"/>
  <c r="AD113" i="8" s="1"/>
  <c r="Y130" i="8"/>
  <c r="AB130" i="8" s="1"/>
  <c r="AE130" i="8" s="1"/>
  <c r="Z110" i="8"/>
  <c r="AC110" i="8" s="1"/>
  <c r="AF110" i="8" s="1"/>
  <c r="Y117" i="8"/>
  <c r="AB117" i="8" s="1"/>
  <c r="AE117" i="8" s="1"/>
  <c r="Y128" i="8"/>
  <c r="AB128" i="8" s="1"/>
  <c r="AE128" i="8" s="1"/>
  <c r="X122" i="8"/>
  <c r="AA122" i="8" s="1"/>
  <c r="AD122" i="8" s="1"/>
  <c r="Y127" i="8"/>
  <c r="AB127" i="8" s="1"/>
  <c r="AE127" i="8" s="1"/>
  <c r="X86" i="8"/>
  <c r="AA86" i="8" s="1"/>
  <c r="AD86" i="8" s="1"/>
  <c r="Y97" i="8"/>
  <c r="AB97" i="8" s="1"/>
  <c r="AE97" i="8" s="1"/>
  <c r="X135" i="8"/>
  <c r="AA135" i="8" s="1"/>
  <c r="AD135" i="8" s="1"/>
  <c r="Z111" i="8"/>
  <c r="AC111" i="8" s="1"/>
  <c r="AF111" i="8" s="1"/>
  <c r="X96" i="8"/>
  <c r="AA96" i="8" s="1"/>
  <c r="AD96" i="8" s="1"/>
  <c r="X129" i="8"/>
  <c r="AA129" i="8" s="1"/>
  <c r="AD129" i="8" s="1"/>
  <c r="V136" i="8"/>
  <c r="AG136" i="8" s="1"/>
  <c r="Y82" i="8"/>
  <c r="AB82" i="8" s="1"/>
  <c r="AE82" i="8" s="1"/>
  <c r="X79" i="8"/>
  <c r="AA79" i="8" s="1"/>
  <c r="AD79" i="8" s="1"/>
  <c r="X48" i="8"/>
  <c r="AA48" i="8" s="1"/>
  <c r="AD48" i="8" s="1"/>
  <c r="Y63" i="8"/>
  <c r="AB63" i="8" s="1"/>
  <c r="AE63" i="8" s="1"/>
  <c r="Z38" i="8"/>
  <c r="AC38" i="8" s="1"/>
  <c r="AF38" i="8" s="1"/>
  <c r="Z81" i="8"/>
  <c r="AC81" i="8" s="1"/>
  <c r="AF81" i="8" s="1"/>
  <c r="X74" i="8"/>
  <c r="AA74" i="8" s="1"/>
  <c r="AD74" i="8" s="1"/>
  <c r="Z64" i="8"/>
  <c r="AC64" i="8" s="1"/>
  <c r="AF64" i="8" s="1"/>
  <c r="V115" i="8"/>
  <c r="AG115" i="8" s="1"/>
  <c r="V99" i="8"/>
  <c r="X65" i="8"/>
  <c r="AA65" i="8" s="1"/>
  <c r="AD65" i="8" s="1"/>
  <c r="X80" i="8"/>
  <c r="AA80" i="8" s="1"/>
  <c r="AD80" i="8" s="1"/>
  <c r="Y50" i="8"/>
  <c r="AB50" i="8" s="1"/>
  <c r="AE50" i="8" s="1"/>
  <c r="Z49" i="8"/>
  <c r="AC49" i="8" s="1"/>
  <c r="AF49" i="8" s="1"/>
  <c r="Z71" i="8"/>
  <c r="AC71" i="8" s="1"/>
  <c r="AF71" i="8" s="1"/>
  <c r="V67" i="8"/>
  <c r="V90" i="8"/>
  <c r="V83" i="8"/>
  <c r="AG83" i="8" s="1"/>
  <c r="V40" i="8"/>
  <c r="AG40" i="8" s="1"/>
  <c r="V131" i="8"/>
  <c r="V104" i="8"/>
  <c r="V51" i="8"/>
  <c r="V72" i="8"/>
  <c r="C7" i="8"/>
  <c r="D7" i="8" s="1"/>
  <c r="Y113" i="8"/>
  <c r="AB113" i="8" s="1"/>
  <c r="AE113" i="8" s="1"/>
  <c r="Z113" i="8"/>
  <c r="AC113" i="8" s="1"/>
  <c r="AF113" i="8" s="1"/>
  <c r="Z74" i="8"/>
  <c r="AC74" i="8" s="1"/>
  <c r="AF74" i="8" s="1"/>
  <c r="Y74" i="8"/>
  <c r="AB74" i="8" s="1"/>
  <c r="AE74" i="8" s="1"/>
  <c r="Y129" i="8"/>
  <c r="AB129" i="8" s="1"/>
  <c r="AE129" i="8" s="1"/>
  <c r="Y49" i="8"/>
  <c r="AB49" i="8" s="1"/>
  <c r="AE49" i="8" s="1"/>
  <c r="Y64" i="8"/>
  <c r="AB64" i="8" s="1"/>
  <c r="AE64" i="8" s="1"/>
  <c r="X64" i="8"/>
  <c r="AA64" i="8" s="1"/>
  <c r="AD64" i="8" s="1"/>
  <c r="V132" i="8"/>
  <c r="AG132" i="8" s="1"/>
  <c r="X49" i="8"/>
  <c r="AA49" i="8" s="1"/>
  <c r="AD49" i="8" s="1"/>
  <c r="V102" i="8"/>
  <c r="X50" i="8"/>
  <c r="AA50" i="8" s="1"/>
  <c r="AD50" i="8" s="1"/>
  <c r="X82" i="8"/>
  <c r="AA82" i="8" s="1"/>
  <c r="AD82" i="8" s="1"/>
  <c r="Z50" i="8"/>
  <c r="AC50" i="8" s="1"/>
  <c r="AF50" i="8" s="1"/>
  <c r="X111" i="8"/>
  <c r="AA111" i="8" s="1"/>
  <c r="AD111" i="8" s="1"/>
  <c r="Y111" i="8"/>
  <c r="AB111" i="8" s="1"/>
  <c r="AE111" i="8" s="1"/>
  <c r="X114" i="8"/>
  <c r="AA114" i="8" s="1"/>
  <c r="AD114" i="8" s="1"/>
  <c r="V118" i="8"/>
  <c r="X71" i="8"/>
  <c r="AA71" i="8" s="1"/>
  <c r="AD71" i="8" s="1"/>
  <c r="Z127" i="8"/>
  <c r="AC127" i="8" s="1"/>
  <c r="AF127" i="8" s="1"/>
  <c r="V133" i="8"/>
  <c r="AG133" i="8" s="1"/>
  <c r="Z80" i="8"/>
  <c r="AC80" i="8" s="1"/>
  <c r="AF80" i="8" s="1"/>
  <c r="V89" i="8"/>
  <c r="AG89" i="8" s="1"/>
  <c r="X54" i="8"/>
  <c r="AA54" i="8" s="1"/>
  <c r="AD54" i="8" s="1"/>
  <c r="Z54" i="8"/>
  <c r="AC54" i="8" s="1"/>
  <c r="AF54" i="8" s="1"/>
  <c r="Y54" i="8"/>
  <c r="AB54" i="8" s="1"/>
  <c r="AE54" i="8" s="1"/>
  <c r="X127" i="8"/>
  <c r="AA127" i="8" s="1"/>
  <c r="AD127" i="8" s="1"/>
  <c r="Y79" i="8"/>
  <c r="AB79" i="8" s="1"/>
  <c r="AE79" i="8" s="1"/>
  <c r="X66" i="8"/>
  <c r="AA66" i="8" s="1"/>
  <c r="AD66" i="8" s="1"/>
  <c r="Z48" i="8"/>
  <c r="AC48" i="8" s="1"/>
  <c r="AF48" i="8" s="1"/>
  <c r="Z98" i="8"/>
  <c r="AC98" i="8" s="1"/>
  <c r="AF98" i="8" s="1"/>
  <c r="X119" i="8"/>
  <c r="AA119" i="8" s="1"/>
  <c r="AD119" i="8" s="1"/>
  <c r="Y119" i="8"/>
  <c r="AB119" i="8" s="1"/>
  <c r="AE119" i="8" s="1"/>
  <c r="Z119" i="8"/>
  <c r="AC119" i="8" s="1"/>
  <c r="AF119" i="8" s="1"/>
  <c r="Z129" i="8"/>
  <c r="AC129" i="8" s="1"/>
  <c r="AF129" i="8" s="1"/>
  <c r="X98" i="8"/>
  <c r="AA98" i="8" s="1"/>
  <c r="AD98" i="8" s="1"/>
  <c r="X110" i="8"/>
  <c r="AA110" i="8" s="1"/>
  <c r="AD110" i="8" s="1"/>
  <c r="Y110" i="8"/>
  <c r="AB110" i="8" s="1"/>
  <c r="AE110" i="8" s="1"/>
  <c r="Y38" i="8"/>
  <c r="AB38" i="8" s="1"/>
  <c r="AE38" i="8" s="1"/>
  <c r="V101" i="8"/>
  <c r="X38" i="8"/>
  <c r="AA38" i="8" s="1"/>
  <c r="AD38" i="8" s="1"/>
  <c r="Y71" i="8"/>
  <c r="AB71" i="8" s="1"/>
  <c r="AE71" i="8" s="1"/>
  <c r="V70" i="8"/>
  <c r="Z94" i="8"/>
  <c r="AC94" i="8" s="1"/>
  <c r="AF94" i="8" s="1"/>
  <c r="X94" i="8"/>
  <c r="AA94" i="8" s="1"/>
  <c r="AD94" i="8" s="1"/>
  <c r="Y94" i="8"/>
  <c r="AB94" i="8" s="1"/>
  <c r="AE94" i="8" s="1"/>
  <c r="Y96" i="8"/>
  <c r="AB96" i="8" s="1"/>
  <c r="AE96" i="8" s="1"/>
  <c r="V53" i="8"/>
  <c r="Y122" i="8"/>
  <c r="AB122" i="8" s="1"/>
  <c r="AE122" i="8" s="1"/>
  <c r="Y81" i="8"/>
  <c r="AB81" i="8" s="1"/>
  <c r="AE81" i="8" s="1"/>
  <c r="X128" i="8"/>
  <c r="AA128" i="8" s="1"/>
  <c r="AD128" i="8" s="1"/>
  <c r="Y114" i="8"/>
  <c r="AB114" i="8" s="1"/>
  <c r="AE114" i="8" s="1"/>
  <c r="X130" i="8"/>
  <c r="AA130" i="8" s="1"/>
  <c r="AD130" i="8" s="1"/>
  <c r="Z135" i="8"/>
  <c r="AC135" i="8" s="1"/>
  <c r="AF135" i="8" s="1"/>
  <c r="Z86" i="8"/>
  <c r="AC86" i="8" s="1"/>
  <c r="AF86" i="8" s="1"/>
  <c r="Z128" i="8"/>
  <c r="AC128" i="8" s="1"/>
  <c r="AF128" i="8" s="1"/>
  <c r="Y65" i="8"/>
  <c r="AB65" i="8" s="1"/>
  <c r="AE65" i="8" s="1"/>
  <c r="Z122" i="8"/>
  <c r="AC122" i="8" s="1"/>
  <c r="AF122" i="8" s="1"/>
  <c r="Z65" i="8"/>
  <c r="AC65" i="8" s="1"/>
  <c r="AF65" i="8" s="1"/>
  <c r="Y62" i="8"/>
  <c r="AB62" i="8" s="1"/>
  <c r="AE62" i="8" s="1"/>
  <c r="Z62" i="8"/>
  <c r="AC62" i="8" s="1"/>
  <c r="AF62" i="8" s="1"/>
  <c r="X62" i="8"/>
  <c r="AA62" i="8" s="1"/>
  <c r="AD62" i="8" s="1"/>
  <c r="Y48" i="8"/>
  <c r="AB48" i="8" s="1"/>
  <c r="AE48" i="8" s="1"/>
  <c r="X117" i="8"/>
  <c r="AA117" i="8" s="1"/>
  <c r="AD117" i="8" s="1"/>
  <c r="X81" i="8"/>
  <c r="AA81" i="8" s="1"/>
  <c r="AD81" i="8" s="1"/>
  <c r="X97" i="8"/>
  <c r="AA97" i="8" s="1"/>
  <c r="AD97" i="8" s="1"/>
  <c r="Z117" i="8"/>
  <c r="AC117" i="8" s="1"/>
  <c r="AF117" i="8" s="1"/>
  <c r="Z130" i="8"/>
  <c r="AC130" i="8" s="1"/>
  <c r="AF130" i="8" s="1"/>
  <c r="Z63" i="8"/>
  <c r="AC63" i="8" s="1"/>
  <c r="AF63" i="8" s="1"/>
  <c r="Z96" i="8"/>
  <c r="AC96" i="8" s="1"/>
  <c r="AF96" i="8" s="1"/>
  <c r="Z97" i="8"/>
  <c r="AC97" i="8" s="1"/>
  <c r="AF97" i="8" s="1"/>
  <c r="Z82" i="8"/>
  <c r="AC82" i="8" s="1"/>
  <c r="AF82" i="8" s="1"/>
  <c r="X63" i="8"/>
  <c r="AA63" i="8" s="1"/>
  <c r="AD63" i="8" s="1"/>
  <c r="Z79" i="8"/>
  <c r="AC79" i="8" s="1"/>
  <c r="AF79" i="8" s="1"/>
  <c r="V134" i="8"/>
  <c r="Y135" i="8"/>
  <c r="AB135" i="8" s="1"/>
  <c r="AE135" i="8" s="1"/>
  <c r="Y86" i="8"/>
  <c r="AB86" i="8" s="1"/>
  <c r="AE86" i="8" s="1"/>
  <c r="Z66" i="8"/>
  <c r="AC66" i="8" s="1"/>
  <c r="AF66" i="8" s="1"/>
  <c r="Y80" i="8"/>
  <c r="AB80" i="8" s="1"/>
  <c r="AE80" i="8" s="1"/>
  <c r="V44" i="8"/>
  <c r="Z121" i="8"/>
  <c r="AC121" i="8" s="1"/>
  <c r="AF121" i="8" s="1"/>
  <c r="Y121" i="8"/>
  <c r="AB121" i="8" s="1"/>
  <c r="AE121" i="8" s="1"/>
  <c r="X121" i="8"/>
  <c r="AA121" i="8" s="1"/>
  <c r="AD121" i="8" s="1"/>
  <c r="X85" i="8"/>
  <c r="AA85" i="8" s="1"/>
  <c r="AD85" i="8" s="1"/>
  <c r="Z85" i="8"/>
  <c r="AC85" i="8" s="1"/>
  <c r="AF85" i="8" s="1"/>
  <c r="Y85" i="8"/>
  <c r="AB85" i="8" s="1"/>
  <c r="AE85" i="8" s="1"/>
  <c r="Y103" i="8"/>
  <c r="AB103" i="8" s="1"/>
  <c r="AE103" i="8" s="1"/>
  <c r="X103" i="8"/>
  <c r="AA103" i="8" s="1"/>
  <c r="AD103" i="8" s="1"/>
  <c r="Z103" i="8"/>
  <c r="AC103" i="8" s="1"/>
  <c r="AF103" i="8" s="1"/>
  <c r="Y42" i="8"/>
  <c r="AB42" i="8" s="1"/>
  <c r="AE42" i="8" s="1"/>
  <c r="X42" i="8"/>
  <c r="AA42" i="8" s="1"/>
  <c r="AD42" i="8" s="1"/>
  <c r="Z42" i="8"/>
  <c r="AC42" i="8" s="1"/>
  <c r="AF42" i="8" s="1"/>
  <c r="Y58" i="8"/>
  <c r="AB58" i="8" s="1"/>
  <c r="AE58" i="8" s="1"/>
  <c r="X58" i="8"/>
  <c r="AA58" i="8" s="1"/>
  <c r="AD58" i="8" s="1"/>
  <c r="Z58" i="8"/>
  <c r="AC58" i="8" s="1"/>
  <c r="AF58" i="8" s="1"/>
  <c r="V92" i="8"/>
  <c r="X88" i="8"/>
  <c r="AA88" i="8" s="1"/>
  <c r="AD88" i="8" s="1"/>
  <c r="Z88" i="8"/>
  <c r="AC88" i="8" s="1"/>
  <c r="AF88" i="8" s="1"/>
  <c r="Y88" i="8"/>
  <c r="AB88" i="8" s="1"/>
  <c r="AE88" i="8" s="1"/>
  <c r="Y43" i="8"/>
  <c r="AB43" i="8" s="1"/>
  <c r="AE43" i="8" s="1"/>
  <c r="X43" i="8"/>
  <c r="AA43" i="8" s="1"/>
  <c r="AD43" i="8" s="1"/>
  <c r="Z43" i="8"/>
  <c r="AC43" i="8" s="1"/>
  <c r="AF43" i="8" s="1"/>
  <c r="V60" i="8"/>
  <c r="V108" i="8"/>
  <c r="Y57" i="8"/>
  <c r="AB57" i="8" s="1"/>
  <c r="AE57" i="8" s="1"/>
  <c r="Z57" i="8"/>
  <c r="AC57" i="8" s="1"/>
  <c r="AF57" i="8" s="1"/>
  <c r="X57" i="8"/>
  <c r="AA57" i="8" s="1"/>
  <c r="AD57" i="8" s="1"/>
  <c r="Z52" i="8"/>
  <c r="AC52" i="8" s="1"/>
  <c r="AF52" i="8" s="1"/>
  <c r="Y52" i="8"/>
  <c r="AB52" i="8" s="1"/>
  <c r="AE52" i="8" s="1"/>
  <c r="X52" i="8"/>
  <c r="AA52" i="8" s="1"/>
  <c r="AD52" i="8" s="1"/>
  <c r="Z84" i="8"/>
  <c r="AC84" i="8" s="1"/>
  <c r="AF84" i="8" s="1"/>
  <c r="X84" i="8"/>
  <c r="AA84" i="8" s="1"/>
  <c r="AD84" i="8" s="1"/>
  <c r="Y84" i="8"/>
  <c r="AB84" i="8" s="1"/>
  <c r="AE84" i="8" s="1"/>
  <c r="Z93" i="8"/>
  <c r="AC93" i="8" s="1"/>
  <c r="AF93" i="8" s="1"/>
  <c r="Y93" i="8"/>
  <c r="AB93" i="8" s="1"/>
  <c r="AE93" i="8" s="1"/>
  <c r="X93" i="8"/>
  <c r="AA93" i="8" s="1"/>
  <c r="AD93" i="8" s="1"/>
  <c r="V76" i="8"/>
  <c r="Z125" i="8"/>
  <c r="AC125" i="8" s="1"/>
  <c r="AF125" i="8" s="1"/>
  <c r="X125" i="8"/>
  <c r="AA125" i="8" s="1"/>
  <c r="AD125" i="8" s="1"/>
  <c r="Y125" i="8"/>
  <c r="AB125" i="8" s="1"/>
  <c r="AE125" i="8" s="1"/>
  <c r="Z137" i="8"/>
  <c r="AC137" i="8" s="1"/>
  <c r="AF137" i="8" s="1"/>
  <c r="Y137" i="8"/>
  <c r="AB137" i="8" s="1"/>
  <c r="AE137" i="8" s="1"/>
  <c r="X137" i="8"/>
  <c r="AA137" i="8" s="1"/>
  <c r="AD137" i="8" s="1"/>
  <c r="X107" i="8"/>
  <c r="AA107" i="8" s="1"/>
  <c r="AD107" i="8" s="1"/>
  <c r="Y107" i="8"/>
  <c r="AB107" i="8" s="1"/>
  <c r="AE107" i="8" s="1"/>
  <c r="Z107" i="8"/>
  <c r="AC107" i="8" s="1"/>
  <c r="AF107" i="8" s="1"/>
  <c r="X46" i="8"/>
  <c r="AA46" i="8" s="1"/>
  <c r="AD46" i="8" s="1"/>
  <c r="Y46" i="8"/>
  <c r="AB46" i="8" s="1"/>
  <c r="AE46" i="8" s="1"/>
  <c r="Z46" i="8"/>
  <c r="AC46" i="8" s="1"/>
  <c r="AF46" i="8" s="1"/>
  <c r="Z95" i="8"/>
  <c r="AC95" i="8" s="1"/>
  <c r="AF95" i="8" s="1"/>
  <c r="X95" i="8"/>
  <c r="AA95" i="8" s="1"/>
  <c r="AD95" i="8" s="1"/>
  <c r="Y95" i="8"/>
  <c r="AB95" i="8" s="1"/>
  <c r="AE95" i="8" s="1"/>
  <c r="X37" i="8"/>
  <c r="AA37" i="8" s="1"/>
  <c r="AD37" i="8" s="1"/>
  <c r="Y37" i="8"/>
  <c r="AB37" i="8" s="1"/>
  <c r="AE37" i="8" s="1"/>
  <c r="Z37" i="8"/>
  <c r="AC37" i="8" s="1"/>
  <c r="AF37" i="8" s="1"/>
  <c r="X45" i="8"/>
  <c r="AA45" i="8" s="1"/>
  <c r="AD45" i="8" s="1"/>
  <c r="Y45" i="8"/>
  <c r="AB45" i="8" s="1"/>
  <c r="AE45" i="8" s="1"/>
  <c r="Z45" i="8"/>
  <c r="AC45" i="8" s="1"/>
  <c r="AF45" i="8" s="1"/>
  <c r="Z69" i="8"/>
  <c r="AC69" i="8" s="1"/>
  <c r="AF69" i="8" s="1"/>
  <c r="Y69" i="8"/>
  <c r="AB69" i="8" s="1"/>
  <c r="AE69" i="8" s="1"/>
  <c r="X69" i="8"/>
  <c r="AA69" i="8" s="1"/>
  <c r="AD69" i="8" s="1"/>
  <c r="X126" i="8"/>
  <c r="AA126" i="8" s="1"/>
  <c r="AD126" i="8" s="1"/>
  <c r="Y126" i="8"/>
  <c r="AB126" i="8" s="1"/>
  <c r="AE126" i="8" s="1"/>
  <c r="Z126" i="8"/>
  <c r="AC126" i="8" s="1"/>
  <c r="AF126" i="8" s="1"/>
  <c r="Y77" i="8"/>
  <c r="AB77" i="8" s="1"/>
  <c r="AE77" i="8" s="1"/>
  <c r="X77" i="8"/>
  <c r="AA77" i="8" s="1"/>
  <c r="AD77" i="8" s="1"/>
  <c r="Z77" i="8"/>
  <c r="AC77" i="8" s="1"/>
  <c r="AF77" i="8" s="1"/>
  <c r="Z41" i="8"/>
  <c r="AC41" i="8" s="1"/>
  <c r="AF41" i="8" s="1"/>
  <c r="X41" i="8"/>
  <c r="AA41" i="8" s="1"/>
  <c r="AD41" i="8" s="1"/>
  <c r="Y41" i="8"/>
  <c r="AB41" i="8" s="1"/>
  <c r="AE41" i="8" s="1"/>
  <c r="Z87" i="8"/>
  <c r="AC87" i="8" s="1"/>
  <c r="AF87" i="8" s="1"/>
  <c r="X87" i="8"/>
  <c r="AA87" i="8" s="1"/>
  <c r="AD87" i="8" s="1"/>
  <c r="Y87" i="8"/>
  <c r="AB87" i="8" s="1"/>
  <c r="AE87" i="8" s="1"/>
  <c r="X120" i="8"/>
  <c r="AA120" i="8" s="1"/>
  <c r="AD120" i="8" s="1"/>
  <c r="Y120" i="8"/>
  <c r="AB120" i="8" s="1"/>
  <c r="AE120" i="8" s="1"/>
  <c r="Z120" i="8"/>
  <c r="AC120" i="8" s="1"/>
  <c r="AF120" i="8" s="1"/>
  <c r="Y106" i="8"/>
  <c r="AB106" i="8" s="1"/>
  <c r="AE106" i="8" s="1"/>
  <c r="Z106" i="8"/>
  <c r="AC106" i="8" s="1"/>
  <c r="AF106" i="8" s="1"/>
  <c r="X106" i="8"/>
  <c r="AA106" i="8" s="1"/>
  <c r="AD106" i="8" s="1"/>
  <c r="Z116" i="8"/>
  <c r="AC116" i="8" s="1"/>
  <c r="AF116" i="8" s="1"/>
  <c r="Y116" i="8"/>
  <c r="AB116" i="8" s="1"/>
  <c r="AE116" i="8" s="1"/>
  <c r="X116" i="8"/>
  <c r="AA116" i="8" s="1"/>
  <c r="AD116" i="8" s="1"/>
  <c r="Z123" i="8"/>
  <c r="AC123" i="8" s="1"/>
  <c r="AF123" i="8" s="1"/>
  <c r="X123" i="8"/>
  <c r="AA123" i="8" s="1"/>
  <c r="AD123" i="8" s="1"/>
  <c r="Y123" i="8"/>
  <c r="AB123" i="8" s="1"/>
  <c r="AE123" i="8" s="1"/>
  <c r="X73" i="8"/>
  <c r="AA73" i="8" s="1"/>
  <c r="AD73" i="8" s="1"/>
  <c r="Z73" i="8"/>
  <c r="AC73" i="8" s="1"/>
  <c r="AF73" i="8" s="1"/>
  <c r="Y73" i="8"/>
  <c r="AB73" i="8" s="1"/>
  <c r="AE73" i="8" s="1"/>
  <c r="X91" i="8"/>
  <c r="AA91" i="8" s="1"/>
  <c r="AD91" i="8" s="1"/>
  <c r="Y91" i="8"/>
  <c r="AB91" i="8" s="1"/>
  <c r="AE91" i="8" s="1"/>
  <c r="Z91" i="8"/>
  <c r="AC91" i="8" s="1"/>
  <c r="AF91" i="8" s="1"/>
  <c r="X47" i="8"/>
  <c r="AA47" i="8" s="1"/>
  <c r="AD47" i="8" s="1"/>
  <c r="Z47" i="8"/>
  <c r="AC47" i="8" s="1"/>
  <c r="AF47" i="8" s="1"/>
  <c r="Y47" i="8"/>
  <c r="AB47" i="8" s="1"/>
  <c r="AE47" i="8" s="1"/>
  <c r="Z39" i="8"/>
  <c r="AC39" i="8" s="1"/>
  <c r="AF39" i="8" s="1"/>
  <c r="X39" i="8"/>
  <c r="AA39" i="8" s="1"/>
  <c r="AD39" i="8" s="1"/>
  <c r="Y39" i="8"/>
  <c r="AB39" i="8" s="1"/>
  <c r="AE39" i="8" s="1"/>
  <c r="Z105" i="8"/>
  <c r="AC105" i="8" s="1"/>
  <c r="AF105" i="8" s="1"/>
  <c r="Y105" i="8"/>
  <c r="AB105" i="8" s="1"/>
  <c r="AE105" i="8" s="1"/>
  <c r="X105" i="8"/>
  <c r="AA105" i="8" s="1"/>
  <c r="AD105" i="8" s="1"/>
  <c r="Z36" i="8"/>
  <c r="AC36" i="8" s="1"/>
  <c r="AF36" i="8" s="1"/>
  <c r="X36" i="8"/>
  <c r="AA36" i="8" s="1"/>
  <c r="AD36" i="8" s="1"/>
  <c r="Y36" i="8"/>
  <c r="AB36" i="8" s="1"/>
  <c r="AE36" i="8" s="1"/>
  <c r="Y61" i="8"/>
  <c r="AB61" i="8" s="1"/>
  <c r="AE61" i="8" s="1"/>
  <c r="Z61" i="8"/>
  <c r="AC61" i="8" s="1"/>
  <c r="AF61" i="8" s="1"/>
  <c r="X61" i="8"/>
  <c r="AA61" i="8" s="1"/>
  <c r="AD61" i="8" s="1"/>
  <c r="Z55" i="8"/>
  <c r="AC55" i="8" s="1"/>
  <c r="AF55" i="8" s="1"/>
  <c r="Y55" i="8"/>
  <c r="AB55" i="8" s="1"/>
  <c r="AE55" i="8" s="1"/>
  <c r="X55" i="8"/>
  <c r="AA55" i="8" s="1"/>
  <c r="AD55" i="8" s="1"/>
  <c r="X112" i="8"/>
  <c r="AA112" i="8" s="1"/>
  <c r="AD112" i="8" s="1"/>
  <c r="Y112" i="8"/>
  <c r="AB112" i="8" s="1"/>
  <c r="AE112" i="8" s="1"/>
  <c r="Z112" i="8"/>
  <c r="AC112" i="8" s="1"/>
  <c r="AF112" i="8" s="1"/>
  <c r="X59" i="8"/>
  <c r="AA59" i="8" s="1"/>
  <c r="AD59" i="8" s="1"/>
  <c r="Z59" i="8"/>
  <c r="AC59" i="8" s="1"/>
  <c r="AF59" i="8" s="1"/>
  <c r="Y59" i="8"/>
  <c r="AB59" i="8" s="1"/>
  <c r="AE59" i="8" s="1"/>
  <c r="X109" i="8"/>
  <c r="AA109" i="8" s="1"/>
  <c r="AD109" i="8" s="1"/>
  <c r="Y109" i="8"/>
  <c r="AB109" i="8" s="1"/>
  <c r="AE109" i="8" s="1"/>
  <c r="Z109" i="8"/>
  <c r="AC109" i="8" s="1"/>
  <c r="AF109" i="8" s="1"/>
  <c r="Z100" i="8"/>
  <c r="AC100" i="8" s="1"/>
  <c r="AF100" i="8" s="1"/>
  <c r="X100" i="8"/>
  <c r="AA100" i="8" s="1"/>
  <c r="AD100" i="8" s="1"/>
  <c r="Y100" i="8"/>
  <c r="AB100" i="8" s="1"/>
  <c r="AE100" i="8" s="1"/>
  <c r="X56" i="8"/>
  <c r="AA56" i="8" s="1"/>
  <c r="AD56" i="8" s="1"/>
  <c r="Y56" i="8"/>
  <c r="AB56" i="8" s="1"/>
  <c r="AE56" i="8" s="1"/>
  <c r="Z56" i="8"/>
  <c r="AC56" i="8" s="1"/>
  <c r="AF56" i="8" s="1"/>
  <c r="Z75" i="8"/>
  <c r="AC75" i="8" s="1"/>
  <c r="AF75" i="8" s="1"/>
  <c r="Y75" i="8"/>
  <c r="AB75" i="8" s="1"/>
  <c r="AE75" i="8" s="1"/>
  <c r="X75" i="8"/>
  <c r="AA75" i="8" s="1"/>
  <c r="AD75" i="8" s="1"/>
  <c r="V68" i="8"/>
  <c r="Y78" i="8"/>
  <c r="AB78" i="8" s="1"/>
  <c r="AE78" i="8" s="1"/>
  <c r="Z78" i="8"/>
  <c r="AC78" i="8" s="1"/>
  <c r="AF78" i="8" s="1"/>
  <c r="X78" i="8"/>
  <c r="AA78" i="8" s="1"/>
  <c r="AD78" i="8" s="1"/>
  <c r="V124" i="8"/>
  <c r="C509" i="8" l="1"/>
  <c r="D508" i="8"/>
  <c r="D247" i="8"/>
  <c r="C248" i="8"/>
  <c r="AG70" i="8"/>
  <c r="AG67" i="8"/>
  <c r="Y104" i="8"/>
  <c r="AB104" i="8" s="1"/>
  <c r="AE104" i="8" s="1"/>
  <c r="AG104" i="8"/>
  <c r="Y131" i="8"/>
  <c r="AB131" i="8" s="1"/>
  <c r="AE131" i="8" s="1"/>
  <c r="AG131" i="8"/>
  <c r="AG108" i="8"/>
  <c r="Z101" i="8"/>
  <c r="AC101" i="8" s="1"/>
  <c r="AF101" i="8" s="1"/>
  <c r="AG101" i="8"/>
  <c r="AG124" i="8"/>
  <c r="AG76" i="8"/>
  <c r="AG90" i="8"/>
  <c r="AG60" i="8"/>
  <c r="AG118" i="8"/>
  <c r="AG68" i="8"/>
  <c r="AG92" i="8"/>
  <c r="AG44" i="8"/>
  <c r="AG53" i="8"/>
  <c r="AG134" i="8"/>
  <c r="AG102" i="8"/>
  <c r="AG51" i="8"/>
  <c r="Y99" i="8"/>
  <c r="AB99" i="8" s="1"/>
  <c r="AE99" i="8" s="1"/>
  <c r="AG99" i="8"/>
  <c r="AG72" i="8"/>
  <c r="Z99" i="8"/>
  <c r="AC99" i="8" s="1"/>
  <c r="AF99" i="8" s="1"/>
  <c r="Y89" i="8"/>
  <c r="AB89" i="8" s="1"/>
  <c r="AE89" i="8" s="1"/>
  <c r="Z115" i="8"/>
  <c r="AC115" i="8" s="1"/>
  <c r="AF115" i="8" s="1"/>
  <c r="X133" i="8"/>
  <c r="AA133" i="8" s="1"/>
  <c r="AD133" i="8" s="1"/>
  <c r="Z40" i="8"/>
  <c r="AC40" i="8" s="1"/>
  <c r="AF40" i="8" s="1"/>
  <c r="Y115" i="8"/>
  <c r="AB115" i="8" s="1"/>
  <c r="AE115" i="8" s="1"/>
  <c r="Z83" i="8"/>
  <c r="AC83" i="8" s="1"/>
  <c r="AF83" i="8" s="1"/>
  <c r="X115" i="8"/>
  <c r="AA115" i="8" s="1"/>
  <c r="AD115" i="8" s="1"/>
  <c r="X67" i="8"/>
  <c r="AA67" i="8" s="1"/>
  <c r="AD67" i="8" s="1"/>
  <c r="X136" i="8"/>
  <c r="AA136" i="8" s="1"/>
  <c r="AD136" i="8" s="1"/>
  <c r="Z132" i="8"/>
  <c r="AC132" i="8" s="1"/>
  <c r="AF132" i="8" s="1"/>
  <c r="Z136" i="8"/>
  <c r="AC136" i="8" s="1"/>
  <c r="AF136" i="8" s="1"/>
  <c r="Y136" i="8"/>
  <c r="AB136" i="8" s="1"/>
  <c r="AE136" i="8" s="1"/>
  <c r="X72" i="8"/>
  <c r="AA72" i="8" s="1"/>
  <c r="AD72" i="8" s="1"/>
  <c r="Y67" i="8"/>
  <c r="AB67" i="8" s="1"/>
  <c r="AE67" i="8" s="1"/>
  <c r="Y102" i="8"/>
  <c r="AB102" i="8" s="1"/>
  <c r="AE102" i="8" s="1"/>
  <c r="X51" i="8"/>
  <c r="AA51" i="8" s="1"/>
  <c r="AD51" i="8" s="1"/>
  <c r="X40" i="8"/>
  <c r="AA40" i="8" s="1"/>
  <c r="AD40" i="8" s="1"/>
  <c r="Y83" i="8"/>
  <c r="AB83" i="8" s="1"/>
  <c r="AE83" i="8" s="1"/>
  <c r="X99" i="8"/>
  <c r="AA99" i="8" s="1"/>
  <c r="AD99" i="8" s="1"/>
  <c r="Z44" i="8"/>
  <c r="AC44" i="8" s="1"/>
  <c r="AF44" i="8" s="1"/>
  <c r="Z90" i="8"/>
  <c r="AC90" i="8" s="1"/>
  <c r="AF90" i="8" s="1"/>
  <c r="Y40" i="8"/>
  <c r="AB40" i="8" s="1"/>
  <c r="AE40" i="8" s="1"/>
  <c r="X83" i="8"/>
  <c r="AA83" i="8" s="1"/>
  <c r="AD83" i="8" s="1"/>
  <c r="X90" i="8"/>
  <c r="AA90" i="8" s="1"/>
  <c r="AD90" i="8" s="1"/>
  <c r="Z67" i="8"/>
  <c r="AC67" i="8" s="1"/>
  <c r="AF67" i="8" s="1"/>
  <c r="Y90" i="8"/>
  <c r="AB90" i="8" s="1"/>
  <c r="AE90" i="8" s="1"/>
  <c r="X104" i="8"/>
  <c r="AA104" i="8" s="1"/>
  <c r="AD104" i="8" s="1"/>
  <c r="Z131" i="8"/>
  <c r="AC131" i="8" s="1"/>
  <c r="AF131" i="8" s="1"/>
  <c r="Z104" i="8"/>
  <c r="AC104" i="8" s="1"/>
  <c r="AF104" i="8" s="1"/>
  <c r="Z51" i="8"/>
  <c r="AC51" i="8" s="1"/>
  <c r="AF51" i="8" s="1"/>
  <c r="Y51" i="8"/>
  <c r="AB51" i="8" s="1"/>
  <c r="AE51" i="8" s="1"/>
  <c r="X131" i="8"/>
  <c r="AA131" i="8" s="1"/>
  <c r="AD131" i="8" s="1"/>
  <c r="Y72" i="8"/>
  <c r="AB72" i="8" s="1"/>
  <c r="AE72" i="8" s="1"/>
  <c r="Z72" i="8"/>
  <c r="AC72" i="8" s="1"/>
  <c r="AF72" i="8" s="1"/>
  <c r="C8" i="8"/>
  <c r="D8" i="8" s="1"/>
  <c r="Z89" i="8"/>
  <c r="AC89" i="8" s="1"/>
  <c r="AF89" i="8" s="1"/>
  <c r="X132" i="8"/>
  <c r="AA132" i="8" s="1"/>
  <c r="AD132" i="8" s="1"/>
  <c r="Y132" i="8"/>
  <c r="AB132" i="8" s="1"/>
  <c r="AE132" i="8" s="1"/>
  <c r="Y101" i="8"/>
  <c r="AB101" i="8" s="1"/>
  <c r="AE101" i="8" s="1"/>
  <c r="X102" i="8"/>
  <c r="AA102" i="8" s="1"/>
  <c r="AD102" i="8" s="1"/>
  <c r="X101" i="8"/>
  <c r="AA101" i="8" s="1"/>
  <c r="AD101" i="8" s="1"/>
  <c r="Z102" i="8"/>
  <c r="AC102" i="8" s="1"/>
  <c r="AF102" i="8" s="1"/>
  <c r="X89" i="8"/>
  <c r="AA89" i="8" s="1"/>
  <c r="AD89" i="8" s="1"/>
  <c r="Y133" i="8"/>
  <c r="AB133" i="8" s="1"/>
  <c r="AE133" i="8" s="1"/>
  <c r="Z118" i="8"/>
  <c r="AC118" i="8" s="1"/>
  <c r="AF118" i="8" s="1"/>
  <c r="X118" i="8"/>
  <c r="AA118" i="8" s="1"/>
  <c r="AD118" i="8" s="1"/>
  <c r="Y118" i="8"/>
  <c r="AB118" i="8" s="1"/>
  <c r="AE118" i="8" s="1"/>
  <c r="Z133" i="8"/>
  <c r="AC133" i="8" s="1"/>
  <c r="AF133" i="8" s="1"/>
  <c r="Z70" i="8"/>
  <c r="AC70" i="8" s="1"/>
  <c r="AF70" i="8" s="1"/>
  <c r="Y70" i="8"/>
  <c r="AB70" i="8" s="1"/>
  <c r="AE70" i="8" s="1"/>
  <c r="X70" i="8"/>
  <c r="AA70" i="8" s="1"/>
  <c r="AD70" i="8" s="1"/>
  <c r="X44" i="8"/>
  <c r="AA44" i="8" s="1"/>
  <c r="AD44" i="8" s="1"/>
  <c r="Y44" i="8"/>
  <c r="AB44" i="8" s="1"/>
  <c r="AE44" i="8" s="1"/>
  <c r="Y134" i="8"/>
  <c r="AB134" i="8" s="1"/>
  <c r="AE134" i="8" s="1"/>
  <c r="Z134" i="8"/>
  <c r="AC134" i="8" s="1"/>
  <c r="AF134" i="8" s="1"/>
  <c r="X134" i="8"/>
  <c r="AA134" i="8" s="1"/>
  <c r="AD134" i="8" s="1"/>
  <c r="Z53" i="8"/>
  <c r="AC53" i="8" s="1"/>
  <c r="AF53" i="8" s="1"/>
  <c r="Y53" i="8"/>
  <c r="AB53" i="8" s="1"/>
  <c r="AE53" i="8" s="1"/>
  <c r="X53" i="8"/>
  <c r="AA53" i="8" s="1"/>
  <c r="AD53" i="8" s="1"/>
  <c r="Z68" i="8"/>
  <c r="AC68" i="8" s="1"/>
  <c r="AF68" i="8" s="1"/>
  <c r="X68" i="8"/>
  <c r="AA68" i="8" s="1"/>
  <c r="AD68" i="8" s="1"/>
  <c r="Y68" i="8"/>
  <c r="AB68" i="8" s="1"/>
  <c r="AE68" i="8" s="1"/>
  <c r="Z92" i="8"/>
  <c r="AC92" i="8" s="1"/>
  <c r="AF92" i="8" s="1"/>
  <c r="X92" i="8"/>
  <c r="AA92" i="8" s="1"/>
  <c r="AD92" i="8" s="1"/>
  <c r="Y92" i="8"/>
  <c r="AB92" i="8" s="1"/>
  <c r="AE92" i="8" s="1"/>
  <c r="Z60" i="8"/>
  <c r="AC60" i="8" s="1"/>
  <c r="AF60" i="8" s="1"/>
  <c r="X60" i="8"/>
  <c r="AA60" i="8" s="1"/>
  <c r="AD60" i="8" s="1"/>
  <c r="Y60" i="8"/>
  <c r="AB60" i="8" s="1"/>
  <c r="AE60" i="8" s="1"/>
  <c r="Z124" i="8"/>
  <c r="AC124" i="8" s="1"/>
  <c r="AF124" i="8" s="1"/>
  <c r="X124" i="8"/>
  <c r="AA124" i="8" s="1"/>
  <c r="AD124" i="8" s="1"/>
  <c r="Y124" i="8"/>
  <c r="AB124" i="8" s="1"/>
  <c r="AE124" i="8" s="1"/>
  <c r="Z76" i="8"/>
  <c r="AC76" i="8" s="1"/>
  <c r="AF76" i="8" s="1"/>
  <c r="Y76" i="8"/>
  <c r="AB76" i="8" s="1"/>
  <c r="AE76" i="8" s="1"/>
  <c r="X76" i="8"/>
  <c r="AA76" i="8" s="1"/>
  <c r="AD76" i="8" s="1"/>
  <c r="Z108" i="8"/>
  <c r="AC108" i="8" s="1"/>
  <c r="AF108" i="8" s="1"/>
  <c r="X108" i="8"/>
  <c r="AA108" i="8" s="1"/>
  <c r="AD108" i="8" s="1"/>
  <c r="Y108" i="8"/>
  <c r="AB108" i="8" s="1"/>
  <c r="AE108" i="8" s="1"/>
  <c r="C510" i="8" l="1"/>
  <c r="D509" i="8"/>
  <c r="C249" i="8"/>
  <c r="D248" i="8"/>
  <c r="C9" i="8"/>
  <c r="AO24" i="2"/>
  <c r="AO170" i="2"/>
  <c r="B1564" i="5"/>
  <c r="B1565" i="5"/>
  <c r="S1564" i="5"/>
  <c r="S1565" i="5"/>
  <c r="T1564" i="5"/>
  <c r="T1565" i="5"/>
  <c r="V1564" i="5"/>
  <c r="V1565" i="5"/>
  <c r="B1560" i="5"/>
  <c r="B1561" i="5"/>
  <c r="B1562" i="5"/>
  <c r="S1560" i="5"/>
  <c r="S1561" i="5"/>
  <c r="S1562" i="5"/>
  <c r="T1560" i="5"/>
  <c r="T1561" i="5"/>
  <c r="T1562" i="5"/>
  <c r="V1560" i="5"/>
  <c r="V1561" i="5"/>
  <c r="V1562" i="5"/>
  <c r="B1563" i="5"/>
  <c r="B1566" i="5"/>
  <c r="S1563" i="5"/>
  <c r="S1566" i="5"/>
  <c r="T1563" i="5"/>
  <c r="T1566" i="5"/>
  <c r="V1563" i="5"/>
  <c r="V1566" i="5"/>
  <c r="B1567" i="5"/>
  <c r="S1567" i="5"/>
  <c r="T1567" i="5"/>
  <c r="V1567" i="5"/>
  <c r="B1549" i="5"/>
  <c r="B1550" i="5"/>
  <c r="B1551" i="5"/>
  <c r="B1552" i="5"/>
  <c r="B1553" i="5"/>
  <c r="B1554" i="5"/>
  <c r="S1549" i="5"/>
  <c r="S1550" i="5"/>
  <c r="S1551" i="5"/>
  <c r="S1552" i="5"/>
  <c r="S1553" i="5"/>
  <c r="S1554" i="5"/>
  <c r="T1549" i="5"/>
  <c r="T1550" i="5"/>
  <c r="T1551" i="5"/>
  <c r="T1552" i="5"/>
  <c r="T1553" i="5"/>
  <c r="T1554" i="5"/>
  <c r="V1549" i="5"/>
  <c r="V1550" i="5"/>
  <c r="V1551" i="5"/>
  <c r="V1552" i="5"/>
  <c r="V1553" i="5"/>
  <c r="V1554" i="5"/>
  <c r="B1540" i="5"/>
  <c r="B1541" i="5"/>
  <c r="B1542" i="5"/>
  <c r="B1543" i="5"/>
  <c r="B1544" i="5"/>
  <c r="S1540" i="5"/>
  <c r="S1541" i="5"/>
  <c r="S1542" i="5"/>
  <c r="S1543" i="5"/>
  <c r="S1544" i="5"/>
  <c r="T1540" i="5"/>
  <c r="T1541" i="5"/>
  <c r="T1542" i="5"/>
  <c r="T1543" i="5"/>
  <c r="T1544" i="5"/>
  <c r="V1540" i="5"/>
  <c r="V1541" i="5"/>
  <c r="V1542" i="5"/>
  <c r="V1543" i="5"/>
  <c r="V1544" i="5"/>
  <c r="B1545" i="5"/>
  <c r="B1546" i="5"/>
  <c r="B1547" i="5"/>
  <c r="B1548" i="5"/>
  <c r="B1555" i="5"/>
  <c r="S1545" i="5"/>
  <c r="S1546" i="5"/>
  <c r="S1547" i="5"/>
  <c r="S1548" i="5"/>
  <c r="S1555" i="5"/>
  <c r="T1545" i="5"/>
  <c r="T1546" i="5"/>
  <c r="T1547" i="5"/>
  <c r="T1548" i="5"/>
  <c r="T1555" i="5"/>
  <c r="V1545" i="5"/>
  <c r="V1546" i="5"/>
  <c r="V1547" i="5"/>
  <c r="V1548" i="5"/>
  <c r="V1555" i="5"/>
  <c r="B1556" i="5"/>
  <c r="S1556" i="5"/>
  <c r="T1556" i="5"/>
  <c r="V1556" i="5"/>
  <c r="B1557" i="5"/>
  <c r="S1557" i="5"/>
  <c r="T1557" i="5"/>
  <c r="V1557" i="5"/>
  <c r="B1558" i="5"/>
  <c r="S1558" i="5"/>
  <c r="T1558" i="5"/>
  <c r="V1558" i="5"/>
  <c r="B1559" i="5"/>
  <c r="S1559" i="5"/>
  <c r="T1559" i="5"/>
  <c r="V1559" i="5"/>
  <c r="V1524" i="5"/>
  <c r="T1524" i="5"/>
  <c r="S1524" i="5"/>
  <c r="V1518" i="5"/>
  <c r="T1518" i="5"/>
  <c r="S1518" i="5"/>
  <c r="V1517" i="5"/>
  <c r="T1517" i="5"/>
  <c r="S1517" i="5"/>
  <c r="V1516" i="5"/>
  <c r="T1516" i="5"/>
  <c r="S1516" i="5"/>
  <c r="V1515" i="5"/>
  <c r="T1515" i="5"/>
  <c r="S1515" i="5"/>
  <c r="V1511" i="5"/>
  <c r="T1511" i="5"/>
  <c r="S1511" i="5"/>
  <c r="V1514" i="5"/>
  <c r="T1514" i="5"/>
  <c r="S1514"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S1494" i="5"/>
  <c r="S1495" i="5"/>
  <c r="S1496" i="5"/>
  <c r="S1497" i="5"/>
  <c r="S1498" i="5"/>
  <c r="S1499" i="5"/>
  <c r="S1500" i="5"/>
  <c r="S1501" i="5"/>
  <c r="S1502" i="5"/>
  <c r="S1503" i="5"/>
  <c r="S1504" i="5"/>
  <c r="S1505" i="5"/>
  <c r="S1506" i="5"/>
  <c r="S1507" i="5"/>
  <c r="S1508" i="5"/>
  <c r="S1509" i="5"/>
  <c r="S1510" i="5"/>
  <c r="S1512" i="5"/>
  <c r="S1513" i="5"/>
  <c r="S1519" i="5"/>
  <c r="S1520" i="5"/>
  <c r="S1521" i="5"/>
  <c r="S1522" i="5"/>
  <c r="S1523" i="5"/>
  <c r="T1494" i="5"/>
  <c r="T1495" i="5"/>
  <c r="T1496" i="5"/>
  <c r="T1497" i="5"/>
  <c r="T1498" i="5"/>
  <c r="T1499" i="5"/>
  <c r="T1500" i="5"/>
  <c r="T1501" i="5"/>
  <c r="T1502" i="5"/>
  <c r="T1503" i="5"/>
  <c r="T1504" i="5"/>
  <c r="T1505" i="5"/>
  <c r="T1506" i="5"/>
  <c r="T1507" i="5"/>
  <c r="T1508" i="5"/>
  <c r="T1509" i="5"/>
  <c r="T1510" i="5"/>
  <c r="T1512" i="5"/>
  <c r="T1513" i="5"/>
  <c r="T1519" i="5"/>
  <c r="T1520" i="5"/>
  <c r="T1521" i="5"/>
  <c r="T1522" i="5"/>
  <c r="T1523" i="5"/>
  <c r="V1494" i="5"/>
  <c r="V1495" i="5"/>
  <c r="V1496" i="5"/>
  <c r="V1497" i="5"/>
  <c r="V1498" i="5"/>
  <c r="V1499" i="5"/>
  <c r="V1500" i="5"/>
  <c r="V1501" i="5"/>
  <c r="V1502" i="5"/>
  <c r="V1503" i="5"/>
  <c r="V1504" i="5"/>
  <c r="V1505" i="5"/>
  <c r="V1506" i="5"/>
  <c r="V1507" i="5"/>
  <c r="V1508" i="5"/>
  <c r="V1509" i="5"/>
  <c r="V1510" i="5"/>
  <c r="V1512" i="5"/>
  <c r="V1513" i="5"/>
  <c r="V1519" i="5"/>
  <c r="V1520" i="5"/>
  <c r="V1521" i="5"/>
  <c r="V1522" i="5"/>
  <c r="V1523" i="5"/>
  <c r="B1539" i="5"/>
  <c r="B1538" i="5"/>
  <c r="B1537" i="5"/>
  <c r="S1525" i="5"/>
  <c r="S1526" i="5"/>
  <c r="S1527" i="5"/>
  <c r="S1528" i="5"/>
  <c r="S1529" i="5"/>
  <c r="S1530" i="5"/>
  <c r="S1531" i="5"/>
  <c r="S1532" i="5"/>
  <c r="S1533" i="5"/>
  <c r="S1534" i="5"/>
  <c r="S1535" i="5"/>
  <c r="S1536" i="5"/>
  <c r="S1537" i="5"/>
  <c r="S1538" i="5"/>
  <c r="S1539" i="5"/>
  <c r="T1525" i="5"/>
  <c r="T1526" i="5"/>
  <c r="T1527" i="5"/>
  <c r="T1528" i="5"/>
  <c r="T1529" i="5"/>
  <c r="T1530" i="5"/>
  <c r="T1531" i="5"/>
  <c r="T1532" i="5"/>
  <c r="T1533" i="5"/>
  <c r="T1534" i="5"/>
  <c r="T1535" i="5"/>
  <c r="T1536" i="5"/>
  <c r="T1537" i="5"/>
  <c r="T1538" i="5"/>
  <c r="T1539" i="5"/>
  <c r="V1525" i="5"/>
  <c r="V1526" i="5"/>
  <c r="V1527" i="5"/>
  <c r="V1528" i="5"/>
  <c r="V1529" i="5"/>
  <c r="V1530" i="5"/>
  <c r="V1531" i="5"/>
  <c r="V1532" i="5"/>
  <c r="V1533" i="5"/>
  <c r="V1534" i="5"/>
  <c r="V1535" i="5"/>
  <c r="V1536" i="5"/>
  <c r="V1537" i="5"/>
  <c r="V1538" i="5"/>
  <c r="V1539" i="5"/>
  <c r="B1175" i="5"/>
  <c r="S1175" i="5"/>
  <c r="T1175" i="5"/>
  <c r="V1175" i="5"/>
  <c r="B1145" i="5"/>
  <c r="S1145" i="5"/>
  <c r="T1145" i="5"/>
  <c r="V1145" i="5"/>
  <c r="B1146" i="5"/>
  <c r="S1146" i="5"/>
  <c r="T1146" i="5"/>
  <c r="V1146" i="5"/>
  <c r="B1044" i="5"/>
  <c r="S1044" i="5"/>
  <c r="T1044" i="5"/>
  <c r="V1044" i="5"/>
  <c r="AK429" i="2" s="1"/>
  <c r="B1042" i="5"/>
  <c r="S1042" i="5"/>
  <c r="T1042" i="5"/>
  <c r="V1042" i="5"/>
  <c r="B1038" i="5"/>
  <c r="S1038" i="5"/>
  <c r="T1038" i="5"/>
  <c r="V1038" i="5"/>
  <c r="S831" i="5"/>
  <c r="T831" i="5"/>
  <c r="V831" i="5"/>
  <c r="S832" i="5"/>
  <c r="T832" i="5"/>
  <c r="V832" i="5"/>
  <c r="S833" i="5"/>
  <c r="T833" i="5"/>
  <c r="V833" i="5"/>
  <c r="AK323" i="2" s="1"/>
  <c r="S834" i="5"/>
  <c r="T834" i="5"/>
  <c r="V834" i="5"/>
  <c r="S835" i="5"/>
  <c r="T835" i="5"/>
  <c r="V835" i="5"/>
  <c r="S836" i="5"/>
  <c r="T836" i="5"/>
  <c r="V836" i="5"/>
  <c r="AK324" i="2" s="1"/>
  <c r="S837" i="5"/>
  <c r="T837" i="5"/>
  <c r="V837" i="5"/>
  <c r="AK325" i="2" s="1"/>
  <c r="S838" i="5"/>
  <c r="T838" i="5"/>
  <c r="V838" i="5"/>
  <c r="AK326" i="2" s="1"/>
  <c r="S839" i="5"/>
  <c r="T839" i="5"/>
  <c r="V839" i="5"/>
  <c r="S840" i="5"/>
  <c r="T840" i="5"/>
  <c r="V840" i="5"/>
  <c r="S841" i="5"/>
  <c r="T841" i="5"/>
  <c r="V841" i="5"/>
  <c r="S842" i="5"/>
  <c r="T842" i="5"/>
  <c r="V842" i="5"/>
  <c r="S843" i="5"/>
  <c r="T843" i="5"/>
  <c r="V843" i="5"/>
  <c r="S844" i="5"/>
  <c r="T844" i="5"/>
  <c r="V844" i="5"/>
  <c r="S845" i="5"/>
  <c r="T845" i="5"/>
  <c r="V845" i="5"/>
  <c r="S846" i="5"/>
  <c r="T846" i="5"/>
  <c r="V846" i="5"/>
  <c r="S847" i="5"/>
  <c r="T847" i="5"/>
  <c r="V847" i="5"/>
  <c r="S848" i="5"/>
  <c r="T848" i="5"/>
  <c r="V848" i="5"/>
  <c r="S849" i="5"/>
  <c r="T849" i="5"/>
  <c r="V849" i="5"/>
  <c r="S850" i="5"/>
  <c r="T850" i="5"/>
  <c r="V850" i="5"/>
  <c r="S851" i="5"/>
  <c r="T851" i="5"/>
  <c r="V851" i="5"/>
  <c r="S852" i="5"/>
  <c r="T852" i="5"/>
  <c r="V852" i="5"/>
  <c r="S853" i="5"/>
  <c r="T853" i="5"/>
  <c r="V853" i="5"/>
  <c r="S854" i="5"/>
  <c r="T854" i="5"/>
  <c r="V854" i="5"/>
  <c r="S855" i="5"/>
  <c r="T855" i="5"/>
  <c r="V855" i="5"/>
  <c r="S856" i="5"/>
  <c r="T856" i="5"/>
  <c r="V856" i="5"/>
  <c r="S857" i="5"/>
  <c r="T857" i="5"/>
  <c r="V857" i="5"/>
  <c r="S858" i="5"/>
  <c r="T858" i="5"/>
  <c r="V858" i="5"/>
  <c r="S859" i="5"/>
  <c r="T859" i="5"/>
  <c r="V859" i="5"/>
  <c r="S860" i="5"/>
  <c r="T860" i="5"/>
  <c r="V860" i="5"/>
  <c r="S861" i="5"/>
  <c r="T861" i="5"/>
  <c r="V861" i="5"/>
  <c r="S862" i="5"/>
  <c r="T862" i="5"/>
  <c r="V862" i="5"/>
  <c r="S863" i="5"/>
  <c r="T863" i="5"/>
  <c r="V863" i="5"/>
  <c r="S864" i="5"/>
  <c r="T864" i="5"/>
  <c r="V864" i="5"/>
  <c r="S865" i="5"/>
  <c r="T865" i="5"/>
  <c r="V865" i="5"/>
  <c r="S866" i="5"/>
  <c r="T866" i="5"/>
  <c r="V866" i="5"/>
  <c r="S867" i="5"/>
  <c r="T867" i="5"/>
  <c r="V867" i="5"/>
  <c r="S868" i="5"/>
  <c r="T868" i="5"/>
  <c r="V868" i="5"/>
  <c r="S869" i="5"/>
  <c r="T869" i="5"/>
  <c r="V869" i="5"/>
  <c r="S870" i="5"/>
  <c r="T870" i="5"/>
  <c r="V870" i="5"/>
  <c r="AK335" i="2" s="1"/>
  <c r="S871" i="5"/>
  <c r="T871" i="5"/>
  <c r="V871" i="5"/>
  <c r="S872" i="5"/>
  <c r="T872" i="5"/>
  <c r="V872" i="5"/>
  <c r="S873" i="5"/>
  <c r="T873" i="5"/>
  <c r="V873" i="5"/>
  <c r="S874" i="5"/>
  <c r="T874" i="5"/>
  <c r="V874" i="5"/>
  <c r="AK336" i="2" s="1"/>
  <c r="S875" i="5"/>
  <c r="T875" i="5"/>
  <c r="V875" i="5"/>
  <c r="S876" i="5"/>
  <c r="T876" i="5"/>
  <c r="V876" i="5"/>
  <c r="S877" i="5"/>
  <c r="T877" i="5"/>
  <c r="V877" i="5"/>
  <c r="S878" i="5"/>
  <c r="T878" i="5"/>
  <c r="V878" i="5"/>
  <c r="S879" i="5"/>
  <c r="T879" i="5"/>
  <c r="V879" i="5"/>
  <c r="S880" i="5"/>
  <c r="T880" i="5"/>
  <c r="V880" i="5"/>
  <c r="S881" i="5"/>
  <c r="T881" i="5"/>
  <c r="V881" i="5"/>
  <c r="AK343" i="2" s="1"/>
  <c r="S882" i="5"/>
  <c r="T882" i="5"/>
  <c r="V882" i="5"/>
  <c r="S883" i="5"/>
  <c r="T883" i="5"/>
  <c r="V883" i="5"/>
  <c r="S884" i="5"/>
  <c r="T884" i="5"/>
  <c r="V884" i="5"/>
  <c r="S885" i="5"/>
  <c r="T885" i="5"/>
  <c r="V885" i="5"/>
  <c r="S886" i="5"/>
  <c r="T886" i="5"/>
  <c r="V886" i="5"/>
  <c r="S887" i="5"/>
  <c r="T887" i="5"/>
  <c r="V887" i="5"/>
  <c r="AK348" i="2" s="1"/>
  <c r="S888" i="5"/>
  <c r="T888" i="5"/>
  <c r="V888" i="5"/>
  <c r="S889" i="5"/>
  <c r="T889" i="5"/>
  <c r="V889" i="5"/>
  <c r="S890" i="5"/>
  <c r="T890" i="5"/>
  <c r="V890" i="5"/>
  <c r="S891" i="5"/>
  <c r="T891" i="5"/>
  <c r="V891" i="5"/>
  <c r="S892" i="5"/>
  <c r="T892" i="5"/>
  <c r="V892" i="5"/>
  <c r="AK350" i="2" s="1"/>
  <c r="S893" i="5"/>
  <c r="T893" i="5"/>
  <c r="V893" i="5"/>
  <c r="AK351" i="2" s="1"/>
  <c r="S894" i="5"/>
  <c r="T894" i="5"/>
  <c r="V894" i="5"/>
  <c r="S895" i="5"/>
  <c r="T895" i="5"/>
  <c r="V895" i="5"/>
  <c r="S896" i="5"/>
  <c r="T896" i="5"/>
  <c r="V896" i="5"/>
  <c r="S897" i="5"/>
  <c r="T897" i="5"/>
  <c r="V897" i="5"/>
  <c r="AK354" i="2" s="1"/>
  <c r="S898" i="5"/>
  <c r="T898" i="5"/>
  <c r="V898" i="5"/>
  <c r="S899" i="5"/>
  <c r="T899" i="5"/>
  <c r="V899" i="5"/>
  <c r="S900" i="5"/>
  <c r="T900" i="5"/>
  <c r="V900" i="5"/>
  <c r="AK358" i="2" s="1"/>
  <c r="S901" i="5"/>
  <c r="T901" i="5"/>
  <c r="V901" i="5"/>
  <c r="S902" i="5"/>
  <c r="T902" i="5"/>
  <c r="V902" i="5"/>
  <c r="S903" i="5"/>
  <c r="T903" i="5"/>
  <c r="V903" i="5"/>
  <c r="AK360" i="2" s="1"/>
  <c r="S904" i="5"/>
  <c r="T904" i="5"/>
  <c r="V904" i="5"/>
  <c r="AK362" i="2" s="1"/>
  <c r="S905" i="5"/>
  <c r="T905" i="5"/>
  <c r="V905" i="5"/>
  <c r="AK363" i="2" s="1"/>
  <c r="S906" i="5"/>
  <c r="T906" i="5"/>
  <c r="V906" i="5"/>
  <c r="AK365" i="2" s="1"/>
  <c r="S907" i="5"/>
  <c r="T907" i="5"/>
  <c r="V907" i="5"/>
  <c r="S908" i="5"/>
  <c r="T908" i="5"/>
  <c r="V908" i="5"/>
  <c r="S909" i="5"/>
  <c r="T909" i="5"/>
  <c r="V909" i="5"/>
  <c r="S910" i="5"/>
  <c r="T910" i="5"/>
  <c r="V910" i="5"/>
  <c r="S911" i="5"/>
  <c r="T911" i="5"/>
  <c r="V911" i="5"/>
  <c r="S912" i="5"/>
  <c r="T912" i="5"/>
  <c r="V912" i="5"/>
  <c r="S913" i="5"/>
  <c r="T913" i="5"/>
  <c r="V913" i="5"/>
  <c r="AK368" i="2" s="1"/>
  <c r="S914" i="5"/>
  <c r="T914" i="5"/>
  <c r="V914" i="5"/>
  <c r="AK369" i="2" s="1"/>
  <c r="S915" i="5"/>
  <c r="T915" i="5"/>
  <c r="V915" i="5"/>
  <c r="S916" i="5"/>
  <c r="T916" i="5"/>
  <c r="V916" i="5"/>
  <c r="S917" i="5"/>
  <c r="T917" i="5"/>
  <c r="V917" i="5"/>
  <c r="S918" i="5"/>
  <c r="T918" i="5"/>
  <c r="V918" i="5"/>
  <c r="S919" i="5"/>
  <c r="T919" i="5"/>
  <c r="V919" i="5"/>
  <c r="S920" i="5"/>
  <c r="T920" i="5"/>
  <c r="V920" i="5"/>
  <c r="S921" i="5"/>
  <c r="T921" i="5"/>
  <c r="V921" i="5"/>
  <c r="S922" i="5"/>
  <c r="T922" i="5"/>
  <c r="V922" i="5"/>
  <c r="S923" i="5"/>
  <c r="T923" i="5"/>
  <c r="V923" i="5"/>
  <c r="S924" i="5"/>
  <c r="T924" i="5"/>
  <c r="V924" i="5"/>
  <c r="S925" i="5"/>
  <c r="T925" i="5"/>
  <c r="V925" i="5"/>
  <c r="AK373" i="2" s="1"/>
  <c r="S926" i="5"/>
  <c r="T926" i="5"/>
  <c r="V926" i="5"/>
  <c r="S927" i="5"/>
  <c r="T927" i="5"/>
  <c r="V927" i="5"/>
  <c r="S928" i="5"/>
  <c r="T928" i="5"/>
  <c r="V928" i="5"/>
  <c r="S929" i="5"/>
  <c r="T929" i="5"/>
  <c r="V929" i="5"/>
  <c r="AK375" i="2" s="1"/>
  <c r="S930" i="5"/>
  <c r="T930" i="5"/>
  <c r="V930" i="5"/>
  <c r="S931" i="5"/>
  <c r="T931" i="5"/>
  <c r="V931" i="5"/>
  <c r="S932" i="5"/>
  <c r="T932" i="5"/>
  <c r="V932" i="5"/>
  <c r="AK377" i="2" s="1"/>
  <c r="S933" i="5"/>
  <c r="T933" i="5"/>
  <c r="V933" i="5"/>
  <c r="S934" i="5"/>
  <c r="T934" i="5"/>
  <c r="V934" i="5"/>
  <c r="S935" i="5"/>
  <c r="T935" i="5"/>
  <c r="V935" i="5"/>
  <c r="S936" i="5"/>
  <c r="T936" i="5"/>
  <c r="V936" i="5"/>
  <c r="S937" i="5"/>
  <c r="T937" i="5"/>
  <c r="V937" i="5"/>
  <c r="S938" i="5"/>
  <c r="T938" i="5"/>
  <c r="V938" i="5"/>
  <c r="S939" i="5"/>
  <c r="T939" i="5"/>
  <c r="V939" i="5"/>
  <c r="S940" i="5"/>
  <c r="T940" i="5"/>
  <c r="V940" i="5"/>
  <c r="AK381" i="2" s="1"/>
  <c r="S941" i="5"/>
  <c r="T941" i="5"/>
  <c r="V941" i="5"/>
  <c r="AK382" i="2" s="1"/>
  <c r="S942" i="5"/>
  <c r="T942" i="5"/>
  <c r="V942" i="5"/>
  <c r="S943" i="5"/>
  <c r="T943" i="5"/>
  <c r="V943" i="5"/>
  <c r="S944" i="5"/>
  <c r="T944" i="5"/>
  <c r="V944" i="5"/>
  <c r="S945" i="5"/>
  <c r="T945" i="5"/>
  <c r="V945" i="5"/>
  <c r="S946" i="5"/>
  <c r="T946" i="5"/>
  <c r="V946" i="5"/>
  <c r="S947" i="5"/>
  <c r="T947" i="5"/>
  <c r="V947" i="5"/>
  <c r="S948" i="5"/>
  <c r="T948" i="5"/>
  <c r="V948" i="5"/>
  <c r="S949" i="5"/>
  <c r="T949" i="5"/>
  <c r="V949" i="5"/>
  <c r="S950" i="5"/>
  <c r="T950" i="5"/>
  <c r="V950" i="5"/>
  <c r="S951" i="5"/>
  <c r="T951" i="5"/>
  <c r="V951" i="5"/>
  <c r="AK387" i="2" s="1"/>
  <c r="S952" i="5"/>
  <c r="T952" i="5"/>
  <c r="V952" i="5"/>
  <c r="AK388" i="2" s="1"/>
  <c r="S953" i="5"/>
  <c r="T953" i="5"/>
  <c r="V953" i="5"/>
  <c r="S954" i="5"/>
  <c r="T954" i="5"/>
  <c r="V954" i="5"/>
  <c r="S955" i="5"/>
  <c r="T955" i="5"/>
  <c r="V955" i="5"/>
  <c r="S956" i="5"/>
  <c r="T956" i="5"/>
  <c r="V956" i="5"/>
  <c r="AK390" i="2" s="1"/>
  <c r="S957" i="5"/>
  <c r="T957" i="5"/>
  <c r="V957" i="5"/>
  <c r="S958" i="5"/>
  <c r="T958" i="5"/>
  <c r="V958" i="5"/>
  <c r="S959" i="5"/>
  <c r="T959" i="5"/>
  <c r="V959" i="5"/>
  <c r="S960" i="5"/>
  <c r="T960" i="5"/>
  <c r="V960" i="5"/>
  <c r="S961" i="5"/>
  <c r="T961" i="5"/>
  <c r="V961" i="5"/>
  <c r="S962" i="5"/>
  <c r="T962" i="5"/>
  <c r="V962" i="5"/>
  <c r="S963" i="5"/>
  <c r="T963" i="5"/>
  <c r="V963" i="5"/>
  <c r="S964" i="5"/>
  <c r="T964" i="5"/>
  <c r="V964" i="5"/>
  <c r="S965" i="5"/>
  <c r="T965" i="5"/>
  <c r="V965" i="5"/>
  <c r="S966" i="5"/>
  <c r="T966" i="5"/>
  <c r="V966" i="5"/>
  <c r="AK392" i="2" s="1"/>
  <c r="S967" i="5"/>
  <c r="T967" i="5"/>
  <c r="V967" i="5"/>
  <c r="S968" i="5"/>
  <c r="T968" i="5"/>
  <c r="V968" i="5"/>
  <c r="S969" i="5"/>
  <c r="T969" i="5"/>
  <c r="V969" i="5"/>
  <c r="AK393" i="2" s="1"/>
  <c r="S970" i="5"/>
  <c r="T970" i="5"/>
  <c r="V970" i="5"/>
  <c r="S971" i="5"/>
  <c r="T971" i="5"/>
  <c r="V971" i="5"/>
  <c r="S972" i="5"/>
  <c r="T972" i="5"/>
  <c r="V972" i="5"/>
  <c r="S973" i="5"/>
  <c r="T973" i="5"/>
  <c r="V973" i="5"/>
  <c r="S974" i="5"/>
  <c r="T974" i="5"/>
  <c r="V974" i="5"/>
  <c r="S975" i="5"/>
  <c r="T975" i="5"/>
  <c r="V975" i="5"/>
  <c r="S976" i="5"/>
  <c r="T976" i="5"/>
  <c r="V976" i="5"/>
  <c r="S977" i="5"/>
  <c r="T977" i="5"/>
  <c r="V977" i="5"/>
  <c r="AK396" i="2" s="1"/>
  <c r="S978" i="5"/>
  <c r="T978" i="5"/>
  <c r="V978" i="5"/>
  <c r="AK398" i="2" s="1"/>
  <c r="S979" i="5"/>
  <c r="T979" i="5"/>
  <c r="V979" i="5"/>
  <c r="S980" i="5"/>
  <c r="T980" i="5"/>
  <c r="V980" i="5"/>
  <c r="S981" i="5"/>
  <c r="T981" i="5"/>
  <c r="V981" i="5"/>
  <c r="S982" i="5"/>
  <c r="T982" i="5"/>
  <c r="V982" i="5"/>
  <c r="AK401" i="2" s="1"/>
  <c r="S983" i="5"/>
  <c r="T983" i="5"/>
  <c r="V983" i="5"/>
  <c r="S984" i="5"/>
  <c r="T984" i="5"/>
  <c r="V984" i="5"/>
  <c r="AK403" i="2" s="1"/>
  <c r="S985" i="5"/>
  <c r="T985" i="5"/>
  <c r="V985" i="5"/>
  <c r="AK404" i="2" s="1"/>
  <c r="S986" i="5"/>
  <c r="T986" i="5"/>
  <c r="V986" i="5"/>
  <c r="AK405" i="2" s="1"/>
  <c r="S987" i="5"/>
  <c r="T987" i="5"/>
  <c r="V987" i="5"/>
  <c r="AK406" i="2" s="1"/>
  <c r="S988" i="5"/>
  <c r="T988" i="5"/>
  <c r="V988" i="5"/>
  <c r="AK408" i="2" s="1"/>
  <c r="S989" i="5"/>
  <c r="T989" i="5"/>
  <c r="V989" i="5"/>
  <c r="S990" i="5"/>
  <c r="T990" i="5"/>
  <c r="V990" i="5"/>
  <c r="AK410" i="2" s="1"/>
  <c r="S991" i="5"/>
  <c r="T991" i="5"/>
  <c r="V991" i="5"/>
  <c r="AK411" i="2" s="1"/>
  <c r="S992" i="5"/>
  <c r="T992" i="5"/>
  <c r="V992" i="5"/>
  <c r="S993" i="5"/>
  <c r="T993" i="5"/>
  <c r="V993" i="5"/>
  <c r="S994" i="5"/>
  <c r="T994" i="5"/>
  <c r="V994" i="5"/>
  <c r="AK414" i="2" s="1"/>
  <c r="S995" i="5"/>
  <c r="T995" i="5"/>
  <c r="V995" i="5"/>
  <c r="AK415" i="2" s="1"/>
  <c r="S996" i="5"/>
  <c r="T996" i="5"/>
  <c r="V996" i="5"/>
  <c r="S997" i="5"/>
  <c r="T997" i="5"/>
  <c r="V997" i="5"/>
  <c r="S998" i="5"/>
  <c r="T998" i="5"/>
  <c r="V998" i="5"/>
  <c r="S999" i="5"/>
  <c r="T999" i="5"/>
  <c r="V999" i="5"/>
  <c r="S1000" i="5"/>
  <c r="T1000" i="5"/>
  <c r="V1000" i="5"/>
  <c r="AK417" i="2" s="1"/>
  <c r="S1001" i="5"/>
  <c r="T1001" i="5"/>
  <c r="V1001" i="5"/>
  <c r="S1002" i="5"/>
  <c r="T1002" i="5"/>
  <c r="V1002" i="5"/>
  <c r="S1003" i="5"/>
  <c r="T1003" i="5"/>
  <c r="V1003" i="5"/>
  <c r="S1004" i="5"/>
  <c r="T1004" i="5"/>
  <c r="V1004" i="5"/>
  <c r="S1005" i="5"/>
  <c r="T1005" i="5"/>
  <c r="V1005" i="5"/>
  <c r="S1006" i="5"/>
  <c r="T1006" i="5"/>
  <c r="V1006" i="5"/>
  <c r="S1007" i="5"/>
  <c r="T1007" i="5"/>
  <c r="V1007" i="5"/>
  <c r="S1008" i="5"/>
  <c r="T1008" i="5"/>
  <c r="V1008" i="5"/>
  <c r="AK421" i="2" s="1"/>
  <c r="S1009" i="5"/>
  <c r="T1009" i="5"/>
  <c r="V1009" i="5"/>
  <c r="AK422" i="2" s="1"/>
  <c r="S1010" i="5"/>
  <c r="T1010" i="5"/>
  <c r="V1010" i="5"/>
  <c r="S1011" i="5"/>
  <c r="T1011" i="5"/>
  <c r="V1011" i="5"/>
  <c r="S1012" i="5"/>
  <c r="T1012" i="5"/>
  <c r="V1012" i="5"/>
  <c r="AK423" i="2" s="1"/>
  <c r="S1013" i="5"/>
  <c r="T1013" i="5"/>
  <c r="V1013" i="5"/>
  <c r="S1014" i="5"/>
  <c r="T1014" i="5"/>
  <c r="V1014" i="5"/>
  <c r="S1015" i="5"/>
  <c r="T1015" i="5"/>
  <c r="V1015" i="5"/>
  <c r="S1016" i="5"/>
  <c r="T1016" i="5"/>
  <c r="V1016" i="5"/>
  <c r="S1017" i="5"/>
  <c r="T1017" i="5"/>
  <c r="V1017" i="5"/>
  <c r="S1018" i="5"/>
  <c r="T1018" i="5"/>
  <c r="V1018" i="5"/>
  <c r="S1019" i="5"/>
  <c r="T1019" i="5"/>
  <c r="V1019" i="5"/>
  <c r="S1020" i="5"/>
  <c r="T1020" i="5"/>
  <c r="V1020" i="5"/>
  <c r="AK425" i="2" s="1"/>
  <c r="S1021" i="5"/>
  <c r="T1021" i="5"/>
  <c r="V1021" i="5"/>
  <c r="S1022" i="5"/>
  <c r="T1022" i="5"/>
  <c r="V1022" i="5"/>
  <c r="S1023" i="5"/>
  <c r="T1023" i="5"/>
  <c r="V1023" i="5"/>
  <c r="S1024" i="5"/>
  <c r="T1024" i="5"/>
  <c r="V1024" i="5"/>
  <c r="S1025" i="5"/>
  <c r="T1025" i="5"/>
  <c r="V1025" i="5"/>
  <c r="S1026" i="5"/>
  <c r="T1026" i="5"/>
  <c r="V1026" i="5"/>
  <c r="S1027" i="5"/>
  <c r="T1027" i="5"/>
  <c r="V1027" i="5"/>
  <c r="S1028" i="5"/>
  <c r="T1028" i="5"/>
  <c r="V1028" i="5"/>
  <c r="S1029" i="5"/>
  <c r="T1029" i="5"/>
  <c r="V1029" i="5"/>
  <c r="S1030" i="5"/>
  <c r="T1030" i="5"/>
  <c r="V1030" i="5"/>
  <c r="S1031" i="5"/>
  <c r="T1031" i="5"/>
  <c r="V1031" i="5"/>
  <c r="S1032" i="5"/>
  <c r="T1032" i="5"/>
  <c r="V1032" i="5"/>
  <c r="S1033" i="5"/>
  <c r="T1033" i="5"/>
  <c r="V1033" i="5"/>
  <c r="S1034" i="5"/>
  <c r="T1034" i="5"/>
  <c r="V1034" i="5"/>
  <c r="S1035" i="5"/>
  <c r="T1035" i="5"/>
  <c r="V1035" i="5"/>
  <c r="S1036" i="5"/>
  <c r="T1036" i="5"/>
  <c r="V1036" i="5"/>
  <c r="S1037" i="5"/>
  <c r="T1037" i="5"/>
  <c r="V1037" i="5"/>
  <c r="S1039" i="5"/>
  <c r="T1039" i="5"/>
  <c r="V1039" i="5"/>
  <c r="S1040" i="5"/>
  <c r="T1040" i="5"/>
  <c r="V1040" i="5"/>
  <c r="S1041" i="5"/>
  <c r="T1041" i="5"/>
  <c r="V1041" i="5"/>
  <c r="S1043" i="5"/>
  <c r="T1043" i="5"/>
  <c r="V1043" i="5"/>
  <c r="S1045" i="5"/>
  <c r="T1045" i="5"/>
  <c r="V1045" i="5"/>
  <c r="S1046" i="5"/>
  <c r="T1046" i="5"/>
  <c r="V1046" i="5"/>
  <c r="S1047" i="5"/>
  <c r="T1047" i="5"/>
  <c r="V1047" i="5"/>
  <c r="S1048" i="5"/>
  <c r="T1048" i="5"/>
  <c r="V1048" i="5"/>
  <c r="S1049" i="5"/>
  <c r="T1049" i="5"/>
  <c r="V1049" i="5"/>
  <c r="S1050" i="5"/>
  <c r="T1050" i="5"/>
  <c r="V1050" i="5"/>
  <c r="S1051" i="5"/>
  <c r="T1051" i="5"/>
  <c r="V1051" i="5"/>
  <c r="S1052" i="5"/>
  <c r="T1052" i="5"/>
  <c r="V1052" i="5"/>
  <c r="S1053" i="5"/>
  <c r="T1053" i="5"/>
  <c r="V1053" i="5"/>
  <c r="S1054" i="5"/>
  <c r="T1054" i="5"/>
  <c r="V1054" i="5"/>
  <c r="S1055" i="5"/>
  <c r="T1055" i="5"/>
  <c r="V1055" i="5"/>
  <c r="S1056" i="5"/>
  <c r="T1056" i="5"/>
  <c r="V1056" i="5"/>
  <c r="S1057" i="5"/>
  <c r="T1057" i="5"/>
  <c r="V1057" i="5"/>
  <c r="S1058" i="5"/>
  <c r="T1058" i="5"/>
  <c r="V1058" i="5"/>
  <c r="S1059" i="5"/>
  <c r="T1059" i="5"/>
  <c r="V1059" i="5"/>
  <c r="S1060" i="5"/>
  <c r="T1060" i="5"/>
  <c r="V1060" i="5"/>
  <c r="S1061" i="5"/>
  <c r="T1061" i="5"/>
  <c r="V1061" i="5"/>
  <c r="S1062" i="5"/>
  <c r="T1062" i="5"/>
  <c r="V1062" i="5"/>
  <c r="AK433" i="2" s="1"/>
  <c r="S1063" i="5"/>
  <c r="T1063" i="5"/>
  <c r="V1063" i="5"/>
  <c r="S1064" i="5"/>
  <c r="T1064" i="5"/>
  <c r="V1064" i="5"/>
  <c r="S1065" i="5"/>
  <c r="T1065" i="5"/>
  <c r="V1065" i="5"/>
  <c r="S1066" i="5"/>
  <c r="T1066" i="5"/>
  <c r="V1066" i="5"/>
  <c r="S1067" i="5"/>
  <c r="T1067" i="5"/>
  <c r="V1067" i="5"/>
  <c r="S1068" i="5"/>
  <c r="T1068" i="5"/>
  <c r="V1068" i="5"/>
  <c r="S1069" i="5"/>
  <c r="T1069" i="5"/>
  <c r="V1069" i="5"/>
  <c r="S1070" i="5"/>
  <c r="T1070" i="5"/>
  <c r="V1070" i="5"/>
  <c r="S1071" i="5"/>
  <c r="T1071" i="5"/>
  <c r="V1071" i="5"/>
  <c r="AK437" i="2" s="1"/>
  <c r="S1072" i="5"/>
  <c r="T1072" i="5"/>
  <c r="V1072" i="5"/>
  <c r="S1073" i="5"/>
  <c r="T1073" i="5"/>
  <c r="V1073" i="5"/>
  <c r="S1074" i="5"/>
  <c r="T1074" i="5"/>
  <c r="V1074" i="5"/>
  <c r="S1075" i="5"/>
  <c r="T1075" i="5"/>
  <c r="V1075" i="5"/>
  <c r="S1076" i="5"/>
  <c r="T1076" i="5"/>
  <c r="V1076" i="5"/>
  <c r="S1077" i="5"/>
  <c r="T1077" i="5"/>
  <c r="V1077" i="5"/>
  <c r="S1078" i="5"/>
  <c r="T1078" i="5"/>
  <c r="V1078" i="5"/>
  <c r="AK441" i="2" s="1"/>
  <c r="S1079" i="5"/>
  <c r="T1079" i="5"/>
  <c r="V1079" i="5"/>
  <c r="S1080" i="5"/>
  <c r="T1080" i="5"/>
  <c r="V1080" i="5"/>
  <c r="S1081" i="5"/>
  <c r="T1081" i="5"/>
  <c r="V1081" i="5"/>
  <c r="S1082" i="5"/>
  <c r="T1082" i="5"/>
  <c r="V1082" i="5"/>
  <c r="S1083" i="5"/>
  <c r="T1083" i="5"/>
  <c r="V1083" i="5"/>
  <c r="S1084" i="5"/>
  <c r="T1084" i="5"/>
  <c r="V1084" i="5"/>
  <c r="S1085" i="5"/>
  <c r="T1085" i="5"/>
  <c r="V1085" i="5"/>
  <c r="S1086" i="5"/>
  <c r="T1086" i="5"/>
  <c r="V1086" i="5"/>
  <c r="S1087" i="5"/>
  <c r="T1087" i="5"/>
  <c r="V1087" i="5"/>
  <c r="S1088" i="5"/>
  <c r="T1088" i="5"/>
  <c r="V1088" i="5"/>
  <c r="AK447" i="2" s="1"/>
  <c r="S1089" i="5"/>
  <c r="T1089" i="5"/>
  <c r="V1089" i="5"/>
  <c r="S1090" i="5"/>
  <c r="T1090" i="5"/>
  <c r="V1090" i="5"/>
  <c r="S1091" i="5"/>
  <c r="T1091" i="5"/>
  <c r="V1091" i="5"/>
  <c r="S1092" i="5"/>
  <c r="T1092" i="5"/>
  <c r="V1092" i="5"/>
  <c r="S1093" i="5"/>
  <c r="T1093" i="5"/>
  <c r="V1093" i="5"/>
  <c r="S1094" i="5"/>
  <c r="T1094" i="5"/>
  <c r="V1094" i="5"/>
  <c r="S1095" i="5"/>
  <c r="T1095" i="5"/>
  <c r="V1095" i="5"/>
  <c r="S1096" i="5"/>
  <c r="T1096" i="5"/>
  <c r="V1096" i="5"/>
  <c r="S1097" i="5"/>
  <c r="T1097" i="5"/>
  <c r="V1097" i="5"/>
  <c r="S1098" i="5"/>
  <c r="T1098" i="5"/>
  <c r="V1098" i="5"/>
  <c r="S1099" i="5"/>
  <c r="T1099" i="5"/>
  <c r="V1099" i="5"/>
  <c r="S1100" i="5"/>
  <c r="T1100" i="5"/>
  <c r="V1100" i="5"/>
  <c r="AK451" i="2" s="1"/>
  <c r="S1101" i="5"/>
  <c r="T1101" i="5"/>
  <c r="V1101" i="5"/>
  <c r="S1102" i="5"/>
  <c r="T1102" i="5"/>
  <c r="V1102" i="5"/>
  <c r="S1103" i="5"/>
  <c r="T1103" i="5"/>
  <c r="V1103" i="5"/>
  <c r="AK453" i="2" s="1"/>
  <c r="S1104" i="5"/>
  <c r="T1104" i="5"/>
  <c r="V1104" i="5"/>
  <c r="S1105" i="5"/>
  <c r="T1105" i="5"/>
  <c r="V1105" i="5"/>
  <c r="S1106" i="5"/>
  <c r="T1106" i="5"/>
  <c r="V1106" i="5"/>
  <c r="S1107" i="5"/>
  <c r="T1107" i="5"/>
  <c r="V1107" i="5"/>
  <c r="S1108" i="5"/>
  <c r="T1108" i="5"/>
  <c r="V1108" i="5"/>
  <c r="S1109" i="5"/>
  <c r="T1109" i="5"/>
  <c r="V1109" i="5"/>
  <c r="S1110" i="5"/>
  <c r="T1110" i="5"/>
  <c r="V1110" i="5"/>
  <c r="S1111" i="5"/>
  <c r="T1111" i="5"/>
  <c r="V1111" i="5"/>
  <c r="S1112" i="5"/>
  <c r="T1112" i="5"/>
  <c r="V1112" i="5"/>
  <c r="S1113" i="5"/>
  <c r="T1113" i="5"/>
  <c r="V1113" i="5"/>
  <c r="S1114" i="5"/>
  <c r="T1114" i="5"/>
  <c r="V1114" i="5"/>
  <c r="S1115" i="5"/>
  <c r="T1115" i="5"/>
  <c r="V1115" i="5"/>
  <c r="S1116" i="5"/>
  <c r="T1116" i="5"/>
  <c r="V1116" i="5"/>
  <c r="S1117" i="5"/>
  <c r="T1117" i="5"/>
  <c r="V1117" i="5"/>
  <c r="S1118" i="5"/>
  <c r="T1118" i="5"/>
  <c r="V1118" i="5"/>
  <c r="S1119" i="5"/>
  <c r="T1119" i="5"/>
  <c r="V1119" i="5"/>
  <c r="S1120" i="5"/>
  <c r="T1120" i="5"/>
  <c r="V1120" i="5"/>
  <c r="S1121" i="5"/>
  <c r="T1121" i="5"/>
  <c r="V1121" i="5"/>
  <c r="AK457" i="2" s="1"/>
  <c r="S1122" i="5"/>
  <c r="T1122" i="5"/>
  <c r="V1122" i="5"/>
  <c r="S1123" i="5"/>
  <c r="T1123" i="5"/>
  <c r="V1123" i="5"/>
  <c r="S1124" i="5"/>
  <c r="T1124" i="5"/>
  <c r="V1124" i="5"/>
  <c r="S1125" i="5"/>
  <c r="T1125" i="5"/>
  <c r="V1125" i="5"/>
  <c r="S1126" i="5"/>
  <c r="T1126" i="5"/>
  <c r="V1126" i="5"/>
  <c r="AK461" i="2" s="1"/>
  <c r="S1127" i="5"/>
  <c r="T1127" i="5"/>
  <c r="V1127" i="5"/>
  <c r="S1128" i="5"/>
  <c r="T1128" i="5"/>
  <c r="V1128" i="5"/>
  <c r="S1129" i="5"/>
  <c r="T1129" i="5"/>
  <c r="V1129" i="5"/>
  <c r="S1130" i="5"/>
  <c r="T1130" i="5"/>
  <c r="V1130" i="5"/>
  <c r="S1131" i="5"/>
  <c r="T1131" i="5"/>
  <c r="V1131" i="5"/>
  <c r="S1132" i="5"/>
  <c r="T1132" i="5"/>
  <c r="V1132" i="5"/>
  <c r="S1133" i="5"/>
  <c r="T1133" i="5"/>
  <c r="V1133" i="5"/>
  <c r="S1134" i="5"/>
  <c r="T1134" i="5"/>
  <c r="V1134" i="5"/>
  <c r="S1135" i="5"/>
  <c r="T1135" i="5"/>
  <c r="V1135" i="5"/>
  <c r="S1136" i="5"/>
  <c r="T1136" i="5"/>
  <c r="V1136" i="5"/>
  <c r="S1137" i="5"/>
  <c r="T1137" i="5"/>
  <c r="V1137" i="5"/>
  <c r="S1138" i="5"/>
  <c r="T1138" i="5"/>
  <c r="V1138" i="5"/>
  <c r="S1139" i="5"/>
  <c r="T1139" i="5"/>
  <c r="V1139" i="5"/>
  <c r="S1140" i="5"/>
  <c r="T1140" i="5"/>
  <c r="V1140" i="5"/>
  <c r="S1141" i="5"/>
  <c r="T1141" i="5"/>
  <c r="V1141" i="5"/>
  <c r="S1142" i="5"/>
  <c r="T1142" i="5"/>
  <c r="V1142" i="5"/>
  <c r="S1143" i="5"/>
  <c r="T1143" i="5"/>
  <c r="V1143" i="5"/>
  <c r="S1144" i="5"/>
  <c r="T1144" i="5"/>
  <c r="V1144" i="5"/>
  <c r="S1147" i="5"/>
  <c r="T1147" i="5"/>
  <c r="V1147" i="5"/>
  <c r="S1148" i="5"/>
  <c r="T1148" i="5"/>
  <c r="V1148" i="5"/>
  <c r="S1149" i="5"/>
  <c r="T1149" i="5"/>
  <c r="V1149" i="5"/>
  <c r="S1150" i="5"/>
  <c r="T1150" i="5"/>
  <c r="V1150" i="5"/>
  <c r="S1151" i="5"/>
  <c r="T1151" i="5"/>
  <c r="V1151" i="5"/>
  <c r="S1152" i="5"/>
  <c r="T1152" i="5"/>
  <c r="V1152" i="5"/>
  <c r="S1153" i="5"/>
  <c r="T1153" i="5"/>
  <c r="V1153" i="5"/>
  <c r="S1154" i="5"/>
  <c r="T1154" i="5"/>
  <c r="V1154" i="5"/>
  <c r="S1155" i="5"/>
  <c r="T1155" i="5"/>
  <c r="V1155" i="5"/>
  <c r="S1156" i="5"/>
  <c r="T1156" i="5"/>
  <c r="V1156" i="5"/>
  <c r="S1157" i="5"/>
  <c r="T1157" i="5"/>
  <c r="V1157" i="5"/>
  <c r="S1158" i="5"/>
  <c r="T1158" i="5"/>
  <c r="V1158" i="5"/>
  <c r="AK468" i="2" s="1"/>
  <c r="S1159" i="5"/>
  <c r="T1159" i="5"/>
  <c r="V1159" i="5"/>
  <c r="S1160" i="5"/>
  <c r="T1160" i="5"/>
  <c r="V1160" i="5"/>
  <c r="S1161" i="5"/>
  <c r="T1161" i="5"/>
  <c r="V1161" i="5"/>
  <c r="S1162" i="5"/>
  <c r="T1162" i="5"/>
  <c r="V1162" i="5"/>
  <c r="S1163" i="5"/>
  <c r="T1163" i="5"/>
  <c r="V1163" i="5"/>
  <c r="S1164" i="5"/>
  <c r="T1164" i="5"/>
  <c r="V1164" i="5"/>
  <c r="S1165" i="5"/>
  <c r="T1165" i="5"/>
  <c r="V1165" i="5"/>
  <c r="S1166" i="5"/>
  <c r="T1166" i="5"/>
  <c r="V1166" i="5"/>
  <c r="S1167" i="5"/>
  <c r="T1167" i="5"/>
  <c r="V1167" i="5"/>
  <c r="S1168" i="5"/>
  <c r="T1168" i="5"/>
  <c r="V1168" i="5"/>
  <c r="S1169" i="5"/>
  <c r="T1169" i="5"/>
  <c r="V1169" i="5"/>
  <c r="S1170" i="5"/>
  <c r="T1170" i="5"/>
  <c r="V1170" i="5"/>
  <c r="S1171" i="5"/>
  <c r="T1171" i="5"/>
  <c r="V1171" i="5"/>
  <c r="AK472" i="2" s="1"/>
  <c r="S1172" i="5"/>
  <c r="T1172" i="5"/>
  <c r="V1172" i="5"/>
  <c r="AK473" i="2" s="1"/>
  <c r="S1173" i="5"/>
  <c r="T1173" i="5"/>
  <c r="V1173" i="5"/>
  <c r="S1174" i="5"/>
  <c r="T1174" i="5"/>
  <c r="V1174" i="5"/>
  <c r="S1176" i="5"/>
  <c r="T1176" i="5"/>
  <c r="V1176" i="5"/>
  <c r="S1177" i="5"/>
  <c r="T1177" i="5"/>
  <c r="V1177" i="5"/>
  <c r="S1178" i="5"/>
  <c r="T1178" i="5"/>
  <c r="V1178" i="5"/>
  <c r="S1179" i="5"/>
  <c r="T1179" i="5"/>
  <c r="V1179" i="5"/>
  <c r="S1180" i="5"/>
  <c r="T1180" i="5"/>
  <c r="V1180" i="5"/>
  <c r="S1181" i="5"/>
  <c r="T1181" i="5"/>
  <c r="V1181" i="5"/>
  <c r="S1182" i="5"/>
  <c r="T1182" i="5"/>
  <c r="V1182" i="5"/>
  <c r="S1183" i="5"/>
  <c r="T1183" i="5"/>
  <c r="V1183" i="5"/>
  <c r="S1184" i="5"/>
  <c r="T1184" i="5"/>
  <c r="V1184" i="5"/>
  <c r="S1185" i="5"/>
  <c r="T1185" i="5"/>
  <c r="V1185" i="5"/>
  <c r="S1186" i="5"/>
  <c r="T1186" i="5"/>
  <c r="V1186" i="5"/>
  <c r="AK478" i="2" s="1"/>
  <c r="S1187" i="5"/>
  <c r="T1187" i="5"/>
  <c r="V1187" i="5"/>
  <c r="S1188" i="5"/>
  <c r="T1188" i="5"/>
  <c r="V1188" i="5"/>
  <c r="S1189" i="5"/>
  <c r="T1189" i="5"/>
  <c r="V1189" i="5"/>
  <c r="AK479" i="2" s="1"/>
  <c r="S1190" i="5"/>
  <c r="T1190" i="5"/>
  <c r="V1190" i="5"/>
  <c r="S1191" i="5"/>
  <c r="T1191" i="5"/>
  <c r="V1191" i="5"/>
  <c r="S1192" i="5"/>
  <c r="T1192" i="5"/>
  <c r="V1192" i="5"/>
  <c r="S1193" i="5"/>
  <c r="T1193" i="5"/>
  <c r="V1193" i="5"/>
  <c r="S1194" i="5"/>
  <c r="T1194" i="5"/>
  <c r="V1194" i="5"/>
  <c r="S1195" i="5"/>
  <c r="T1195" i="5"/>
  <c r="V1195" i="5"/>
  <c r="S1196" i="5"/>
  <c r="T1196" i="5"/>
  <c r="V1196" i="5"/>
  <c r="S1197" i="5"/>
  <c r="T1197" i="5"/>
  <c r="V1197" i="5"/>
  <c r="S1198" i="5"/>
  <c r="T1198" i="5"/>
  <c r="V1198" i="5"/>
  <c r="S1199" i="5"/>
  <c r="T1199" i="5"/>
  <c r="V1199" i="5"/>
  <c r="S1200" i="5"/>
  <c r="T1200" i="5"/>
  <c r="V1200" i="5"/>
  <c r="S1201" i="5"/>
  <c r="T1201" i="5"/>
  <c r="V1201" i="5"/>
  <c r="S1202" i="5"/>
  <c r="T1202" i="5"/>
  <c r="V1202" i="5"/>
  <c r="S1203" i="5"/>
  <c r="T1203" i="5"/>
  <c r="V1203" i="5"/>
  <c r="S1204" i="5"/>
  <c r="T1204" i="5"/>
  <c r="V1204" i="5"/>
  <c r="S1205" i="5"/>
  <c r="T1205" i="5"/>
  <c r="V1205" i="5"/>
  <c r="S1206" i="5"/>
  <c r="T1206" i="5"/>
  <c r="V1206" i="5"/>
  <c r="S1207" i="5"/>
  <c r="T1207" i="5"/>
  <c r="V1207" i="5"/>
  <c r="S1208" i="5"/>
  <c r="T1208" i="5"/>
  <c r="V1208" i="5"/>
  <c r="S1209" i="5"/>
  <c r="T1209" i="5"/>
  <c r="V1209" i="5"/>
  <c r="S1210" i="5"/>
  <c r="T1210" i="5"/>
  <c r="V1210" i="5"/>
  <c r="S1211" i="5"/>
  <c r="T1211" i="5"/>
  <c r="V1211" i="5"/>
  <c r="S1212" i="5"/>
  <c r="T1212" i="5"/>
  <c r="V1212" i="5"/>
  <c r="AK487" i="2" s="1"/>
  <c r="S1213" i="5"/>
  <c r="T1213" i="5"/>
  <c r="V1213" i="5"/>
  <c r="S1214" i="5"/>
  <c r="T1214" i="5"/>
  <c r="V1214" i="5"/>
  <c r="S1215" i="5"/>
  <c r="T1215" i="5"/>
  <c r="V1215" i="5"/>
  <c r="S1216" i="5"/>
  <c r="T1216" i="5"/>
  <c r="V1216" i="5"/>
  <c r="S1217" i="5"/>
  <c r="T1217" i="5"/>
  <c r="V1217" i="5"/>
  <c r="S1218" i="5"/>
  <c r="T1218" i="5"/>
  <c r="V1218" i="5"/>
  <c r="S1219" i="5"/>
  <c r="T1219" i="5"/>
  <c r="V1219" i="5"/>
  <c r="S1220" i="5"/>
  <c r="T1220" i="5"/>
  <c r="V1220" i="5"/>
  <c r="S1221" i="5"/>
  <c r="T1221" i="5"/>
  <c r="V1221" i="5"/>
  <c r="AK489" i="2" s="1"/>
  <c r="S1222" i="5"/>
  <c r="T1222" i="5"/>
  <c r="V1222" i="5"/>
  <c r="S1223" i="5"/>
  <c r="T1223" i="5"/>
  <c r="V1223" i="5"/>
  <c r="S1224" i="5"/>
  <c r="T1224" i="5"/>
  <c r="V1224" i="5"/>
  <c r="S1225" i="5"/>
  <c r="T1225" i="5"/>
  <c r="V1225" i="5"/>
  <c r="S1226" i="5"/>
  <c r="T1226" i="5"/>
  <c r="V1226" i="5"/>
  <c r="S1227" i="5"/>
  <c r="T1227" i="5"/>
  <c r="V1227" i="5"/>
  <c r="S1228" i="5"/>
  <c r="T1228" i="5"/>
  <c r="V1228" i="5"/>
  <c r="S1229" i="5"/>
  <c r="T1229" i="5"/>
  <c r="V1229" i="5"/>
  <c r="S1230" i="5"/>
  <c r="T1230" i="5"/>
  <c r="V1230" i="5"/>
  <c r="S1231" i="5"/>
  <c r="T1231" i="5"/>
  <c r="V1231" i="5"/>
  <c r="S1232" i="5"/>
  <c r="T1232" i="5"/>
  <c r="V1232" i="5"/>
  <c r="S1233" i="5"/>
  <c r="T1233" i="5"/>
  <c r="V1233" i="5"/>
  <c r="S1234" i="5"/>
  <c r="T1234" i="5"/>
  <c r="V1234" i="5"/>
  <c r="S1235" i="5"/>
  <c r="T1235" i="5"/>
  <c r="V1235" i="5"/>
  <c r="S1236" i="5"/>
  <c r="T1236" i="5"/>
  <c r="V1236" i="5"/>
  <c r="S1237" i="5"/>
  <c r="T1237" i="5"/>
  <c r="V1237" i="5"/>
  <c r="S1238" i="5"/>
  <c r="T1238" i="5"/>
  <c r="V1238" i="5"/>
  <c r="S1239" i="5"/>
  <c r="T1239" i="5"/>
  <c r="V1239" i="5"/>
  <c r="S1240" i="5"/>
  <c r="T1240" i="5"/>
  <c r="V1240" i="5"/>
  <c r="S1241" i="5"/>
  <c r="T1241" i="5"/>
  <c r="V1241" i="5"/>
  <c r="S1242" i="5"/>
  <c r="T1242" i="5"/>
  <c r="V1242" i="5"/>
  <c r="S1243" i="5"/>
  <c r="T1243" i="5"/>
  <c r="V1243" i="5"/>
  <c r="S1244" i="5"/>
  <c r="T1244" i="5"/>
  <c r="V1244" i="5"/>
  <c r="S1245" i="5"/>
  <c r="T1245" i="5"/>
  <c r="V1245" i="5"/>
  <c r="S1246" i="5"/>
  <c r="T1246" i="5"/>
  <c r="V1246" i="5"/>
  <c r="S1247" i="5"/>
  <c r="T1247" i="5"/>
  <c r="V1247" i="5"/>
  <c r="S1248" i="5"/>
  <c r="T1248" i="5"/>
  <c r="V1248" i="5"/>
  <c r="AK501" i="2" s="1"/>
  <c r="S1249" i="5"/>
  <c r="T1249" i="5"/>
  <c r="V1249" i="5"/>
  <c r="S1250" i="5"/>
  <c r="T1250" i="5"/>
  <c r="V1250" i="5"/>
  <c r="S1251" i="5"/>
  <c r="T1251" i="5"/>
  <c r="V1251" i="5"/>
  <c r="S1252" i="5"/>
  <c r="T1252" i="5"/>
  <c r="V1252" i="5"/>
  <c r="AK503" i="2" s="1"/>
  <c r="S1253" i="5"/>
  <c r="T1253" i="5"/>
  <c r="V1253" i="5"/>
  <c r="S1254" i="5"/>
  <c r="T1254" i="5"/>
  <c r="V1254" i="5"/>
  <c r="S1255" i="5"/>
  <c r="T1255" i="5"/>
  <c r="V1255" i="5"/>
  <c r="AK505" i="2" s="1"/>
  <c r="S1256" i="5"/>
  <c r="T1256" i="5"/>
  <c r="V1256" i="5"/>
  <c r="S1257" i="5"/>
  <c r="T1257" i="5"/>
  <c r="V1257" i="5"/>
  <c r="AK507" i="2" s="1"/>
  <c r="S1258" i="5"/>
  <c r="T1258" i="5"/>
  <c r="V1258" i="5"/>
  <c r="AK509" i="2" s="1"/>
  <c r="S1259" i="5"/>
  <c r="T1259" i="5"/>
  <c r="V1259" i="5"/>
  <c r="S1260" i="5"/>
  <c r="T1260" i="5"/>
  <c r="V1260" i="5"/>
  <c r="S1261" i="5"/>
  <c r="T1261" i="5"/>
  <c r="V1261" i="5"/>
  <c r="S1262" i="5"/>
  <c r="T1262" i="5"/>
  <c r="V1262" i="5"/>
  <c r="S1263" i="5"/>
  <c r="T1263" i="5"/>
  <c r="V1263" i="5"/>
  <c r="S1264" i="5"/>
  <c r="T1264" i="5"/>
  <c r="V1264" i="5"/>
  <c r="AK511" i="2" s="1"/>
  <c r="S1265" i="5"/>
  <c r="T1265" i="5"/>
  <c r="V1265" i="5"/>
  <c r="S1266" i="5"/>
  <c r="T1266" i="5"/>
  <c r="V1266" i="5"/>
  <c r="S1267" i="5"/>
  <c r="T1267" i="5"/>
  <c r="V1267" i="5"/>
  <c r="S1268" i="5"/>
  <c r="T1268" i="5"/>
  <c r="V1268" i="5"/>
  <c r="S1269" i="5"/>
  <c r="T1269" i="5"/>
  <c r="V1269" i="5"/>
  <c r="S1270" i="5"/>
  <c r="T1270" i="5"/>
  <c r="V1270" i="5"/>
  <c r="S1271" i="5"/>
  <c r="T1271" i="5"/>
  <c r="V1271" i="5"/>
  <c r="S1272" i="5"/>
  <c r="T1272" i="5"/>
  <c r="V1272" i="5"/>
  <c r="S1273" i="5"/>
  <c r="T1273" i="5"/>
  <c r="V1273" i="5"/>
  <c r="S1274" i="5"/>
  <c r="T1274" i="5"/>
  <c r="V1274" i="5"/>
  <c r="AK514" i="2" s="1"/>
  <c r="S1275" i="5"/>
  <c r="T1275" i="5"/>
  <c r="V1275" i="5"/>
  <c r="S1276" i="5"/>
  <c r="T1276" i="5"/>
  <c r="V1276" i="5"/>
  <c r="S1277" i="5"/>
  <c r="T1277" i="5"/>
  <c r="V1277" i="5"/>
  <c r="S1278" i="5"/>
  <c r="T1278" i="5"/>
  <c r="V1278" i="5"/>
  <c r="AK516" i="2" s="1"/>
  <c r="S1279" i="5"/>
  <c r="T1279" i="5"/>
  <c r="V1279" i="5"/>
  <c r="S1280" i="5"/>
  <c r="T1280" i="5"/>
  <c r="V1280" i="5"/>
  <c r="S1281" i="5"/>
  <c r="T1281" i="5"/>
  <c r="V1281" i="5"/>
  <c r="S1282" i="5"/>
  <c r="T1282" i="5"/>
  <c r="V1282" i="5"/>
  <c r="S1283" i="5"/>
  <c r="T1283" i="5"/>
  <c r="V1283" i="5"/>
  <c r="S1284" i="5"/>
  <c r="T1284" i="5"/>
  <c r="V1284" i="5"/>
  <c r="S1285" i="5"/>
  <c r="T1285" i="5"/>
  <c r="V1285" i="5"/>
  <c r="S1286" i="5"/>
  <c r="T1286" i="5"/>
  <c r="V1286" i="5"/>
  <c r="S1287" i="5"/>
  <c r="T1287" i="5"/>
  <c r="V1287" i="5"/>
  <c r="S1288" i="5"/>
  <c r="T1288" i="5"/>
  <c r="V1288" i="5"/>
  <c r="S1289" i="5"/>
  <c r="T1289" i="5"/>
  <c r="V1289" i="5"/>
  <c r="S1290" i="5"/>
  <c r="T1290" i="5"/>
  <c r="V1290" i="5"/>
  <c r="S1291" i="5"/>
  <c r="T1291" i="5"/>
  <c r="V1291" i="5"/>
  <c r="S1292" i="5"/>
  <c r="T1292" i="5"/>
  <c r="V1292" i="5"/>
  <c r="S1293" i="5"/>
  <c r="T1293" i="5"/>
  <c r="V1293" i="5"/>
  <c r="S1294" i="5"/>
  <c r="T1294" i="5"/>
  <c r="V1294" i="5"/>
  <c r="S1295" i="5"/>
  <c r="T1295" i="5"/>
  <c r="V1295" i="5"/>
  <c r="S1296" i="5"/>
  <c r="T1296" i="5"/>
  <c r="V1296" i="5"/>
  <c r="S1297" i="5"/>
  <c r="T1297" i="5"/>
  <c r="V1297" i="5"/>
  <c r="S1298" i="5"/>
  <c r="T1298" i="5"/>
  <c r="V1298" i="5"/>
  <c r="S1299" i="5"/>
  <c r="T1299" i="5"/>
  <c r="V1299" i="5"/>
  <c r="S1300" i="5"/>
  <c r="T1300" i="5"/>
  <c r="V1300" i="5"/>
  <c r="S1301" i="5"/>
  <c r="T1301" i="5"/>
  <c r="V1301" i="5"/>
  <c r="S1302" i="5"/>
  <c r="T1302" i="5"/>
  <c r="V1302" i="5"/>
  <c r="S1303" i="5"/>
  <c r="T1303" i="5"/>
  <c r="V1303" i="5"/>
  <c r="S1304" i="5"/>
  <c r="T1304" i="5"/>
  <c r="V1304" i="5"/>
  <c r="S1305" i="5"/>
  <c r="T1305" i="5"/>
  <c r="V1305" i="5"/>
  <c r="S1306" i="5"/>
  <c r="T1306" i="5"/>
  <c r="V1306" i="5"/>
  <c r="S1307" i="5"/>
  <c r="T1307" i="5"/>
  <c r="V1307" i="5"/>
  <c r="S1308" i="5"/>
  <c r="T1308" i="5"/>
  <c r="V1308" i="5"/>
  <c r="S1309" i="5"/>
  <c r="T1309" i="5"/>
  <c r="V1309" i="5"/>
  <c r="S1310" i="5"/>
  <c r="T1310" i="5"/>
  <c r="V1310" i="5"/>
  <c r="S1311" i="5"/>
  <c r="T1311" i="5"/>
  <c r="V1311" i="5"/>
  <c r="S1312" i="5"/>
  <c r="T1312" i="5"/>
  <c r="V1312" i="5"/>
  <c r="S1313" i="5"/>
  <c r="T1313" i="5"/>
  <c r="V1313" i="5"/>
  <c r="S1314" i="5"/>
  <c r="T1314" i="5"/>
  <c r="V1314" i="5"/>
  <c r="S1315" i="5"/>
  <c r="T1315" i="5"/>
  <c r="V1315" i="5"/>
  <c r="S1316" i="5"/>
  <c r="T1316" i="5"/>
  <c r="V1316" i="5"/>
  <c r="S1317" i="5"/>
  <c r="T1317" i="5"/>
  <c r="V1317" i="5"/>
  <c r="S1318" i="5"/>
  <c r="T1318" i="5"/>
  <c r="V1318" i="5"/>
  <c r="S1319" i="5"/>
  <c r="T1319" i="5"/>
  <c r="V1319" i="5"/>
  <c r="S1320" i="5"/>
  <c r="T1320" i="5"/>
  <c r="V1320" i="5"/>
  <c r="S1321" i="5"/>
  <c r="T1321" i="5"/>
  <c r="V1321" i="5"/>
  <c r="S1322" i="5"/>
  <c r="T1322" i="5"/>
  <c r="V1322" i="5"/>
  <c r="S1323" i="5"/>
  <c r="T1323" i="5"/>
  <c r="V1323" i="5"/>
  <c r="S1324" i="5"/>
  <c r="T1324" i="5"/>
  <c r="V1324" i="5"/>
  <c r="S1325" i="5"/>
  <c r="T1325" i="5"/>
  <c r="V1325" i="5"/>
  <c r="S1326" i="5"/>
  <c r="T1326" i="5"/>
  <c r="V1326" i="5"/>
  <c r="S1327" i="5"/>
  <c r="T1327" i="5"/>
  <c r="V1327" i="5"/>
  <c r="S1328" i="5"/>
  <c r="T1328" i="5"/>
  <c r="V1328" i="5"/>
  <c r="S1329" i="5"/>
  <c r="T1329" i="5"/>
  <c r="V1329" i="5"/>
  <c r="S1330" i="5"/>
  <c r="T1330" i="5"/>
  <c r="V1330" i="5"/>
  <c r="S1331" i="5"/>
  <c r="T1331" i="5"/>
  <c r="V1331" i="5"/>
  <c r="S1332" i="5"/>
  <c r="T1332" i="5"/>
  <c r="V1332" i="5"/>
  <c r="S1333" i="5"/>
  <c r="T1333" i="5"/>
  <c r="V1333" i="5"/>
  <c r="S1334" i="5"/>
  <c r="T1334" i="5"/>
  <c r="V1334" i="5"/>
  <c r="S1335" i="5"/>
  <c r="T1335" i="5"/>
  <c r="V1335" i="5"/>
  <c r="S1336" i="5"/>
  <c r="T1336" i="5"/>
  <c r="V1336" i="5"/>
  <c r="S1337" i="5"/>
  <c r="T1337" i="5"/>
  <c r="V1337" i="5"/>
  <c r="S1338" i="5"/>
  <c r="T1338" i="5"/>
  <c r="V1338" i="5"/>
  <c r="S1339" i="5"/>
  <c r="T1339" i="5"/>
  <c r="V1339" i="5"/>
  <c r="S1340" i="5"/>
  <c r="T1340" i="5"/>
  <c r="V1340" i="5"/>
  <c r="S1341" i="5"/>
  <c r="T1341" i="5"/>
  <c r="V1341" i="5"/>
  <c r="S1342" i="5"/>
  <c r="T1342" i="5"/>
  <c r="V1342" i="5"/>
  <c r="S1343" i="5"/>
  <c r="T1343" i="5"/>
  <c r="V1343" i="5"/>
  <c r="S1344" i="5"/>
  <c r="T1344" i="5"/>
  <c r="V1344" i="5"/>
  <c r="S1345" i="5"/>
  <c r="T1345" i="5"/>
  <c r="V1345" i="5"/>
  <c r="S1346" i="5"/>
  <c r="T1346" i="5"/>
  <c r="V1346" i="5"/>
  <c r="S1347" i="5"/>
  <c r="T1347" i="5"/>
  <c r="V1347" i="5"/>
  <c r="S1348" i="5"/>
  <c r="T1348" i="5"/>
  <c r="V1348" i="5"/>
  <c r="S1349" i="5"/>
  <c r="T1349" i="5"/>
  <c r="V1349" i="5"/>
  <c r="S1350" i="5"/>
  <c r="T1350" i="5"/>
  <c r="V1350" i="5"/>
  <c r="S1351" i="5"/>
  <c r="T1351" i="5"/>
  <c r="V1351" i="5"/>
  <c r="S1352" i="5"/>
  <c r="T1352" i="5"/>
  <c r="V1352" i="5"/>
  <c r="S1353" i="5"/>
  <c r="T1353" i="5"/>
  <c r="V1353" i="5"/>
  <c r="S1354" i="5"/>
  <c r="T1354" i="5"/>
  <c r="V1354" i="5"/>
  <c r="S1355" i="5"/>
  <c r="T1355" i="5"/>
  <c r="V1355" i="5"/>
  <c r="S1356" i="5"/>
  <c r="T1356" i="5"/>
  <c r="V1356" i="5"/>
  <c r="S1357" i="5"/>
  <c r="T1357" i="5"/>
  <c r="V1357" i="5"/>
  <c r="S1358" i="5"/>
  <c r="T1358" i="5"/>
  <c r="V1358" i="5"/>
  <c r="S1359" i="5"/>
  <c r="T1359" i="5"/>
  <c r="V1359" i="5"/>
  <c r="S1360" i="5"/>
  <c r="T1360" i="5"/>
  <c r="V1360" i="5"/>
  <c r="S1361" i="5"/>
  <c r="T1361" i="5"/>
  <c r="V1361" i="5"/>
  <c r="S1362" i="5"/>
  <c r="T1362" i="5"/>
  <c r="V1362" i="5"/>
  <c r="S1363" i="5"/>
  <c r="T1363" i="5"/>
  <c r="V1363" i="5"/>
  <c r="S1364" i="5"/>
  <c r="T1364" i="5"/>
  <c r="V1364" i="5"/>
  <c r="S1365" i="5"/>
  <c r="T1365" i="5"/>
  <c r="V1365" i="5"/>
  <c r="S1366" i="5"/>
  <c r="T1366" i="5"/>
  <c r="V1366" i="5"/>
  <c r="S1367" i="5"/>
  <c r="T1367" i="5"/>
  <c r="V1367" i="5"/>
  <c r="S1368" i="5"/>
  <c r="T1368" i="5"/>
  <c r="V1368" i="5"/>
  <c r="S1369" i="5"/>
  <c r="T1369" i="5"/>
  <c r="V1369" i="5"/>
  <c r="S1370" i="5"/>
  <c r="T1370" i="5"/>
  <c r="V1370" i="5"/>
  <c r="S1371" i="5"/>
  <c r="T1371" i="5"/>
  <c r="V1371" i="5"/>
  <c r="S1372" i="5"/>
  <c r="T1372" i="5"/>
  <c r="V1372" i="5"/>
  <c r="S1373" i="5"/>
  <c r="T1373" i="5"/>
  <c r="V1373" i="5"/>
  <c r="S1374" i="5"/>
  <c r="T1374" i="5"/>
  <c r="V1374" i="5"/>
  <c r="S1375" i="5"/>
  <c r="T1375" i="5"/>
  <c r="V1375" i="5"/>
  <c r="S1376" i="5"/>
  <c r="T1376" i="5"/>
  <c r="V1376" i="5"/>
  <c r="S1377" i="5"/>
  <c r="T1377" i="5"/>
  <c r="V1377" i="5"/>
  <c r="S1378" i="5"/>
  <c r="T1378" i="5"/>
  <c r="V1378" i="5"/>
  <c r="S1379" i="5"/>
  <c r="T1379" i="5"/>
  <c r="V1379" i="5"/>
  <c r="S1380" i="5"/>
  <c r="T1380" i="5"/>
  <c r="V1380" i="5"/>
  <c r="S1381" i="5"/>
  <c r="T1381" i="5"/>
  <c r="V1381" i="5"/>
  <c r="S1382" i="5"/>
  <c r="T1382" i="5"/>
  <c r="V1382" i="5"/>
  <c r="S1383" i="5"/>
  <c r="T1383" i="5"/>
  <c r="V1383" i="5"/>
  <c r="S1384" i="5"/>
  <c r="T1384" i="5"/>
  <c r="V1384" i="5"/>
  <c r="S1385" i="5"/>
  <c r="T1385" i="5"/>
  <c r="V1385" i="5"/>
  <c r="S1386" i="5"/>
  <c r="T1386" i="5"/>
  <c r="V1386" i="5"/>
  <c r="S1387" i="5"/>
  <c r="T1387" i="5"/>
  <c r="V1387" i="5"/>
  <c r="S1388" i="5"/>
  <c r="T1388" i="5"/>
  <c r="V1388" i="5"/>
  <c r="S1389" i="5"/>
  <c r="T1389" i="5"/>
  <c r="V1389" i="5"/>
  <c r="S1390" i="5"/>
  <c r="T1390" i="5"/>
  <c r="V1390" i="5"/>
  <c r="S1391" i="5"/>
  <c r="T1391" i="5"/>
  <c r="V1391" i="5"/>
  <c r="S1392" i="5"/>
  <c r="T1392" i="5"/>
  <c r="V1392" i="5"/>
  <c r="S1393" i="5"/>
  <c r="T1393" i="5"/>
  <c r="V1393" i="5"/>
  <c r="S1394" i="5"/>
  <c r="T1394" i="5"/>
  <c r="V1394" i="5"/>
  <c r="S1395" i="5"/>
  <c r="T1395" i="5"/>
  <c r="V1395" i="5"/>
  <c r="S1396" i="5"/>
  <c r="T1396" i="5"/>
  <c r="V1396" i="5"/>
  <c r="S1397" i="5"/>
  <c r="T1397" i="5"/>
  <c r="V1397" i="5"/>
  <c r="S1398" i="5"/>
  <c r="T1398" i="5"/>
  <c r="V1398" i="5"/>
  <c r="S1399" i="5"/>
  <c r="T1399" i="5"/>
  <c r="V1399" i="5"/>
  <c r="S1400" i="5"/>
  <c r="T1400" i="5"/>
  <c r="V1400" i="5"/>
  <c r="S1401" i="5"/>
  <c r="T1401" i="5"/>
  <c r="V1401" i="5"/>
  <c r="S1402" i="5"/>
  <c r="T1402" i="5"/>
  <c r="V1402" i="5"/>
  <c r="S1403" i="5"/>
  <c r="T1403" i="5"/>
  <c r="V1403" i="5"/>
  <c r="S1404" i="5"/>
  <c r="T1404" i="5"/>
  <c r="V1404" i="5"/>
  <c r="S1405" i="5"/>
  <c r="T1405" i="5"/>
  <c r="V1405" i="5"/>
  <c r="S1406" i="5"/>
  <c r="T1406" i="5"/>
  <c r="V1406" i="5"/>
  <c r="S1407" i="5"/>
  <c r="T1407" i="5"/>
  <c r="V1407" i="5"/>
  <c r="S1408" i="5"/>
  <c r="T1408" i="5"/>
  <c r="V1408" i="5"/>
  <c r="S1409" i="5"/>
  <c r="T1409" i="5"/>
  <c r="V1409" i="5"/>
  <c r="S1410" i="5"/>
  <c r="T1410" i="5"/>
  <c r="V1410" i="5"/>
  <c r="S1411" i="5"/>
  <c r="T1411" i="5"/>
  <c r="V1411" i="5"/>
  <c r="S1412" i="5"/>
  <c r="T1412" i="5"/>
  <c r="V1412" i="5"/>
  <c r="S1413" i="5"/>
  <c r="T1413" i="5"/>
  <c r="V1413" i="5"/>
  <c r="S1414" i="5"/>
  <c r="T1414" i="5"/>
  <c r="V1414" i="5"/>
  <c r="S1415" i="5"/>
  <c r="T1415" i="5"/>
  <c r="V1415" i="5"/>
  <c r="S1416" i="5"/>
  <c r="T1416" i="5"/>
  <c r="V1416" i="5"/>
  <c r="S1417" i="5"/>
  <c r="T1417" i="5"/>
  <c r="V1417" i="5"/>
  <c r="S1418" i="5"/>
  <c r="T1418" i="5"/>
  <c r="V1418" i="5"/>
  <c r="S1419" i="5"/>
  <c r="T1419" i="5"/>
  <c r="V1419" i="5"/>
  <c r="S1420" i="5"/>
  <c r="T1420" i="5"/>
  <c r="V1420" i="5"/>
  <c r="S1421" i="5"/>
  <c r="T1421" i="5"/>
  <c r="V1421" i="5"/>
  <c r="S1422" i="5"/>
  <c r="T1422" i="5"/>
  <c r="V1422" i="5"/>
  <c r="S1423" i="5"/>
  <c r="T1423" i="5"/>
  <c r="V1423" i="5"/>
  <c r="S1424" i="5"/>
  <c r="T1424" i="5"/>
  <c r="V1424" i="5"/>
  <c r="S1425" i="5"/>
  <c r="T1425" i="5"/>
  <c r="V1425" i="5"/>
  <c r="S1426" i="5"/>
  <c r="T1426" i="5"/>
  <c r="V1426" i="5"/>
  <c r="S1427" i="5"/>
  <c r="T1427" i="5"/>
  <c r="V1427" i="5"/>
  <c r="S1428" i="5"/>
  <c r="T1428" i="5"/>
  <c r="V1428" i="5"/>
  <c r="S1429" i="5"/>
  <c r="T1429" i="5"/>
  <c r="V1429" i="5"/>
  <c r="S1430" i="5"/>
  <c r="T1430" i="5"/>
  <c r="V1430" i="5"/>
  <c r="S1431" i="5"/>
  <c r="T1431" i="5"/>
  <c r="V1431" i="5"/>
  <c r="S1432" i="5"/>
  <c r="T1432" i="5"/>
  <c r="V1432" i="5"/>
  <c r="S1433" i="5"/>
  <c r="T1433" i="5"/>
  <c r="V1433" i="5"/>
  <c r="S1434" i="5"/>
  <c r="T1434" i="5"/>
  <c r="V1434" i="5"/>
  <c r="S1435" i="5"/>
  <c r="T1435" i="5"/>
  <c r="V1435" i="5"/>
  <c r="S1436" i="5"/>
  <c r="T1436" i="5"/>
  <c r="V1436" i="5"/>
  <c r="S1437" i="5"/>
  <c r="T1437" i="5"/>
  <c r="V1437" i="5"/>
  <c r="S1438" i="5"/>
  <c r="T1438" i="5"/>
  <c r="V1438" i="5"/>
  <c r="S1439" i="5"/>
  <c r="T1439" i="5"/>
  <c r="V1439" i="5"/>
  <c r="S1440" i="5"/>
  <c r="T1440" i="5"/>
  <c r="V1440" i="5"/>
  <c r="S1441" i="5"/>
  <c r="T1441" i="5"/>
  <c r="V1441" i="5"/>
  <c r="S1442" i="5"/>
  <c r="T1442" i="5"/>
  <c r="V1442" i="5"/>
  <c r="S1443" i="5"/>
  <c r="T1443" i="5"/>
  <c r="V1443" i="5"/>
  <c r="S1444" i="5"/>
  <c r="T1444" i="5"/>
  <c r="V1444" i="5"/>
  <c r="S1445" i="5"/>
  <c r="T1445" i="5"/>
  <c r="V1445" i="5"/>
  <c r="S1446" i="5"/>
  <c r="T1446" i="5"/>
  <c r="V1446" i="5"/>
  <c r="S1447" i="5"/>
  <c r="T1447" i="5"/>
  <c r="V1447" i="5"/>
  <c r="S1448" i="5"/>
  <c r="T1448" i="5"/>
  <c r="V1448" i="5"/>
  <c r="S1449" i="5"/>
  <c r="T1449" i="5"/>
  <c r="V1449" i="5"/>
  <c r="S1450" i="5"/>
  <c r="T1450" i="5"/>
  <c r="V1450" i="5"/>
  <c r="S1451" i="5"/>
  <c r="T1451" i="5"/>
  <c r="V1451" i="5"/>
  <c r="S1452" i="5"/>
  <c r="T1452" i="5"/>
  <c r="V1452" i="5"/>
  <c r="S1453" i="5"/>
  <c r="T1453" i="5"/>
  <c r="V1453" i="5"/>
  <c r="S1454" i="5"/>
  <c r="T1454" i="5"/>
  <c r="V1454" i="5"/>
  <c r="S1455" i="5"/>
  <c r="T1455" i="5"/>
  <c r="V1455" i="5"/>
  <c r="S1456" i="5"/>
  <c r="T1456" i="5"/>
  <c r="V1456" i="5"/>
  <c r="S1457" i="5"/>
  <c r="T1457" i="5"/>
  <c r="V1457" i="5"/>
  <c r="S1458" i="5"/>
  <c r="T1458" i="5"/>
  <c r="V1458" i="5"/>
  <c r="S1459" i="5"/>
  <c r="T1459" i="5"/>
  <c r="V1459" i="5"/>
  <c r="S1460" i="5"/>
  <c r="T1460" i="5"/>
  <c r="V1460" i="5"/>
  <c r="S1461" i="5"/>
  <c r="T1461" i="5"/>
  <c r="V1461" i="5"/>
  <c r="S1462" i="5"/>
  <c r="T1462" i="5"/>
  <c r="V1462" i="5"/>
  <c r="S1463" i="5"/>
  <c r="T1463" i="5"/>
  <c r="V1463" i="5"/>
  <c r="S1464" i="5"/>
  <c r="T1464" i="5"/>
  <c r="V1464" i="5"/>
  <c r="S1465" i="5"/>
  <c r="T1465" i="5"/>
  <c r="V1465" i="5"/>
  <c r="S1466" i="5"/>
  <c r="T1466" i="5"/>
  <c r="V1466" i="5"/>
  <c r="S1467" i="5"/>
  <c r="T1467" i="5"/>
  <c r="V1467" i="5"/>
  <c r="S1468" i="5"/>
  <c r="T1468" i="5"/>
  <c r="V1468" i="5"/>
  <c r="S1469" i="5"/>
  <c r="T1469" i="5"/>
  <c r="V1469" i="5"/>
  <c r="S1470" i="5"/>
  <c r="T1470" i="5"/>
  <c r="V1470" i="5"/>
  <c r="S1471" i="5"/>
  <c r="T1471" i="5"/>
  <c r="V1471" i="5"/>
  <c r="S1472" i="5"/>
  <c r="T1472" i="5"/>
  <c r="V1472" i="5"/>
  <c r="S1473" i="5"/>
  <c r="T1473" i="5"/>
  <c r="V1473" i="5"/>
  <c r="S1474" i="5"/>
  <c r="T1474" i="5"/>
  <c r="V1474" i="5"/>
  <c r="S1475" i="5"/>
  <c r="T1475" i="5"/>
  <c r="V1475" i="5"/>
  <c r="S1476" i="5"/>
  <c r="T1476" i="5"/>
  <c r="V1476" i="5"/>
  <c r="S1477" i="5"/>
  <c r="T1477" i="5"/>
  <c r="V1477" i="5"/>
  <c r="S1478" i="5"/>
  <c r="T1478" i="5"/>
  <c r="V1478" i="5"/>
  <c r="S1479" i="5"/>
  <c r="T1479" i="5"/>
  <c r="V1479" i="5"/>
  <c r="S1480" i="5"/>
  <c r="T1480" i="5"/>
  <c r="V1480" i="5"/>
  <c r="S1481" i="5"/>
  <c r="T1481" i="5"/>
  <c r="V1481" i="5"/>
  <c r="S1482" i="5"/>
  <c r="T1482" i="5"/>
  <c r="V1482" i="5"/>
  <c r="S1483" i="5"/>
  <c r="T1483" i="5"/>
  <c r="V1483" i="5"/>
  <c r="S1484" i="5"/>
  <c r="T1484" i="5"/>
  <c r="V1484" i="5"/>
  <c r="S1485" i="5"/>
  <c r="T1485" i="5"/>
  <c r="V1485" i="5"/>
  <c r="S1486" i="5"/>
  <c r="T1486" i="5"/>
  <c r="V1486" i="5"/>
  <c r="S1487" i="5"/>
  <c r="T1487" i="5"/>
  <c r="V1487" i="5"/>
  <c r="S1488" i="5"/>
  <c r="T1488" i="5"/>
  <c r="V1488" i="5"/>
  <c r="S1489" i="5"/>
  <c r="T1489" i="5"/>
  <c r="V1489" i="5"/>
  <c r="S1490" i="5"/>
  <c r="T1490" i="5"/>
  <c r="V1490" i="5"/>
  <c r="S1491" i="5"/>
  <c r="T1491" i="5"/>
  <c r="V1491" i="5"/>
  <c r="S1492" i="5"/>
  <c r="T1492" i="5"/>
  <c r="V1492" i="5"/>
  <c r="S1493" i="5"/>
  <c r="T1493" i="5"/>
  <c r="V1493" i="5"/>
  <c r="S1568" i="5"/>
  <c r="T1568" i="5"/>
  <c r="V1568" i="5"/>
  <c r="S1569" i="5"/>
  <c r="T1569" i="5"/>
  <c r="V1569" i="5"/>
  <c r="S1570" i="5"/>
  <c r="T1570" i="5"/>
  <c r="V1570" i="5"/>
  <c r="S1571" i="5"/>
  <c r="T1571" i="5"/>
  <c r="V1571" i="5"/>
  <c r="S1572" i="5"/>
  <c r="T1572" i="5"/>
  <c r="V1572" i="5"/>
  <c r="S1573" i="5"/>
  <c r="T1573" i="5"/>
  <c r="V1573" i="5"/>
  <c r="S1574" i="5"/>
  <c r="T1574" i="5"/>
  <c r="V1574" i="5"/>
  <c r="S1575" i="5"/>
  <c r="T1575" i="5"/>
  <c r="V1575" i="5"/>
  <c r="S1576" i="5"/>
  <c r="T1576" i="5"/>
  <c r="V1576" i="5"/>
  <c r="S1577" i="5"/>
  <c r="T1577" i="5"/>
  <c r="V1577" i="5"/>
  <c r="S1578" i="5"/>
  <c r="T1578" i="5"/>
  <c r="V1578" i="5"/>
  <c r="S1579" i="5"/>
  <c r="T1579" i="5"/>
  <c r="V1579" i="5"/>
  <c r="S1580" i="5"/>
  <c r="T1580" i="5"/>
  <c r="V1580" i="5"/>
  <c r="S1581" i="5"/>
  <c r="T1581" i="5"/>
  <c r="V1581" i="5"/>
  <c r="S1582" i="5"/>
  <c r="T1582" i="5"/>
  <c r="V1582" i="5"/>
  <c r="S1583" i="5"/>
  <c r="T1583" i="5"/>
  <c r="V1583" i="5"/>
  <c r="S1584" i="5"/>
  <c r="T1584" i="5"/>
  <c r="V1584" i="5"/>
  <c r="S1585" i="5"/>
  <c r="T1585" i="5"/>
  <c r="V1585" i="5"/>
  <c r="S1586" i="5"/>
  <c r="T1586" i="5"/>
  <c r="V1586" i="5"/>
  <c r="S1587" i="5"/>
  <c r="T1587" i="5"/>
  <c r="V1587" i="5"/>
  <c r="S1588" i="5"/>
  <c r="T1588" i="5"/>
  <c r="V1588" i="5"/>
  <c r="S1589" i="5"/>
  <c r="T1589" i="5"/>
  <c r="V1589" i="5"/>
  <c r="S1590" i="5"/>
  <c r="T1590" i="5"/>
  <c r="V1590" i="5"/>
  <c r="S1591" i="5"/>
  <c r="T1591" i="5"/>
  <c r="V1591" i="5"/>
  <c r="S1592" i="5"/>
  <c r="T1592" i="5"/>
  <c r="V1592" i="5"/>
  <c r="S1593" i="5"/>
  <c r="T1593" i="5"/>
  <c r="V1593" i="5"/>
  <c r="S1594" i="5"/>
  <c r="T1594" i="5"/>
  <c r="V1594" i="5"/>
  <c r="S1595" i="5"/>
  <c r="T1595" i="5"/>
  <c r="V1595" i="5"/>
  <c r="S1596" i="5"/>
  <c r="T1596" i="5"/>
  <c r="V1596" i="5"/>
  <c r="S1597" i="5"/>
  <c r="T1597" i="5"/>
  <c r="V1597" i="5"/>
  <c r="S1598" i="5"/>
  <c r="T1598" i="5"/>
  <c r="V1598" i="5"/>
  <c r="S1599" i="5"/>
  <c r="T1599" i="5"/>
  <c r="V1599" i="5"/>
  <c r="S1600" i="5"/>
  <c r="T1600" i="5"/>
  <c r="V1600" i="5"/>
  <c r="S1601" i="5"/>
  <c r="T1601" i="5"/>
  <c r="V1601" i="5"/>
  <c r="S1602" i="5"/>
  <c r="T1602" i="5"/>
  <c r="V1602" i="5"/>
  <c r="S1603" i="5"/>
  <c r="T1603" i="5"/>
  <c r="V1603" i="5"/>
  <c r="S1604" i="5"/>
  <c r="T1604" i="5"/>
  <c r="V1604" i="5"/>
  <c r="S1605" i="5"/>
  <c r="T1605" i="5"/>
  <c r="V1605" i="5"/>
  <c r="S1606" i="5"/>
  <c r="T1606" i="5"/>
  <c r="V1606" i="5"/>
  <c r="S1607" i="5"/>
  <c r="T1607" i="5"/>
  <c r="V1607" i="5"/>
  <c r="S1608" i="5"/>
  <c r="T1608" i="5"/>
  <c r="V1608" i="5"/>
  <c r="S1609" i="5"/>
  <c r="T1609" i="5"/>
  <c r="V1609" i="5"/>
  <c r="S1610" i="5"/>
  <c r="T1610" i="5"/>
  <c r="V1610" i="5"/>
  <c r="S1611" i="5"/>
  <c r="T1611" i="5"/>
  <c r="V1611" i="5"/>
  <c r="S1612" i="5"/>
  <c r="T1612" i="5"/>
  <c r="V1612" i="5"/>
  <c r="S1613" i="5"/>
  <c r="T1613" i="5"/>
  <c r="V1613" i="5"/>
  <c r="S1614" i="5"/>
  <c r="T1614" i="5"/>
  <c r="V1614" i="5"/>
  <c r="B820" i="5"/>
  <c r="S820" i="5"/>
  <c r="T820" i="5"/>
  <c r="V820" i="5"/>
  <c r="B817" i="5"/>
  <c r="S817" i="5"/>
  <c r="T817" i="5"/>
  <c r="V817" i="5"/>
  <c r="B818" i="5"/>
  <c r="S818" i="5"/>
  <c r="T818" i="5"/>
  <c r="V818" i="5"/>
  <c r="B819" i="5"/>
  <c r="S819" i="5"/>
  <c r="T819" i="5"/>
  <c r="V819" i="5"/>
  <c r="B821" i="5"/>
  <c r="S821" i="5"/>
  <c r="T821" i="5"/>
  <c r="V821" i="5"/>
  <c r="B822" i="5"/>
  <c r="S822" i="5"/>
  <c r="T822" i="5"/>
  <c r="V822" i="5"/>
  <c r="C511" i="8" l="1"/>
  <c r="D511" i="8" s="1"/>
  <c r="D510" i="8"/>
  <c r="AK465" i="2"/>
  <c r="AK490" i="2"/>
  <c r="AK515" i="2"/>
  <c r="AK510" i="2"/>
  <c r="AK455" i="2"/>
  <c r="AK450" i="2"/>
  <c r="AK445" i="2"/>
  <c r="AK482" i="2"/>
  <c r="AK448" i="2"/>
  <c r="AK497" i="2"/>
  <c r="AK476" i="2"/>
  <c r="AK462" i="2"/>
  <c r="AK434" i="2"/>
  <c r="AK512" i="2"/>
  <c r="AK474" i="2"/>
  <c r="AK517" i="2"/>
  <c r="AK494" i="2"/>
  <c r="AK446" i="2"/>
  <c r="AK435" i="2"/>
  <c r="AK502" i="2"/>
  <c r="AK454" i="2"/>
  <c r="AK458" i="2"/>
  <c r="AK469" i="2"/>
  <c r="AK488" i="2"/>
  <c r="AK456" i="2"/>
  <c r="AK466" i="2"/>
  <c r="AK481" i="2"/>
  <c r="AK485" i="2"/>
  <c r="AK484" i="2"/>
  <c r="AK498" i="2"/>
  <c r="AK513" i="2"/>
  <c r="AK439" i="2"/>
  <c r="AK432" i="2"/>
  <c r="AK463" i="2"/>
  <c r="AK428" i="2"/>
  <c r="AK452" i="2"/>
  <c r="AK504" i="2"/>
  <c r="AK492" i="2"/>
  <c r="AK464" i="2"/>
  <c r="AK449" i="2"/>
  <c r="AK430" i="2"/>
  <c r="AK475" i="2"/>
  <c r="AK440" i="2"/>
  <c r="AK496" i="2"/>
  <c r="AK493" i="2"/>
  <c r="AK477" i="2"/>
  <c r="AK470" i="2"/>
  <c r="AK431" i="2"/>
  <c r="AK427" i="2"/>
  <c r="AK395" i="2"/>
  <c r="AK416" i="2"/>
  <c r="AK400" i="2"/>
  <c r="AK424" i="2"/>
  <c r="AK420" i="2"/>
  <c r="AK413" i="2"/>
  <c r="AK418" i="2"/>
  <c r="AK419" i="2"/>
  <c r="AK385" i="2"/>
  <c r="AK357" i="2"/>
  <c r="AK344" i="2"/>
  <c r="AK379" i="2"/>
  <c r="AK372" i="2"/>
  <c r="AK332" i="2"/>
  <c r="AK333" i="2"/>
  <c r="AK342" i="2"/>
  <c r="AK386" i="2"/>
  <c r="AK345" i="2"/>
  <c r="AK330" i="2"/>
  <c r="AK371" i="2"/>
  <c r="AK334" i="2"/>
  <c r="AK331" i="2"/>
  <c r="AK391" i="2"/>
  <c r="AK359" i="2"/>
  <c r="AK383" i="2"/>
  <c r="AK353" i="2"/>
  <c r="AK370" i="2"/>
  <c r="AK338" i="2"/>
  <c r="AK378" i="2"/>
  <c r="AK389" i="2"/>
  <c r="AK349" i="2"/>
  <c r="AK384" i="2"/>
  <c r="AK380" i="2"/>
  <c r="AK367" i="2"/>
  <c r="AK341" i="2"/>
  <c r="AK394" i="2"/>
  <c r="AK376" i="2"/>
  <c r="AK366" i="2"/>
  <c r="AK317" i="2"/>
  <c r="AK329" i="2"/>
  <c r="C250" i="8"/>
  <c r="D249" i="8"/>
  <c r="U817" i="5"/>
  <c r="U1560" i="5"/>
  <c r="C10" i="8"/>
  <c r="D9" i="8"/>
  <c r="U1563" i="5"/>
  <c r="U1565" i="5"/>
  <c r="U1564" i="5"/>
  <c r="U1542" i="5"/>
  <c r="U1552" i="5"/>
  <c r="U1551" i="5"/>
  <c r="U1562" i="5"/>
  <c r="U1561" i="5"/>
  <c r="U1566" i="5"/>
  <c r="U1546" i="5"/>
  <c r="U1547" i="5"/>
  <c r="U1554" i="5"/>
  <c r="U1567" i="5"/>
  <c r="U1544" i="5"/>
  <c r="U1550" i="5"/>
  <c r="U1545" i="5"/>
  <c r="U1555" i="5"/>
  <c r="U1549" i="5"/>
  <c r="U1553" i="5"/>
  <c r="U1543" i="5"/>
  <c r="U1556" i="5"/>
  <c r="U1541" i="5"/>
  <c r="U1540" i="5"/>
  <c r="U1529" i="5"/>
  <c r="U1557" i="5"/>
  <c r="U1548" i="5"/>
  <c r="U1558" i="5"/>
  <c r="U1515" i="5"/>
  <c r="U1524" i="5"/>
  <c r="U1559" i="5"/>
  <c r="U1502" i="5"/>
  <c r="U1501" i="5"/>
  <c r="U1511" i="5"/>
  <c r="U1518" i="5"/>
  <c r="U1504" i="5"/>
  <c r="U1503" i="5"/>
  <c r="U1499" i="5"/>
  <c r="U1519" i="5"/>
  <c r="U1530" i="5"/>
  <c r="U1505" i="5"/>
  <c r="U1514" i="5"/>
  <c r="U1517" i="5"/>
  <c r="U1498" i="5"/>
  <c r="U1513" i="5"/>
  <c r="U1510" i="5"/>
  <c r="U1494" i="5"/>
  <c r="U1528" i="5"/>
  <c r="U1509" i="5"/>
  <c r="U1527" i="5"/>
  <c r="U1500" i="5"/>
  <c r="U1516" i="5"/>
  <c r="U1534" i="5"/>
  <c r="U1533" i="5"/>
  <c r="U1532" i="5"/>
  <c r="U1521" i="5"/>
  <c r="U1520" i="5"/>
  <c r="U1512" i="5"/>
  <c r="U1508" i="5"/>
  <c r="U1497" i="5"/>
  <c r="U1496" i="5"/>
  <c r="U1495" i="5"/>
  <c r="U1531" i="5"/>
  <c r="U1523" i="5"/>
  <c r="U1507" i="5"/>
  <c r="U1522" i="5"/>
  <c r="U1506" i="5"/>
  <c r="U1539" i="5"/>
  <c r="U1538" i="5"/>
  <c r="U1537" i="5"/>
  <c r="U1536" i="5"/>
  <c r="U1535" i="5"/>
  <c r="U1175" i="5"/>
  <c r="U1526" i="5"/>
  <c r="U1525" i="5"/>
  <c r="U1375" i="5"/>
  <c r="U868" i="5"/>
  <c r="U1145" i="5"/>
  <c r="U1341" i="5"/>
  <c r="U1337" i="5"/>
  <c r="U1313" i="5"/>
  <c r="U1293" i="5"/>
  <c r="U1121" i="5"/>
  <c r="AP457" i="2" s="1"/>
  <c r="U1146" i="5"/>
  <c r="U1372" i="5"/>
  <c r="U1348" i="5"/>
  <c r="U1443" i="5"/>
  <c r="U1399" i="5"/>
  <c r="U1335" i="5"/>
  <c r="U1323" i="5"/>
  <c r="U1311" i="5"/>
  <c r="U984" i="5"/>
  <c r="AP403" i="2" s="1"/>
  <c r="U880" i="5"/>
  <c r="U872" i="5"/>
  <c r="U1044" i="5"/>
  <c r="AP429" i="2" s="1"/>
  <c r="U1476" i="5"/>
  <c r="U1444" i="5"/>
  <c r="U1440" i="5"/>
  <c r="U1432" i="5"/>
  <c r="U1428" i="5"/>
  <c r="U1424" i="5"/>
  <c r="U1006" i="5"/>
  <c r="U1038" i="5"/>
  <c r="U993" i="5"/>
  <c r="U989" i="5"/>
  <c r="U973" i="5"/>
  <c r="U965" i="5"/>
  <c r="U929" i="5"/>
  <c r="U917" i="5"/>
  <c r="U913" i="5"/>
  <c r="AP368" i="2" s="1"/>
  <c r="U905" i="5"/>
  <c r="AP363" i="2" s="1"/>
  <c r="U889" i="5"/>
  <c r="U861" i="5"/>
  <c r="U1490" i="5"/>
  <c r="U1486" i="5"/>
  <c r="U1478" i="5"/>
  <c r="U848" i="5"/>
  <c r="U1402" i="5"/>
  <c r="U1378" i="5"/>
  <c r="U1270" i="5"/>
  <c r="U1238" i="5"/>
  <c r="U1230" i="5"/>
  <c r="U1226" i="5"/>
  <c r="U1214" i="5"/>
  <c r="U1210" i="5"/>
  <c r="U1182" i="5"/>
  <c r="U1139" i="5"/>
  <c r="U1042" i="5"/>
  <c r="U1608" i="5"/>
  <c r="U1604" i="5"/>
  <c r="U1596" i="5"/>
  <c r="U1592" i="5"/>
  <c r="U1584" i="5"/>
  <c r="U1580" i="5"/>
  <c r="U1489" i="5"/>
  <c r="U1485" i="5"/>
  <c r="U1289" i="5"/>
  <c r="U1277" i="5"/>
  <c r="U1261" i="5"/>
  <c r="U1225" i="5"/>
  <c r="U1221" i="5"/>
  <c r="AP489" i="2" s="1"/>
  <c r="U1209" i="5"/>
  <c r="U1185" i="5"/>
  <c r="U1168" i="5"/>
  <c r="U1114" i="5"/>
  <c r="U887" i="5"/>
  <c r="AP348" i="2" s="1"/>
  <c r="U883" i="5"/>
  <c r="U820" i="5"/>
  <c r="U859" i="5"/>
  <c r="U851" i="5"/>
  <c r="U843" i="5"/>
  <c r="U839" i="5"/>
  <c r="U831" i="5"/>
  <c r="U1216" i="5"/>
  <c r="U1200" i="5"/>
  <c r="U1196" i="5"/>
  <c r="U1159" i="5"/>
  <c r="U902" i="5"/>
  <c r="U894" i="5"/>
  <c r="U1479" i="5"/>
  <c r="U862" i="5"/>
  <c r="U1279" i="5"/>
  <c r="U1235" i="5"/>
  <c r="U1227" i="5"/>
  <c r="U1223" i="5"/>
  <c r="U1191" i="5"/>
  <c r="U1183" i="5"/>
  <c r="U1158" i="5"/>
  <c r="U1150" i="5"/>
  <c r="U1144" i="5"/>
  <c r="U1140" i="5"/>
  <c r="U1017" i="5"/>
  <c r="U997" i="5"/>
  <c r="U1136" i="5"/>
  <c r="U1132" i="5"/>
  <c r="U1124" i="5"/>
  <c r="U1418" i="5"/>
  <c r="U1473" i="5"/>
  <c r="U1370" i="5"/>
  <c r="U1366" i="5"/>
  <c r="U1342" i="5"/>
  <c r="U1310" i="5"/>
  <c r="U1178" i="5"/>
  <c r="U1084" i="5"/>
  <c r="U1064" i="5"/>
  <c r="U1060" i="5"/>
  <c r="U1052" i="5"/>
  <c r="U1048" i="5"/>
  <c r="U870" i="5"/>
  <c r="U858" i="5"/>
  <c r="U854" i="5"/>
  <c r="U1429" i="5"/>
  <c r="U1421" i="5"/>
  <c r="U1417" i="5"/>
  <c r="U1413" i="5"/>
  <c r="U1579" i="5"/>
  <c r="U1571" i="5"/>
  <c r="U1301" i="5"/>
  <c r="U1285" i="5"/>
  <c r="U1281" i="5"/>
  <c r="U1181" i="5"/>
  <c r="U1160" i="5"/>
  <c r="AP469" i="2" s="1"/>
  <c r="U1152" i="5"/>
  <c r="U1111" i="5"/>
  <c r="U1095" i="5"/>
  <c r="U1091" i="5"/>
  <c r="U1083" i="5"/>
  <c r="U1079" i="5"/>
  <c r="U1059" i="5"/>
  <c r="U1055" i="5"/>
  <c r="U1047" i="5"/>
  <c r="U1020" i="5"/>
  <c r="U869" i="5"/>
  <c r="U1392" i="5"/>
  <c r="U1384" i="5"/>
  <c r="U1138" i="5"/>
  <c r="U960" i="5"/>
  <c r="U948" i="5"/>
  <c r="AP386" i="2" s="1"/>
  <c r="U940" i="5"/>
  <c r="AP381" i="2" s="1"/>
  <c r="U892" i="5"/>
  <c r="AP350" i="2" s="1"/>
  <c r="U1590" i="5"/>
  <c r="U1582" i="5"/>
  <c r="U1574" i="5"/>
  <c r="U1340" i="5"/>
  <c r="U1336" i="5"/>
  <c r="U1308" i="5"/>
  <c r="U1300" i="5"/>
  <c r="U1276" i="5"/>
  <c r="U1260" i="5"/>
  <c r="U1106" i="5"/>
  <c r="U1102" i="5"/>
  <c r="U1090" i="5"/>
  <c r="U1086" i="5"/>
  <c r="U1078" i="5"/>
  <c r="U1074" i="5"/>
  <c r="U1066" i="5"/>
  <c r="U1062" i="5"/>
  <c r="AP433" i="2" s="1"/>
  <c r="U1054" i="5"/>
  <c r="U1027" i="5"/>
  <c r="U884" i="5"/>
  <c r="U1133" i="5"/>
  <c r="U1129" i="5"/>
  <c r="U1125" i="5"/>
  <c r="U971" i="5"/>
  <c r="U911" i="5"/>
  <c r="U907" i="5"/>
  <c r="U832" i="5"/>
  <c r="U1431" i="5"/>
  <c r="U1423" i="5"/>
  <c r="U1601" i="5"/>
  <c r="U1593" i="5"/>
  <c r="U1367" i="5"/>
  <c r="U1363" i="5"/>
  <c r="U1359" i="5"/>
  <c r="U1343" i="5"/>
  <c r="U1307" i="5"/>
  <c r="U1166" i="5"/>
  <c r="U1089" i="5"/>
  <c r="U1085" i="5"/>
  <c r="U1065" i="5"/>
  <c r="U1049" i="5"/>
  <c r="U986" i="5"/>
  <c r="AP405" i="2" s="1"/>
  <c r="U875" i="5"/>
  <c r="U982" i="5"/>
  <c r="AP401" i="2" s="1"/>
  <c r="U954" i="5"/>
  <c r="U946" i="5"/>
  <c r="U1039" i="5"/>
  <c r="U1441" i="5"/>
  <c r="U1433" i="5"/>
  <c r="U1318" i="5"/>
  <c r="U1263" i="5"/>
  <c r="U1219" i="5"/>
  <c r="U1099" i="5"/>
  <c r="U957" i="5"/>
  <c r="U1575" i="5"/>
  <c r="U1306" i="5"/>
  <c r="U1203" i="5"/>
  <c r="U1071" i="5"/>
  <c r="AP437" i="2" s="1"/>
  <c r="U925" i="5"/>
  <c r="AP373" i="2" s="1"/>
  <c r="U863" i="5"/>
  <c r="U1614" i="5"/>
  <c r="U1610" i="5"/>
  <c r="U1460" i="5"/>
  <c r="U1452" i="5"/>
  <c r="U1385" i="5"/>
  <c r="U1294" i="5"/>
  <c r="U1141" i="5"/>
  <c r="U886" i="5"/>
  <c r="U882" i="5"/>
  <c r="U1606" i="5"/>
  <c r="U1602" i="5"/>
  <c r="U1373" i="5"/>
  <c r="U1349" i="5"/>
  <c r="U1345" i="5"/>
  <c r="U1258" i="5"/>
  <c r="AP509" i="2" s="1"/>
  <c r="U1222" i="5"/>
  <c r="AP490" i="2" s="1"/>
  <c r="U1174" i="5"/>
  <c r="U988" i="5"/>
  <c r="AP408" i="2" s="1"/>
  <c r="U944" i="5"/>
  <c r="U1578" i="5"/>
  <c r="U1317" i="5"/>
  <c r="U1206" i="5"/>
  <c r="U1190" i="5"/>
  <c r="U1050" i="5"/>
  <c r="AP431" i="2" s="1"/>
  <c r="U1040" i="5"/>
  <c r="U1019" i="5"/>
  <c r="U916" i="5"/>
  <c r="U1609" i="5"/>
  <c r="U1467" i="5"/>
  <c r="U1463" i="5"/>
  <c r="U1455" i="5"/>
  <c r="U1396" i="5"/>
  <c r="U1344" i="5"/>
  <c r="U1324" i="5"/>
  <c r="U1245" i="5"/>
  <c r="U1241" i="5"/>
  <c r="U1237" i="5"/>
  <c r="U1217" i="5"/>
  <c r="U1161" i="5"/>
  <c r="U979" i="5"/>
  <c r="AP400" i="2" s="1"/>
  <c r="U963" i="5"/>
  <c r="U959" i="5"/>
  <c r="U1573" i="5"/>
  <c r="U1569" i="5"/>
  <c r="U1407" i="5"/>
  <c r="U1109" i="5"/>
  <c r="U1053" i="5"/>
  <c r="U888" i="5"/>
  <c r="AP349" i="2" s="1"/>
  <c r="U1462" i="5"/>
  <c r="U1391" i="5"/>
  <c r="U1383" i="5"/>
  <c r="U1296" i="5"/>
  <c r="U1288" i="5"/>
  <c r="U1157" i="5"/>
  <c r="U1149" i="5"/>
  <c r="U1014" i="5"/>
  <c r="U1002" i="5"/>
  <c r="U857" i="5"/>
  <c r="U853" i="5"/>
  <c r="U1576" i="5"/>
  <c r="U1438" i="5"/>
  <c r="U1422" i="5"/>
  <c r="U1414" i="5"/>
  <c r="U1319" i="5"/>
  <c r="U1268" i="5"/>
  <c r="U1264" i="5"/>
  <c r="AP511" i="2" s="1"/>
  <c r="U1244" i="5"/>
  <c r="U1240" i="5"/>
  <c r="U1236" i="5"/>
  <c r="U1192" i="5"/>
  <c r="U1184" i="5"/>
  <c r="U1096" i="5"/>
  <c r="AP450" i="2" s="1"/>
  <c r="U1072" i="5"/>
  <c r="AP439" i="2" s="1"/>
  <c r="U1033" i="5"/>
  <c r="U899" i="5"/>
  <c r="U864" i="5"/>
  <c r="U930" i="5"/>
  <c r="U918" i="5"/>
  <c r="U891" i="5"/>
  <c r="U1469" i="5"/>
  <c r="U1398" i="5"/>
  <c r="U1394" i="5"/>
  <c r="U1382" i="5"/>
  <c r="U1354" i="5"/>
  <c r="U1299" i="5"/>
  <c r="U1295" i="5"/>
  <c r="U1287" i="5"/>
  <c r="U1180" i="5"/>
  <c r="U1176" i="5"/>
  <c r="U1115" i="5"/>
  <c r="U1013" i="5"/>
  <c r="U1009" i="5"/>
  <c r="U1001" i="5"/>
  <c r="U906" i="5"/>
  <c r="AP365" i="2" s="1"/>
  <c r="U856" i="5"/>
  <c r="U818" i="5"/>
  <c r="U1032" i="5"/>
  <c r="U1035" i="5"/>
  <c r="U1025" i="5"/>
  <c r="U1024" i="5"/>
  <c r="U1015" i="5"/>
  <c r="U1481" i="5"/>
  <c r="U1454" i="5"/>
  <c r="U1358" i="5"/>
  <c r="U1312" i="5"/>
  <c r="U1189" i="5"/>
  <c r="AP479" i="2" s="1"/>
  <c r="U1165" i="5"/>
  <c r="U950" i="5"/>
  <c r="U867" i="5"/>
  <c r="U849" i="5"/>
  <c r="U845" i="5"/>
  <c r="U1446" i="5"/>
  <c r="U1427" i="5"/>
  <c r="U1416" i="5"/>
  <c r="U1412" i="5"/>
  <c r="U1350" i="5"/>
  <c r="U1067" i="5"/>
  <c r="U837" i="5"/>
  <c r="AP325" i="2" s="1"/>
  <c r="U1570" i="5"/>
  <c r="U1442" i="5"/>
  <c r="U1400" i="5"/>
  <c r="U1377" i="5"/>
  <c r="U1369" i="5"/>
  <c r="U1346" i="5"/>
  <c r="U1250" i="5"/>
  <c r="U1215" i="5"/>
  <c r="U1172" i="5"/>
  <c r="AP473" i="2" s="1"/>
  <c r="U1153" i="5"/>
  <c r="U1143" i="5"/>
  <c r="U1113" i="5"/>
  <c r="U1101" i="5"/>
  <c r="AP452" i="2" s="1"/>
  <c r="U922" i="5"/>
  <c r="U1063" i="5"/>
  <c r="U1492" i="5"/>
  <c r="U1465" i="5"/>
  <c r="U1453" i="5"/>
  <c r="U1430" i="5"/>
  <c r="U1419" i="5"/>
  <c r="U1388" i="5"/>
  <c r="U1211" i="5"/>
  <c r="U1164" i="5"/>
  <c r="U1097" i="5"/>
  <c r="U1026" i="5"/>
  <c r="U1411" i="5"/>
  <c r="U1403" i="5"/>
  <c r="U1380" i="5"/>
  <c r="U1338" i="5"/>
  <c r="U1330" i="5"/>
  <c r="U1326" i="5"/>
  <c r="U1303" i="5"/>
  <c r="U1218" i="5"/>
  <c r="U1207" i="5"/>
  <c r="U1135" i="5"/>
  <c r="U1120" i="5"/>
  <c r="U995" i="5"/>
  <c r="AP415" i="2" s="1"/>
  <c r="U976" i="5"/>
  <c r="U941" i="5"/>
  <c r="AP382" i="2" s="1"/>
  <c r="U937" i="5"/>
  <c r="AP380" i="2" s="1"/>
  <c r="U914" i="5"/>
  <c r="AP369" i="2" s="1"/>
  <c r="U881" i="5"/>
  <c r="AP343" i="2" s="1"/>
  <c r="U840" i="5"/>
  <c r="U836" i="5"/>
  <c r="AP324" i="2" s="1"/>
  <c r="U1284" i="5"/>
  <c r="U1280" i="5"/>
  <c r="U1468" i="5"/>
  <c r="U1364" i="5"/>
  <c r="U1360" i="5"/>
  <c r="U1314" i="5"/>
  <c r="U1272" i="5"/>
  <c r="U1233" i="5"/>
  <c r="U1195" i="5"/>
  <c r="U1171" i="5"/>
  <c r="AP472" i="2" s="1"/>
  <c r="U1142" i="5"/>
  <c r="U1131" i="5"/>
  <c r="U1100" i="5"/>
  <c r="AP451" i="2" s="1"/>
  <c r="U1073" i="5"/>
  <c r="U1058" i="5"/>
  <c r="U1051" i="5"/>
  <c r="U1037" i="5"/>
  <c r="U1029" i="5"/>
  <c r="U952" i="5"/>
  <c r="AP388" i="2" s="1"/>
  <c r="U921" i="5"/>
  <c r="U910" i="5"/>
  <c r="U895" i="5"/>
  <c r="U1607" i="5"/>
  <c r="U1448" i="5"/>
  <c r="U1379" i="5"/>
  <c r="U1352" i="5"/>
  <c r="U1333" i="5"/>
  <c r="U1123" i="5"/>
  <c r="U1069" i="5"/>
  <c r="U1021" i="5"/>
  <c r="U865" i="5"/>
  <c r="U1583" i="5"/>
  <c r="U1568" i="5"/>
  <c r="U1471" i="5"/>
  <c r="U1298" i="5"/>
  <c r="U1275" i="5"/>
  <c r="AP515" i="2" s="1"/>
  <c r="U1252" i="5"/>
  <c r="AP503" i="2" s="1"/>
  <c r="U1228" i="5"/>
  <c r="U1202" i="5"/>
  <c r="U1170" i="5"/>
  <c r="U1147" i="5"/>
  <c r="U1134" i="5"/>
  <c r="U1119" i="5"/>
  <c r="U1107" i="5"/>
  <c r="AP454" i="2" s="1"/>
  <c r="U1080" i="5"/>
  <c r="AP445" i="2" s="1"/>
  <c r="U1036" i="5"/>
  <c r="U990" i="5"/>
  <c r="AP410" i="2" s="1"/>
  <c r="U936" i="5"/>
  <c r="U876" i="5"/>
  <c r="U1482" i="5"/>
  <c r="U928" i="5"/>
  <c r="U924" i="5"/>
  <c r="U1447" i="5"/>
  <c r="U1405" i="5"/>
  <c r="U1328" i="5"/>
  <c r="U1061" i="5"/>
  <c r="U1057" i="5"/>
  <c r="U850" i="5"/>
  <c r="U1401" i="5"/>
  <c r="U1397" i="5"/>
  <c r="U1347" i="5"/>
  <c r="U1320" i="5"/>
  <c r="U1316" i="5"/>
  <c r="U1297" i="5"/>
  <c r="U1286" i="5"/>
  <c r="U1282" i="5"/>
  <c r="U1259" i="5"/>
  <c r="U1255" i="5"/>
  <c r="AP505" i="2" s="1"/>
  <c r="U1251" i="5"/>
  <c r="U1247" i="5"/>
  <c r="U1239" i="5"/>
  <c r="U1205" i="5"/>
  <c r="U1197" i="5"/>
  <c r="U1118" i="5"/>
  <c r="U1110" i="5"/>
  <c r="U1031" i="5"/>
  <c r="U1012" i="5"/>
  <c r="AP423" i="2" s="1"/>
  <c r="U1008" i="5"/>
  <c r="AP421" i="2" s="1"/>
  <c r="U897" i="5"/>
  <c r="AP354" i="2" s="1"/>
  <c r="U838" i="5"/>
  <c r="AP326" i="2" s="1"/>
  <c r="U834" i="5"/>
  <c r="U1439" i="5"/>
  <c r="U819" i="5"/>
  <c r="U1587" i="5"/>
  <c r="U1464" i="5"/>
  <c r="U1449" i="5"/>
  <c r="U1409" i="5"/>
  <c r="U1351" i="5"/>
  <c r="U1321" i="5"/>
  <c r="U1292" i="5"/>
  <c r="U1266" i="5"/>
  <c r="U1212" i="5"/>
  <c r="AP487" i="2" s="1"/>
  <c r="U1194" i="5"/>
  <c r="U1112" i="5"/>
  <c r="U1075" i="5"/>
  <c r="AP440" i="2" s="1"/>
  <c r="U1068" i="5"/>
  <c r="AP435" i="2" s="1"/>
  <c r="U1420" i="5"/>
  <c r="U1262" i="5"/>
  <c r="U1208" i="5"/>
  <c r="U1137" i="5"/>
  <c r="U1126" i="5"/>
  <c r="AP461" i="2" s="1"/>
  <c r="U927" i="5"/>
  <c r="U1362" i="5"/>
  <c r="U1302" i="5"/>
  <c r="U1273" i="5"/>
  <c r="U1598" i="5"/>
  <c r="U1594" i="5"/>
  <c r="U1474" i="5"/>
  <c r="U1445" i="5"/>
  <c r="U1434" i="5"/>
  <c r="U1332" i="5"/>
  <c r="U1269" i="5"/>
  <c r="U1265" i="5"/>
  <c r="AP512" i="2" s="1"/>
  <c r="U1254" i="5"/>
  <c r="U1243" i="5"/>
  <c r="U1229" i="5"/>
  <c r="AP493" i="2" s="1"/>
  <c r="U1204" i="5"/>
  <c r="U1186" i="5"/>
  <c r="AP478" i="2" s="1"/>
  <c r="U1179" i="5"/>
  <c r="U1167" i="5"/>
  <c r="U1122" i="5"/>
  <c r="U1108" i="5"/>
  <c r="U1104" i="5"/>
  <c r="U1093" i="5"/>
  <c r="U1082" i="5"/>
  <c r="U1028" i="5"/>
  <c r="U833" i="5"/>
  <c r="U1493" i="5"/>
  <c r="U1365" i="5"/>
  <c r="U1339" i="5"/>
  <c r="U1309" i="5"/>
  <c r="U1056" i="5"/>
  <c r="U1470" i="5"/>
  <c r="U1426" i="5"/>
  <c r="U1390" i="5"/>
  <c r="U1361" i="5"/>
  <c r="U1305" i="5"/>
  <c r="U1246" i="5"/>
  <c r="U1232" i="5"/>
  <c r="U1193" i="5"/>
  <c r="U1163" i="5"/>
  <c r="U1156" i="5"/>
  <c r="U1045" i="5"/>
  <c r="AP430" i="2" s="1"/>
  <c r="U908" i="5"/>
  <c r="U1404" i="5"/>
  <c r="U1386" i="5"/>
  <c r="U1368" i="5"/>
  <c r="U1353" i="5"/>
  <c r="U1331" i="5"/>
  <c r="U1327" i="5"/>
  <c r="U1257" i="5"/>
  <c r="AP507" i="2" s="1"/>
  <c r="U1253" i="5"/>
  <c r="AP504" i="2" s="1"/>
  <c r="U1103" i="5"/>
  <c r="U1092" i="5"/>
  <c r="U1070" i="5"/>
  <c r="U1016" i="5"/>
  <c r="U915" i="5"/>
  <c r="U1589" i="5"/>
  <c r="U1585" i="5"/>
  <c r="U1477" i="5"/>
  <c r="U1466" i="5"/>
  <c r="U1451" i="5"/>
  <c r="U1415" i="5"/>
  <c r="U1290" i="5"/>
  <c r="U1283" i="5"/>
  <c r="U1249" i="5"/>
  <c r="AP502" i="2" s="1"/>
  <c r="U1242" i="5"/>
  <c r="AP497" i="2" s="1"/>
  <c r="U1173" i="5"/>
  <c r="U1148" i="5"/>
  <c r="U1088" i="5"/>
  <c r="AP447" i="2" s="1"/>
  <c r="U1081" i="5"/>
  <c r="U1077" i="5"/>
  <c r="U1034" i="5"/>
  <c r="U1023" i="5"/>
  <c r="U967" i="5"/>
  <c r="U1600" i="5"/>
  <c r="U1581" i="5"/>
  <c r="U1484" i="5"/>
  <c r="U1480" i="5"/>
  <c r="U1389" i="5"/>
  <c r="U1371" i="5"/>
  <c r="U1356" i="5"/>
  <c r="U1334" i="5"/>
  <c r="U1315" i="5"/>
  <c r="U1304" i="5"/>
  <c r="U1271" i="5"/>
  <c r="U1256" i="5"/>
  <c r="U1231" i="5"/>
  <c r="U1224" i="5"/>
  <c r="U1199" i="5"/>
  <c r="U1169" i="5"/>
  <c r="U1162" i="5"/>
  <c r="U1155" i="5"/>
  <c r="U1128" i="5"/>
  <c r="U1117" i="5"/>
  <c r="U1043" i="5"/>
  <c r="U1030" i="5"/>
  <c r="U846" i="5"/>
  <c r="U835" i="5"/>
  <c r="U1322" i="5"/>
  <c r="U1267" i="5"/>
  <c r="U1220" i="5"/>
  <c r="U1213" i="5"/>
  <c r="U1000" i="5"/>
  <c r="AP417" i="2" s="1"/>
  <c r="U932" i="5"/>
  <c r="AP377" i="2" s="1"/>
  <c r="U878" i="5"/>
  <c r="U842" i="5"/>
  <c r="U1603" i="5"/>
  <c r="U1577" i="5"/>
  <c r="U1487" i="5"/>
  <c r="U1472" i="5"/>
  <c r="U1461" i="5"/>
  <c r="U1457" i="5"/>
  <c r="U1410" i="5"/>
  <c r="U1381" i="5"/>
  <c r="U1374" i="5"/>
  <c r="U1274" i="5"/>
  <c r="AP514" i="2" s="1"/>
  <c r="U1234" i="5"/>
  <c r="U1198" i="5"/>
  <c r="U1098" i="5"/>
  <c r="U1087" i="5"/>
  <c r="U1076" i="5"/>
  <c r="U1022" i="5"/>
  <c r="U860" i="5"/>
  <c r="U1599" i="5"/>
  <c r="U1591" i="5"/>
  <c r="U1483" i="5"/>
  <c r="U1395" i="5"/>
  <c r="U1325" i="5"/>
  <c r="U1187" i="5"/>
  <c r="U1154" i="5"/>
  <c r="U1127" i="5"/>
  <c r="U1116" i="5"/>
  <c r="U1105" i="5"/>
  <c r="U1094" i="5"/>
  <c r="U1041" i="5"/>
  <c r="U1018" i="5"/>
  <c r="U1007" i="5"/>
  <c r="U1011" i="5"/>
  <c r="U1010" i="5"/>
  <c r="U1004" i="5"/>
  <c r="U1003" i="5"/>
  <c r="AP419" i="2" s="1"/>
  <c r="U999" i="5"/>
  <c r="U998" i="5"/>
  <c r="U996" i="5"/>
  <c r="AP416" i="2" s="1"/>
  <c r="U992" i="5"/>
  <c r="AP413" i="2" s="1"/>
  <c r="U994" i="5"/>
  <c r="AP414" i="2" s="1"/>
  <c r="U991" i="5"/>
  <c r="AP411" i="2" s="1"/>
  <c r="U987" i="5"/>
  <c r="AP406" i="2" s="1"/>
  <c r="U985" i="5"/>
  <c r="AP404" i="2" s="1"/>
  <c r="U983" i="5"/>
  <c r="U981" i="5"/>
  <c r="U980" i="5"/>
  <c r="U978" i="5"/>
  <c r="AP398" i="2" s="1"/>
  <c r="U977" i="5"/>
  <c r="AP396" i="2" s="1"/>
  <c r="U975" i="5"/>
  <c r="AP395" i="2" s="1"/>
  <c r="U974" i="5"/>
  <c r="U972" i="5"/>
  <c r="U970" i="5"/>
  <c r="U969" i="5"/>
  <c r="AP393" i="2" s="1"/>
  <c r="U968" i="5"/>
  <c r="U966" i="5"/>
  <c r="U964" i="5"/>
  <c r="U962" i="5"/>
  <c r="U961" i="5"/>
  <c r="U958" i="5"/>
  <c r="U956" i="5"/>
  <c r="U955" i="5"/>
  <c r="U953" i="5"/>
  <c r="U951" i="5"/>
  <c r="AP387" i="2" s="1"/>
  <c r="U949" i="5"/>
  <c r="U947" i="5"/>
  <c r="U945" i="5"/>
  <c r="U943" i="5"/>
  <c r="U942" i="5"/>
  <c r="AP383" i="2" s="1"/>
  <c r="U939" i="5"/>
  <c r="U938" i="5"/>
  <c r="U935" i="5"/>
  <c r="U933" i="5"/>
  <c r="U934" i="5"/>
  <c r="U931" i="5"/>
  <c r="U926" i="5"/>
  <c r="U923" i="5"/>
  <c r="AP372" i="2" s="1"/>
  <c r="U920" i="5"/>
  <c r="U919" i="5"/>
  <c r="U912" i="5"/>
  <c r="U909" i="5"/>
  <c r="AP367" i="2" s="1"/>
  <c r="U904" i="5"/>
  <c r="AP362" i="2" s="1"/>
  <c r="U903" i="5"/>
  <c r="AP360" i="2" s="1"/>
  <c r="U901" i="5"/>
  <c r="AP359" i="2" s="1"/>
  <c r="U900" i="5"/>
  <c r="AP358" i="2" s="1"/>
  <c r="U898" i="5"/>
  <c r="U896" i="5"/>
  <c r="U893" i="5"/>
  <c r="AP351" i="2" s="1"/>
  <c r="U890" i="5"/>
  <c r="U885" i="5"/>
  <c r="U879" i="5"/>
  <c r="U877" i="5"/>
  <c r="U874" i="5"/>
  <c r="AP336" i="2" s="1"/>
  <c r="U873" i="5"/>
  <c r="U871" i="5"/>
  <c r="U866" i="5"/>
  <c r="U855" i="5"/>
  <c r="U852" i="5"/>
  <c r="U847" i="5"/>
  <c r="U844" i="5"/>
  <c r="U841" i="5"/>
  <c r="U1611" i="5"/>
  <c r="U1605" i="5"/>
  <c r="U1488" i="5"/>
  <c r="U1329" i="5"/>
  <c r="U1572" i="5"/>
  <c r="U1491" i="5"/>
  <c r="U1435" i="5"/>
  <c r="U1613" i="5"/>
  <c r="U1393" i="5"/>
  <c r="U1046" i="5"/>
  <c r="U1595" i="5"/>
  <c r="U1586" i="5"/>
  <c r="U1475" i="5"/>
  <c r="U1456" i="5"/>
  <c r="U1437" i="5"/>
  <c r="U1612" i="5"/>
  <c r="U1459" i="5"/>
  <c r="U1408" i="5"/>
  <c r="U1357" i="5"/>
  <c r="U1597" i="5"/>
  <c r="U1458" i="5"/>
  <c r="U1436" i="5"/>
  <c r="U1291" i="5"/>
  <c r="U1248" i="5"/>
  <c r="AP501" i="2" s="1"/>
  <c r="U1005" i="5"/>
  <c r="U1588" i="5"/>
  <c r="U1387" i="5"/>
  <c r="U1278" i="5"/>
  <c r="AP516" i="2" s="1"/>
  <c r="U1201" i="5"/>
  <c r="U1425" i="5"/>
  <c r="U1188" i="5"/>
  <c r="U1151" i="5"/>
  <c r="U1130" i="5"/>
  <c r="U1450" i="5"/>
  <c r="U1406" i="5"/>
  <c r="U1376" i="5"/>
  <c r="U1355" i="5"/>
  <c r="U1177" i="5"/>
  <c r="U822" i="5"/>
  <c r="U821" i="5"/>
  <c r="AP481" i="2" l="1"/>
  <c r="AP464" i="2"/>
  <c r="AP510" i="2"/>
  <c r="AP434" i="2"/>
  <c r="AP496" i="2"/>
  <c r="AP448" i="2"/>
  <c r="AP446" i="2"/>
  <c r="AP468" i="2"/>
  <c r="AP432" i="2"/>
  <c r="AP476" i="2"/>
  <c r="AP449" i="2"/>
  <c r="AP470" i="2"/>
  <c r="AP466" i="2"/>
  <c r="AP441" i="2"/>
  <c r="AP498" i="2"/>
  <c r="AP463" i="2"/>
  <c r="AP485" i="2"/>
  <c r="AP484" i="2"/>
  <c r="AP477" i="2"/>
  <c r="AP492" i="2"/>
  <c r="AP494" i="2"/>
  <c r="AP513" i="2"/>
  <c r="AP453" i="2"/>
  <c r="AP458" i="2"/>
  <c r="AP465" i="2"/>
  <c r="AP482" i="2"/>
  <c r="AP488" i="2"/>
  <c r="AP475" i="2"/>
  <c r="AP455" i="2"/>
  <c r="AP428" i="2"/>
  <c r="AP427" i="2"/>
  <c r="AP462" i="2"/>
  <c r="AP474" i="2"/>
  <c r="AP456" i="2"/>
  <c r="AP517" i="2"/>
  <c r="AP420" i="2"/>
  <c r="AP418" i="2"/>
  <c r="AP422" i="2"/>
  <c r="AP425" i="2"/>
  <c r="AP424" i="2"/>
  <c r="AP390" i="2"/>
  <c r="AP378" i="2"/>
  <c r="AP357" i="2"/>
  <c r="AP317" i="2"/>
  <c r="AP335" i="2"/>
  <c r="AP385" i="2"/>
  <c r="AP394" i="2"/>
  <c r="AP375" i="2"/>
  <c r="AP384" i="2"/>
  <c r="AP370" i="2"/>
  <c r="AP332" i="2"/>
  <c r="AP323" i="2"/>
  <c r="AP389" i="2"/>
  <c r="AP342" i="2"/>
  <c r="AP333" i="2"/>
  <c r="AP391" i="2"/>
  <c r="AP376" i="2"/>
  <c r="AP344" i="2"/>
  <c r="AP334" i="2"/>
  <c r="AP329" i="2"/>
  <c r="AP338" i="2"/>
  <c r="AP366" i="2"/>
  <c r="AP341" i="2"/>
  <c r="AP379" i="2"/>
  <c r="AP331" i="2"/>
  <c r="AP345" i="2"/>
  <c r="AP330" i="2"/>
  <c r="AP392" i="2"/>
  <c r="AP353" i="2"/>
  <c r="AP371" i="2"/>
  <c r="C251" i="8"/>
  <c r="D250" i="8"/>
  <c r="D10" i="8"/>
  <c r="C11" i="8"/>
  <c r="F86" i="2"/>
  <c r="H86" i="2" s="1"/>
  <c r="B67" i="2"/>
  <c r="F67" i="2"/>
  <c r="H67" i="2" s="1"/>
  <c r="AB67" i="2"/>
  <c r="AW67" i="2" s="1"/>
  <c r="AO67" i="2"/>
  <c r="AQ67" i="2"/>
  <c r="AY67" i="2"/>
  <c r="AZ67" i="2"/>
  <c r="BA67" i="2"/>
  <c r="BB67" i="2"/>
  <c r="BD67" i="2"/>
  <c r="B468" i="5"/>
  <c r="B469" i="5"/>
  <c r="B470" i="5"/>
  <c r="B471" i="5"/>
  <c r="B472" i="5"/>
  <c r="B473" i="5"/>
  <c r="B474" i="5"/>
  <c r="B475" i="5"/>
  <c r="B476" i="5"/>
  <c r="S468" i="5"/>
  <c r="S469" i="5"/>
  <c r="S470" i="5"/>
  <c r="S471" i="5"/>
  <c r="S472" i="5"/>
  <c r="S473" i="5"/>
  <c r="S474" i="5"/>
  <c r="S475" i="5"/>
  <c r="S476" i="5"/>
  <c r="T468" i="5"/>
  <c r="T469" i="5"/>
  <c r="T470" i="5"/>
  <c r="T471" i="5"/>
  <c r="T472" i="5"/>
  <c r="T473" i="5"/>
  <c r="T474" i="5"/>
  <c r="T475" i="5"/>
  <c r="T476" i="5"/>
  <c r="V468" i="5"/>
  <c r="V469" i="5"/>
  <c r="V470" i="5"/>
  <c r="V471" i="5"/>
  <c r="V472" i="5"/>
  <c r="V473" i="5"/>
  <c r="V474" i="5"/>
  <c r="V475" i="5"/>
  <c r="V476" i="5"/>
  <c r="B477" i="5"/>
  <c r="B478" i="5"/>
  <c r="B479" i="5"/>
  <c r="B480" i="5"/>
  <c r="B481" i="5"/>
  <c r="B482" i="5"/>
  <c r="B483" i="5"/>
  <c r="B484" i="5"/>
  <c r="B485" i="5"/>
  <c r="S477" i="5"/>
  <c r="S478" i="5"/>
  <c r="S479" i="5"/>
  <c r="S480" i="5"/>
  <c r="S481" i="5"/>
  <c r="S482" i="5"/>
  <c r="S483" i="5"/>
  <c r="S484" i="5"/>
  <c r="S485" i="5"/>
  <c r="T477" i="5"/>
  <c r="T478" i="5"/>
  <c r="T479" i="5"/>
  <c r="T480" i="5"/>
  <c r="T481" i="5"/>
  <c r="T482" i="5"/>
  <c r="T483" i="5"/>
  <c r="T484" i="5"/>
  <c r="T485" i="5"/>
  <c r="V477" i="5"/>
  <c r="V478" i="5"/>
  <c r="V479" i="5"/>
  <c r="V480" i="5"/>
  <c r="V481" i="5"/>
  <c r="V482" i="5"/>
  <c r="V483" i="5"/>
  <c r="V484" i="5"/>
  <c r="V485" i="5"/>
  <c r="B486" i="5"/>
  <c r="B487" i="5"/>
  <c r="B488" i="5"/>
  <c r="B489" i="5"/>
  <c r="B490" i="5"/>
  <c r="B491" i="5"/>
  <c r="B492" i="5"/>
  <c r="B493" i="5"/>
  <c r="B494" i="5"/>
  <c r="S486" i="5"/>
  <c r="S487" i="5"/>
  <c r="S488" i="5"/>
  <c r="S489" i="5"/>
  <c r="S490" i="5"/>
  <c r="S491" i="5"/>
  <c r="S492" i="5"/>
  <c r="S493" i="5"/>
  <c r="S494" i="5"/>
  <c r="T486" i="5"/>
  <c r="T487" i="5"/>
  <c r="T488" i="5"/>
  <c r="T489" i="5"/>
  <c r="T490" i="5"/>
  <c r="T491" i="5"/>
  <c r="T492" i="5"/>
  <c r="T493" i="5"/>
  <c r="T494" i="5"/>
  <c r="V486" i="5"/>
  <c r="V487" i="5"/>
  <c r="V488" i="5"/>
  <c r="V489" i="5"/>
  <c r="V490" i="5"/>
  <c r="V491" i="5"/>
  <c r="V492" i="5"/>
  <c r="V493" i="5"/>
  <c r="V494" i="5"/>
  <c r="B62" i="2"/>
  <c r="B63" i="2"/>
  <c r="B64" i="2"/>
  <c r="F62" i="2"/>
  <c r="F63" i="2"/>
  <c r="F64" i="2"/>
  <c r="AB62" i="2"/>
  <c r="AB63" i="2"/>
  <c r="AW63" i="2" s="1"/>
  <c r="AB64" i="2"/>
  <c r="AO62" i="2"/>
  <c r="AO63" i="2"/>
  <c r="AO64" i="2"/>
  <c r="AQ62" i="2"/>
  <c r="AQ63" i="2"/>
  <c r="AQ64" i="2"/>
  <c r="AY62" i="2"/>
  <c r="AY63" i="2"/>
  <c r="AY64" i="2"/>
  <c r="AZ62" i="2"/>
  <c r="AZ63" i="2"/>
  <c r="AZ64" i="2"/>
  <c r="BA62" i="2"/>
  <c r="BA63" i="2"/>
  <c r="BA64" i="2"/>
  <c r="BB62" i="2"/>
  <c r="BB63" i="2"/>
  <c r="BB64" i="2"/>
  <c r="BD62" i="2"/>
  <c r="BD63" i="2"/>
  <c r="BD64" i="2"/>
  <c r="B391" i="5"/>
  <c r="S391" i="5"/>
  <c r="T391" i="5"/>
  <c r="V391" i="5"/>
  <c r="B216" i="5"/>
  <c r="S216" i="5"/>
  <c r="T216" i="5"/>
  <c r="V216" i="5"/>
  <c r="B208" i="5"/>
  <c r="S208" i="5"/>
  <c r="T208" i="5"/>
  <c r="V208" i="5"/>
  <c r="B200" i="5"/>
  <c r="S200" i="5"/>
  <c r="T200" i="5"/>
  <c r="V200" i="5"/>
  <c r="B184" i="5"/>
  <c r="B185" i="5"/>
  <c r="B186" i="5"/>
  <c r="B187" i="5"/>
  <c r="B188" i="5"/>
  <c r="B189" i="5"/>
  <c r="B190" i="5"/>
  <c r="B191" i="5"/>
  <c r="B192" i="5"/>
  <c r="B193" i="5"/>
  <c r="B194" i="5"/>
  <c r="B195" i="5"/>
  <c r="B196" i="5"/>
  <c r="B197" i="5"/>
  <c r="B198" i="5"/>
  <c r="B199" i="5"/>
  <c r="B201" i="5"/>
  <c r="B202" i="5"/>
  <c r="B203" i="5"/>
  <c r="B204" i="5"/>
  <c r="B205" i="5"/>
  <c r="B206" i="5"/>
  <c r="B207" i="5"/>
  <c r="B209" i="5"/>
  <c r="B210" i="5"/>
  <c r="B211" i="5"/>
  <c r="B212" i="5"/>
  <c r="B213" i="5"/>
  <c r="B214" i="5"/>
  <c r="B215"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S184" i="5"/>
  <c r="S185" i="5"/>
  <c r="S186" i="5"/>
  <c r="S187" i="5"/>
  <c r="S188" i="5"/>
  <c r="S189" i="5"/>
  <c r="S190" i="5"/>
  <c r="S191" i="5"/>
  <c r="S192" i="5"/>
  <c r="S193" i="5"/>
  <c r="S194" i="5"/>
  <c r="S195" i="5"/>
  <c r="S196" i="5"/>
  <c r="S197" i="5"/>
  <c r="S198" i="5"/>
  <c r="S199" i="5"/>
  <c r="S201" i="5"/>
  <c r="S202" i="5"/>
  <c r="S203" i="5"/>
  <c r="S204" i="5"/>
  <c r="S205" i="5"/>
  <c r="S206" i="5"/>
  <c r="S207" i="5"/>
  <c r="S209" i="5"/>
  <c r="S210" i="5"/>
  <c r="S211" i="5"/>
  <c r="S212" i="5"/>
  <c r="S213" i="5"/>
  <c r="S214" i="5"/>
  <c r="S215"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T184" i="5"/>
  <c r="T185" i="5"/>
  <c r="T186" i="5"/>
  <c r="T187" i="5"/>
  <c r="T188" i="5"/>
  <c r="T189" i="5"/>
  <c r="T190" i="5"/>
  <c r="T191" i="5"/>
  <c r="T192" i="5"/>
  <c r="T193" i="5"/>
  <c r="T194" i="5"/>
  <c r="T195" i="5"/>
  <c r="T196" i="5"/>
  <c r="T197" i="5"/>
  <c r="T198" i="5"/>
  <c r="T199" i="5"/>
  <c r="T201" i="5"/>
  <c r="T202" i="5"/>
  <c r="T203" i="5"/>
  <c r="T204" i="5"/>
  <c r="T205" i="5"/>
  <c r="T206" i="5"/>
  <c r="T207" i="5"/>
  <c r="T209" i="5"/>
  <c r="T210" i="5"/>
  <c r="T211" i="5"/>
  <c r="T212" i="5"/>
  <c r="T213" i="5"/>
  <c r="T214" i="5"/>
  <c r="T215"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V184" i="5"/>
  <c r="V185" i="5"/>
  <c r="V186" i="5"/>
  <c r="V187" i="5"/>
  <c r="V188" i="5"/>
  <c r="V189" i="5"/>
  <c r="V190" i="5"/>
  <c r="V191" i="5"/>
  <c r="V192" i="5"/>
  <c r="V193" i="5"/>
  <c r="V194" i="5"/>
  <c r="V195" i="5"/>
  <c r="V196" i="5"/>
  <c r="V197" i="5"/>
  <c r="V198" i="5"/>
  <c r="V199" i="5"/>
  <c r="V201" i="5"/>
  <c r="V202" i="5"/>
  <c r="V203" i="5"/>
  <c r="V204" i="5"/>
  <c r="V205" i="5"/>
  <c r="V206" i="5"/>
  <c r="V207" i="5"/>
  <c r="V209" i="5"/>
  <c r="V210" i="5"/>
  <c r="V211" i="5"/>
  <c r="V212" i="5"/>
  <c r="V213" i="5"/>
  <c r="V214" i="5"/>
  <c r="V215"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2" i="5"/>
  <c r="B393" i="5"/>
  <c r="B394" i="5"/>
  <c r="B395" i="5"/>
  <c r="B396" i="5"/>
  <c r="B397" i="5"/>
  <c r="B398" i="5"/>
  <c r="B399" i="5"/>
  <c r="B400" i="5"/>
  <c r="B401" i="5"/>
  <c r="B402" i="5"/>
  <c r="B403" i="5"/>
  <c r="B404"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2" i="5"/>
  <c r="S393" i="5"/>
  <c r="S394" i="5"/>
  <c r="S395" i="5"/>
  <c r="S396" i="5"/>
  <c r="S397" i="5"/>
  <c r="S398" i="5"/>
  <c r="S399" i="5"/>
  <c r="S400" i="5"/>
  <c r="S401" i="5"/>
  <c r="S402" i="5"/>
  <c r="S403" i="5"/>
  <c r="S404"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2" i="5"/>
  <c r="T393" i="5"/>
  <c r="T394" i="5"/>
  <c r="T395" i="5"/>
  <c r="T396" i="5"/>
  <c r="T397" i="5"/>
  <c r="T398" i="5"/>
  <c r="T399" i="5"/>
  <c r="T400" i="5"/>
  <c r="T401" i="5"/>
  <c r="T402" i="5"/>
  <c r="T403" i="5"/>
  <c r="T404"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2" i="5"/>
  <c r="V393" i="5"/>
  <c r="V394" i="5"/>
  <c r="V395" i="5"/>
  <c r="V396" i="5"/>
  <c r="V397" i="5"/>
  <c r="V398" i="5"/>
  <c r="V399" i="5"/>
  <c r="V400" i="5"/>
  <c r="V401" i="5"/>
  <c r="V402" i="5"/>
  <c r="V403" i="5"/>
  <c r="V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B441" i="5"/>
  <c r="B442" i="5"/>
  <c r="B443" i="5"/>
  <c r="B444" i="5"/>
  <c r="B445" i="5"/>
  <c r="B446" i="5"/>
  <c r="B447" i="5"/>
  <c r="B448" i="5"/>
  <c r="B449" i="5"/>
  <c r="B450" i="5"/>
  <c r="B451" i="5"/>
  <c r="B452" i="5"/>
  <c r="B453" i="5"/>
  <c r="B454" i="5"/>
  <c r="B455" i="5"/>
  <c r="B456" i="5"/>
  <c r="B457" i="5"/>
  <c r="B458" i="5"/>
  <c r="S441" i="5"/>
  <c r="S442" i="5"/>
  <c r="S443" i="5"/>
  <c r="S444" i="5"/>
  <c r="S445" i="5"/>
  <c r="S446" i="5"/>
  <c r="S447" i="5"/>
  <c r="S448" i="5"/>
  <c r="S449" i="5"/>
  <c r="S450" i="5"/>
  <c r="S451" i="5"/>
  <c r="S452" i="5"/>
  <c r="S453" i="5"/>
  <c r="S454" i="5"/>
  <c r="S455" i="5"/>
  <c r="S456" i="5"/>
  <c r="S457" i="5"/>
  <c r="S458" i="5"/>
  <c r="T441" i="5"/>
  <c r="T442" i="5"/>
  <c r="T443" i="5"/>
  <c r="T444" i="5"/>
  <c r="T445" i="5"/>
  <c r="T446" i="5"/>
  <c r="T447" i="5"/>
  <c r="T448" i="5"/>
  <c r="T449" i="5"/>
  <c r="T450" i="5"/>
  <c r="T451" i="5"/>
  <c r="T452" i="5"/>
  <c r="T453" i="5"/>
  <c r="T454" i="5"/>
  <c r="T455" i="5"/>
  <c r="T456" i="5"/>
  <c r="T457" i="5"/>
  <c r="T458" i="5"/>
  <c r="V441" i="5"/>
  <c r="V442" i="5"/>
  <c r="V443" i="5"/>
  <c r="V444" i="5"/>
  <c r="V445" i="5"/>
  <c r="V446" i="5"/>
  <c r="V447" i="5"/>
  <c r="V448" i="5"/>
  <c r="V449" i="5"/>
  <c r="V450" i="5"/>
  <c r="V451" i="5"/>
  <c r="V452" i="5"/>
  <c r="V453" i="5"/>
  <c r="V454" i="5"/>
  <c r="V455" i="5"/>
  <c r="V456" i="5"/>
  <c r="V457" i="5"/>
  <c r="V458" i="5"/>
  <c r="B459" i="5"/>
  <c r="B460" i="5"/>
  <c r="B461" i="5"/>
  <c r="B462" i="5"/>
  <c r="B463" i="5"/>
  <c r="B464" i="5"/>
  <c r="S459" i="5"/>
  <c r="S460" i="5"/>
  <c r="S461" i="5"/>
  <c r="S462" i="5"/>
  <c r="S463" i="5"/>
  <c r="S464" i="5"/>
  <c r="T459" i="5"/>
  <c r="T460" i="5"/>
  <c r="T461" i="5"/>
  <c r="T462" i="5"/>
  <c r="T463" i="5"/>
  <c r="T464" i="5"/>
  <c r="V459" i="5"/>
  <c r="V460" i="5"/>
  <c r="V461" i="5"/>
  <c r="V462" i="5"/>
  <c r="V463" i="5"/>
  <c r="V464" i="5"/>
  <c r="B465" i="5"/>
  <c r="B466" i="5"/>
  <c r="B467" i="5"/>
  <c r="B495" i="5"/>
  <c r="B496" i="5"/>
  <c r="B497" i="5"/>
  <c r="S465" i="5"/>
  <c r="S466" i="5"/>
  <c r="S467" i="5"/>
  <c r="S495" i="5"/>
  <c r="S496" i="5"/>
  <c r="S497" i="5"/>
  <c r="T465" i="5"/>
  <c r="T466" i="5"/>
  <c r="T467" i="5"/>
  <c r="T495" i="5"/>
  <c r="T496" i="5"/>
  <c r="T497" i="5"/>
  <c r="V465" i="5"/>
  <c r="V466" i="5"/>
  <c r="V467" i="5"/>
  <c r="V495" i="5"/>
  <c r="V496" i="5"/>
  <c r="V497" i="5"/>
  <c r="B498" i="5"/>
  <c r="S498" i="5"/>
  <c r="T498" i="5"/>
  <c r="V498" i="5"/>
  <c r="B47" i="2"/>
  <c r="F47" i="2"/>
  <c r="AB47" i="2"/>
  <c r="AW47" i="2" s="1"/>
  <c r="AO47" i="2"/>
  <c r="AQ47" i="2"/>
  <c r="AY47" i="2"/>
  <c r="AZ47" i="2"/>
  <c r="BA47" i="2"/>
  <c r="BB47" i="2"/>
  <c r="BD47" i="2"/>
  <c r="B48" i="2"/>
  <c r="F48" i="2"/>
  <c r="AB48" i="2"/>
  <c r="AW48" i="2" s="1"/>
  <c r="AO48" i="2"/>
  <c r="AQ48" i="2"/>
  <c r="AY48" i="2"/>
  <c r="AZ48" i="2"/>
  <c r="BA48" i="2"/>
  <c r="BB48" i="2"/>
  <c r="BD48" i="2"/>
  <c r="B49" i="2"/>
  <c r="F49" i="2"/>
  <c r="H49" i="2" s="1"/>
  <c r="AB49" i="2"/>
  <c r="AO49" i="2"/>
  <c r="AQ49" i="2"/>
  <c r="AY49" i="2"/>
  <c r="AZ49" i="2"/>
  <c r="BA49" i="2"/>
  <c r="BB49" i="2"/>
  <c r="BD49" i="2"/>
  <c r="B50" i="2"/>
  <c r="F50" i="2"/>
  <c r="H50" i="2" s="1"/>
  <c r="AB50" i="2"/>
  <c r="AO50" i="2"/>
  <c r="AQ50" i="2"/>
  <c r="AY50" i="2"/>
  <c r="AZ50" i="2"/>
  <c r="BA50" i="2"/>
  <c r="BB50" i="2"/>
  <c r="BD50" i="2"/>
  <c r="B51" i="2"/>
  <c r="F51" i="2"/>
  <c r="H51" i="2" s="1"/>
  <c r="AB51" i="2"/>
  <c r="AW51" i="2" s="1"/>
  <c r="AO51" i="2"/>
  <c r="AQ51" i="2"/>
  <c r="AY51" i="2"/>
  <c r="AZ51" i="2"/>
  <c r="BA51" i="2"/>
  <c r="BB51" i="2"/>
  <c r="BD51" i="2"/>
  <c r="B52" i="2"/>
  <c r="F52" i="2"/>
  <c r="AB52" i="2"/>
  <c r="AO52" i="2"/>
  <c r="AQ52" i="2"/>
  <c r="AY52" i="2"/>
  <c r="AZ52" i="2"/>
  <c r="BA52" i="2"/>
  <c r="BB52" i="2"/>
  <c r="BD52" i="2"/>
  <c r="B53" i="2"/>
  <c r="F53" i="2"/>
  <c r="AB53" i="2"/>
  <c r="AO53" i="2"/>
  <c r="AQ53" i="2"/>
  <c r="AY53" i="2"/>
  <c r="AZ53" i="2"/>
  <c r="BA53" i="2"/>
  <c r="BB53" i="2"/>
  <c r="BD53" i="2"/>
  <c r="B54" i="2"/>
  <c r="F54" i="2"/>
  <c r="AB54" i="2"/>
  <c r="AO54" i="2"/>
  <c r="AQ54" i="2"/>
  <c r="AY54" i="2"/>
  <c r="AZ54" i="2"/>
  <c r="BA54" i="2"/>
  <c r="BB54" i="2"/>
  <c r="BD54" i="2"/>
  <c r="B55" i="2"/>
  <c r="F55" i="2"/>
  <c r="H55" i="2" s="1"/>
  <c r="AB55" i="2"/>
  <c r="AW55" i="2" s="1"/>
  <c r="AO55" i="2"/>
  <c r="AQ55" i="2"/>
  <c r="AY55" i="2"/>
  <c r="AZ55" i="2"/>
  <c r="BA55" i="2"/>
  <c r="BB55" i="2"/>
  <c r="BD55" i="2"/>
  <c r="B56" i="2"/>
  <c r="F56" i="2"/>
  <c r="H56" i="2" s="1"/>
  <c r="AB56" i="2"/>
  <c r="AO56" i="2"/>
  <c r="AQ56" i="2"/>
  <c r="AY56" i="2"/>
  <c r="AZ56" i="2"/>
  <c r="BA56" i="2"/>
  <c r="BB56" i="2"/>
  <c r="BD56" i="2"/>
  <c r="B57" i="2"/>
  <c r="F57" i="2"/>
  <c r="H57" i="2" s="1"/>
  <c r="AB57" i="2"/>
  <c r="AW57" i="2" s="1"/>
  <c r="AO57" i="2"/>
  <c r="AQ57" i="2"/>
  <c r="AY57" i="2"/>
  <c r="AZ57" i="2"/>
  <c r="BA57" i="2"/>
  <c r="BB57" i="2"/>
  <c r="BD57" i="2"/>
  <c r="B58" i="2"/>
  <c r="F58" i="2"/>
  <c r="AB58" i="2"/>
  <c r="AO58" i="2"/>
  <c r="AQ58" i="2"/>
  <c r="AY58" i="2"/>
  <c r="AZ58" i="2"/>
  <c r="BA58" i="2"/>
  <c r="BB58" i="2"/>
  <c r="BD58" i="2"/>
  <c r="B59" i="2"/>
  <c r="F59" i="2"/>
  <c r="AB59" i="2"/>
  <c r="AW59" i="2" s="1"/>
  <c r="AO59" i="2"/>
  <c r="AQ59" i="2"/>
  <c r="AY59" i="2"/>
  <c r="AZ59" i="2"/>
  <c r="BA59" i="2"/>
  <c r="BB59" i="2"/>
  <c r="BD59" i="2"/>
  <c r="B60" i="2"/>
  <c r="F60" i="2"/>
  <c r="AB60" i="2"/>
  <c r="AO60" i="2"/>
  <c r="AQ60" i="2"/>
  <c r="AY60" i="2"/>
  <c r="AZ60" i="2"/>
  <c r="BA60" i="2"/>
  <c r="BB60" i="2"/>
  <c r="BD60" i="2"/>
  <c r="B61" i="2"/>
  <c r="F61" i="2"/>
  <c r="AB61" i="2"/>
  <c r="AO61" i="2"/>
  <c r="AQ61" i="2"/>
  <c r="AY61" i="2"/>
  <c r="AZ61" i="2"/>
  <c r="BA61" i="2"/>
  <c r="BB61" i="2"/>
  <c r="BD61" i="2"/>
  <c r="B65" i="2"/>
  <c r="F65" i="2"/>
  <c r="AB65" i="2"/>
  <c r="AW65" i="2" s="1"/>
  <c r="AO65" i="2"/>
  <c r="AQ65" i="2"/>
  <c r="AY65" i="2"/>
  <c r="AZ65" i="2"/>
  <c r="BA65" i="2"/>
  <c r="BB65" i="2"/>
  <c r="BD65" i="2"/>
  <c r="B66" i="2"/>
  <c r="F66" i="2"/>
  <c r="AB66" i="2"/>
  <c r="AO66" i="2"/>
  <c r="AQ66" i="2"/>
  <c r="AY66" i="2"/>
  <c r="AZ66" i="2"/>
  <c r="BA66" i="2"/>
  <c r="BB66" i="2"/>
  <c r="BD66" i="2"/>
  <c r="U195" i="5" l="1"/>
  <c r="C252" i="8"/>
  <c r="D251" i="8"/>
  <c r="H54" i="2"/>
  <c r="AV54" i="2" s="1"/>
  <c r="AI59" i="2"/>
  <c r="H59" i="2"/>
  <c r="AV59" i="2" s="1"/>
  <c r="AU60" i="2"/>
  <c r="H60" i="2"/>
  <c r="H52" i="2"/>
  <c r="AV52" i="2" s="1"/>
  <c r="AU66" i="2"/>
  <c r="H66" i="2"/>
  <c r="H47" i="2"/>
  <c r="AV47" i="2" s="1"/>
  <c r="H62" i="2"/>
  <c r="AV62" i="2" s="1"/>
  <c r="H58" i="2"/>
  <c r="AV58" i="2" s="1"/>
  <c r="H61" i="2"/>
  <c r="AV61" i="2" s="1"/>
  <c r="H53" i="2"/>
  <c r="AV53" i="2" s="1"/>
  <c r="H63" i="2"/>
  <c r="AV63" i="2" s="1"/>
  <c r="H65" i="2"/>
  <c r="AV65" i="2" s="1"/>
  <c r="H48" i="2"/>
  <c r="AV48" i="2" s="1"/>
  <c r="H64" i="2"/>
  <c r="AV64" i="2" s="1"/>
  <c r="AK125" i="2"/>
  <c r="AN125" i="2" s="1"/>
  <c r="U184" i="5"/>
  <c r="U202" i="5"/>
  <c r="AK49" i="2"/>
  <c r="AK67" i="2"/>
  <c r="AN67" i="2" s="1"/>
  <c r="AC56" i="2"/>
  <c r="AJ56" i="2" s="1"/>
  <c r="AK60" i="2"/>
  <c r="AN60" i="2" s="1"/>
  <c r="AK63" i="2"/>
  <c r="AK66" i="2"/>
  <c r="AN66" i="2" s="1"/>
  <c r="AK53" i="2"/>
  <c r="AK65" i="2"/>
  <c r="AK54" i="2"/>
  <c r="AK57" i="2"/>
  <c r="AK55" i="2"/>
  <c r="AK50" i="2"/>
  <c r="AK56" i="2"/>
  <c r="AN56" i="2" s="1"/>
  <c r="AK52" i="2"/>
  <c r="AK59" i="2"/>
  <c r="AN59" i="2" s="1"/>
  <c r="AK62" i="2"/>
  <c r="AK48" i="2"/>
  <c r="AK61" i="2"/>
  <c r="AK58" i="2"/>
  <c r="AK64" i="2"/>
  <c r="C12" i="8"/>
  <c r="D11" i="8"/>
  <c r="AC62" i="2"/>
  <c r="AJ62" i="2" s="1"/>
  <c r="AI62" i="2"/>
  <c r="AC61" i="2"/>
  <c r="AJ61" i="2" s="1"/>
  <c r="AC54" i="2"/>
  <c r="AJ54" i="2" s="1"/>
  <c r="AC67" i="2"/>
  <c r="AJ67" i="2" s="1"/>
  <c r="AW54" i="2"/>
  <c r="AC49" i="2"/>
  <c r="AJ49" i="2" s="1"/>
  <c r="AC50" i="2"/>
  <c r="AJ50" i="2" s="1"/>
  <c r="AC55" i="2"/>
  <c r="AJ55" i="2" s="1"/>
  <c r="AV67" i="2"/>
  <c r="AC60" i="2"/>
  <c r="AJ60" i="2" s="1"/>
  <c r="AV66" i="2"/>
  <c r="AC66" i="2"/>
  <c r="AJ66" i="2" s="1"/>
  <c r="AI65" i="2"/>
  <c r="AC48" i="2"/>
  <c r="AJ48" i="2" s="1"/>
  <c r="AC63" i="2"/>
  <c r="AJ63" i="2" s="1"/>
  <c r="AC64" i="2"/>
  <c r="AJ64" i="2" s="1"/>
  <c r="U487" i="5"/>
  <c r="U488" i="5"/>
  <c r="U468" i="5"/>
  <c r="U470" i="5"/>
  <c r="U477" i="5"/>
  <c r="U484" i="5"/>
  <c r="U485" i="5"/>
  <c r="AI67" i="2"/>
  <c r="AU67" i="2"/>
  <c r="AC53" i="2"/>
  <c r="AJ53" i="2" s="1"/>
  <c r="AW64" i="2"/>
  <c r="AC58" i="2"/>
  <c r="AJ58" i="2" s="1"/>
  <c r="AU54" i="2"/>
  <c r="AW62" i="2"/>
  <c r="AC51" i="2"/>
  <c r="AJ51" i="2" s="1"/>
  <c r="AC52" i="2"/>
  <c r="AJ52" i="2" s="1"/>
  <c r="AV49" i="2"/>
  <c r="AI47" i="2"/>
  <c r="U481" i="5"/>
  <c r="U480" i="5"/>
  <c r="U479" i="5"/>
  <c r="U478" i="5"/>
  <c r="U476" i="5"/>
  <c r="U475" i="5"/>
  <c r="U474" i="5"/>
  <c r="U473" i="5"/>
  <c r="U472" i="5"/>
  <c r="U471" i="5"/>
  <c r="U469" i="5"/>
  <c r="U483" i="5"/>
  <c r="U490" i="5"/>
  <c r="U482" i="5"/>
  <c r="U489" i="5"/>
  <c r="U494" i="5"/>
  <c r="U493" i="5"/>
  <c r="U486" i="5"/>
  <c r="U492" i="5"/>
  <c r="U491" i="5"/>
  <c r="U391" i="5"/>
  <c r="AU55" i="2"/>
  <c r="AV55" i="2"/>
  <c r="AV50" i="2"/>
  <c r="AU49" i="2"/>
  <c r="AI61" i="2"/>
  <c r="AC47" i="2"/>
  <c r="AJ47" i="2" s="1"/>
  <c r="AV60" i="2"/>
  <c r="AC59" i="2"/>
  <c r="AJ59" i="2" s="1"/>
  <c r="AI58" i="2"/>
  <c r="AC57" i="2"/>
  <c r="AJ57" i="2" s="1"/>
  <c r="AV51" i="2"/>
  <c r="AV57" i="2"/>
  <c r="AU59" i="2"/>
  <c r="AV56" i="2"/>
  <c r="U200" i="5"/>
  <c r="U263" i="5"/>
  <c r="U322" i="5"/>
  <c r="U440" i="5"/>
  <c r="U323" i="5"/>
  <c r="U275" i="5"/>
  <c r="U334" i="5"/>
  <c r="U276" i="5"/>
  <c r="U259" i="5"/>
  <c r="U306" i="5"/>
  <c r="U258" i="5"/>
  <c r="U335" i="5"/>
  <c r="U216" i="5"/>
  <c r="U329" i="5"/>
  <c r="U328" i="5"/>
  <c r="U325" i="5"/>
  <c r="U309" i="5"/>
  <c r="U324" i="5"/>
  <c r="U308" i="5"/>
  <c r="U243" i="5"/>
  <c r="U227" i="5"/>
  <c r="U226" i="5"/>
  <c r="U332" i="5"/>
  <c r="U268" i="5"/>
  <c r="U338" i="5"/>
  <c r="U333" i="5"/>
  <c r="U462" i="5"/>
  <c r="U210" i="5"/>
  <c r="U209" i="5"/>
  <c r="U208" i="5"/>
  <c r="U330" i="5"/>
  <c r="U296" i="5"/>
  <c r="U231" i="5"/>
  <c r="U301" i="5"/>
  <c r="U236" i="5"/>
  <c r="U273" i="5"/>
  <c r="U272" i="5"/>
  <c r="U239" i="5"/>
  <c r="U292" i="5"/>
  <c r="U291" i="5"/>
  <c r="U242" i="5"/>
  <c r="U305" i="5"/>
  <c r="U240" i="5"/>
  <c r="U336" i="5"/>
  <c r="U302" i="5"/>
  <c r="U270" i="5"/>
  <c r="U237" i="5"/>
  <c r="U206" i="5"/>
  <c r="U205" i="5"/>
  <c r="U203" i="5"/>
  <c r="U396" i="5"/>
  <c r="U379" i="5"/>
  <c r="U363" i="5"/>
  <c r="U347" i="5"/>
  <c r="U319" i="5"/>
  <c r="U321" i="5"/>
  <c r="U289" i="5"/>
  <c r="U256" i="5"/>
  <c r="U224" i="5"/>
  <c r="U320" i="5"/>
  <c r="U288" i="5"/>
  <c r="U255" i="5"/>
  <c r="U223" i="5"/>
  <c r="U285" i="5"/>
  <c r="U252" i="5"/>
  <c r="U220" i="5"/>
  <c r="U284" i="5"/>
  <c r="U267" i="5"/>
  <c r="U251" i="5"/>
  <c r="U235" i="5"/>
  <c r="U219" i="5"/>
  <c r="U201" i="5"/>
  <c r="U318" i="5"/>
  <c r="U286" i="5"/>
  <c r="U253" i="5"/>
  <c r="U221" i="5"/>
  <c r="U337" i="5"/>
  <c r="U314" i="5"/>
  <c r="U313" i="5"/>
  <c r="U297" i="5"/>
  <c r="U312" i="5"/>
  <c r="U280" i="5"/>
  <c r="U247" i="5"/>
  <c r="U214" i="5"/>
  <c r="U388" i="5"/>
  <c r="U372" i="5"/>
  <c r="U356" i="5"/>
  <c r="U340" i="5"/>
  <c r="U397" i="5"/>
  <c r="U380" i="5"/>
  <c r="U364" i="5"/>
  <c r="U348" i="5"/>
  <c r="U395" i="5"/>
  <c r="U378" i="5"/>
  <c r="U362" i="5"/>
  <c r="U346" i="5"/>
  <c r="U403" i="5"/>
  <c r="U386" i="5"/>
  <c r="U370" i="5"/>
  <c r="U354" i="5"/>
  <c r="U429" i="5"/>
  <c r="U413" i="5"/>
  <c r="U390" i="5"/>
  <c r="U374" i="5"/>
  <c r="U358" i="5"/>
  <c r="U342" i="5"/>
  <c r="U399" i="5"/>
  <c r="U382" i="5"/>
  <c r="U366" i="5"/>
  <c r="U350" i="5"/>
  <c r="U298" i="5"/>
  <c r="U282" i="5"/>
  <c r="U265" i="5"/>
  <c r="U249" i="5"/>
  <c r="U233" i="5"/>
  <c r="U217" i="5"/>
  <c r="U428" i="5"/>
  <c r="U389" i="5"/>
  <c r="U373" i="5"/>
  <c r="U357" i="5"/>
  <c r="U341" i="5"/>
  <c r="U398" i="5"/>
  <c r="U381" i="5"/>
  <c r="U365" i="5"/>
  <c r="U349" i="5"/>
  <c r="AP49" i="2" s="1"/>
  <c r="U316" i="5"/>
  <c r="U300" i="5"/>
  <c r="U290" i="5"/>
  <c r="U274" i="5"/>
  <c r="U257" i="5"/>
  <c r="U241" i="5"/>
  <c r="U225" i="5"/>
  <c r="U207" i="5"/>
  <c r="U303" i="5"/>
  <c r="U287" i="5"/>
  <c r="U271" i="5"/>
  <c r="U254" i="5"/>
  <c r="U238" i="5"/>
  <c r="U222" i="5"/>
  <c r="U204" i="5"/>
  <c r="U304" i="5"/>
  <c r="U444" i="5"/>
  <c r="U317" i="5"/>
  <c r="U331" i="5"/>
  <c r="U315" i="5"/>
  <c r="U299" i="5"/>
  <c r="U283" i="5"/>
  <c r="U266" i="5"/>
  <c r="U250" i="5"/>
  <c r="U234" i="5"/>
  <c r="U218" i="5"/>
  <c r="U458" i="5"/>
  <c r="U281" i="5"/>
  <c r="U264" i="5"/>
  <c r="U248" i="5"/>
  <c r="U232" i="5"/>
  <c r="U215" i="5"/>
  <c r="U394" i="5"/>
  <c r="U377" i="5"/>
  <c r="U361" i="5"/>
  <c r="U345" i="5"/>
  <c r="U402" i="5"/>
  <c r="U385" i="5"/>
  <c r="U369" i="5"/>
  <c r="U353" i="5"/>
  <c r="U327" i="5"/>
  <c r="U311" i="5"/>
  <c r="U295" i="5"/>
  <c r="U279" i="5"/>
  <c r="U262" i="5"/>
  <c r="U246" i="5"/>
  <c r="U230" i="5"/>
  <c r="U213" i="5"/>
  <c r="U326" i="5"/>
  <c r="U310" i="5"/>
  <c r="U294" i="5"/>
  <c r="U278" i="5"/>
  <c r="U261" i="5"/>
  <c r="U245" i="5"/>
  <c r="U229" i="5"/>
  <c r="U212" i="5"/>
  <c r="U392" i="5"/>
  <c r="U359" i="5"/>
  <c r="U343" i="5"/>
  <c r="U400" i="5"/>
  <c r="U383" i="5"/>
  <c r="U367" i="5"/>
  <c r="U351" i="5"/>
  <c r="U277" i="5"/>
  <c r="U260" i="5"/>
  <c r="U244" i="5"/>
  <c r="U228" i="5"/>
  <c r="U211" i="5"/>
  <c r="U199" i="5"/>
  <c r="U198" i="5"/>
  <c r="U197" i="5"/>
  <c r="U196" i="5"/>
  <c r="U194" i="5"/>
  <c r="U193" i="5"/>
  <c r="U192" i="5"/>
  <c r="U191" i="5"/>
  <c r="U190" i="5"/>
  <c r="U189" i="5"/>
  <c r="U188" i="5"/>
  <c r="U187" i="5"/>
  <c r="U186" i="5"/>
  <c r="U185" i="5"/>
  <c r="U307" i="5"/>
  <c r="U446" i="5"/>
  <c r="U445" i="5"/>
  <c r="U431" i="5"/>
  <c r="U415" i="5"/>
  <c r="U430" i="5"/>
  <c r="U414" i="5"/>
  <c r="U393" i="5"/>
  <c r="U376" i="5"/>
  <c r="U360" i="5"/>
  <c r="U344" i="5"/>
  <c r="U401" i="5"/>
  <c r="U384" i="5"/>
  <c r="U368" i="5"/>
  <c r="U352" i="5"/>
  <c r="U455" i="5"/>
  <c r="U293" i="5"/>
  <c r="U454" i="5"/>
  <c r="U461" i="5"/>
  <c r="U412" i="5"/>
  <c r="U387" i="5"/>
  <c r="U371" i="5"/>
  <c r="U339" i="5"/>
  <c r="U426" i="5"/>
  <c r="U410" i="5"/>
  <c r="U425" i="5"/>
  <c r="U409" i="5"/>
  <c r="U464" i="5"/>
  <c r="U463" i="5"/>
  <c r="U427" i="5"/>
  <c r="U411" i="5"/>
  <c r="U424" i="5"/>
  <c r="U408" i="5"/>
  <c r="U375" i="5"/>
  <c r="U404" i="5"/>
  <c r="U355" i="5"/>
  <c r="U438" i="5"/>
  <c r="U422" i="5"/>
  <c r="U406" i="5"/>
  <c r="U437" i="5"/>
  <c r="U421" i="5"/>
  <c r="U405" i="5"/>
  <c r="U435" i="5"/>
  <c r="U419" i="5"/>
  <c r="U433" i="5"/>
  <c r="U417" i="5"/>
  <c r="U443" i="5"/>
  <c r="U432" i="5"/>
  <c r="U442" i="5"/>
  <c r="U457" i="5"/>
  <c r="U441" i="5"/>
  <c r="U439" i="5"/>
  <c r="U423" i="5"/>
  <c r="U407" i="5"/>
  <c r="U436" i="5"/>
  <c r="U420" i="5"/>
  <c r="U434" i="5"/>
  <c r="U418" i="5"/>
  <c r="U467" i="5"/>
  <c r="U416" i="5"/>
  <c r="U456" i="5"/>
  <c r="U497" i="5"/>
  <c r="U453" i="5"/>
  <c r="U450" i="5"/>
  <c r="U452" i="5"/>
  <c r="U451" i="5"/>
  <c r="U449" i="5"/>
  <c r="U448" i="5"/>
  <c r="U447" i="5"/>
  <c r="U460" i="5"/>
  <c r="U459" i="5"/>
  <c r="U466" i="5"/>
  <c r="U465" i="5"/>
  <c r="U498" i="5"/>
  <c r="U496" i="5"/>
  <c r="U495" i="5"/>
  <c r="AU52" i="2"/>
  <c r="AW50" i="2"/>
  <c r="AI51" i="2"/>
  <c r="AU51" i="2"/>
  <c r="AW56" i="2"/>
  <c r="AW60" i="2"/>
  <c r="AW58" i="2"/>
  <c r="AW49" i="2"/>
  <c r="AW61" i="2"/>
  <c r="AW53" i="2"/>
  <c r="AC65" i="2"/>
  <c r="AJ65" i="2" s="1"/>
  <c r="AI56" i="2"/>
  <c r="AU56" i="2"/>
  <c r="AW52" i="2"/>
  <c r="AI60" i="2"/>
  <c r="AI66" i="2"/>
  <c r="AW66" i="2"/>
  <c r="B77" i="2"/>
  <c r="F77" i="2"/>
  <c r="H77" i="2" s="1"/>
  <c r="AB77" i="2"/>
  <c r="AW77" i="2" s="1"/>
  <c r="AO77" i="2"/>
  <c r="AQ77" i="2"/>
  <c r="AY77" i="2"/>
  <c r="AZ77" i="2"/>
  <c r="BA77" i="2"/>
  <c r="BB77" i="2"/>
  <c r="BD77" i="2"/>
  <c r="F72" i="2"/>
  <c r="H72" i="2" s="1"/>
  <c r="C253" i="8" l="1"/>
  <c r="D252" i="8"/>
  <c r="AP125" i="2"/>
  <c r="AR125" i="2" s="1"/>
  <c r="AN58" i="2"/>
  <c r="AN62" i="2"/>
  <c r="AN50" i="2"/>
  <c r="AN65" i="2"/>
  <c r="AN61" i="2"/>
  <c r="AN55" i="2"/>
  <c r="AN53" i="2"/>
  <c r="AN64" i="2"/>
  <c r="AN52" i="2"/>
  <c r="AN57" i="2"/>
  <c r="AN48" i="2"/>
  <c r="AN54" i="2"/>
  <c r="AN63" i="2"/>
  <c r="AN49" i="2"/>
  <c r="AU62" i="2"/>
  <c r="C13" i="8"/>
  <c r="D12" i="8"/>
  <c r="AV77" i="2"/>
  <c r="AI55" i="2"/>
  <c r="AU65" i="2"/>
  <c r="AI54" i="2"/>
  <c r="AU47" i="2"/>
  <c r="AI52" i="2"/>
  <c r="AU61" i="2"/>
  <c r="AI48" i="2"/>
  <c r="AU48" i="2"/>
  <c r="AI63" i="2"/>
  <c r="AU63" i="2"/>
  <c r="AU58" i="2"/>
  <c r="AU50" i="2"/>
  <c r="AI50" i="2"/>
  <c r="AI49" i="2"/>
  <c r="AU64" i="2"/>
  <c r="AI64" i="2"/>
  <c r="AI53" i="2"/>
  <c r="AU53" i="2"/>
  <c r="AI57" i="2"/>
  <c r="AU57" i="2"/>
  <c r="AI77" i="2"/>
  <c r="AU77" i="2"/>
  <c r="AC77" i="2"/>
  <c r="AJ77" i="2" s="1"/>
  <c r="B115" i="5"/>
  <c r="S115" i="5"/>
  <c r="T115" i="5"/>
  <c r="V115" i="5"/>
  <c r="AB17" i="2"/>
  <c r="V168" i="5"/>
  <c r="T168" i="5"/>
  <c r="S168" i="5"/>
  <c r="B168" i="5"/>
  <c r="B167" i="5"/>
  <c r="B166" i="5"/>
  <c r="B165" i="5"/>
  <c r="B164" i="5"/>
  <c r="B89" i="5"/>
  <c r="S89" i="5"/>
  <c r="T89" i="5"/>
  <c r="V89" i="5"/>
  <c r="B66" i="5"/>
  <c r="S66" i="5"/>
  <c r="T66" i="5"/>
  <c r="V66" i="5"/>
  <c r="AB15" i="2"/>
  <c r="B7" i="2"/>
  <c r="F7" i="2"/>
  <c r="H7" i="2" s="1"/>
  <c r="AV7" i="2" s="1"/>
  <c r="AB7" i="2"/>
  <c r="AW7" i="2" s="1"/>
  <c r="AO7" i="2"/>
  <c r="AQ7" i="2"/>
  <c r="AY7" i="2"/>
  <c r="AZ7" i="2"/>
  <c r="BA7" i="2"/>
  <c r="BB7" i="2"/>
  <c r="BD7" i="2"/>
  <c r="B5" i="2"/>
  <c r="B6" i="2"/>
  <c r="B11" i="2"/>
  <c r="F11" i="2"/>
  <c r="AB11" i="2"/>
  <c r="AO11" i="2"/>
  <c r="AQ11" i="2"/>
  <c r="AY11" i="2"/>
  <c r="AZ11" i="2"/>
  <c r="BA11" i="2"/>
  <c r="BB11" i="2"/>
  <c r="BD11" i="2"/>
  <c r="B12" i="2"/>
  <c r="F12" i="2"/>
  <c r="H12" i="2" s="1"/>
  <c r="AB12" i="2"/>
  <c r="AO12" i="2"/>
  <c r="AQ12" i="2"/>
  <c r="AY12" i="2"/>
  <c r="AZ12" i="2"/>
  <c r="BA12" i="2"/>
  <c r="BB12" i="2"/>
  <c r="BD12" i="2"/>
  <c r="B13" i="2"/>
  <c r="F13" i="2"/>
  <c r="AB13" i="2"/>
  <c r="AO13" i="2"/>
  <c r="AQ13" i="2"/>
  <c r="AY13" i="2"/>
  <c r="AZ13" i="2"/>
  <c r="BA13" i="2"/>
  <c r="BB13" i="2"/>
  <c r="BD13" i="2"/>
  <c r="B14" i="2"/>
  <c r="AB14" i="2"/>
  <c r="AO14" i="2"/>
  <c r="AQ14" i="2"/>
  <c r="BD14" i="2"/>
  <c r="B15" i="2"/>
  <c r="F15" i="2"/>
  <c r="H15" i="2" s="1"/>
  <c r="AO15" i="2"/>
  <c r="AQ15" i="2"/>
  <c r="AY15" i="2"/>
  <c r="AZ15" i="2"/>
  <c r="BA15" i="2"/>
  <c r="BB15" i="2"/>
  <c r="BD15" i="2"/>
  <c r="B16" i="2"/>
  <c r="F16" i="2"/>
  <c r="H16" i="2" s="1"/>
  <c r="AB16" i="2"/>
  <c r="AO16" i="2"/>
  <c r="AQ16" i="2"/>
  <c r="AY16" i="2"/>
  <c r="AZ16" i="2"/>
  <c r="BA16" i="2"/>
  <c r="BB16" i="2"/>
  <c r="BD16" i="2"/>
  <c r="B17" i="2"/>
  <c r="F17" i="2"/>
  <c r="H17" i="2" s="1"/>
  <c r="AO17" i="2"/>
  <c r="AQ17" i="2"/>
  <c r="AY17" i="2"/>
  <c r="AZ17" i="2"/>
  <c r="BA17" i="2"/>
  <c r="BB17" i="2"/>
  <c r="BD17" i="2"/>
  <c r="B18" i="2"/>
  <c r="F18" i="2"/>
  <c r="AB18" i="2"/>
  <c r="AO18" i="2"/>
  <c r="AQ18" i="2"/>
  <c r="AY18" i="2"/>
  <c r="AZ18" i="2"/>
  <c r="BA18" i="2"/>
  <c r="BB18" i="2"/>
  <c r="BD18" i="2"/>
  <c r="B19" i="2"/>
  <c r="F19" i="2"/>
  <c r="H19" i="2" s="1"/>
  <c r="AB19" i="2"/>
  <c r="AW19" i="2" s="1"/>
  <c r="AO19" i="2"/>
  <c r="AQ19" i="2"/>
  <c r="AY19" i="2"/>
  <c r="AZ19" i="2"/>
  <c r="BA19" i="2"/>
  <c r="BB19" i="2"/>
  <c r="BD19" i="2"/>
  <c r="B20" i="2"/>
  <c r="F20" i="2"/>
  <c r="AB20" i="2"/>
  <c r="AW20" i="2" s="1"/>
  <c r="AO20" i="2"/>
  <c r="AQ20" i="2"/>
  <c r="AY20" i="2"/>
  <c r="AZ20" i="2"/>
  <c r="BA20" i="2"/>
  <c r="BB20" i="2"/>
  <c r="BD20" i="2"/>
  <c r="B21" i="2"/>
  <c r="F21" i="2"/>
  <c r="H21" i="2" s="1"/>
  <c r="AB21" i="2"/>
  <c r="AO21" i="2"/>
  <c r="AQ21" i="2"/>
  <c r="AY21" i="2"/>
  <c r="AZ21" i="2"/>
  <c r="BA21" i="2"/>
  <c r="BB21" i="2"/>
  <c r="BD21" i="2"/>
  <c r="B22" i="2"/>
  <c r="F22" i="2"/>
  <c r="AB22" i="2"/>
  <c r="AO22" i="2"/>
  <c r="AQ22" i="2"/>
  <c r="AY22" i="2"/>
  <c r="AZ22" i="2"/>
  <c r="BA22" i="2"/>
  <c r="BB22" i="2"/>
  <c r="BD22" i="2"/>
  <c r="B23" i="2"/>
  <c r="F23" i="2"/>
  <c r="AB23" i="2"/>
  <c r="AW23" i="2" s="1"/>
  <c r="AO23" i="2"/>
  <c r="AQ23" i="2"/>
  <c r="AY23" i="2"/>
  <c r="AZ23" i="2"/>
  <c r="BA23" i="2"/>
  <c r="BB23" i="2"/>
  <c r="BD23" i="2"/>
  <c r="B24" i="2"/>
  <c r="F24" i="2"/>
  <c r="AB24" i="2"/>
  <c r="AW24" i="2" s="1"/>
  <c r="AQ24" i="2"/>
  <c r="AY24" i="2"/>
  <c r="AZ24" i="2"/>
  <c r="BA24" i="2"/>
  <c r="BB24" i="2"/>
  <c r="BD24" i="2"/>
  <c r="B25" i="2"/>
  <c r="F25" i="2"/>
  <c r="H25" i="2" s="1"/>
  <c r="AB25" i="2"/>
  <c r="AO25" i="2"/>
  <c r="AQ25" i="2"/>
  <c r="AY25" i="2"/>
  <c r="AZ25" i="2"/>
  <c r="BA25" i="2"/>
  <c r="BB25" i="2"/>
  <c r="BD25" i="2"/>
  <c r="B26" i="2"/>
  <c r="F26" i="2"/>
  <c r="H26" i="2" s="1"/>
  <c r="AB26" i="2"/>
  <c r="AO26" i="2"/>
  <c r="AQ26" i="2"/>
  <c r="AY26" i="2"/>
  <c r="AZ26" i="2"/>
  <c r="BA26" i="2"/>
  <c r="BB26" i="2"/>
  <c r="BD26" i="2"/>
  <c r="B27" i="2"/>
  <c r="F27" i="2"/>
  <c r="H27" i="2" s="1"/>
  <c r="AB27" i="2"/>
  <c r="AO27" i="2"/>
  <c r="AQ27" i="2"/>
  <c r="AY27" i="2"/>
  <c r="AZ27" i="2"/>
  <c r="BA27" i="2"/>
  <c r="BB27" i="2"/>
  <c r="BD27" i="2"/>
  <c r="B28" i="2"/>
  <c r="F28" i="2"/>
  <c r="AB28" i="2"/>
  <c r="AO28" i="2"/>
  <c r="AQ28" i="2"/>
  <c r="AY28" i="2"/>
  <c r="AZ28" i="2"/>
  <c r="BA28" i="2"/>
  <c r="BB28" i="2"/>
  <c r="BD28" i="2"/>
  <c r="B29" i="2"/>
  <c r="F29" i="2"/>
  <c r="H29" i="2" s="1"/>
  <c r="AB29" i="2"/>
  <c r="AO29" i="2"/>
  <c r="AQ29" i="2"/>
  <c r="AY29" i="2"/>
  <c r="AZ29" i="2"/>
  <c r="BA29" i="2"/>
  <c r="BB29" i="2"/>
  <c r="BD29" i="2"/>
  <c r="B30" i="2"/>
  <c r="F30" i="2"/>
  <c r="AB30" i="2"/>
  <c r="AO30" i="2"/>
  <c r="AQ30" i="2"/>
  <c r="AY30" i="2"/>
  <c r="AZ30" i="2"/>
  <c r="BA30" i="2"/>
  <c r="BB30" i="2"/>
  <c r="BD30" i="2"/>
  <c r="B31" i="2"/>
  <c r="F31" i="2"/>
  <c r="H31" i="2" s="1"/>
  <c r="AB31" i="2"/>
  <c r="AO31" i="2"/>
  <c r="AQ31" i="2"/>
  <c r="AY31" i="2"/>
  <c r="AZ31" i="2"/>
  <c r="BA31" i="2"/>
  <c r="BB31" i="2"/>
  <c r="BD31" i="2"/>
  <c r="B32" i="2"/>
  <c r="F32" i="2"/>
  <c r="H32" i="2" s="1"/>
  <c r="AB32" i="2"/>
  <c r="AK32" i="2" s="1"/>
  <c r="AO32" i="2"/>
  <c r="AQ32" i="2"/>
  <c r="AY32" i="2"/>
  <c r="AZ32" i="2"/>
  <c r="BA32" i="2"/>
  <c r="BB32" i="2"/>
  <c r="BD32" i="2"/>
  <c r="B33" i="2"/>
  <c r="F33" i="2"/>
  <c r="AB33" i="2"/>
  <c r="AO33" i="2"/>
  <c r="AQ33" i="2"/>
  <c r="AY33" i="2"/>
  <c r="AZ33" i="2"/>
  <c r="BA33" i="2"/>
  <c r="BB33" i="2"/>
  <c r="BD33" i="2"/>
  <c r="B34" i="2"/>
  <c r="F34" i="2"/>
  <c r="H34" i="2" s="1"/>
  <c r="AB34" i="2"/>
  <c r="AO34" i="2"/>
  <c r="AQ34" i="2"/>
  <c r="AY34" i="2"/>
  <c r="AZ34" i="2"/>
  <c r="BA34" i="2"/>
  <c r="BB34" i="2"/>
  <c r="BD34" i="2"/>
  <c r="B35" i="2"/>
  <c r="F35" i="2"/>
  <c r="AB35" i="2"/>
  <c r="AO35" i="2"/>
  <c r="AQ35" i="2"/>
  <c r="AY35" i="2"/>
  <c r="AZ35" i="2"/>
  <c r="BA35" i="2"/>
  <c r="BB35" i="2"/>
  <c r="BD35" i="2"/>
  <c r="B36" i="2"/>
  <c r="F36" i="2"/>
  <c r="H36" i="2" s="1"/>
  <c r="AB36" i="2"/>
  <c r="AO36" i="2"/>
  <c r="AQ36" i="2"/>
  <c r="AY36" i="2"/>
  <c r="AZ36" i="2"/>
  <c r="BA36" i="2"/>
  <c r="BB36" i="2"/>
  <c r="BD36" i="2"/>
  <c r="B37" i="2"/>
  <c r="F37" i="2"/>
  <c r="H37" i="2" s="1"/>
  <c r="AB37" i="2"/>
  <c r="AO37" i="2"/>
  <c r="AQ37" i="2"/>
  <c r="AY37" i="2"/>
  <c r="AZ37" i="2"/>
  <c r="BA37" i="2"/>
  <c r="BB37" i="2"/>
  <c r="BD37" i="2"/>
  <c r="B38" i="2"/>
  <c r="F38" i="2"/>
  <c r="AB38" i="2"/>
  <c r="AO38" i="2"/>
  <c r="AQ38" i="2"/>
  <c r="AY38" i="2"/>
  <c r="AZ38" i="2"/>
  <c r="BA38" i="2"/>
  <c r="BB38" i="2"/>
  <c r="BD38" i="2"/>
  <c r="B39" i="2"/>
  <c r="F39" i="2"/>
  <c r="AB39" i="2"/>
  <c r="AO39" i="2"/>
  <c r="AQ39" i="2"/>
  <c r="AY39" i="2"/>
  <c r="AZ39" i="2"/>
  <c r="BA39" i="2"/>
  <c r="BB39" i="2"/>
  <c r="BD39" i="2"/>
  <c r="B40" i="2"/>
  <c r="F40" i="2"/>
  <c r="H40" i="2" s="1"/>
  <c r="AB40" i="2"/>
  <c r="AO40" i="2"/>
  <c r="AQ40" i="2"/>
  <c r="AY40" i="2"/>
  <c r="AZ40" i="2"/>
  <c r="BA40" i="2"/>
  <c r="BB40" i="2"/>
  <c r="BD40" i="2"/>
  <c r="B41" i="2"/>
  <c r="F41" i="2"/>
  <c r="H41" i="2" s="1"/>
  <c r="AB41" i="2"/>
  <c r="AO41" i="2"/>
  <c r="AQ41" i="2"/>
  <c r="AY41" i="2"/>
  <c r="AZ41" i="2"/>
  <c r="BA41" i="2"/>
  <c r="BB41" i="2"/>
  <c r="BD41" i="2"/>
  <c r="B42" i="2"/>
  <c r="F42" i="2"/>
  <c r="H42" i="2" s="1"/>
  <c r="AB42" i="2"/>
  <c r="AO42" i="2"/>
  <c r="AQ42" i="2"/>
  <c r="AY42" i="2"/>
  <c r="AZ42" i="2"/>
  <c r="BA42" i="2"/>
  <c r="BB42" i="2"/>
  <c r="BD42" i="2"/>
  <c r="B43" i="2"/>
  <c r="F43" i="2"/>
  <c r="H43" i="2" s="1"/>
  <c r="AB43" i="2"/>
  <c r="AK43" i="2" s="1"/>
  <c r="AO43" i="2"/>
  <c r="AQ43" i="2"/>
  <c r="AY43" i="2"/>
  <c r="AZ43" i="2"/>
  <c r="BA43" i="2"/>
  <c r="BB43" i="2"/>
  <c r="BD43" i="2"/>
  <c r="B44" i="2"/>
  <c r="F44" i="2"/>
  <c r="AB44" i="2"/>
  <c r="AO44" i="2"/>
  <c r="AQ44" i="2"/>
  <c r="AY44" i="2"/>
  <c r="AZ44" i="2"/>
  <c r="BA44" i="2"/>
  <c r="BB44" i="2"/>
  <c r="BD44" i="2"/>
  <c r="B45" i="2"/>
  <c r="F45" i="2"/>
  <c r="AB45" i="2"/>
  <c r="AK45" i="2" s="1"/>
  <c r="AO45" i="2"/>
  <c r="AQ45" i="2"/>
  <c r="AY45" i="2"/>
  <c r="AZ45" i="2"/>
  <c r="BA45" i="2"/>
  <c r="BB45" i="2"/>
  <c r="BD45" i="2"/>
  <c r="B46" i="2"/>
  <c r="F46" i="2"/>
  <c r="AB46" i="2"/>
  <c r="AO46" i="2"/>
  <c r="AQ46" i="2"/>
  <c r="AY46" i="2"/>
  <c r="AZ46" i="2"/>
  <c r="BA46" i="2"/>
  <c r="BB46" i="2"/>
  <c r="BD46" i="2"/>
  <c r="B68" i="2"/>
  <c r="F68" i="2"/>
  <c r="H68" i="2" s="1"/>
  <c r="AB68" i="2"/>
  <c r="AK68" i="2" s="1"/>
  <c r="AO68" i="2"/>
  <c r="AQ68" i="2"/>
  <c r="AY68" i="2"/>
  <c r="AZ68" i="2"/>
  <c r="BA68" i="2"/>
  <c r="BB68" i="2"/>
  <c r="BD68" i="2"/>
  <c r="B69" i="2"/>
  <c r="F69" i="2"/>
  <c r="H69" i="2" s="1"/>
  <c r="AB69" i="2"/>
  <c r="AO69" i="2"/>
  <c r="AQ69" i="2"/>
  <c r="AY69" i="2"/>
  <c r="AZ69" i="2"/>
  <c r="BA69" i="2"/>
  <c r="BB69" i="2"/>
  <c r="BD69" i="2"/>
  <c r="B70" i="2"/>
  <c r="F70" i="2"/>
  <c r="H70" i="2" s="1"/>
  <c r="AB70" i="2"/>
  <c r="AO70" i="2"/>
  <c r="AQ70" i="2"/>
  <c r="AY70" i="2"/>
  <c r="AZ70" i="2"/>
  <c r="BA70" i="2"/>
  <c r="BB70" i="2"/>
  <c r="BD70" i="2"/>
  <c r="B71" i="2"/>
  <c r="F71" i="2"/>
  <c r="H71" i="2" s="1"/>
  <c r="AB71" i="2"/>
  <c r="AO71" i="2"/>
  <c r="AQ71" i="2"/>
  <c r="AY71" i="2"/>
  <c r="AZ71" i="2"/>
  <c r="BA71" i="2"/>
  <c r="BB71" i="2"/>
  <c r="BD71" i="2"/>
  <c r="B72" i="2"/>
  <c r="AB72" i="2"/>
  <c r="AO72" i="2"/>
  <c r="AQ72" i="2"/>
  <c r="AY72" i="2"/>
  <c r="AZ72" i="2"/>
  <c r="BA72" i="2"/>
  <c r="BB72" i="2"/>
  <c r="BD72" i="2"/>
  <c r="B73" i="2"/>
  <c r="F73" i="2"/>
  <c r="AB73" i="2"/>
  <c r="AO73" i="2"/>
  <c r="AQ73" i="2"/>
  <c r="AY73" i="2"/>
  <c r="AZ73" i="2"/>
  <c r="BA73" i="2"/>
  <c r="BB73" i="2"/>
  <c r="BD73" i="2"/>
  <c r="B74" i="2"/>
  <c r="F74" i="2"/>
  <c r="AB74" i="2"/>
  <c r="AW74" i="2" s="1"/>
  <c r="AO74" i="2"/>
  <c r="AQ74" i="2"/>
  <c r="AY74" i="2"/>
  <c r="AZ74" i="2"/>
  <c r="BA74" i="2"/>
  <c r="BB74" i="2"/>
  <c r="BD74" i="2"/>
  <c r="B75" i="2"/>
  <c r="F75" i="2"/>
  <c r="H75" i="2" s="1"/>
  <c r="AB75" i="2"/>
  <c r="AO75" i="2"/>
  <c r="AQ75" i="2"/>
  <c r="AY75" i="2"/>
  <c r="AZ75" i="2"/>
  <c r="BA75" i="2"/>
  <c r="BB75" i="2"/>
  <c r="BD75" i="2"/>
  <c r="B76" i="2"/>
  <c r="F76" i="2"/>
  <c r="H76" i="2" s="1"/>
  <c r="AB76" i="2"/>
  <c r="AO76" i="2"/>
  <c r="AQ76" i="2"/>
  <c r="AY76" i="2"/>
  <c r="AZ76" i="2"/>
  <c r="BA76" i="2"/>
  <c r="BB76" i="2"/>
  <c r="BD76" i="2"/>
  <c r="B78" i="2"/>
  <c r="F78" i="2"/>
  <c r="AB78" i="2"/>
  <c r="AW78" i="2" s="1"/>
  <c r="AO78" i="2"/>
  <c r="AQ78" i="2"/>
  <c r="AY78" i="2"/>
  <c r="AZ78" i="2"/>
  <c r="BA78" i="2"/>
  <c r="BB78" i="2"/>
  <c r="BD78" i="2"/>
  <c r="B79" i="2"/>
  <c r="F79" i="2"/>
  <c r="AB79" i="2"/>
  <c r="AO79" i="2"/>
  <c r="AQ79" i="2"/>
  <c r="AY79" i="2"/>
  <c r="AZ79" i="2"/>
  <c r="BA79" i="2"/>
  <c r="BB79" i="2"/>
  <c r="BD79" i="2"/>
  <c r="B80" i="2"/>
  <c r="F80" i="2"/>
  <c r="H80" i="2" s="1"/>
  <c r="AB80" i="2"/>
  <c r="AW80" i="2" s="1"/>
  <c r="AO80" i="2"/>
  <c r="AQ80" i="2"/>
  <c r="AY80" i="2"/>
  <c r="AZ80" i="2"/>
  <c r="BA80" i="2"/>
  <c r="BB80" i="2"/>
  <c r="BD80" i="2"/>
  <c r="B81" i="2"/>
  <c r="F81" i="2"/>
  <c r="H81" i="2" s="1"/>
  <c r="AB81" i="2"/>
  <c r="AO81" i="2"/>
  <c r="AQ81" i="2"/>
  <c r="AY81" i="2"/>
  <c r="AZ81" i="2"/>
  <c r="BA81" i="2"/>
  <c r="BB81" i="2"/>
  <c r="BD81" i="2"/>
  <c r="B82" i="2"/>
  <c r="F82" i="2"/>
  <c r="H82" i="2" s="1"/>
  <c r="AB82" i="2"/>
  <c r="AW82" i="2" s="1"/>
  <c r="AO82" i="2"/>
  <c r="AQ82" i="2"/>
  <c r="AY82" i="2"/>
  <c r="AZ82" i="2"/>
  <c r="BA82" i="2"/>
  <c r="BB82" i="2"/>
  <c r="BD82" i="2"/>
  <c r="B83" i="2"/>
  <c r="F83" i="2"/>
  <c r="AB83" i="2"/>
  <c r="AO83" i="2"/>
  <c r="AQ83" i="2"/>
  <c r="AY83" i="2"/>
  <c r="AZ83" i="2"/>
  <c r="BA83" i="2"/>
  <c r="BB83" i="2"/>
  <c r="BD83" i="2"/>
  <c r="B84" i="2"/>
  <c r="F84" i="2"/>
  <c r="H84" i="2" s="1"/>
  <c r="AB84" i="2"/>
  <c r="AO84" i="2"/>
  <c r="AQ84" i="2"/>
  <c r="AY84" i="2"/>
  <c r="AZ84" i="2"/>
  <c r="BA84" i="2"/>
  <c r="BB84" i="2"/>
  <c r="BD84" i="2"/>
  <c r="B85" i="2"/>
  <c r="F85" i="2"/>
  <c r="H85" i="2" s="1"/>
  <c r="AB85" i="2"/>
  <c r="AO85" i="2"/>
  <c r="AQ85" i="2"/>
  <c r="AY85" i="2"/>
  <c r="AZ85" i="2"/>
  <c r="BA85" i="2"/>
  <c r="BB85" i="2"/>
  <c r="BD85" i="2"/>
  <c r="B86" i="2"/>
  <c r="AB86" i="2"/>
  <c r="AC86" i="2" s="1"/>
  <c r="AJ86" i="2" s="1"/>
  <c r="AO86" i="2"/>
  <c r="AQ86" i="2"/>
  <c r="AY86" i="2"/>
  <c r="AZ86" i="2"/>
  <c r="BA86" i="2"/>
  <c r="BB86" i="2"/>
  <c r="BD86" i="2"/>
  <c r="B87" i="2"/>
  <c r="F87" i="2"/>
  <c r="AB87" i="2"/>
  <c r="AO87" i="2"/>
  <c r="AQ87" i="2"/>
  <c r="AY87" i="2"/>
  <c r="AZ87" i="2"/>
  <c r="BA87" i="2"/>
  <c r="BB87" i="2"/>
  <c r="BD87" i="2"/>
  <c r="B88" i="2"/>
  <c r="F88" i="2"/>
  <c r="AB88" i="2"/>
  <c r="AO88" i="2"/>
  <c r="AQ88" i="2"/>
  <c r="AY88" i="2"/>
  <c r="AZ88" i="2"/>
  <c r="BA88" i="2"/>
  <c r="BB88" i="2"/>
  <c r="BD88" i="2"/>
  <c r="B89" i="2"/>
  <c r="F89" i="2"/>
  <c r="H89" i="2" s="1"/>
  <c r="AB89" i="2"/>
  <c r="AW89" i="2" s="1"/>
  <c r="AO89" i="2"/>
  <c r="AQ89" i="2"/>
  <c r="AY89" i="2"/>
  <c r="AZ89" i="2"/>
  <c r="BA89" i="2"/>
  <c r="BB89" i="2"/>
  <c r="BD89" i="2"/>
  <c r="B90" i="2"/>
  <c r="F90" i="2"/>
  <c r="AB90" i="2"/>
  <c r="AO90" i="2"/>
  <c r="AQ90" i="2"/>
  <c r="AY90" i="2"/>
  <c r="AZ90" i="2"/>
  <c r="BA90" i="2"/>
  <c r="BB90" i="2"/>
  <c r="BD90" i="2"/>
  <c r="B91" i="2"/>
  <c r="F91" i="2"/>
  <c r="H91" i="2" s="1"/>
  <c r="AB91" i="2"/>
  <c r="AO91" i="2"/>
  <c r="AQ91" i="2"/>
  <c r="AY91" i="2"/>
  <c r="AZ91" i="2"/>
  <c r="BA91" i="2"/>
  <c r="BB91" i="2"/>
  <c r="BD91" i="2"/>
  <c r="B92" i="2"/>
  <c r="F92" i="2"/>
  <c r="H92" i="2" s="1"/>
  <c r="AB92" i="2"/>
  <c r="AO92" i="2"/>
  <c r="AQ92" i="2"/>
  <c r="AY92" i="2"/>
  <c r="AZ92" i="2"/>
  <c r="BA92" i="2"/>
  <c r="BB92" i="2"/>
  <c r="BD92" i="2"/>
  <c r="B93" i="2"/>
  <c r="F93" i="2"/>
  <c r="AB93" i="2"/>
  <c r="AO93" i="2"/>
  <c r="AQ93" i="2"/>
  <c r="AY93" i="2"/>
  <c r="AZ93" i="2"/>
  <c r="BA93" i="2"/>
  <c r="BB93" i="2"/>
  <c r="BD93" i="2"/>
  <c r="B94" i="2"/>
  <c r="F94" i="2"/>
  <c r="H94" i="2" s="1"/>
  <c r="AB94" i="2"/>
  <c r="AO94" i="2"/>
  <c r="AQ94" i="2"/>
  <c r="AY94" i="2"/>
  <c r="AZ94" i="2"/>
  <c r="BA94" i="2"/>
  <c r="BB94" i="2"/>
  <c r="BD94" i="2"/>
  <c r="B95" i="2"/>
  <c r="F95" i="2"/>
  <c r="H95" i="2" s="1"/>
  <c r="AB95" i="2"/>
  <c r="AO95" i="2"/>
  <c r="AQ95" i="2"/>
  <c r="AY95" i="2"/>
  <c r="AZ95" i="2"/>
  <c r="BA95" i="2"/>
  <c r="BB95" i="2"/>
  <c r="BD95" i="2"/>
  <c r="B96" i="2"/>
  <c r="F96" i="2"/>
  <c r="AB96" i="2"/>
  <c r="AO96" i="2"/>
  <c r="AQ96" i="2"/>
  <c r="AY96" i="2"/>
  <c r="AZ96" i="2"/>
  <c r="BA96" i="2"/>
  <c r="BB96" i="2"/>
  <c r="BD96" i="2"/>
  <c r="B97" i="2"/>
  <c r="F97" i="2"/>
  <c r="H97" i="2" s="1"/>
  <c r="AB97" i="2"/>
  <c r="AO97" i="2"/>
  <c r="AQ97" i="2"/>
  <c r="AY97" i="2"/>
  <c r="AZ97" i="2"/>
  <c r="BA97" i="2"/>
  <c r="BB97" i="2"/>
  <c r="BD97" i="2"/>
  <c r="B98" i="2"/>
  <c r="F98" i="2"/>
  <c r="AB98" i="2"/>
  <c r="AO98" i="2"/>
  <c r="AQ98" i="2"/>
  <c r="AY98" i="2"/>
  <c r="AZ98" i="2"/>
  <c r="BA98" i="2"/>
  <c r="BB98" i="2"/>
  <c r="BD98" i="2"/>
  <c r="B99" i="2"/>
  <c r="F99" i="2"/>
  <c r="AB99" i="2"/>
  <c r="AO99" i="2"/>
  <c r="AQ99" i="2"/>
  <c r="AY99" i="2"/>
  <c r="AZ99" i="2"/>
  <c r="BA99" i="2"/>
  <c r="BB99" i="2"/>
  <c r="BD99" i="2"/>
  <c r="B100" i="2"/>
  <c r="F100" i="2"/>
  <c r="H100" i="2" s="1"/>
  <c r="AB100" i="2"/>
  <c r="AO100" i="2"/>
  <c r="AQ100" i="2"/>
  <c r="AY100" i="2"/>
  <c r="AZ100" i="2"/>
  <c r="BA100" i="2"/>
  <c r="BB100" i="2"/>
  <c r="BD100" i="2"/>
  <c r="B101" i="2"/>
  <c r="F101" i="2"/>
  <c r="H101" i="2" s="1"/>
  <c r="AB101" i="2"/>
  <c r="AO101" i="2"/>
  <c r="AQ101" i="2"/>
  <c r="AY101" i="2"/>
  <c r="AZ101" i="2"/>
  <c r="BA101" i="2"/>
  <c r="BB101" i="2"/>
  <c r="BD101" i="2"/>
  <c r="B102" i="2"/>
  <c r="F102" i="2"/>
  <c r="H102" i="2" s="1"/>
  <c r="AB102" i="2"/>
  <c r="AO102" i="2"/>
  <c r="AQ102" i="2"/>
  <c r="AY102" i="2"/>
  <c r="AZ102" i="2"/>
  <c r="BA102" i="2"/>
  <c r="BB102" i="2"/>
  <c r="BD102" i="2"/>
  <c r="B103" i="2"/>
  <c r="F103" i="2"/>
  <c r="H103" i="2" s="1"/>
  <c r="AB103" i="2"/>
  <c r="AO103" i="2"/>
  <c r="AQ103" i="2"/>
  <c r="AY103" i="2"/>
  <c r="AZ103" i="2"/>
  <c r="BA103" i="2"/>
  <c r="BB103" i="2"/>
  <c r="BD103" i="2"/>
  <c r="B104" i="2"/>
  <c r="F104" i="2"/>
  <c r="AB104" i="2"/>
  <c r="AO104" i="2"/>
  <c r="AQ104" i="2"/>
  <c r="AY104" i="2"/>
  <c r="AZ104" i="2"/>
  <c r="BA104" i="2"/>
  <c r="BB104" i="2"/>
  <c r="BD104" i="2"/>
  <c r="B105" i="2"/>
  <c r="F105" i="2"/>
  <c r="AB105" i="2"/>
  <c r="AO105" i="2"/>
  <c r="AQ105" i="2"/>
  <c r="AY105" i="2"/>
  <c r="AZ105" i="2"/>
  <c r="BA105" i="2"/>
  <c r="BB105" i="2"/>
  <c r="BD105" i="2"/>
  <c r="B106" i="2"/>
  <c r="F106" i="2"/>
  <c r="AB106" i="2"/>
  <c r="AO106" i="2"/>
  <c r="AQ106" i="2"/>
  <c r="AY106" i="2"/>
  <c r="AZ106" i="2"/>
  <c r="BA106" i="2"/>
  <c r="BB106" i="2"/>
  <c r="BD106" i="2"/>
  <c r="B107" i="2"/>
  <c r="F107" i="2"/>
  <c r="AB107" i="2"/>
  <c r="AO107" i="2"/>
  <c r="AQ107" i="2"/>
  <c r="AY107" i="2"/>
  <c r="AZ107" i="2"/>
  <c r="BA107" i="2"/>
  <c r="BB107" i="2"/>
  <c r="BD107" i="2"/>
  <c r="B108" i="2"/>
  <c r="F108" i="2"/>
  <c r="H108" i="2" s="1"/>
  <c r="AB108" i="2"/>
  <c r="AO108" i="2"/>
  <c r="AQ108" i="2"/>
  <c r="AY108" i="2"/>
  <c r="AZ108" i="2"/>
  <c r="BA108" i="2"/>
  <c r="BB108" i="2"/>
  <c r="BD108" i="2"/>
  <c r="B109" i="2"/>
  <c r="F109" i="2"/>
  <c r="H109" i="2" s="1"/>
  <c r="AB109" i="2"/>
  <c r="AK109" i="2" s="1"/>
  <c r="AO109" i="2"/>
  <c r="AQ109" i="2"/>
  <c r="AY109" i="2"/>
  <c r="AZ109" i="2"/>
  <c r="BA109" i="2"/>
  <c r="BB109" i="2"/>
  <c r="BD109" i="2"/>
  <c r="B110" i="2"/>
  <c r="F110" i="2"/>
  <c r="H110" i="2" s="1"/>
  <c r="AB110" i="2"/>
  <c r="AK110" i="2" s="1"/>
  <c r="AO110" i="2"/>
  <c r="AQ110" i="2"/>
  <c r="AY110" i="2"/>
  <c r="AZ110" i="2"/>
  <c r="BA110" i="2"/>
  <c r="BB110" i="2"/>
  <c r="BD110" i="2"/>
  <c r="B111" i="2"/>
  <c r="F111" i="2"/>
  <c r="H111" i="2" s="1"/>
  <c r="AB111" i="2"/>
  <c r="AK111" i="2" s="1"/>
  <c r="AN111" i="2" s="1"/>
  <c r="AO111" i="2"/>
  <c r="AQ111" i="2"/>
  <c r="AY111" i="2"/>
  <c r="AZ111" i="2"/>
  <c r="BA111" i="2"/>
  <c r="BB111" i="2"/>
  <c r="BD111" i="2"/>
  <c r="B112" i="2"/>
  <c r="F112" i="2"/>
  <c r="AB112" i="2"/>
  <c r="AK112" i="2" s="1"/>
  <c r="AO112" i="2"/>
  <c r="AQ112" i="2"/>
  <c r="AY112" i="2"/>
  <c r="AZ112" i="2"/>
  <c r="BA112" i="2"/>
  <c r="BB112" i="2"/>
  <c r="BD112" i="2"/>
  <c r="B113" i="2"/>
  <c r="F113" i="2"/>
  <c r="AB113" i="2"/>
  <c r="AK113" i="2" s="1"/>
  <c r="AO113" i="2"/>
  <c r="AQ113" i="2"/>
  <c r="AY113" i="2"/>
  <c r="AZ113" i="2"/>
  <c r="BA113" i="2"/>
  <c r="BB113" i="2"/>
  <c r="BD113" i="2"/>
  <c r="B114" i="2"/>
  <c r="F114" i="2"/>
  <c r="H114" i="2" s="1"/>
  <c r="AB114" i="2"/>
  <c r="AO114" i="2"/>
  <c r="AQ114" i="2"/>
  <c r="AY114" i="2"/>
  <c r="AZ114" i="2"/>
  <c r="BA114" i="2"/>
  <c r="BB114" i="2"/>
  <c r="BD114" i="2"/>
  <c r="B115" i="2"/>
  <c r="F115" i="2"/>
  <c r="H115" i="2" s="1"/>
  <c r="AB115" i="2"/>
  <c r="AO115" i="2"/>
  <c r="AQ115" i="2"/>
  <c r="AY115" i="2"/>
  <c r="AZ115" i="2"/>
  <c r="BA115" i="2"/>
  <c r="BB115" i="2"/>
  <c r="BD115" i="2"/>
  <c r="B116" i="2"/>
  <c r="F116" i="2"/>
  <c r="H116" i="2" s="1"/>
  <c r="AB116" i="2"/>
  <c r="AK116" i="2" s="1"/>
  <c r="AO116" i="2"/>
  <c r="AQ116" i="2"/>
  <c r="AY116" i="2"/>
  <c r="AZ116" i="2"/>
  <c r="BA116" i="2"/>
  <c r="BB116" i="2"/>
  <c r="BD116" i="2"/>
  <c r="B117" i="2"/>
  <c r="F117" i="2"/>
  <c r="H117" i="2" s="1"/>
  <c r="AB117" i="2"/>
  <c r="AK117" i="2" s="1"/>
  <c r="AO117" i="2"/>
  <c r="AQ117" i="2"/>
  <c r="AY117" i="2"/>
  <c r="AZ117" i="2"/>
  <c r="BA117" i="2"/>
  <c r="BB117" i="2"/>
  <c r="BD117" i="2"/>
  <c r="B118" i="2"/>
  <c r="F118" i="2"/>
  <c r="H118" i="2" s="1"/>
  <c r="AB118" i="2"/>
  <c r="AK118" i="2" s="1"/>
  <c r="AO118" i="2"/>
  <c r="AQ118" i="2"/>
  <c r="AY118" i="2"/>
  <c r="AZ118" i="2"/>
  <c r="BA118" i="2"/>
  <c r="BB118" i="2"/>
  <c r="BD118" i="2"/>
  <c r="B119" i="2"/>
  <c r="F119" i="2"/>
  <c r="H119" i="2" s="1"/>
  <c r="AB119" i="2"/>
  <c r="AK119" i="2" s="1"/>
  <c r="AO119" i="2"/>
  <c r="AQ119" i="2"/>
  <c r="AY119" i="2"/>
  <c r="AZ119" i="2"/>
  <c r="BA119" i="2"/>
  <c r="BB119" i="2"/>
  <c r="BD119" i="2"/>
  <c r="B120" i="2"/>
  <c r="F120" i="2"/>
  <c r="AB120" i="2"/>
  <c r="AK120" i="2" s="1"/>
  <c r="AO120" i="2"/>
  <c r="AQ120" i="2"/>
  <c r="AY120" i="2"/>
  <c r="AZ120" i="2"/>
  <c r="BA120" i="2"/>
  <c r="BB120" i="2"/>
  <c r="BD120" i="2"/>
  <c r="B121" i="2"/>
  <c r="F121" i="2"/>
  <c r="AB121" i="2"/>
  <c r="AK121" i="2" s="1"/>
  <c r="AO121" i="2"/>
  <c r="AQ121" i="2"/>
  <c r="AY121" i="2"/>
  <c r="AZ121" i="2"/>
  <c r="BA121" i="2"/>
  <c r="BB121" i="2"/>
  <c r="BD121" i="2"/>
  <c r="B122" i="2"/>
  <c r="F122" i="2"/>
  <c r="H122" i="2" s="1"/>
  <c r="AB122" i="2"/>
  <c r="AO122" i="2"/>
  <c r="AQ122" i="2"/>
  <c r="AY122" i="2"/>
  <c r="AZ122" i="2"/>
  <c r="BA122" i="2"/>
  <c r="BB122" i="2"/>
  <c r="BD122" i="2"/>
  <c r="B123" i="2"/>
  <c r="F123" i="2"/>
  <c r="AB123" i="2"/>
  <c r="AO123" i="2"/>
  <c r="AQ123" i="2"/>
  <c r="AY123" i="2"/>
  <c r="AZ123" i="2"/>
  <c r="BA123" i="2"/>
  <c r="BB123" i="2"/>
  <c r="BD123" i="2"/>
  <c r="B124" i="2"/>
  <c r="F124" i="2"/>
  <c r="AB124" i="2"/>
  <c r="AK124" i="2" s="1"/>
  <c r="AO124" i="2"/>
  <c r="AQ124" i="2"/>
  <c r="AY124" i="2"/>
  <c r="AZ124" i="2"/>
  <c r="BA124" i="2"/>
  <c r="BB124" i="2"/>
  <c r="BD124" i="2"/>
  <c r="B126" i="2"/>
  <c r="F126" i="2"/>
  <c r="AB126" i="2"/>
  <c r="AO126" i="2"/>
  <c r="AQ126" i="2"/>
  <c r="AY126" i="2"/>
  <c r="AZ126" i="2"/>
  <c r="BA126" i="2"/>
  <c r="BB126" i="2"/>
  <c r="BD126" i="2"/>
  <c r="B127" i="2"/>
  <c r="F127" i="2"/>
  <c r="AB127" i="2"/>
  <c r="AK127" i="2" s="1"/>
  <c r="AO127" i="2"/>
  <c r="AQ127" i="2"/>
  <c r="AY127" i="2"/>
  <c r="AZ127" i="2"/>
  <c r="BA127" i="2"/>
  <c r="BB127" i="2"/>
  <c r="BD127" i="2"/>
  <c r="B128" i="2"/>
  <c r="F128" i="2"/>
  <c r="AB128" i="2"/>
  <c r="AK128" i="2" s="1"/>
  <c r="AO128" i="2"/>
  <c r="AQ128" i="2"/>
  <c r="AY128" i="2"/>
  <c r="AZ128" i="2"/>
  <c r="BA128" i="2"/>
  <c r="BB128" i="2"/>
  <c r="BD128" i="2"/>
  <c r="B129" i="2"/>
  <c r="F129" i="2"/>
  <c r="AB129" i="2"/>
  <c r="AK129" i="2" s="1"/>
  <c r="AO129" i="2"/>
  <c r="AQ129" i="2"/>
  <c r="AY129" i="2"/>
  <c r="AZ129" i="2"/>
  <c r="BA129" i="2"/>
  <c r="BB129" i="2"/>
  <c r="BD129" i="2"/>
  <c r="B130" i="2"/>
  <c r="F130" i="2"/>
  <c r="AB130" i="2"/>
  <c r="AO130" i="2"/>
  <c r="AQ130" i="2"/>
  <c r="AY130" i="2"/>
  <c r="AZ130" i="2"/>
  <c r="BA130" i="2"/>
  <c r="BB130" i="2"/>
  <c r="BD130" i="2"/>
  <c r="B131" i="2"/>
  <c r="F131" i="2"/>
  <c r="AB131" i="2"/>
  <c r="AO131" i="2"/>
  <c r="AQ131" i="2"/>
  <c r="AY131" i="2"/>
  <c r="AZ131" i="2"/>
  <c r="BA131" i="2"/>
  <c r="BB131" i="2"/>
  <c r="BD131" i="2"/>
  <c r="B132" i="2"/>
  <c r="F132" i="2"/>
  <c r="H132" i="2" s="1"/>
  <c r="AB132" i="2"/>
  <c r="AO132" i="2"/>
  <c r="AQ132" i="2"/>
  <c r="AY132" i="2"/>
  <c r="AZ132" i="2"/>
  <c r="BA132" i="2"/>
  <c r="BB132" i="2"/>
  <c r="BD132" i="2"/>
  <c r="B133" i="2"/>
  <c r="F133" i="2"/>
  <c r="AB133" i="2"/>
  <c r="AO133" i="2"/>
  <c r="AQ133" i="2"/>
  <c r="AY133" i="2"/>
  <c r="AZ133" i="2"/>
  <c r="BA133" i="2"/>
  <c r="BB133" i="2"/>
  <c r="BD133" i="2"/>
  <c r="B134" i="2"/>
  <c r="F134" i="2"/>
  <c r="AB134" i="2"/>
  <c r="AO134" i="2"/>
  <c r="AQ134" i="2"/>
  <c r="AY134" i="2"/>
  <c r="AZ134" i="2"/>
  <c r="BA134" i="2"/>
  <c r="BB134" i="2"/>
  <c r="BD134" i="2"/>
  <c r="B135" i="2"/>
  <c r="F135" i="2"/>
  <c r="H135" i="2" s="1"/>
  <c r="AB135" i="2"/>
  <c r="AO135" i="2"/>
  <c r="AQ135" i="2"/>
  <c r="AY135" i="2"/>
  <c r="AZ135" i="2"/>
  <c r="BA135" i="2"/>
  <c r="BB135" i="2"/>
  <c r="BD135" i="2"/>
  <c r="B136" i="2"/>
  <c r="F136" i="2"/>
  <c r="AB136" i="2"/>
  <c r="AO136" i="2"/>
  <c r="AQ136" i="2"/>
  <c r="AY136" i="2"/>
  <c r="AZ136" i="2"/>
  <c r="BA136" i="2"/>
  <c r="BB136" i="2"/>
  <c r="BD136" i="2"/>
  <c r="B137" i="2"/>
  <c r="F137" i="2"/>
  <c r="H137" i="2" s="1"/>
  <c r="AB137" i="2"/>
  <c r="AO137" i="2"/>
  <c r="AQ137" i="2"/>
  <c r="AY137" i="2"/>
  <c r="AZ137" i="2"/>
  <c r="BA137" i="2"/>
  <c r="BB137" i="2"/>
  <c r="BD137" i="2"/>
  <c r="B138" i="2"/>
  <c r="F138" i="2"/>
  <c r="AB138" i="2"/>
  <c r="AO138" i="2"/>
  <c r="AQ138" i="2"/>
  <c r="AY138" i="2"/>
  <c r="AZ138" i="2"/>
  <c r="BA138" i="2"/>
  <c r="BB138" i="2"/>
  <c r="BD138" i="2"/>
  <c r="B139" i="2"/>
  <c r="F139" i="2"/>
  <c r="AB139" i="2"/>
  <c r="AK139" i="2" s="1"/>
  <c r="AO139" i="2"/>
  <c r="AQ139" i="2"/>
  <c r="AY139" i="2"/>
  <c r="AZ139" i="2"/>
  <c r="BA139" i="2"/>
  <c r="BB139" i="2"/>
  <c r="BD139" i="2"/>
  <c r="B140" i="2"/>
  <c r="F140" i="2"/>
  <c r="H140" i="2" s="1"/>
  <c r="AB140" i="2"/>
  <c r="AO140" i="2"/>
  <c r="AQ140" i="2"/>
  <c r="AY140" i="2"/>
  <c r="AZ140" i="2"/>
  <c r="BA140" i="2"/>
  <c r="BB140" i="2"/>
  <c r="BD140" i="2"/>
  <c r="B141" i="2"/>
  <c r="F141" i="2"/>
  <c r="H141" i="2" s="1"/>
  <c r="AB141" i="2"/>
  <c r="AO141" i="2"/>
  <c r="AQ141" i="2"/>
  <c r="AY141" i="2"/>
  <c r="AZ141" i="2"/>
  <c r="BA141" i="2"/>
  <c r="BB141" i="2"/>
  <c r="BD141" i="2"/>
  <c r="B142" i="2"/>
  <c r="F142" i="2"/>
  <c r="H142" i="2" s="1"/>
  <c r="AB142" i="2"/>
  <c r="AO142" i="2"/>
  <c r="AQ142" i="2"/>
  <c r="AY142" i="2"/>
  <c r="AZ142" i="2"/>
  <c r="BA142" i="2"/>
  <c r="BB142" i="2"/>
  <c r="BD142" i="2"/>
  <c r="B143" i="2"/>
  <c r="F143" i="2"/>
  <c r="AB143" i="2"/>
  <c r="AO143" i="2"/>
  <c r="AQ143" i="2"/>
  <c r="AY143" i="2"/>
  <c r="AZ143" i="2"/>
  <c r="BA143" i="2"/>
  <c r="BB143" i="2"/>
  <c r="BD143" i="2"/>
  <c r="B144" i="2"/>
  <c r="F144" i="2"/>
  <c r="H144" i="2" s="1"/>
  <c r="AB144" i="2"/>
  <c r="AO144" i="2"/>
  <c r="AQ144" i="2"/>
  <c r="AY144" i="2"/>
  <c r="AZ144" i="2"/>
  <c r="BA144" i="2"/>
  <c r="BB144" i="2"/>
  <c r="BD144" i="2"/>
  <c r="B145" i="2"/>
  <c r="F145" i="2"/>
  <c r="AB145" i="2"/>
  <c r="AO145" i="2"/>
  <c r="AQ145" i="2"/>
  <c r="AY145" i="2"/>
  <c r="AZ145" i="2"/>
  <c r="BA145" i="2"/>
  <c r="BB145" i="2"/>
  <c r="BD145" i="2"/>
  <c r="B146" i="2"/>
  <c r="F146" i="2"/>
  <c r="H146" i="2" s="1"/>
  <c r="AB146" i="2"/>
  <c r="AO146" i="2"/>
  <c r="AQ146" i="2"/>
  <c r="AY146" i="2"/>
  <c r="AZ146" i="2"/>
  <c r="BA146" i="2"/>
  <c r="BB146" i="2"/>
  <c r="BD146" i="2"/>
  <c r="B147" i="2"/>
  <c r="F147" i="2"/>
  <c r="H147" i="2" s="1"/>
  <c r="AB147" i="2"/>
  <c r="AK147" i="2" s="1"/>
  <c r="AO147" i="2"/>
  <c r="AQ147" i="2"/>
  <c r="AY147" i="2"/>
  <c r="AZ147" i="2"/>
  <c r="BA147" i="2"/>
  <c r="BB147" i="2"/>
  <c r="BD147" i="2"/>
  <c r="B148" i="2"/>
  <c r="F148" i="2"/>
  <c r="AB148" i="2"/>
  <c r="AO148" i="2"/>
  <c r="AQ148" i="2"/>
  <c r="AY148" i="2"/>
  <c r="AZ148" i="2"/>
  <c r="BA148" i="2"/>
  <c r="BB148" i="2"/>
  <c r="BD148" i="2"/>
  <c r="B149" i="2"/>
  <c r="F149" i="2"/>
  <c r="H149" i="2" s="1"/>
  <c r="AB149" i="2"/>
  <c r="AO149" i="2"/>
  <c r="AQ149" i="2"/>
  <c r="AY149" i="2"/>
  <c r="AZ149" i="2"/>
  <c r="BA149" i="2"/>
  <c r="BB149" i="2"/>
  <c r="BD149" i="2"/>
  <c r="B150" i="2"/>
  <c r="F150" i="2"/>
  <c r="H150" i="2" s="1"/>
  <c r="AB150" i="2"/>
  <c r="AO150" i="2"/>
  <c r="AQ150" i="2"/>
  <c r="AY150" i="2"/>
  <c r="AZ150" i="2"/>
  <c r="BA150" i="2"/>
  <c r="BB150" i="2"/>
  <c r="BD150" i="2"/>
  <c r="B151" i="2"/>
  <c r="F151" i="2"/>
  <c r="H151" i="2" s="1"/>
  <c r="AB151" i="2"/>
  <c r="AO151" i="2"/>
  <c r="AQ151" i="2"/>
  <c r="AY151" i="2"/>
  <c r="AZ151" i="2"/>
  <c r="BA151" i="2"/>
  <c r="BB151" i="2"/>
  <c r="BD151" i="2"/>
  <c r="B152" i="2"/>
  <c r="F152" i="2"/>
  <c r="H152" i="2" s="1"/>
  <c r="AB152" i="2"/>
  <c r="AO152" i="2"/>
  <c r="AQ152" i="2"/>
  <c r="AY152" i="2"/>
  <c r="AZ152" i="2"/>
  <c r="BA152" i="2"/>
  <c r="BB152" i="2"/>
  <c r="BD152" i="2"/>
  <c r="B153" i="2"/>
  <c r="F153" i="2"/>
  <c r="H153" i="2" s="1"/>
  <c r="AB153" i="2"/>
  <c r="AO153" i="2"/>
  <c r="AQ153" i="2"/>
  <c r="AY153" i="2"/>
  <c r="AZ153" i="2"/>
  <c r="BA153" i="2"/>
  <c r="BB153" i="2"/>
  <c r="BD153" i="2"/>
  <c r="B154" i="2"/>
  <c r="F154" i="2"/>
  <c r="H154" i="2" s="1"/>
  <c r="AB154" i="2"/>
  <c r="AO154" i="2"/>
  <c r="AQ154" i="2"/>
  <c r="AY154" i="2"/>
  <c r="AZ154" i="2"/>
  <c r="BA154" i="2"/>
  <c r="BB154" i="2"/>
  <c r="BD154" i="2"/>
  <c r="B155" i="2"/>
  <c r="F155" i="2"/>
  <c r="AB155" i="2"/>
  <c r="AO155" i="2"/>
  <c r="AQ155" i="2"/>
  <c r="AY155" i="2"/>
  <c r="AZ155" i="2"/>
  <c r="BA155" i="2"/>
  <c r="BB155" i="2"/>
  <c r="BD155" i="2"/>
  <c r="B156" i="2"/>
  <c r="F156" i="2"/>
  <c r="H156" i="2" s="1"/>
  <c r="AB156" i="2"/>
  <c r="AO156" i="2"/>
  <c r="AQ156" i="2"/>
  <c r="AY156" i="2"/>
  <c r="AZ156" i="2"/>
  <c r="BA156" i="2"/>
  <c r="BB156" i="2"/>
  <c r="BD156" i="2"/>
  <c r="B157" i="2"/>
  <c r="F157" i="2"/>
  <c r="AB157" i="2"/>
  <c r="AO157" i="2"/>
  <c r="AQ157" i="2"/>
  <c r="AY157" i="2"/>
  <c r="AZ157" i="2"/>
  <c r="BA157" i="2"/>
  <c r="BB157" i="2"/>
  <c r="BD157" i="2"/>
  <c r="B158" i="2"/>
  <c r="F158" i="2"/>
  <c r="H158" i="2" s="1"/>
  <c r="AB158" i="2"/>
  <c r="AO158" i="2"/>
  <c r="AQ158" i="2"/>
  <c r="AY158" i="2"/>
  <c r="AZ158" i="2"/>
  <c r="BA158" i="2"/>
  <c r="BB158" i="2"/>
  <c r="BD158" i="2"/>
  <c r="B159" i="2"/>
  <c r="F159" i="2"/>
  <c r="AB159" i="2"/>
  <c r="AO159" i="2"/>
  <c r="AQ159" i="2"/>
  <c r="AY159" i="2"/>
  <c r="AZ159" i="2"/>
  <c r="BA159" i="2"/>
  <c r="BB159" i="2"/>
  <c r="BD159" i="2"/>
  <c r="B160" i="2"/>
  <c r="F160" i="2"/>
  <c r="AB160" i="2"/>
  <c r="AO160" i="2"/>
  <c r="AQ160" i="2"/>
  <c r="AY160" i="2"/>
  <c r="AZ160" i="2"/>
  <c r="BA160" i="2"/>
  <c r="BB160" i="2"/>
  <c r="BD160" i="2"/>
  <c r="B161" i="2"/>
  <c r="F161" i="2"/>
  <c r="H161" i="2" s="1"/>
  <c r="AB161" i="2"/>
  <c r="AK161" i="2" s="1"/>
  <c r="AN161" i="2" s="1"/>
  <c r="AO161" i="2"/>
  <c r="AQ161" i="2"/>
  <c r="AY161" i="2"/>
  <c r="AZ161" i="2"/>
  <c r="BA161" i="2"/>
  <c r="BB161" i="2"/>
  <c r="BD161" i="2"/>
  <c r="B162" i="2"/>
  <c r="F162" i="2"/>
  <c r="H162" i="2" s="1"/>
  <c r="AB162" i="2"/>
  <c r="AO162" i="2"/>
  <c r="AQ162" i="2"/>
  <c r="AY162" i="2"/>
  <c r="AZ162" i="2"/>
  <c r="BA162" i="2"/>
  <c r="BB162" i="2"/>
  <c r="BD162" i="2"/>
  <c r="B163" i="2"/>
  <c r="F163" i="2"/>
  <c r="AB163" i="2"/>
  <c r="AO163" i="2"/>
  <c r="AQ163" i="2"/>
  <c r="AY163" i="2"/>
  <c r="AZ163" i="2"/>
  <c r="BA163" i="2"/>
  <c r="BB163" i="2"/>
  <c r="BD163" i="2"/>
  <c r="F164" i="2"/>
  <c r="H164" i="2" s="1"/>
  <c r="AB164" i="2"/>
  <c r="AO164" i="2"/>
  <c r="AQ164" i="2"/>
  <c r="AY164" i="2"/>
  <c r="AZ164" i="2"/>
  <c r="BA164" i="2"/>
  <c r="BB164" i="2"/>
  <c r="BD164" i="2"/>
  <c r="B165" i="2"/>
  <c r="F165" i="2"/>
  <c r="H165" i="2" s="1"/>
  <c r="AB165" i="2"/>
  <c r="AO165" i="2"/>
  <c r="AQ165" i="2"/>
  <c r="AY165" i="2"/>
  <c r="AZ165" i="2"/>
  <c r="BA165" i="2"/>
  <c r="BB165" i="2"/>
  <c r="BD165" i="2"/>
  <c r="B166" i="2"/>
  <c r="F166" i="2"/>
  <c r="H166" i="2" s="1"/>
  <c r="AB166" i="2"/>
  <c r="AO166" i="2"/>
  <c r="AQ166" i="2"/>
  <c r="AY166" i="2"/>
  <c r="AZ166" i="2"/>
  <c r="BA166" i="2"/>
  <c r="BB166" i="2"/>
  <c r="BD166" i="2"/>
  <c r="B167" i="2"/>
  <c r="F167" i="2"/>
  <c r="H167" i="2" s="1"/>
  <c r="AB167" i="2"/>
  <c r="AO167" i="2"/>
  <c r="AQ167" i="2"/>
  <c r="AY167" i="2"/>
  <c r="AZ167" i="2"/>
  <c r="BA167" i="2"/>
  <c r="BB167" i="2"/>
  <c r="BD167" i="2"/>
  <c r="B168" i="2"/>
  <c r="F168" i="2"/>
  <c r="H168" i="2" s="1"/>
  <c r="AB168" i="2"/>
  <c r="AO168" i="2"/>
  <c r="AQ168" i="2"/>
  <c r="AY168" i="2"/>
  <c r="AZ168" i="2"/>
  <c r="BA168" i="2"/>
  <c r="BB168" i="2"/>
  <c r="BD168" i="2"/>
  <c r="B169" i="2"/>
  <c r="F169" i="2"/>
  <c r="H169" i="2" s="1"/>
  <c r="AB169" i="2"/>
  <c r="AO169" i="2"/>
  <c r="AQ169" i="2"/>
  <c r="AY169" i="2"/>
  <c r="AZ169" i="2"/>
  <c r="BA169" i="2"/>
  <c r="BB169" i="2"/>
  <c r="BD169" i="2"/>
  <c r="B170" i="2"/>
  <c r="F170" i="2"/>
  <c r="AB170" i="2"/>
  <c r="AQ170" i="2"/>
  <c r="AY170" i="2"/>
  <c r="AZ170" i="2"/>
  <c r="BA170" i="2"/>
  <c r="BB170" i="2"/>
  <c r="BD170" i="2"/>
  <c r="B171" i="2"/>
  <c r="F171" i="2"/>
  <c r="H171" i="2" s="1"/>
  <c r="AB171" i="2"/>
  <c r="AO171" i="2"/>
  <c r="AQ171" i="2"/>
  <c r="AY171" i="2"/>
  <c r="AZ171" i="2"/>
  <c r="BA171" i="2"/>
  <c r="BB171" i="2"/>
  <c r="BD171" i="2"/>
  <c r="B172" i="2"/>
  <c r="F172" i="2"/>
  <c r="AB172" i="2"/>
  <c r="AO172" i="2"/>
  <c r="AQ172" i="2"/>
  <c r="AY172" i="2"/>
  <c r="AZ172" i="2"/>
  <c r="BA172" i="2"/>
  <c r="BB172" i="2"/>
  <c r="BD172" i="2"/>
  <c r="B173" i="2"/>
  <c r="F173" i="2"/>
  <c r="H173" i="2" s="1"/>
  <c r="AB173" i="2"/>
  <c r="AO173" i="2"/>
  <c r="AQ173" i="2"/>
  <c r="AY173" i="2"/>
  <c r="AZ173" i="2"/>
  <c r="BA173" i="2"/>
  <c r="BB173" i="2"/>
  <c r="BD173" i="2"/>
  <c r="B174" i="2"/>
  <c r="F174" i="2"/>
  <c r="H174" i="2" s="1"/>
  <c r="AB174" i="2"/>
  <c r="AO174" i="2"/>
  <c r="AQ174" i="2"/>
  <c r="AY174" i="2"/>
  <c r="AZ174" i="2"/>
  <c r="BA174" i="2"/>
  <c r="BB174" i="2"/>
  <c r="BD174" i="2"/>
  <c r="B175" i="2"/>
  <c r="F175" i="2"/>
  <c r="H175" i="2" s="1"/>
  <c r="AB175" i="2"/>
  <c r="AO175" i="2"/>
  <c r="AQ175" i="2"/>
  <c r="AY175" i="2"/>
  <c r="AZ175" i="2"/>
  <c r="BA175" i="2"/>
  <c r="BB175" i="2"/>
  <c r="BD175" i="2"/>
  <c r="B176" i="2"/>
  <c r="F176" i="2"/>
  <c r="H176" i="2" s="1"/>
  <c r="AB176" i="2"/>
  <c r="AO176" i="2"/>
  <c r="AQ176" i="2"/>
  <c r="AY176" i="2"/>
  <c r="AZ176" i="2"/>
  <c r="BA176" i="2"/>
  <c r="BB176" i="2"/>
  <c r="BD176" i="2"/>
  <c r="B177" i="2"/>
  <c r="F177" i="2"/>
  <c r="H177" i="2" s="1"/>
  <c r="AB177" i="2"/>
  <c r="AO177" i="2"/>
  <c r="AQ177" i="2"/>
  <c r="AY177" i="2"/>
  <c r="AZ177" i="2"/>
  <c r="BA177" i="2"/>
  <c r="BB177" i="2"/>
  <c r="BD177" i="2"/>
  <c r="B178" i="2"/>
  <c r="F178" i="2"/>
  <c r="H178" i="2" s="1"/>
  <c r="AB178" i="2"/>
  <c r="AO178" i="2"/>
  <c r="AQ178" i="2"/>
  <c r="AY178" i="2"/>
  <c r="AZ178" i="2"/>
  <c r="BA178" i="2"/>
  <c r="BB178" i="2"/>
  <c r="BD178" i="2"/>
  <c r="B179" i="2"/>
  <c r="F179" i="2"/>
  <c r="AB179" i="2"/>
  <c r="AO179" i="2"/>
  <c r="AQ179" i="2"/>
  <c r="AY179" i="2"/>
  <c r="AZ179" i="2"/>
  <c r="BA179" i="2"/>
  <c r="BB179" i="2"/>
  <c r="BD179" i="2"/>
  <c r="B180" i="2"/>
  <c r="F180" i="2"/>
  <c r="H180" i="2" s="1"/>
  <c r="AB180" i="2"/>
  <c r="AO180" i="2"/>
  <c r="AQ180" i="2"/>
  <c r="AY180" i="2"/>
  <c r="AZ180" i="2"/>
  <c r="BA180" i="2"/>
  <c r="BB180" i="2"/>
  <c r="BD180" i="2"/>
  <c r="B181" i="2"/>
  <c r="F181" i="2"/>
  <c r="H181" i="2" s="1"/>
  <c r="AB181" i="2"/>
  <c r="AO181" i="2"/>
  <c r="AQ181" i="2"/>
  <c r="AY181" i="2"/>
  <c r="AZ181" i="2"/>
  <c r="BA181" i="2"/>
  <c r="BB181" i="2"/>
  <c r="BD181" i="2"/>
  <c r="B182" i="2"/>
  <c r="F182" i="2"/>
  <c r="H182" i="2" s="1"/>
  <c r="AB182" i="2"/>
  <c r="AO182" i="2"/>
  <c r="AQ182" i="2"/>
  <c r="AY182" i="2"/>
  <c r="AZ182" i="2"/>
  <c r="BA182" i="2"/>
  <c r="BB182" i="2"/>
  <c r="BD182" i="2"/>
  <c r="B183" i="2"/>
  <c r="F183" i="2"/>
  <c r="H183" i="2" s="1"/>
  <c r="AB183" i="2"/>
  <c r="AO183" i="2"/>
  <c r="AQ183" i="2"/>
  <c r="AY183" i="2"/>
  <c r="AZ183" i="2"/>
  <c r="BA183" i="2"/>
  <c r="BB183" i="2"/>
  <c r="BD183" i="2"/>
  <c r="B184" i="2"/>
  <c r="F184" i="2"/>
  <c r="H184" i="2" s="1"/>
  <c r="AB184" i="2"/>
  <c r="AO184" i="2"/>
  <c r="AQ184" i="2"/>
  <c r="AY184" i="2"/>
  <c r="AZ184" i="2"/>
  <c r="BA184" i="2"/>
  <c r="BB184" i="2"/>
  <c r="BD184" i="2"/>
  <c r="B185" i="2"/>
  <c r="F185" i="2"/>
  <c r="H185" i="2" s="1"/>
  <c r="AB185" i="2"/>
  <c r="AK185" i="2" s="1"/>
  <c r="AO185" i="2"/>
  <c r="AQ185" i="2"/>
  <c r="AY185" i="2"/>
  <c r="AZ185" i="2"/>
  <c r="BA185" i="2"/>
  <c r="BB185" i="2"/>
  <c r="BD185" i="2"/>
  <c r="B186" i="2"/>
  <c r="F186" i="2"/>
  <c r="AB186" i="2"/>
  <c r="AO186" i="2"/>
  <c r="AQ186" i="2"/>
  <c r="AY186" i="2"/>
  <c r="AZ186" i="2"/>
  <c r="BA186" i="2"/>
  <c r="BB186" i="2"/>
  <c r="BD186" i="2"/>
  <c r="B187" i="2"/>
  <c r="F187" i="2"/>
  <c r="AB187" i="2"/>
  <c r="AO187" i="2"/>
  <c r="AQ187" i="2"/>
  <c r="AY187" i="2"/>
  <c r="AZ187" i="2"/>
  <c r="BA187" i="2"/>
  <c r="BB187" i="2"/>
  <c r="BD187" i="2"/>
  <c r="B188" i="2"/>
  <c r="F188" i="2"/>
  <c r="H188" i="2" s="1"/>
  <c r="AB188" i="2"/>
  <c r="AO188" i="2"/>
  <c r="AQ188" i="2"/>
  <c r="AY188" i="2"/>
  <c r="AZ188" i="2"/>
  <c r="BA188" i="2"/>
  <c r="BB188" i="2"/>
  <c r="BD188" i="2"/>
  <c r="B189" i="2"/>
  <c r="F189" i="2"/>
  <c r="H189" i="2" s="1"/>
  <c r="AB189" i="2"/>
  <c r="AO189" i="2"/>
  <c r="AQ189" i="2"/>
  <c r="AY189" i="2"/>
  <c r="AZ189" i="2"/>
  <c r="BA189" i="2"/>
  <c r="BB189" i="2"/>
  <c r="BD189" i="2"/>
  <c r="B190" i="2"/>
  <c r="F190" i="2"/>
  <c r="H190" i="2" s="1"/>
  <c r="AB190" i="2"/>
  <c r="AO190" i="2"/>
  <c r="AQ190" i="2"/>
  <c r="AY190" i="2"/>
  <c r="AZ190" i="2"/>
  <c r="BA190" i="2"/>
  <c r="BB190" i="2"/>
  <c r="BD190" i="2"/>
  <c r="B191" i="2"/>
  <c r="F191" i="2"/>
  <c r="H191" i="2" s="1"/>
  <c r="AB191" i="2"/>
  <c r="AO191" i="2"/>
  <c r="AQ191" i="2"/>
  <c r="AY191" i="2"/>
  <c r="AZ191" i="2"/>
  <c r="BA191" i="2"/>
  <c r="BB191" i="2"/>
  <c r="BD191" i="2"/>
  <c r="B192" i="2"/>
  <c r="F192" i="2"/>
  <c r="H192" i="2" s="1"/>
  <c r="AB192" i="2"/>
  <c r="AO192" i="2"/>
  <c r="AQ192" i="2"/>
  <c r="AY192" i="2"/>
  <c r="AZ192" i="2"/>
  <c r="BA192" i="2"/>
  <c r="BB192" i="2"/>
  <c r="BD192" i="2"/>
  <c r="B193" i="2"/>
  <c r="F193" i="2"/>
  <c r="AB193" i="2"/>
  <c r="AO193" i="2"/>
  <c r="AQ193" i="2"/>
  <c r="AY193" i="2"/>
  <c r="AZ193" i="2"/>
  <c r="BA193" i="2"/>
  <c r="BB193" i="2"/>
  <c r="BD193" i="2"/>
  <c r="B194" i="2"/>
  <c r="F194" i="2"/>
  <c r="H194" i="2" s="1"/>
  <c r="AB194" i="2"/>
  <c r="AO194" i="2"/>
  <c r="AQ194" i="2"/>
  <c r="AY194" i="2"/>
  <c r="AZ194" i="2"/>
  <c r="BA194" i="2"/>
  <c r="BB194" i="2"/>
  <c r="BD194" i="2"/>
  <c r="B195" i="2"/>
  <c r="F195" i="2"/>
  <c r="AB195" i="2"/>
  <c r="AO195" i="2"/>
  <c r="AQ195" i="2"/>
  <c r="AY195" i="2"/>
  <c r="AZ195" i="2"/>
  <c r="BA195" i="2"/>
  <c r="BB195" i="2"/>
  <c r="BD195" i="2"/>
  <c r="B196" i="2"/>
  <c r="F196" i="2"/>
  <c r="H196" i="2" s="1"/>
  <c r="AB196" i="2"/>
  <c r="AO196" i="2"/>
  <c r="AQ196" i="2"/>
  <c r="AY196" i="2"/>
  <c r="AZ196" i="2"/>
  <c r="BA196" i="2"/>
  <c r="BB196" i="2"/>
  <c r="BD196" i="2"/>
  <c r="B197" i="2"/>
  <c r="F197" i="2"/>
  <c r="H197" i="2" s="1"/>
  <c r="AB197" i="2"/>
  <c r="AO197" i="2"/>
  <c r="AQ197" i="2"/>
  <c r="AY197" i="2"/>
  <c r="AZ197" i="2"/>
  <c r="BA197" i="2"/>
  <c r="BB197" i="2"/>
  <c r="BD197" i="2"/>
  <c r="B198" i="2"/>
  <c r="F198" i="2"/>
  <c r="H198" i="2" s="1"/>
  <c r="AB198" i="2"/>
  <c r="AO198" i="2"/>
  <c r="AQ198" i="2"/>
  <c r="AY198" i="2"/>
  <c r="AZ198" i="2"/>
  <c r="BA198" i="2"/>
  <c r="BB198" i="2"/>
  <c r="BD198" i="2"/>
  <c r="B199" i="2"/>
  <c r="F199" i="2"/>
  <c r="H199" i="2" s="1"/>
  <c r="AB199" i="2"/>
  <c r="AO199" i="2"/>
  <c r="AQ199" i="2"/>
  <c r="AY199" i="2"/>
  <c r="AZ199" i="2"/>
  <c r="BA199" i="2"/>
  <c r="BB199" i="2"/>
  <c r="BD199" i="2"/>
  <c r="B200" i="2"/>
  <c r="F200" i="2"/>
  <c r="H200" i="2" s="1"/>
  <c r="AB200" i="2"/>
  <c r="AO200" i="2"/>
  <c r="AQ200" i="2"/>
  <c r="AY200" i="2"/>
  <c r="AZ200" i="2"/>
  <c r="BA200" i="2"/>
  <c r="BB200" i="2"/>
  <c r="BD200" i="2"/>
  <c r="B201" i="2"/>
  <c r="F201" i="2"/>
  <c r="H201" i="2" s="1"/>
  <c r="AB201" i="2"/>
  <c r="AO201" i="2"/>
  <c r="AQ201" i="2"/>
  <c r="AY201" i="2"/>
  <c r="AZ201" i="2"/>
  <c r="BA201" i="2"/>
  <c r="BB201" i="2"/>
  <c r="BD201" i="2"/>
  <c r="B202" i="2"/>
  <c r="AB202" i="2"/>
  <c r="AO202" i="2"/>
  <c r="AQ202" i="2"/>
  <c r="AY202" i="2"/>
  <c r="AZ202" i="2"/>
  <c r="BA202" i="2"/>
  <c r="BB202" i="2"/>
  <c r="BD202" i="2"/>
  <c r="B203" i="2"/>
  <c r="F203" i="2"/>
  <c r="H203" i="2" s="1"/>
  <c r="AB203" i="2"/>
  <c r="AO203" i="2"/>
  <c r="AQ203" i="2"/>
  <c r="AY203" i="2"/>
  <c r="AZ203" i="2"/>
  <c r="BA203" i="2"/>
  <c r="BB203" i="2"/>
  <c r="BD203" i="2"/>
  <c r="B204" i="2"/>
  <c r="F204" i="2"/>
  <c r="H204" i="2" s="1"/>
  <c r="AB204" i="2"/>
  <c r="AK204" i="2" s="1"/>
  <c r="AO204" i="2"/>
  <c r="AQ204" i="2"/>
  <c r="AY204" i="2"/>
  <c r="AZ204" i="2"/>
  <c r="BA204" i="2"/>
  <c r="BB204" i="2"/>
  <c r="BD204" i="2"/>
  <c r="B205" i="2"/>
  <c r="F205" i="2"/>
  <c r="H205" i="2" s="1"/>
  <c r="AB205" i="2"/>
  <c r="AO205" i="2"/>
  <c r="AQ205" i="2"/>
  <c r="AY205" i="2"/>
  <c r="AZ205" i="2"/>
  <c r="BA205" i="2"/>
  <c r="BB205" i="2"/>
  <c r="BD205" i="2"/>
  <c r="B206" i="2"/>
  <c r="F206" i="2"/>
  <c r="H206" i="2" s="1"/>
  <c r="AB206" i="2"/>
  <c r="AK206" i="2" s="1"/>
  <c r="AO206" i="2"/>
  <c r="AQ206" i="2"/>
  <c r="AY206" i="2"/>
  <c r="AZ206" i="2"/>
  <c r="BA206" i="2"/>
  <c r="BB206" i="2"/>
  <c r="BD206" i="2"/>
  <c r="B207" i="2"/>
  <c r="F207" i="2"/>
  <c r="H207" i="2" s="1"/>
  <c r="AB207" i="2"/>
  <c r="AO207" i="2"/>
  <c r="AQ207" i="2"/>
  <c r="AY207" i="2"/>
  <c r="AZ207" i="2"/>
  <c r="BA207" i="2"/>
  <c r="BB207" i="2"/>
  <c r="BD207" i="2"/>
  <c r="B208" i="2"/>
  <c r="F208" i="2"/>
  <c r="AB208" i="2"/>
  <c r="AK208" i="2" s="1"/>
  <c r="AO208" i="2"/>
  <c r="AQ208" i="2"/>
  <c r="AY208" i="2"/>
  <c r="AZ208" i="2"/>
  <c r="BA208" i="2"/>
  <c r="BB208" i="2"/>
  <c r="BD208" i="2"/>
  <c r="B209" i="2"/>
  <c r="F209" i="2"/>
  <c r="AB209" i="2"/>
  <c r="AK209" i="2" s="1"/>
  <c r="AO209" i="2"/>
  <c r="AQ209" i="2"/>
  <c r="AY209" i="2"/>
  <c r="AZ209" i="2"/>
  <c r="BA209" i="2"/>
  <c r="BB209" i="2"/>
  <c r="BD209" i="2"/>
  <c r="B210" i="2"/>
  <c r="F210" i="2"/>
  <c r="H210" i="2" s="1"/>
  <c r="AB210" i="2"/>
  <c r="AK210" i="2" s="1"/>
  <c r="AO210" i="2"/>
  <c r="AQ210" i="2"/>
  <c r="AY210" i="2"/>
  <c r="AZ210" i="2"/>
  <c r="BA210" i="2"/>
  <c r="BB210" i="2"/>
  <c r="BD210" i="2"/>
  <c r="B211" i="2"/>
  <c r="F211" i="2"/>
  <c r="H211" i="2" s="1"/>
  <c r="AB211" i="2"/>
  <c r="AK211" i="2" s="1"/>
  <c r="AO211" i="2"/>
  <c r="AQ211" i="2"/>
  <c r="AY211" i="2"/>
  <c r="AZ211" i="2"/>
  <c r="BA211" i="2"/>
  <c r="BB211" i="2"/>
  <c r="BD211" i="2"/>
  <c r="B212" i="2"/>
  <c r="F212" i="2"/>
  <c r="H212" i="2" s="1"/>
  <c r="AB212" i="2"/>
  <c r="AK212" i="2" s="1"/>
  <c r="AO212" i="2"/>
  <c r="AQ212" i="2"/>
  <c r="AY212" i="2"/>
  <c r="AZ212" i="2"/>
  <c r="BA212" i="2"/>
  <c r="BB212" i="2"/>
  <c r="BD212" i="2"/>
  <c r="B213" i="2"/>
  <c r="F213" i="2"/>
  <c r="AB213" i="2"/>
  <c r="AO213" i="2"/>
  <c r="AQ213" i="2"/>
  <c r="AY213" i="2"/>
  <c r="AZ213" i="2"/>
  <c r="BA213" i="2"/>
  <c r="BB213" i="2"/>
  <c r="BD213" i="2"/>
  <c r="B214" i="2"/>
  <c r="F214" i="2"/>
  <c r="AB214" i="2"/>
  <c r="AO214" i="2"/>
  <c r="AQ214" i="2"/>
  <c r="AY214" i="2"/>
  <c r="AZ214" i="2"/>
  <c r="BA214" i="2"/>
  <c r="BB214" i="2"/>
  <c r="BD214" i="2"/>
  <c r="B215" i="2"/>
  <c r="F215" i="2"/>
  <c r="AB215" i="2"/>
  <c r="AO215" i="2"/>
  <c r="AQ215" i="2"/>
  <c r="AY215" i="2"/>
  <c r="AZ215" i="2"/>
  <c r="BA215" i="2"/>
  <c r="BB215" i="2"/>
  <c r="BD215" i="2"/>
  <c r="B216" i="2"/>
  <c r="F216" i="2"/>
  <c r="H216" i="2" s="1"/>
  <c r="AB216" i="2"/>
  <c r="AO216" i="2"/>
  <c r="AQ216" i="2"/>
  <c r="AY216" i="2"/>
  <c r="AZ216" i="2"/>
  <c r="BA216" i="2"/>
  <c r="BB216" i="2"/>
  <c r="BD216" i="2"/>
  <c r="B217" i="2"/>
  <c r="F217" i="2"/>
  <c r="H217" i="2" s="1"/>
  <c r="AB217" i="2"/>
  <c r="AO217" i="2"/>
  <c r="AQ217" i="2"/>
  <c r="AY217" i="2"/>
  <c r="AZ217" i="2"/>
  <c r="BA217" i="2"/>
  <c r="BB217" i="2"/>
  <c r="BD217" i="2"/>
  <c r="S11" i="8"/>
  <c r="T11" i="8" s="1"/>
  <c r="S12" i="8"/>
  <c r="T12" i="8" s="1"/>
  <c r="S13" i="8"/>
  <c r="S14" i="8"/>
  <c r="S15" i="8"/>
  <c r="T15" i="8" s="1"/>
  <c r="S16" i="8"/>
  <c r="S17" i="8"/>
  <c r="S18" i="8"/>
  <c r="S19" i="8"/>
  <c r="T19" i="8" s="1"/>
  <c r="S20" i="8"/>
  <c r="T20" i="8" s="1"/>
  <c r="S21" i="8"/>
  <c r="S22" i="8"/>
  <c r="S23" i="8"/>
  <c r="T23" i="8" s="1"/>
  <c r="S24" i="8"/>
  <c r="S25" i="8"/>
  <c r="S26" i="8"/>
  <c r="S27" i="8"/>
  <c r="T27" i="8" s="1"/>
  <c r="S28" i="8"/>
  <c r="S29" i="8"/>
  <c r="S30" i="8"/>
  <c r="S31" i="8"/>
  <c r="T31" i="8" s="1"/>
  <c r="S32" i="8"/>
  <c r="S33" i="8"/>
  <c r="S34" i="8"/>
  <c r="S35" i="8"/>
  <c r="T35" i="8" s="1"/>
  <c r="B11" i="5"/>
  <c r="S11" i="5"/>
  <c r="T11" i="5"/>
  <c r="V11" i="5"/>
  <c r="B12" i="5"/>
  <c r="S12" i="5"/>
  <c r="T12" i="5"/>
  <c r="V12" i="5"/>
  <c r="B13" i="5"/>
  <c r="S13" i="5"/>
  <c r="T13" i="5"/>
  <c r="V13" i="5"/>
  <c r="B14" i="5"/>
  <c r="S14" i="5"/>
  <c r="V14" i="5"/>
  <c r="B15" i="5"/>
  <c r="S15" i="5"/>
  <c r="T15" i="5"/>
  <c r="V15" i="5"/>
  <c r="B16" i="5"/>
  <c r="S16" i="5"/>
  <c r="T16" i="5"/>
  <c r="V16" i="5"/>
  <c r="B17" i="5"/>
  <c r="S17" i="5"/>
  <c r="T17" i="5"/>
  <c r="V17" i="5"/>
  <c r="B18" i="5"/>
  <c r="S18" i="5"/>
  <c r="T18" i="5"/>
  <c r="V18" i="5"/>
  <c r="B19" i="5"/>
  <c r="S19" i="5"/>
  <c r="V19" i="5"/>
  <c r="B20" i="5"/>
  <c r="S20" i="5"/>
  <c r="T20" i="5"/>
  <c r="V20" i="5"/>
  <c r="B21" i="5"/>
  <c r="S21" i="5"/>
  <c r="T21" i="5"/>
  <c r="V21" i="5"/>
  <c r="B22" i="5"/>
  <c r="S22" i="5"/>
  <c r="T22" i="5"/>
  <c r="V22" i="5"/>
  <c r="B23" i="5"/>
  <c r="S23" i="5"/>
  <c r="T23" i="5"/>
  <c r="V23" i="5"/>
  <c r="B24" i="5"/>
  <c r="S24" i="5"/>
  <c r="T24" i="5"/>
  <c r="V24" i="5"/>
  <c r="B25" i="5"/>
  <c r="S25" i="5"/>
  <c r="T25" i="5"/>
  <c r="V25" i="5"/>
  <c r="B26" i="5"/>
  <c r="S26" i="5"/>
  <c r="T26" i="5"/>
  <c r="V26" i="5"/>
  <c r="B29" i="5"/>
  <c r="S29" i="5"/>
  <c r="T29" i="5"/>
  <c r="V29" i="5"/>
  <c r="B30" i="5"/>
  <c r="S30" i="5"/>
  <c r="T30" i="5"/>
  <c r="V30" i="5"/>
  <c r="B31" i="5"/>
  <c r="S31" i="5"/>
  <c r="T31" i="5"/>
  <c r="V31" i="5"/>
  <c r="B32" i="5"/>
  <c r="S32" i="5"/>
  <c r="T32" i="5"/>
  <c r="V32" i="5"/>
  <c r="B33" i="5"/>
  <c r="S33" i="5"/>
  <c r="T33" i="5"/>
  <c r="V33" i="5"/>
  <c r="B34" i="5"/>
  <c r="S34" i="5"/>
  <c r="T34" i="5"/>
  <c r="V34" i="5"/>
  <c r="B35" i="5"/>
  <c r="S35" i="5"/>
  <c r="T35" i="5"/>
  <c r="V35" i="5"/>
  <c r="B36" i="5"/>
  <c r="S36" i="5"/>
  <c r="T36" i="5"/>
  <c r="V36" i="5"/>
  <c r="B37" i="5"/>
  <c r="S37" i="5"/>
  <c r="T37" i="5"/>
  <c r="V37" i="5"/>
  <c r="B38" i="5"/>
  <c r="S38" i="5"/>
  <c r="T38" i="5"/>
  <c r="V38" i="5"/>
  <c r="B39" i="5"/>
  <c r="S39" i="5"/>
  <c r="T39" i="5"/>
  <c r="V39" i="5"/>
  <c r="B40" i="5"/>
  <c r="S40" i="5"/>
  <c r="T40" i="5"/>
  <c r="V40" i="5"/>
  <c r="B41" i="5"/>
  <c r="S41" i="5"/>
  <c r="T41" i="5"/>
  <c r="V41" i="5"/>
  <c r="B42" i="5"/>
  <c r="S42" i="5"/>
  <c r="T42" i="5"/>
  <c r="V42" i="5"/>
  <c r="B43" i="5"/>
  <c r="S43" i="5"/>
  <c r="T43" i="5"/>
  <c r="V43" i="5"/>
  <c r="B44" i="5"/>
  <c r="S44" i="5"/>
  <c r="T44" i="5"/>
  <c r="V44" i="5"/>
  <c r="S45" i="5"/>
  <c r="T45" i="5"/>
  <c r="V45" i="5"/>
  <c r="S46" i="5"/>
  <c r="T46" i="5"/>
  <c r="V46" i="5"/>
  <c r="S47" i="5"/>
  <c r="T47" i="5"/>
  <c r="V47" i="5"/>
  <c r="S48" i="5"/>
  <c r="T48" i="5"/>
  <c r="V48" i="5"/>
  <c r="S49" i="5"/>
  <c r="T49" i="5"/>
  <c r="V49" i="5"/>
  <c r="B50" i="5"/>
  <c r="S50" i="5"/>
  <c r="T50" i="5"/>
  <c r="V50" i="5"/>
  <c r="B51" i="5"/>
  <c r="S51" i="5"/>
  <c r="T51" i="5"/>
  <c r="V51" i="5"/>
  <c r="B52" i="5"/>
  <c r="S52" i="5"/>
  <c r="T52" i="5"/>
  <c r="V52" i="5"/>
  <c r="B53" i="5"/>
  <c r="S53" i="5"/>
  <c r="T53" i="5"/>
  <c r="V53" i="5"/>
  <c r="B54" i="5"/>
  <c r="S54" i="5"/>
  <c r="T54" i="5"/>
  <c r="V54" i="5"/>
  <c r="B55" i="5"/>
  <c r="S55" i="5"/>
  <c r="T55" i="5"/>
  <c r="V55" i="5"/>
  <c r="B56" i="5"/>
  <c r="S56" i="5"/>
  <c r="T56" i="5"/>
  <c r="V56" i="5"/>
  <c r="B57" i="5"/>
  <c r="S57" i="5"/>
  <c r="T57" i="5"/>
  <c r="V57" i="5"/>
  <c r="B58" i="5"/>
  <c r="S58" i="5"/>
  <c r="T58" i="5"/>
  <c r="V58" i="5"/>
  <c r="B59" i="5"/>
  <c r="S59" i="5"/>
  <c r="T59" i="5"/>
  <c r="V59" i="5"/>
  <c r="B60" i="5"/>
  <c r="S60" i="5"/>
  <c r="T60" i="5"/>
  <c r="V60" i="5"/>
  <c r="B61" i="5"/>
  <c r="S61" i="5"/>
  <c r="T61" i="5"/>
  <c r="V61" i="5"/>
  <c r="B62" i="5"/>
  <c r="S62" i="5"/>
  <c r="T62" i="5"/>
  <c r="V62" i="5"/>
  <c r="B63" i="5"/>
  <c r="S63" i="5"/>
  <c r="T63" i="5"/>
  <c r="V63" i="5"/>
  <c r="B64" i="5"/>
  <c r="S64" i="5"/>
  <c r="T64" i="5"/>
  <c r="V64" i="5"/>
  <c r="B65" i="5"/>
  <c r="S65" i="5"/>
  <c r="T65" i="5"/>
  <c r="V65" i="5"/>
  <c r="B67" i="5"/>
  <c r="S67" i="5"/>
  <c r="T67" i="5"/>
  <c r="V67" i="5"/>
  <c r="B68" i="5"/>
  <c r="S68" i="5"/>
  <c r="T68" i="5"/>
  <c r="V68" i="5"/>
  <c r="B69" i="5"/>
  <c r="S69" i="5"/>
  <c r="T69" i="5"/>
  <c r="V69" i="5"/>
  <c r="B70" i="5"/>
  <c r="S70" i="5"/>
  <c r="T70" i="5"/>
  <c r="V70" i="5"/>
  <c r="B71" i="5"/>
  <c r="S71" i="5"/>
  <c r="T71" i="5"/>
  <c r="V71" i="5"/>
  <c r="B72" i="5"/>
  <c r="S72" i="5"/>
  <c r="T72" i="5"/>
  <c r="V72" i="5"/>
  <c r="B73" i="5"/>
  <c r="S73" i="5"/>
  <c r="T73" i="5"/>
  <c r="V73" i="5"/>
  <c r="B74" i="5"/>
  <c r="S74" i="5"/>
  <c r="T74" i="5"/>
  <c r="V74" i="5"/>
  <c r="S75" i="5"/>
  <c r="T75" i="5"/>
  <c r="V75" i="5"/>
  <c r="S76" i="5"/>
  <c r="T76" i="5"/>
  <c r="V76" i="5"/>
  <c r="S77" i="5"/>
  <c r="T77" i="5"/>
  <c r="V77" i="5"/>
  <c r="B78" i="5"/>
  <c r="S78" i="5"/>
  <c r="T78" i="5"/>
  <c r="V78" i="5"/>
  <c r="B79" i="5"/>
  <c r="S79" i="5"/>
  <c r="T79" i="5"/>
  <c r="V79" i="5"/>
  <c r="B80" i="5"/>
  <c r="S80" i="5"/>
  <c r="T80" i="5"/>
  <c r="V80" i="5"/>
  <c r="B81" i="5"/>
  <c r="S81" i="5"/>
  <c r="T81" i="5"/>
  <c r="V81" i="5"/>
  <c r="B82" i="5"/>
  <c r="S82" i="5"/>
  <c r="T82" i="5"/>
  <c r="V82" i="5"/>
  <c r="B83" i="5"/>
  <c r="S83" i="5"/>
  <c r="T83" i="5"/>
  <c r="V83" i="5"/>
  <c r="B84" i="5"/>
  <c r="S84" i="5"/>
  <c r="T84" i="5"/>
  <c r="V84" i="5"/>
  <c r="B85" i="5"/>
  <c r="S85" i="5"/>
  <c r="T85" i="5"/>
  <c r="V85" i="5"/>
  <c r="B86" i="5"/>
  <c r="S86" i="5"/>
  <c r="T86" i="5"/>
  <c r="V86" i="5"/>
  <c r="B87" i="5"/>
  <c r="S87" i="5"/>
  <c r="T87" i="5"/>
  <c r="V87" i="5"/>
  <c r="B88" i="5"/>
  <c r="S88" i="5"/>
  <c r="T88" i="5"/>
  <c r="V88" i="5"/>
  <c r="B90" i="5"/>
  <c r="S90" i="5"/>
  <c r="T90" i="5"/>
  <c r="V90" i="5"/>
  <c r="B91" i="5"/>
  <c r="S91" i="5"/>
  <c r="T91" i="5"/>
  <c r="V91" i="5"/>
  <c r="B92" i="5"/>
  <c r="S92" i="5"/>
  <c r="T92" i="5"/>
  <c r="V92" i="5"/>
  <c r="B93" i="5"/>
  <c r="S93" i="5"/>
  <c r="T93" i="5"/>
  <c r="V93" i="5"/>
  <c r="B94" i="5"/>
  <c r="S94" i="5"/>
  <c r="T94" i="5"/>
  <c r="V94" i="5"/>
  <c r="B95" i="5"/>
  <c r="S95" i="5"/>
  <c r="T95" i="5"/>
  <c r="V95" i="5"/>
  <c r="B96" i="5"/>
  <c r="S96" i="5"/>
  <c r="T96" i="5"/>
  <c r="V96" i="5"/>
  <c r="B97" i="5"/>
  <c r="S97" i="5"/>
  <c r="T97" i="5"/>
  <c r="V97" i="5"/>
  <c r="B98" i="5"/>
  <c r="S98" i="5"/>
  <c r="T98" i="5"/>
  <c r="V98" i="5"/>
  <c r="B99" i="5"/>
  <c r="S99" i="5"/>
  <c r="T99" i="5"/>
  <c r="V99" i="5"/>
  <c r="B100" i="5"/>
  <c r="S100" i="5"/>
  <c r="T100" i="5"/>
  <c r="V100" i="5"/>
  <c r="B101" i="5"/>
  <c r="S101" i="5"/>
  <c r="T101" i="5"/>
  <c r="V101" i="5"/>
  <c r="B102" i="5"/>
  <c r="S102" i="5"/>
  <c r="T102" i="5"/>
  <c r="V102" i="5"/>
  <c r="B103" i="5"/>
  <c r="S103" i="5"/>
  <c r="T103" i="5"/>
  <c r="V103" i="5"/>
  <c r="B104" i="5"/>
  <c r="S104" i="5"/>
  <c r="T104" i="5"/>
  <c r="V104" i="5"/>
  <c r="B105" i="5"/>
  <c r="S105" i="5"/>
  <c r="T105" i="5"/>
  <c r="V105" i="5"/>
  <c r="B106" i="5"/>
  <c r="S106" i="5"/>
  <c r="T106" i="5"/>
  <c r="V106" i="5"/>
  <c r="B107" i="5"/>
  <c r="S107" i="5"/>
  <c r="T107" i="5"/>
  <c r="V107" i="5"/>
  <c r="B108" i="5"/>
  <c r="S108" i="5"/>
  <c r="T108" i="5"/>
  <c r="V108" i="5"/>
  <c r="B109" i="5"/>
  <c r="S109" i="5"/>
  <c r="T109" i="5"/>
  <c r="V109" i="5"/>
  <c r="B110" i="5"/>
  <c r="S110" i="5"/>
  <c r="T110" i="5"/>
  <c r="V110" i="5"/>
  <c r="B111" i="5"/>
  <c r="S111" i="5"/>
  <c r="T111" i="5"/>
  <c r="V111" i="5"/>
  <c r="B112" i="5"/>
  <c r="S112" i="5"/>
  <c r="T112" i="5"/>
  <c r="V112" i="5"/>
  <c r="B113" i="5"/>
  <c r="S113" i="5"/>
  <c r="T113" i="5"/>
  <c r="V113" i="5"/>
  <c r="B114" i="5"/>
  <c r="S114" i="5"/>
  <c r="T114" i="5"/>
  <c r="V114" i="5"/>
  <c r="B116" i="5"/>
  <c r="S116" i="5"/>
  <c r="T116" i="5"/>
  <c r="V116" i="5"/>
  <c r="B117" i="5"/>
  <c r="S117" i="5"/>
  <c r="T117" i="5"/>
  <c r="V117" i="5"/>
  <c r="B118" i="5"/>
  <c r="S118" i="5"/>
  <c r="T118" i="5"/>
  <c r="V118" i="5"/>
  <c r="B119" i="5"/>
  <c r="S119" i="5"/>
  <c r="T119" i="5"/>
  <c r="V119" i="5"/>
  <c r="B120" i="5"/>
  <c r="S120" i="5"/>
  <c r="T120" i="5"/>
  <c r="V120" i="5"/>
  <c r="B121" i="5"/>
  <c r="S121" i="5"/>
  <c r="T121" i="5"/>
  <c r="V121" i="5"/>
  <c r="B122" i="5"/>
  <c r="S122" i="5"/>
  <c r="T122" i="5"/>
  <c r="V122" i="5"/>
  <c r="B123" i="5"/>
  <c r="S123" i="5"/>
  <c r="T123" i="5"/>
  <c r="V123" i="5"/>
  <c r="B124" i="5"/>
  <c r="S124" i="5"/>
  <c r="T124" i="5"/>
  <c r="V124" i="5"/>
  <c r="B125" i="5"/>
  <c r="S125" i="5"/>
  <c r="T125" i="5"/>
  <c r="V125" i="5"/>
  <c r="B126" i="5"/>
  <c r="S126" i="5"/>
  <c r="T126" i="5"/>
  <c r="V126" i="5"/>
  <c r="B127" i="5"/>
  <c r="S127" i="5"/>
  <c r="T127" i="5"/>
  <c r="V127" i="5"/>
  <c r="B128" i="5"/>
  <c r="S128" i="5"/>
  <c r="T128" i="5"/>
  <c r="V128" i="5"/>
  <c r="B129" i="5"/>
  <c r="S129" i="5"/>
  <c r="T129" i="5"/>
  <c r="V129" i="5"/>
  <c r="B130" i="5"/>
  <c r="S130" i="5"/>
  <c r="T130" i="5"/>
  <c r="V130" i="5"/>
  <c r="B131" i="5"/>
  <c r="S131" i="5"/>
  <c r="T131" i="5"/>
  <c r="V131" i="5"/>
  <c r="B132" i="5"/>
  <c r="S132" i="5"/>
  <c r="T132" i="5"/>
  <c r="V132" i="5"/>
  <c r="B133" i="5"/>
  <c r="S133" i="5"/>
  <c r="T133" i="5"/>
  <c r="V133" i="5"/>
  <c r="B134" i="5"/>
  <c r="S134" i="5"/>
  <c r="T134" i="5"/>
  <c r="V134" i="5"/>
  <c r="B135" i="5"/>
  <c r="S135" i="5"/>
  <c r="T135" i="5"/>
  <c r="V135" i="5"/>
  <c r="B136" i="5"/>
  <c r="S136" i="5"/>
  <c r="T136" i="5"/>
  <c r="V136" i="5"/>
  <c r="B137" i="5"/>
  <c r="S137" i="5"/>
  <c r="T137" i="5"/>
  <c r="V137" i="5"/>
  <c r="B138" i="5"/>
  <c r="S138" i="5"/>
  <c r="T138" i="5"/>
  <c r="V138" i="5"/>
  <c r="B139" i="5"/>
  <c r="S139" i="5"/>
  <c r="T139" i="5"/>
  <c r="V139" i="5"/>
  <c r="B140" i="5"/>
  <c r="S140" i="5"/>
  <c r="T140" i="5"/>
  <c r="V140" i="5"/>
  <c r="B141" i="5"/>
  <c r="S141" i="5"/>
  <c r="T141" i="5"/>
  <c r="V141" i="5"/>
  <c r="B142" i="5"/>
  <c r="S142" i="5"/>
  <c r="T142" i="5"/>
  <c r="V142" i="5"/>
  <c r="B143" i="5"/>
  <c r="S143" i="5"/>
  <c r="T143" i="5"/>
  <c r="V143" i="5"/>
  <c r="B144" i="5"/>
  <c r="S144" i="5"/>
  <c r="T144" i="5"/>
  <c r="V144" i="5"/>
  <c r="B145" i="5"/>
  <c r="S145" i="5"/>
  <c r="T145" i="5"/>
  <c r="V145" i="5"/>
  <c r="B146" i="5"/>
  <c r="S146" i="5"/>
  <c r="T146" i="5"/>
  <c r="V146" i="5"/>
  <c r="B147" i="5"/>
  <c r="S147" i="5"/>
  <c r="T147" i="5"/>
  <c r="V147" i="5"/>
  <c r="B148" i="5"/>
  <c r="S148" i="5"/>
  <c r="T148" i="5"/>
  <c r="V148" i="5"/>
  <c r="B149" i="5"/>
  <c r="S149" i="5"/>
  <c r="T149" i="5"/>
  <c r="V149" i="5"/>
  <c r="B150" i="5"/>
  <c r="S150" i="5"/>
  <c r="T150" i="5"/>
  <c r="V150" i="5"/>
  <c r="B151" i="5"/>
  <c r="S151" i="5"/>
  <c r="T151" i="5"/>
  <c r="V151" i="5"/>
  <c r="B152" i="5"/>
  <c r="S152" i="5"/>
  <c r="T152" i="5"/>
  <c r="V152" i="5"/>
  <c r="B153" i="5"/>
  <c r="S153" i="5"/>
  <c r="T153" i="5"/>
  <c r="V153" i="5"/>
  <c r="B154" i="5"/>
  <c r="S154" i="5"/>
  <c r="T154" i="5"/>
  <c r="V154" i="5"/>
  <c r="B155" i="5"/>
  <c r="S155" i="5"/>
  <c r="T155" i="5"/>
  <c r="V155" i="5"/>
  <c r="B156" i="5"/>
  <c r="S156" i="5"/>
  <c r="T156" i="5"/>
  <c r="V156" i="5"/>
  <c r="B157" i="5"/>
  <c r="S157" i="5"/>
  <c r="T157" i="5"/>
  <c r="V157" i="5"/>
  <c r="B158" i="5"/>
  <c r="S158" i="5"/>
  <c r="T158" i="5"/>
  <c r="V158" i="5"/>
  <c r="B159" i="5"/>
  <c r="S159" i="5"/>
  <c r="T159" i="5"/>
  <c r="V159" i="5"/>
  <c r="B160" i="5"/>
  <c r="S160" i="5"/>
  <c r="T160" i="5"/>
  <c r="V160" i="5"/>
  <c r="B161" i="5"/>
  <c r="S161" i="5"/>
  <c r="T161" i="5"/>
  <c r="V161" i="5"/>
  <c r="B162" i="5"/>
  <c r="S162" i="5"/>
  <c r="T162" i="5"/>
  <c r="V162" i="5"/>
  <c r="B163" i="5"/>
  <c r="S163" i="5"/>
  <c r="T163" i="5"/>
  <c r="V163" i="5"/>
  <c r="S164" i="5"/>
  <c r="T164" i="5"/>
  <c r="V164" i="5"/>
  <c r="S165" i="5"/>
  <c r="T165" i="5"/>
  <c r="V165" i="5"/>
  <c r="S166" i="5"/>
  <c r="T166" i="5"/>
  <c r="V166" i="5"/>
  <c r="S167" i="5"/>
  <c r="T167" i="5"/>
  <c r="V167" i="5"/>
  <c r="B169" i="5"/>
  <c r="S169" i="5"/>
  <c r="T169" i="5"/>
  <c r="V169" i="5"/>
  <c r="B170" i="5"/>
  <c r="S170" i="5"/>
  <c r="T170" i="5"/>
  <c r="V170" i="5"/>
  <c r="B171" i="5"/>
  <c r="S171" i="5"/>
  <c r="T171" i="5"/>
  <c r="V171" i="5"/>
  <c r="B172" i="5"/>
  <c r="S172" i="5"/>
  <c r="T172" i="5"/>
  <c r="V172" i="5"/>
  <c r="B173" i="5"/>
  <c r="S173" i="5"/>
  <c r="T173" i="5"/>
  <c r="V173" i="5"/>
  <c r="B174" i="5"/>
  <c r="S174" i="5"/>
  <c r="T174" i="5"/>
  <c r="V174" i="5"/>
  <c r="S175" i="5"/>
  <c r="T175" i="5"/>
  <c r="V175" i="5"/>
  <c r="S177" i="5"/>
  <c r="T177" i="5"/>
  <c r="V177" i="5"/>
  <c r="S178" i="5"/>
  <c r="T178" i="5"/>
  <c r="V178" i="5"/>
  <c r="S179" i="5"/>
  <c r="T179" i="5"/>
  <c r="V179" i="5"/>
  <c r="S180" i="5"/>
  <c r="T180" i="5"/>
  <c r="V180" i="5"/>
  <c r="B181" i="5"/>
  <c r="S181" i="5"/>
  <c r="T181" i="5"/>
  <c r="V181" i="5"/>
  <c r="B182" i="5"/>
  <c r="S182" i="5"/>
  <c r="T182" i="5"/>
  <c r="V182" i="5"/>
  <c r="B183" i="5"/>
  <c r="S183" i="5"/>
  <c r="T183" i="5"/>
  <c r="V183" i="5"/>
  <c r="B499" i="5"/>
  <c r="S499" i="5"/>
  <c r="T499" i="5"/>
  <c r="V499" i="5"/>
  <c r="B500" i="5"/>
  <c r="S500" i="5"/>
  <c r="T500" i="5"/>
  <c r="V500" i="5"/>
  <c r="B501" i="5"/>
  <c r="S501" i="5"/>
  <c r="T501" i="5"/>
  <c r="V501" i="5"/>
  <c r="B502" i="5"/>
  <c r="S502" i="5"/>
  <c r="T502" i="5"/>
  <c r="V502" i="5"/>
  <c r="B503" i="5"/>
  <c r="S503" i="5"/>
  <c r="T503" i="5"/>
  <c r="V503" i="5"/>
  <c r="B504" i="5"/>
  <c r="S504" i="5"/>
  <c r="T504" i="5"/>
  <c r="V504" i="5"/>
  <c r="B505" i="5"/>
  <c r="S505" i="5"/>
  <c r="T505" i="5"/>
  <c r="V505" i="5"/>
  <c r="B506" i="5"/>
  <c r="S506" i="5"/>
  <c r="T506" i="5"/>
  <c r="V506" i="5"/>
  <c r="B507" i="5"/>
  <c r="S507" i="5"/>
  <c r="T507" i="5"/>
  <c r="V507" i="5"/>
  <c r="B508" i="5"/>
  <c r="S508" i="5"/>
  <c r="T508" i="5"/>
  <c r="V508" i="5"/>
  <c r="B509" i="5"/>
  <c r="S509" i="5"/>
  <c r="T509" i="5"/>
  <c r="V509" i="5"/>
  <c r="B510" i="5"/>
  <c r="S510" i="5"/>
  <c r="T510" i="5"/>
  <c r="V510" i="5"/>
  <c r="B511" i="5"/>
  <c r="S511" i="5"/>
  <c r="T511" i="5"/>
  <c r="V511" i="5"/>
  <c r="B512" i="5"/>
  <c r="S512" i="5"/>
  <c r="T512" i="5"/>
  <c r="V512" i="5"/>
  <c r="B513" i="5"/>
  <c r="S513" i="5"/>
  <c r="T513" i="5"/>
  <c r="V513" i="5"/>
  <c r="B514" i="5"/>
  <c r="S514" i="5"/>
  <c r="T514" i="5"/>
  <c r="V514" i="5"/>
  <c r="B515" i="5"/>
  <c r="S515" i="5"/>
  <c r="T515" i="5"/>
  <c r="V515" i="5"/>
  <c r="B516" i="5"/>
  <c r="S516" i="5"/>
  <c r="T516" i="5"/>
  <c r="V516" i="5"/>
  <c r="B517" i="5"/>
  <c r="S517" i="5"/>
  <c r="T517" i="5"/>
  <c r="V517" i="5"/>
  <c r="B518" i="5"/>
  <c r="S518" i="5"/>
  <c r="T518" i="5"/>
  <c r="V518" i="5"/>
  <c r="B519" i="5"/>
  <c r="S519" i="5"/>
  <c r="T519" i="5"/>
  <c r="V519" i="5"/>
  <c r="B520" i="5"/>
  <c r="S520" i="5"/>
  <c r="T520" i="5"/>
  <c r="V520" i="5"/>
  <c r="B521" i="5"/>
  <c r="S521" i="5"/>
  <c r="T521" i="5"/>
  <c r="V521" i="5"/>
  <c r="B522" i="5"/>
  <c r="S522" i="5"/>
  <c r="T522" i="5"/>
  <c r="V522" i="5"/>
  <c r="B523" i="5"/>
  <c r="S523" i="5"/>
  <c r="T523" i="5"/>
  <c r="V523" i="5"/>
  <c r="B524" i="5"/>
  <c r="S524" i="5"/>
  <c r="T524" i="5"/>
  <c r="V524" i="5"/>
  <c r="B525" i="5"/>
  <c r="S525" i="5"/>
  <c r="T525" i="5"/>
  <c r="V525" i="5"/>
  <c r="B526" i="5"/>
  <c r="S526" i="5"/>
  <c r="T526" i="5"/>
  <c r="V526" i="5"/>
  <c r="B527" i="5"/>
  <c r="S527" i="5"/>
  <c r="T527" i="5"/>
  <c r="V527" i="5"/>
  <c r="B528" i="5"/>
  <c r="S528" i="5"/>
  <c r="T528" i="5"/>
  <c r="V528" i="5"/>
  <c r="B529" i="5"/>
  <c r="S529" i="5"/>
  <c r="T529" i="5"/>
  <c r="V529" i="5"/>
  <c r="B530" i="5"/>
  <c r="S530" i="5"/>
  <c r="T530" i="5"/>
  <c r="V530" i="5"/>
  <c r="B531" i="5"/>
  <c r="S531" i="5"/>
  <c r="T531" i="5"/>
  <c r="V531" i="5"/>
  <c r="B532" i="5"/>
  <c r="S532" i="5"/>
  <c r="T532" i="5"/>
  <c r="V532" i="5"/>
  <c r="B533" i="5"/>
  <c r="S533" i="5"/>
  <c r="T533" i="5"/>
  <c r="V533" i="5"/>
  <c r="B534" i="5"/>
  <c r="S534" i="5"/>
  <c r="T534" i="5"/>
  <c r="V534" i="5"/>
  <c r="B535" i="5"/>
  <c r="S535" i="5"/>
  <c r="T535" i="5"/>
  <c r="V535" i="5"/>
  <c r="B536" i="5"/>
  <c r="S536" i="5"/>
  <c r="T536" i="5"/>
  <c r="V536" i="5"/>
  <c r="B537" i="5"/>
  <c r="S537" i="5"/>
  <c r="T537" i="5"/>
  <c r="V537" i="5"/>
  <c r="B538" i="5"/>
  <c r="S538" i="5"/>
  <c r="T538" i="5"/>
  <c r="V538" i="5"/>
  <c r="B539" i="5"/>
  <c r="S539" i="5"/>
  <c r="T539" i="5"/>
  <c r="V539" i="5"/>
  <c r="B540" i="5"/>
  <c r="S540" i="5"/>
  <c r="T540" i="5"/>
  <c r="V540" i="5"/>
  <c r="B541" i="5"/>
  <c r="S541" i="5"/>
  <c r="T541" i="5"/>
  <c r="V541" i="5"/>
  <c r="B542" i="5"/>
  <c r="S542" i="5"/>
  <c r="T542" i="5"/>
  <c r="V542" i="5"/>
  <c r="B543" i="5"/>
  <c r="S543" i="5"/>
  <c r="T543" i="5"/>
  <c r="V543" i="5"/>
  <c r="B544" i="5"/>
  <c r="S544" i="5"/>
  <c r="T544" i="5"/>
  <c r="V544" i="5"/>
  <c r="B545" i="5"/>
  <c r="S545" i="5"/>
  <c r="T545" i="5"/>
  <c r="V545" i="5"/>
  <c r="B546" i="5"/>
  <c r="S546" i="5"/>
  <c r="T546" i="5"/>
  <c r="V546" i="5"/>
  <c r="B547" i="5"/>
  <c r="S547" i="5"/>
  <c r="T547" i="5"/>
  <c r="V547" i="5"/>
  <c r="B548" i="5"/>
  <c r="S548" i="5"/>
  <c r="T548" i="5"/>
  <c r="V548" i="5"/>
  <c r="B549" i="5"/>
  <c r="S549" i="5"/>
  <c r="T549" i="5"/>
  <c r="V549" i="5"/>
  <c r="B550" i="5"/>
  <c r="S550" i="5"/>
  <c r="T550" i="5"/>
  <c r="V550" i="5"/>
  <c r="B551" i="5"/>
  <c r="S551" i="5"/>
  <c r="T551" i="5"/>
  <c r="V551" i="5"/>
  <c r="B552" i="5"/>
  <c r="S552" i="5"/>
  <c r="T552" i="5"/>
  <c r="V552" i="5"/>
  <c r="B553" i="5"/>
  <c r="S553" i="5"/>
  <c r="T553" i="5"/>
  <c r="V553" i="5"/>
  <c r="B554" i="5"/>
  <c r="S554" i="5"/>
  <c r="T554" i="5"/>
  <c r="V554" i="5"/>
  <c r="B555" i="5"/>
  <c r="S555" i="5"/>
  <c r="T555" i="5"/>
  <c r="V555" i="5"/>
  <c r="B556" i="5"/>
  <c r="S556" i="5"/>
  <c r="T556" i="5"/>
  <c r="V556" i="5"/>
  <c r="B557" i="5"/>
  <c r="S557" i="5"/>
  <c r="T557" i="5"/>
  <c r="V557" i="5"/>
  <c r="B558" i="5"/>
  <c r="S558" i="5"/>
  <c r="T558" i="5"/>
  <c r="V558" i="5"/>
  <c r="B559" i="5"/>
  <c r="S559" i="5"/>
  <c r="T559" i="5"/>
  <c r="V559" i="5"/>
  <c r="B560" i="5"/>
  <c r="S560" i="5"/>
  <c r="T560" i="5"/>
  <c r="V560" i="5"/>
  <c r="B561" i="5"/>
  <c r="S561" i="5"/>
  <c r="T561" i="5"/>
  <c r="V561" i="5"/>
  <c r="B562" i="5"/>
  <c r="S562" i="5"/>
  <c r="T562" i="5"/>
  <c r="V562" i="5"/>
  <c r="B563" i="5"/>
  <c r="S563" i="5"/>
  <c r="T563" i="5"/>
  <c r="V563" i="5"/>
  <c r="B564" i="5"/>
  <c r="S564" i="5"/>
  <c r="T564" i="5"/>
  <c r="V564" i="5"/>
  <c r="B565" i="5"/>
  <c r="S565" i="5"/>
  <c r="T565" i="5"/>
  <c r="V565" i="5"/>
  <c r="B566" i="5"/>
  <c r="S566" i="5"/>
  <c r="T566" i="5"/>
  <c r="V566" i="5"/>
  <c r="B567" i="5"/>
  <c r="S567" i="5"/>
  <c r="T567" i="5"/>
  <c r="V567" i="5"/>
  <c r="B568" i="5"/>
  <c r="S568" i="5"/>
  <c r="T568" i="5"/>
  <c r="V568" i="5"/>
  <c r="B569" i="5"/>
  <c r="S569" i="5"/>
  <c r="T569" i="5"/>
  <c r="V569" i="5"/>
  <c r="B570" i="5"/>
  <c r="S570" i="5"/>
  <c r="T570" i="5"/>
  <c r="V570" i="5"/>
  <c r="B571" i="5"/>
  <c r="S571" i="5"/>
  <c r="T571" i="5"/>
  <c r="V571" i="5"/>
  <c r="B572" i="5"/>
  <c r="S572" i="5"/>
  <c r="T572" i="5"/>
  <c r="V572" i="5"/>
  <c r="B573" i="5"/>
  <c r="S573" i="5"/>
  <c r="T573" i="5"/>
  <c r="V573" i="5"/>
  <c r="B574" i="5"/>
  <c r="S574" i="5"/>
  <c r="T574" i="5"/>
  <c r="V574" i="5"/>
  <c r="B575" i="5"/>
  <c r="S575" i="5"/>
  <c r="T575" i="5"/>
  <c r="V575" i="5"/>
  <c r="B576" i="5"/>
  <c r="S576" i="5"/>
  <c r="T576" i="5"/>
  <c r="V576" i="5"/>
  <c r="B577" i="5"/>
  <c r="S577" i="5"/>
  <c r="T577" i="5"/>
  <c r="V577" i="5"/>
  <c r="B578" i="5"/>
  <c r="S578" i="5"/>
  <c r="T578" i="5"/>
  <c r="V578" i="5"/>
  <c r="B579" i="5"/>
  <c r="S579" i="5"/>
  <c r="T579" i="5"/>
  <c r="V579" i="5"/>
  <c r="B580" i="5"/>
  <c r="S580" i="5"/>
  <c r="T580" i="5"/>
  <c r="V580" i="5"/>
  <c r="B581" i="5"/>
  <c r="S581" i="5"/>
  <c r="T581" i="5"/>
  <c r="V581" i="5"/>
  <c r="B582" i="5"/>
  <c r="S582" i="5"/>
  <c r="T582" i="5"/>
  <c r="V582" i="5"/>
  <c r="B583" i="5"/>
  <c r="S583" i="5"/>
  <c r="T583" i="5"/>
  <c r="V583" i="5"/>
  <c r="B584" i="5"/>
  <c r="S584" i="5"/>
  <c r="T584" i="5"/>
  <c r="V584" i="5"/>
  <c r="B585" i="5"/>
  <c r="S585" i="5"/>
  <c r="T585" i="5"/>
  <c r="V585" i="5"/>
  <c r="B586" i="5"/>
  <c r="S586" i="5"/>
  <c r="T586" i="5"/>
  <c r="V586" i="5"/>
  <c r="B587" i="5"/>
  <c r="S587" i="5"/>
  <c r="T587" i="5"/>
  <c r="V587" i="5"/>
  <c r="B588" i="5"/>
  <c r="S588" i="5"/>
  <c r="T588" i="5"/>
  <c r="V588" i="5"/>
  <c r="B589" i="5"/>
  <c r="S589" i="5"/>
  <c r="T589" i="5"/>
  <c r="V589" i="5"/>
  <c r="B590" i="5"/>
  <c r="S590" i="5"/>
  <c r="T590" i="5"/>
  <c r="V590" i="5"/>
  <c r="B591" i="5"/>
  <c r="S591" i="5"/>
  <c r="T591" i="5"/>
  <c r="V591" i="5"/>
  <c r="B592" i="5"/>
  <c r="S592" i="5"/>
  <c r="T592" i="5"/>
  <c r="V592" i="5"/>
  <c r="B593" i="5"/>
  <c r="S593" i="5"/>
  <c r="T593" i="5"/>
  <c r="V593" i="5"/>
  <c r="B594" i="5"/>
  <c r="S594" i="5"/>
  <c r="T594" i="5"/>
  <c r="V594" i="5"/>
  <c r="B595" i="5"/>
  <c r="S595" i="5"/>
  <c r="T595" i="5"/>
  <c r="V595" i="5"/>
  <c r="B596" i="5"/>
  <c r="S596" i="5"/>
  <c r="T596" i="5"/>
  <c r="V596" i="5"/>
  <c r="B597" i="5"/>
  <c r="S597" i="5"/>
  <c r="T597" i="5"/>
  <c r="V597" i="5"/>
  <c r="B598" i="5"/>
  <c r="S598" i="5"/>
  <c r="T598" i="5"/>
  <c r="V598" i="5"/>
  <c r="B599" i="5"/>
  <c r="S599" i="5"/>
  <c r="T599" i="5"/>
  <c r="V599" i="5"/>
  <c r="B600" i="5"/>
  <c r="S600" i="5"/>
  <c r="T600" i="5"/>
  <c r="V600" i="5"/>
  <c r="B601" i="5"/>
  <c r="S601" i="5"/>
  <c r="T601" i="5"/>
  <c r="V601" i="5"/>
  <c r="B602" i="5"/>
  <c r="S602" i="5"/>
  <c r="T602" i="5"/>
  <c r="V602" i="5"/>
  <c r="B603" i="5"/>
  <c r="S603" i="5"/>
  <c r="T603" i="5"/>
  <c r="V603" i="5"/>
  <c r="B604" i="5"/>
  <c r="S604" i="5"/>
  <c r="T604" i="5"/>
  <c r="V604" i="5"/>
  <c r="B605" i="5"/>
  <c r="S605" i="5"/>
  <c r="T605" i="5"/>
  <c r="V605" i="5"/>
  <c r="B606" i="5"/>
  <c r="S606" i="5"/>
  <c r="T606" i="5"/>
  <c r="V606" i="5"/>
  <c r="B607" i="5"/>
  <c r="S607" i="5"/>
  <c r="T607" i="5"/>
  <c r="V607" i="5"/>
  <c r="B608" i="5"/>
  <c r="S608" i="5"/>
  <c r="T608" i="5"/>
  <c r="V608" i="5"/>
  <c r="B609" i="5"/>
  <c r="S609" i="5"/>
  <c r="T609" i="5"/>
  <c r="V609" i="5"/>
  <c r="B610" i="5"/>
  <c r="S610" i="5"/>
  <c r="T610" i="5"/>
  <c r="V610" i="5"/>
  <c r="B611" i="5"/>
  <c r="S611" i="5"/>
  <c r="T611" i="5"/>
  <c r="V611" i="5"/>
  <c r="B612" i="5"/>
  <c r="S612" i="5"/>
  <c r="T612" i="5"/>
  <c r="V612" i="5"/>
  <c r="B613" i="5"/>
  <c r="S613" i="5"/>
  <c r="T613" i="5"/>
  <c r="V613" i="5"/>
  <c r="B614" i="5"/>
  <c r="S614" i="5"/>
  <c r="T614" i="5"/>
  <c r="V614" i="5"/>
  <c r="B615" i="5"/>
  <c r="S615" i="5"/>
  <c r="T615" i="5"/>
  <c r="V615" i="5"/>
  <c r="B616" i="5"/>
  <c r="S616" i="5"/>
  <c r="T616" i="5"/>
  <c r="V616" i="5"/>
  <c r="B618" i="5"/>
  <c r="S618" i="5"/>
  <c r="T618" i="5"/>
  <c r="V618" i="5"/>
  <c r="B619" i="5"/>
  <c r="S619" i="5"/>
  <c r="T619" i="5"/>
  <c r="V619" i="5"/>
  <c r="B620" i="5"/>
  <c r="S620" i="5"/>
  <c r="T620" i="5"/>
  <c r="V620" i="5"/>
  <c r="B621" i="5"/>
  <c r="S621" i="5"/>
  <c r="T621" i="5"/>
  <c r="V621" i="5"/>
  <c r="B622" i="5"/>
  <c r="S622" i="5"/>
  <c r="T622" i="5"/>
  <c r="V622" i="5"/>
  <c r="B623" i="5"/>
  <c r="S623" i="5"/>
  <c r="T623" i="5"/>
  <c r="V623" i="5"/>
  <c r="AK218" i="2" s="1"/>
  <c r="B624" i="5"/>
  <c r="S624" i="5"/>
  <c r="T624" i="5"/>
  <c r="V624" i="5"/>
  <c r="B625" i="5"/>
  <c r="S625" i="5"/>
  <c r="T625" i="5"/>
  <c r="V625" i="5"/>
  <c r="B626" i="5"/>
  <c r="S626" i="5"/>
  <c r="T626" i="5"/>
  <c r="V626" i="5"/>
  <c r="B627" i="5"/>
  <c r="S627" i="5"/>
  <c r="T627" i="5"/>
  <c r="V627" i="5"/>
  <c r="B628" i="5"/>
  <c r="S628" i="5"/>
  <c r="T628" i="5"/>
  <c r="V628" i="5"/>
  <c r="B629" i="5"/>
  <c r="S629" i="5"/>
  <c r="T629" i="5"/>
  <c r="V629" i="5"/>
  <c r="B630" i="5"/>
  <c r="S630" i="5"/>
  <c r="T630" i="5"/>
  <c r="V630" i="5"/>
  <c r="B631" i="5"/>
  <c r="S631" i="5"/>
  <c r="T631" i="5"/>
  <c r="V631" i="5"/>
  <c r="AK221" i="2" s="1"/>
  <c r="B632" i="5"/>
  <c r="S632" i="5"/>
  <c r="T632" i="5"/>
  <c r="V632" i="5"/>
  <c r="AK223" i="2" s="1"/>
  <c r="B633" i="5"/>
  <c r="S633" i="5"/>
  <c r="T633" i="5"/>
  <c r="V633" i="5"/>
  <c r="B634" i="5"/>
  <c r="S634" i="5"/>
  <c r="T634" i="5"/>
  <c r="V634" i="5"/>
  <c r="B635" i="5"/>
  <c r="S635" i="5"/>
  <c r="T635" i="5"/>
  <c r="V635" i="5"/>
  <c r="B636" i="5"/>
  <c r="S636" i="5"/>
  <c r="T636" i="5"/>
  <c r="V636" i="5"/>
  <c r="B637" i="5"/>
  <c r="S637" i="5"/>
  <c r="T637" i="5"/>
  <c r="V637" i="5"/>
  <c r="AK224" i="2" s="1"/>
  <c r="B638" i="5"/>
  <c r="S638" i="5"/>
  <c r="T638" i="5"/>
  <c r="V638" i="5"/>
  <c r="AK233" i="2" s="1"/>
  <c r="B639" i="5"/>
  <c r="S639" i="5"/>
  <c r="T639" i="5"/>
  <c r="V639" i="5"/>
  <c r="AK237" i="2" s="1"/>
  <c r="B640" i="5"/>
  <c r="S640" i="5"/>
  <c r="T640" i="5"/>
  <c r="V640" i="5"/>
  <c r="B641" i="5"/>
  <c r="S641" i="5"/>
  <c r="T641" i="5"/>
  <c r="V641" i="5"/>
  <c r="B642" i="5"/>
  <c r="S642" i="5"/>
  <c r="T642" i="5"/>
  <c r="V642" i="5"/>
  <c r="B643" i="5"/>
  <c r="S643" i="5"/>
  <c r="T643" i="5"/>
  <c r="V643" i="5"/>
  <c r="B644" i="5"/>
  <c r="S644" i="5"/>
  <c r="T644" i="5"/>
  <c r="V644" i="5"/>
  <c r="B645" i="5"/>
  <c r="S645" i="5"/>
  <c r="T645" i="5"/>
  <c r="V645" i="5"/>
  <c r="B646" i="5"/>
  <c r="S646" i="5"/>
  <c r="T646" i="5"/>
  <c r="V646" i="5"/>
  <c r="AK240" i="2" s="1"/>
  <c r="B647" i="5"/>
  <c r="S647" i="5"/>
  <c r="T647" i="5"/>
  <c r="V647" i="5"/>
  <c r="B648" i="5"/>
  <c r="S648" i="5"/>
  <c r="T648" i="5"/>
  <c r="V648" i="5"/>
  <c r="B649" i="5"/>
  <c r="S649" i="5"/>
  <c r="T649" i="5"/>
  <c r="V649" i="5"/>
  <c r="B650" i="5"/>
  <c r="S650" i="5"/>
  <c r="T650" i="5"/>
  <c r="V650" i="5"/>
  <c r="B651" i="5"/>
  <c r="S651" i="5"/>
  <c r="T651" i="5"/>
  <c r="V651" i="5"/>
  <c r="B652" i="5"/>
  <c r="S652" i="5"/>
  <c r="T652" i="5"/>
  <c r="V652" i="5"/>
  <c r="B653" i="5"/>
  <c r="S653" i="5"/>
  <c r="T653" i="5"/>
  <c r="V653" i="5"/>
  <c r="B654" i="5"/>
  <c r="S654" i="5"/>
  <c r="T654" i="5"/>
  <c r="V654" i="5"/>
  <c r="B655" i="5"/>
  <c r="S655" i="5"/>
  <c r="T655" i="5"/>
  <c r="V655" i="5"/>
  <c r="B656" i="5"/>
  <c r="S656" i="5"/>
  <c r="T656" i="5"/>
  <c r="V656" i="5"/>
  <c r="B657" i="5"/>
  <c r="S657" i="5"/>
  <c r="T657" i="5"/>
  <c r="V657" i="5"/>
  <c r="B658" i="5"/>
  <c r="S658" i="5"/>
  <c r="T658" i="5"/>
  <c r="V658" i="5"/>
  <c r="B659" i="5"/>
  <c r="S659" i="5"/>
  <c r="T659" i="5"/>
  <c r="V659" i="5"/>
  <c r="B660" i="5"/>
  <c r="S660" i="5"/>
  <c r="T660" i="5"/>
  <c r="V660" i="5"/>
  <c r="B661" i="5"/>
  <c r="S661" i="5"/>
  <c r="T661" i="5"/>
  <c r="V661" i="5"/>
  <c r="B662" i="5"/>
  <c r="S662" i="5"/>
  <c r="T662" i="5"/>
  <c r="V662" i="5"/>
  <c r="B663" i="5"/>
  <c r="S663" i="5"/>
  <c r="T663" i="5"/>
  <c r="V663" i="5"/>
  <c r="AK245" i="2" s="1"/>
  <c r="B664" i="5"/>
  <c r="S664" i="5"/>
  <c r="T664" i="5"/>
  <c r="V664" i="5"/>
  <c r="B665" i="5"/>
  <c r="S665" i="5"/>
  <c r="T665" i="5"/>
  <c r="V665" i="5"/>
  <c r="AK246" i="2" s="1"/>
  <c r="B666" i="5"/>
  <c r="S666" i="5"/>
  <c r="T666" i="5"/>
  <c r="V666" i="5"/>
  <c r="AK247" i="2" s="1"/>
  <c r="B667" i="5"/>
  <c r="S667" i="5"/>
  <c r="T667" i="5"/>
  <c r="V667" i="5"/>
  <c r="B668" i="5"/>
  <c r="S668" i="5"/>
  <c r="T668" i="5"/>
  <c r="V668" i="5"/>
  <c r="B669" i="5"/>
  <c r="S669" i="5"/>
  <c r="T669" i="5"/>
  <c r="V669" i="5"/>
  <c r="B670" i="5"/>
  <c r="S670" i="5"/>
  <c r="T670" i="5"/>
  <c r="V670" i="5"/>
  <c r="B671" i="5"/>
  <c r="S671" i="5"/>
  <c r="T671" i="5"/>
  <c r="V671" i="5"/>
  <c r="B672" i="5"/>
  <c r="S672" i="5"/>
  <c r="T672" i="5"/>
  <c r="V672" i="5"/>
  <c r="B673" i="5"/>
  <c r="S673" i="5"/>
  <c r="T673" i="5"/>
  <c r="V673" i="5"/>
  <c r="B674" i="5"/>
  <c r="S674" i="5"/>
  <c r="T674" i="5"/>
  <c r="V674" i="5"/>
  <c r="B675" i="5"/>
  <c r="S675" i="5"/>
  <c r="T675" i="5"/>
  <c r="V675" i="5"/>
  <c r="B676" i="5"/>
  <c r="S676" i="5"/>
  <c r="T676" i="5"/>
  <c r="V676" i="5"/>
  <c r="B677" i="5"/>
  <c r="S677" i="5"/>
  <c r="T677" i="5"/>
  <c r="V677" i="5"/>
  <c r="B678" i="5"/>
  <c r="S678" i="5"/>
  <c r="T678" i="5"/>
  <c r="V678" i="5"/>
  <c r="AK255" i="2" s="1"/>
  <c r="B679" i="5"/>
  <c r="S679" i="5"/>
  <c r="T679" i="5"/>
  <c r="V679" i="5"/>
  <c r="B680" i="5"/>
  <c r="S680" i="5"/>
  <c r="T680" i="5"/>
  <c r="V680" i="5"/>
  <c r="B681" i="5"/>
  <c r="S681" i="5"/>
  <c r="T681" i="5"/>
  <c r="V681" i="5"/>
  <c r="B682" i="5"/>
  <c r="S682" i="5"/>
  <c r="T682" i="5"/>
  <c r="V682" i="5"/>
  <c r="B683" i="5"/>
  <c r="S683" i="5"/>
  <c r="T683" i="5"/>
  <c r="V683" i="5"/>
  <c r="B684" i="5"/>
  <c r="S684" i="5"/>
  <c r="T684" i="5"/>
  <c r="V684" i="5"/>
  <c r="B685" i="5"/>
  <c r="S685" i="5"/>
  <c r="T685" i="5"/>
  <c r="V685" i="5"/>
  <c r="B686" i="5"/>
  <c r="S686" i="5"/>
  <c r="T686" i="5"/>
  <c r="V686" i="5"/>
  <c r="B687" i="5"/>
  <c r="S687" i="5"/>
  <c r="T687" i="5"/>
  <c r="V687" i="5"/>
  <c r="B688" i="5"/>
  <c r="S688" i="5"/>
  <c r="T688" i="5"/>
  <c r="V688" i="5"/>
  <c r="B689" i="5"/>
  <c r="S689" i="5"/>
  <c r="T689" i="5"/>
  <c r="V689" i="5"/>
  <c r="B690" i="5"/>
  <c r="S690" i="5"/>
  <c r="T690" i="5"/>
  <c r="V690" i="5"/>
  <c r="AK259" i="2" s="1"/>
  <c r="B691" i="5"/>
  <c r="S691" i="5"/>
  <c r="T691" i="5"/>
  <c r="V691" i="5"/>
  <c r="B692" i="5"/>
  <c r="S692" i="5"/>
  <c r="T692" i="5"/>
  <c r="V692" i="5"/>
  <c r="B693" i="5"/>
  <c r="S693" i="5"/>
  <c r="T693" i="5"/>
  <c r="V693" i="5"/>
  <c r="B694" i="5"/>
  <c r="S694" i="5"/>
  <c r="T694" i="5"/>
  <c r="V694" i="5"/>
  <c r="B695" i="5"/>
  <c r="S695" i="5"/>
  <c r="T695" i="5"/>
  <c r="V695" i="5"/>
  <c r="B696" i="5"/>
  <c r="S696" i="5"/>
  <c r="T696" i="5"/>
  <c r="V696" i="5"/>
  <c r="B697" i="5"/>
  <c r="S697" i="5"/>
  <c r="T697" i="5"/>
  <c r="V697" i="5"/>
  <c r="B698" i="5"/>
  <c r="S698" i="5"/>
  <c r="T698" i="5"/>
  <c r="V698" i="5"/>
  <c r="B699" i="5"/>
  <c r="S699" i="5"/>
  <c r="T699" i="5"/>
  <c r="V699" i="5"/>
  <c r="B700" i="5"/>
  <c r="S700" i="5"/>
  <c r="T700" i="5"/>
  <c r="V700" i="5"/>
  <c r="B701" i="5"/>
  <c r="S701" i="5"/>
  <c r="T701" i="5"/>
  <c r="V701" i="5"/>
  <c r="B702" i="5"/>
  <c r="S702" i="5"/>
  <c r="T702" i="5"/>
  <c r="V702" i="5"/>
  <c r="B703" i="5"/>
  <c r="S703" i="5"/>
  <c r="T703" i="5"/>
  <c r="V703" i="5"/>
  <c r="B704" i="5"/>
  <c r="S704" i="5"/>
  <c r="T704" i="5"/>
  <c r="V704" i="5"/>
  <c r="B705" i="5"/>
  <c r="S705" i="5"/>
  <c r="T705" i="5"/>
  <c r="V705" i="5"/>
  <c r="B706" i="5"/>
  <c r="S706" i="5"/>
  <c r="T706" i="5"/>
  <c r="V706" i="5"/>
  <c r="B707" i="5"/>
  <c r="S707" i="5"/>
  <c r="T707" i="5"/>
  <c r="V707" i="5"/>
  <c r="B708" i="5"/>
  <c r="S708" i="5"/>
  <c r="T708" i="5"/>
  <c r="V708" i="5"/>
  <c r="B709" i="5"/>
  <c r="S709" i="5"/>
  <c r="T709" i="5"/>
  <c r="V709" i="5"/>
  <c r="B710" i="5"/>
  <c r="S710" i="5"/>
  <c r="T710" i="5"/>
  <c r="V710" i="5"/>
  <c r="B711" i="5"/>
  <c r="S711" i="5"/>
  <c r="T711" i="5"/>
  <c r="V711" i="5"/>
  <c r="B712" i="5"/>
  <c r="S712" i="5"/>
  <c r="T712" i="5"/>
  <c r="V712" i="5"/>
  <c r="B713" i="5"/>
  <c r="S713" i="5"/>
  <c r="T713" i="5"/>
  <c r="V713" i="5"/>
  <c r="B714" i="5"/>
  <c r="S714" i="5"/>
  <c r="T714" i="5"/>
  <c r="V714" i="5"/>
  <c r="B715" i="5"/>
  <c r="S715" i="5"/>
  <c r="T715" i="5"/>
  <c r="V715" i="5"/>
  <c r="B716" i="5"/>
  <c r="S716" i="5"/>
  <c r="T716" i="5"/>
  <c r="V716" i="5"/>
  <c r="B717" i="5"/>
  <c r="S717" i="5"/>
  <c r="T717" i="5"/>
  <c r="V717" i="5"/>
  <c r="B718" i="5"/>
  <c r="S718" i="5"/>
  <c r="T718" i="5"/>
  <c r="V718" i="5"/>
  <c r="B719" i="5"/>
  <c r="S719" i="5"/>
  <c r="T719" i="5"/>
  <c r="V719" i="5"/>
  <c r="B720" i="5"/>
  <c r="S720" i="5"/>
  <c r="T720" i="5"/>
  <c r="V720" i="5"/>
  <c r="B721" i="5"/>
  <c r="S721" i="5"/>
  <c r="T721" i="5"/>
  <c r="V721" i="5"/>
  <c r="B722" i="5"/>
  <c r="S722" i="5"/>
  <c r="T722" i="5"/>
  <c r="V722" i="5"/>
  <c r="B723" i="5"/>
  <c r="S723" i="5"/>
  <c r="T723" i="5"/>
  <c r="V723" i="5"/>
  <c r="B724" i="5"/>
  <c r="S724" i="5"/>
  <c r="T724" i="5"/>
  <c r="V724" i="5"/>
  <c r="B725" i="5"/>
  <c r="S725" i="5"/>
  <c r="T725" i="5"/>
  <c r="V725" i="5"/>
  <c r="AK269" i="2" s="1"/>
  <c r="B726" i="5"/>
  <c r="S726" i="5"/>
  <c r="T726" i="5"/>
  <c r="V726" i="5"/>
  <c r="B727" i="5"/>
  <c r="S727" i="5"/>
  <c r="T727" i="5"/>
  <c r="V727" i="5"/>
  <c r="B728" i="5"/>
  <c r="S728" i="5"/>
  <c r="T728" i="5"/>
  <c r="V728" i="5"/>
  <c r="B729" i="5"/>
  <c r="S729" i="5"/>
  <c r="T729" i="5"/>
  <c r="V729" i="5"/>
  <c r="B730" i="5"/>
  <c r="S730" i="5"/>
  <c r="T730" i="5"/>
  <c r="V730" i="5"/>
  <c r="B731" i="5"/>
  <c r="S731" i="5"/>
  <c r="T731" i="5"/>
  <c r="V731" i="5"/>
  <c r="B732" i="5"/>
  <c r="S732" i="5"/>
  <c r="T732" i="5"/>
  <c r="V732" i="5"/>
  <c r="B733" i="5"/>
  <c r="S733" i="5"/>
  <c r="T733" i="5"/>
  <c r="V733" i="5"/>
  <c r="B734" i="5"/>
  <c r="S734" i="5"/>
  <c r="T734" i="5"/>
  <c r="V734" i="5"/>
  <c r="B735" i="5"/>
  <c r="S735" i="5"/>
  <c r="T735" i="5"/>
  <c r="V735" i="5"/>
  <c r="B736" i="5"/>
  <c r="S736" i="5"/>
  <c r="T736" i="5"/>
  <c r="V736" i="5"/>
  <c r="B737" i="5"/>
  <c r="S737" i="5"/>
  <c r="T737" i="5"/>
  <c r="V737" i="5"/>
  <c r="B738" i="5"/>
  <c r="S738" i="5"/>
  <c r="T738" i="5"/>
  <c r="V738" i="5"/>
  <c r="B739" i="5"/>
  <c r="S739" i="5"/>
  <c r="T739" i="5"/>
  <c r="V739" i="5"/>
  <c r="B740" i="5"/>
  <c r="S740" i="5"/>
  <c r="T740" i="5"/>
  <c r="V740" i="5"/>
  <c r="B741" i="5"/>
  <c r="S741" i="5"/>
  <c r="T741" i="5"/>
  <c r="V741" i="5"/>
  <c r="B742" i="5"/>
  <c r="S742" i="5"/>
  <c r="T742" i="5"/>
  <c r="V742" i="5"/>
  <c r="B743" i="5"/>
  <c r="S743" i="5"/>
  <c r="T743" i="5"/>
  <c r="V743" i="5"/>
  <c r="AK274" i="2" s="1"/>
  <c r="B744" i="5"/>
  <c r="S744" i="5"/>
  <c r="T744" i="5"/>
  <c r="V744" i="5"/>
  <c r="B745" i="5"/>
  <c r="S745" i="5"/>
  <c r="T745" i="5"/>
  <c r="V745" i="5"/>
  <c r="B746" i="5"/>
  <c r="S746" i="5"/>
  <c r="T746" i="5"/>
  <c r="V746" i="5"/>
  <c r="B747" i="5"/>
  <c r="S747" i="5"/>
  <c r="T747" i="5"/>
  <c r="V747" i="5"/>
  <c r="B748" i="5"/>
  <c r="S748" i="5"/>
  <c r="T748" i="5"/>
  <c r="V748" i="5"/>
  <c r="B749" i="5"/>
  <c r="S749" i="5"/>
  <c r="T749" i="5"/>
  <c r="V749" i="5"/>
  <c r="B750" i="5"/>
  <c r="S750" i="5"/>
  <c r="T750" i="5"/>
  <c r="V750" i="5"/>
  <c r="B751" i="5"/>
  <c r="S751" i="5"/>
  <c r="T751" i="5"/>
  <c r="V751" i="5"/>
  <c r="B752" i="5"/>
  <c r="S752" i="5"/>
  <c r="T752" i="5"/>
  <c r="V752" i="5"/>
  <c r="B753" i="5"/>
  <c r="S753" i="5"/>
  <c r="T753" i="5"/>
  <c r="V753" i="5"/>
  <c r="B754" i="5"/>
  <c r="S754" i="5"/>
  <c r="T754" i="5"/>
  <c r="V754" i="5"/>
  <c r="B755" i="5"/>
  <c r="S755" i="5"/>
  <c r="T755" i="5"/>
  <c r="V755" i="5"/>
  <c r="B756" i="5"/>
  <c r="S756" i="5"/>
  <c r="T756" i="5"/>
  <c r="V756" i="5"/>
  <c r="B757" i="5"/>
  <c r="S757" i="5"/>
  <c r="T757" i="5"/>
  <c r="V757" i="5"/>
  <c r="B758" i="5"/>
  <c r="S758" i="5"/>
  <c r="T758" i="5"/>
  <c r="V758" i="5"/>
  <c r="B759" i="5"/>
  <c r="S759" i="5"/>
  <c r="T759" i="5"/>
  <c r="V759" i="5"/>
  <c r="B760" i="5"/>
  <c r="S760" i="5"/>
  <c r="T760" i="5"/>
  <c r="V760" i="5"/>
  <c r="AK282" i="2" s="1"/>
  <c r="B761" i="5"/>
  <c r="S761" i="5"/>
  <c r="T761" i="5"/>
  <c r="V761" i="5"/>
  <c r="B762" i="5"/>
  <c r="S762" i="5"/>
  <c r="T762" i="5"/>
  <c r="V762" i="5"/>
  <c r="B763" i="5"/>
  <c r="S763" i="5"/>
  <c r="T763" i="5"/>
  <c r="V763" i="5"/>
  <c r="B764" i="5"/>
  <c r="S764" i="5"/>
  <c r="T764" i="5"/>
  <c r="V764" i="5"/>
  <c r="AK285" i="2" s="1"/>
  <c r="B765" i="5"/>
  <c r="S765" i="5"/>
  <c r="T765" i="5"/>
  <c r="V765" i="5"/>
  <c r="AK286" i="2" s="1"/>
  <c r="B766" i="5"/>
  <c r="S766" i="5"/>
  <c r="T766" i="5"/>
  <c r="V766" i="5"/>
  <c r="B767" i="5"/>
  <c r="S767" i="5"/>
  <c r="T767" i="5"/>
  <c r="V767" i="5"/>
  <c r="B768" i="5"/>
  <c r="S768" i="5"/>
  <c r="T768" i="5"/>
  <c r="V768" i="5"/>
  <c r="B769" i="5"/>
  <c r="S769" i="5"/>
  <c r="T769" i="5"/>
  <c r="V769" i="5"/>
  <c r="B770" i="5"/>
  <c r="S770" i="5"/>
  <c r="T770" i="5"/>
  <c r="V770" i="5"/>
  <c r="B771" i="5"/>
  <c r="S771" i="5"/>
  <c r="T771" i="5"/>
  <c r="V771" i="5"/>
  <c r="B772" i="5"/>
  <c r="S772" i="5"/>
  <c r="T772" i="5"/>
  <c r="V772" i="5"/>
  <c r="B773" i="5"/>
  <c r="S773" i="5"/>
  <c r="T773" i="5"/>
  <c r="V773" i="5"/>
  <c r="B774" i="5"/>
  <c r="S774" i="5"/>
  <c r="T774" i="5"/>
  <c r="V774" i="5"/>
  <c r="B775" i="5"/>
  <c r="S775" i="5"/>
  <c r="T775" i="5"/>
  <c r="V775" i="5"/>
  <c r="B776" i="5"/>
  <c r="S776" i="5"/>
  <c r="T776" i="5"/>
  <c r="V776" i="5"/>
  <c r="B777" i="5"/>
  <c r="S777" i="5"/>
  <c r="T777" i="5"/>
  <c r="V777" i="5"/>
  <c r="B778" i="5"/>
  <c r="S778" i="5"/>
  <c r="T778" i="5"/>
  <c r="V778" i="5"/>
  <c r="B779" i="5"/>
  <c r="S779" i="5"/>
  <c r="T779" i="5"/>
  <c r="V779" i="5"/>
  <c r="B780" i="5"/>
  <c r="S780" i="5"/>
  <c r="T780" i="5"/>
  <c r="V780" i="5"/>
  <c r="B781" i="5"/>
  <c r="S781" i="5"/>
  <c r="T781" i="5"/>
  <c r="V781" i="5"/>
  <c r="B782" i="5"/>
  <c r="S782" i="5"/>
  <c r="T782" i="5"/>
  <c r="V782" i="5"/>
  <c r="B783" i="5"/>
  <c r="S783" i="5"/>
  <c r="T783" i="5"/>
  <c r="V783" i="5"/>
  <c r="AK299" i="2" s="1"/>
  <c r="B784" i="5"/>
  <c r="S784" i="5"/>
  <c r="T784" i="5"/>
  <c r="V784" i="5"/>
  <c r="B785" i="5"/>
  <c r="S785" i="5"/>
  <c r="T785" i="5"/>
  <c r="V785" i="5"/>
  <c r="B786" i="5"/>
  <c r="S786" i="5"/>
  <c r="T786" i="5"/>
  <c r="V786" i="5"/>
  <c r="AK301" i="2" s="1"/>
  <c r="B787" i="5"/>
  <c r="S787" i="5"/>
  <c r="T787" i="5"/>
  <c r="V787" i="5"/>
  <c r="B788" i="5"/>
  <c r="S788" i="5"/>
  <c r="T788" i="5"/>
  <c r="V788" i="5"/>
  <c r="B789" i="5"/>
  <c r="S789" i="5"/>
  <c r="T789" i="5"/>
  <c r="V789" i="5"/>
  <c r="B790" i="5"/>
  <c r="S790" i="5"/>
  <c r="T790" i="5"/>
  <c r="V790" i="5"/>
  <c r="B791" i="5"/>
  <c r="S791" i="5"/>
  <c r="T791" i="5"/>
  <c r="V791" i="5"/>
  <c r="AK304" i="2" s="1"/>
  <c r="B792" i="5"/>
  <c r="S792" i="5"/>
  <c r="T792" i="5"/>
  <c r="V792" i="5"/>
  <c r="B793" i="5"/>
  <c r="S793" i="5"/>
  <c r="T793" i="5"/>
  <c r="V793" i="5"/>
  <c r="B794" i="5"/>
  <c r="S794" i="5"/>
  <c r="T794" i="5"/>
  <c r="V794" i="5"/>
  <c r="B795" i="5"/>
  <c r="S795" i="5"/>
  <c r="T795" i="5"/>
  <c r="V795" i="5"/>
  <c r="AK306" i="2" s="1"/>
  <c r="B796" i="5"/>
  <c r="S796" i="5"/>
  <c r="T796" i="5"/>
  <c r="V796" i="5"/>
  <c r="B797" i="5"/>
  <c r="S797" i="5"/>
  <c r="T797" i="5"/>
  <c r="V797" i="5"/>
  <c r="B798" i="5"/>
  <c r="S798" i="5"/>
  <c r="T798" i="5"/>
  <c r="V798" i="5"/>
  <c r="B799" i="5"/>
  <c r="S799" i="5"/>
  <c r="T799" i="5"/>
  <c r="V799" i="5"/>
  <c r="B800" i="5"/>
  <c r="S800" i="5"/>
  <c r="T800" i="5"/>
  <c r="V800" i="5"/>
  <c r="B801" i="5"/>
  <c r="S801" i="5"/>
  <c r="T801" i="5"/>
  <c r="V801" i="5"/>
  <c r="B802" i="5"/>
  <c r="S802" i="5"/>
  <c r="T802" i="5"/>
  <c r="V802" i="5"/>
  <c r="B803" i="5"/>
  <c r="S803" i="5"/>
  <c r="T803" i="5"/>
  <c r="V803" i="5"/>
  <c r="AK309" i="2" s="1"/>
  <c r="B804" i="5"/>
  <c r="S804" i="5"/>
  <c r="T804" i="5"/>
  <c r="V804" i="5"/>
  <c r="B805" i="5"/>
  <c r="S805" i="5"/>
  <c r="T805" i="5"/>
  <c r="V805" i="5"/>
  <c r="B806" i="5"/>
  <c r="S806" i="5"/>
  <c r="T806" i="5"/>
  <c r="V806" i="5"/>
  <c r="B807" i="5"/>
  <c r="S807" i="5"/>
  <c r="T807" i="5"/>
  <c r="V807" i="5"/>
  <c r="AK311" i="2" s="1"/>
  <c r="B808" i="5"/>
  <c r="S808" i="5"/>
  <c r="T808" i="5"/>
  <c r="V808" i="5"/>
  <c r="B809" i="5"/>
  <c r="S809" i="5"/>
  <c r="T809" i="5"/>
  <c r="V809" i="5"/>
  <c r="B810" i="5"/>
  <c r="S810" i="5"/>
  <c r="T810" i="5"/>
  <c r="V810" i="5"/>
  <c r="B811" i="5"/>
  <c r="S811" i="5"/>
  <c r="T811" i="5"/>
  <c r="V811" i="5"/>
  <c r="B812" i="5"/>
  <c r="S812" i="5"/>
  <c r="T812" i="5"/>
  <c r="V812" i="5"/>
  <c r="AK313" i="2" s="1"/>
  <c r="B813" i="5"/>
  <c r="S813" i="5"/>
  <c r="T813" i="5"/>
  <c r="V813" i="5"/>
  <c r="B814" i="5"/>
  <c r="S814" i="5"/>
  <c r="T814" i="5"/>
  <c r="V814" i="5"/>
  <c r="B815" i="5"/>
  <c r="S815" i="5"/>
  <c r="T815" i="5"/>
  <c r="V815" i="5"/>
  <c r="B816" i="5"/>
  <c r="S816" i="5"/>
  <c r="T816" i="5"/>
  <c r="V816" i="5"/>
  <c r="AK316" i="2" s="1"/>
  <c r="B823" i="5"/>
  <c r="S823" i="5"/>
  <c r="T823" i="5"/>
  <c r="V823" i="5"/>
  <c r="AK320" i="2" s="1"/>
  <c r="B824" i="5"/>
  <c r="S824" i="5"/>
  <c r="T824" i="5"/>
  <c r="V824" i="5"/>
  <c r="AK321" i="2" s="1"/>
  <c r="B825" i="5"/>
  <c r="S825" i="5"/>
  <c r="T825" i="5"/>
  <c r="V825" i="5"/>
  <c r="B826" i="5"/>
  <c r="S826" i="5"/>
  <c r="T826" i="5"/>
  <c r="V826" i="5"/>
  <c r="B827" i="5"/>
  <c r="S827" i="5"/>
  <c r="T827" i="5"/>
  <c r="V827" i="5"/>
  <c r="B828" i="5"/>
  <c r="S828" i="5"/>
  <c r="T828" i="5"/>
  <c r="V828" i="5"/>
  <c r="AK322" i="2" s="1"/>
  <c r="B829" i="5"/>
  <c r="S829" i="5"/>
  <c r="T829" i="5"/>
  <c r="V829" i="5"/>
  <c r="B830" i="5"/>
  <c r="S830" i="5"/>
  <c r="T830" i="5"/>
  <c r="V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9" i="5"/>
  <c r="B1040" i="5"/>
  <c r="B1041" i="5"/>
  <c r="B1043"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AK156" i="2" l="1"/>
  <c r="AK154" i="2"/>
  <c r="AN154" i="2" s="1"/>
  <c r="AK152" i="2"/>
  <c r="AN152" i="2" s="1"/>
  <c r="AK158" i="2"/>
  <c r="AN158" i="2" s="1"/>
  <c r="AK151" i="2"/>
  <c r="AN151" i="2" s="1"/>
  <c r="AK148" i="2"/>
  <c r="AN148" i="2" s="1"/>
  <c r="AK160" i="2"/>
  <c r="AN160" i="2" s="1"/>
  <c r="AK143" i="2"/>
  <c r="AN143" i="2" s="1"/>
  <c r="AK142" i="2"/>
  <c r="AN142" i="2" s="1"/>
  <c r="AK141" i="2"/>
  <c r="AN141" i="2" s="1"/>
  <c r="AK140" i="2"/>
  <c r="AN140" i="2" s="1"/>
  <c r="AK138" i="2"/>
  <c r="AN138" i="2" s="1"/>
  <c r="AK137" i="2"/>
  <c r="AN137" i="2" s="1"/>
  <c r="AK135" i="2"/>
  <c r="AN135" i="2" s="1"/>
  <c r="AK134" i="2"/>
  <c r="AN134" i="2" s="1"/>
  <c r="AK133" i="2"/>
  <c r="AN133" i="2" s="1"/>
  <c r="AK39" i="2"/>
  <c r="AN39" i="2" s="1"/>
  <c r="AK51" i="2"/>
  <c r="AN51" i="2" s="1"/>
  <c r="AK47" i="2"/>
  <c r="AN47" i="2" s="1"/>
  <c r="AK46" i="2"/>
  <c r="AN46" i="2" s="1"/>
  <c r="AK44" i="2"/>
  <c r="AN44" i="2" s="1"/>
  <c r="AK42" i="2"/>
  <c r="AN42" i="2" s="1"/>
  <c r="AK41" i="2"/>
  <c r="AN41" i="2" s="1"/>
  <c r="AK40" i="2"/>
  <c r="AN40" i="2" s="1"/>
  <c r="AK38" i="2"/>
  <c r="AN38" i="2" s="1"/>
  <c r="AK37" i="2"/>
  <c r="AN37" i="2" s="1"/>
  <c r="AK188" i="2"/>
  <c r="AN188" i="2" s="1"/>
  <c r="AK290" i="2"/>
  <c r="AK276" i="2"/>
  <c r="AK271" i="2"/>
  <c r="AK260" i="2"/>
  <c r="AK256" i="2"/>
  <c r="AK250" i="2"/>
  <c r="AK242" i="2"/>
  <c r="AK241" i="2"/>
  <c r="AK239" i="2"/>
  <c r="AK187" i="2"/>
  <c r="AN187" i="2" s="1"/>
  <c r="AK314" i="2"/>
  <c r="AK305" i="2"/>
  <c r="AK312" i="2"/>
  <c r="AK307" i="2"/>
  <c r="AK310" i="2"/>
  <c r="AK308" i="2"/>
  <c r="AK303" i="2"/>
  <c r="C254" i="8"/>
  <c r="D253" i="8"/>
  <c r="AK195" i="2"/>
  <c r="AN195" i="2" s="1"/>
  <c r="AK265" i="2"/>
  <c r="AK258" i="2"/>
  <c r="AK244" i="2"/>
  <c r="AK196" i="2"/>
  <c r="AN196" i="2" s="1"/>
  <c r="AK275" i="2"/>
  <c r="AK238" i="2"/>
  <c r="AK219" i="2"/>
  <c r="AK199" i="2"/>
  <c r="AN199" i="2" s="1"/>
  <c r="AK191" i="2"/>
  <c r="AN191" i="2" s="1"/>
  <c r="AK175" i="2"/>
  <c r="AN175" i="2" s="1"/>
  <c r="AK215" i="2"/>
  <c r="AN215" i="2" s="1"/>
  <c r="AK169" i="2"/>
  <c r="AN169" i="2" s="1"/>
  <c r="AK281" i="2"/>
  <c r="AK267" i="2"/>
  <c r="AK266" i="2"/>
  <c r="AK227" i="2"/>
  <c r="AK194" i="2"/>
  <c r="AN194" i="2" s="1"/>
  <c r="AK202" i="2"/>
  <c r="AK257" i="2"/>
  <c r="AK243" i="2"/>
  <c r="AK220" i="2"/>
  <c r="AK197" i="2"/>
  <c r="AN197" i="2" s="1"/>
  <c r="AK189" i="2"/>
  <c r="AN189" i="2" s="1"/>
  <c r="AK181" i="2"/>
  <c r="AN181" i="2" s="1"/>
  <c r="AK203" i="2"/>
  <c r="AN203" i="2" s="1"/>
  <c r="AK182" i="2"/>
  <c r="AN182" i="2" s="1"/>
  <c r="AK287" i="2"/>
  <c r="AK262" i="2"/>
  <c r="AK193" i="2"/>
  <c r="AN193" i="2" s="1"/>
  <c r="AK284" i="2"/>
  <c r="AK263" i="2"/>
  <c r="AK186" i="2"/>
  <c r="AN186" i="2" s="1"/>
  <c r="AK298" i="2"/>
  <c r="AK278" i="2"/>
  <c r="AK264" i="2"/>
  <c r="AK205" i="2"/>
  <c r="AN205" i="2" s="1"/>
  <c r="AK168" i="2"/>
  <c r="AN168" i="2" s="1"/>
  <c r="AK291" i="2"/>
  <c r="AK272" i="2"/>
  <c r="AK201" i="2"/>
  <c r="AN201" i="2" s="1"/>
  <c r="AK167" i="2"/>
  <c r="AN167" i="2" s="1"/>
  <c r="AK273" i="2"/>
  <c r="AK261" i="2"/>
  <c r="AK200" i="2"/>
  <c r="AN200" i="2" s="1"/>
  <c r="AK184" i="2"/>
  <c r="AN184" i="2" s="1"/>
  <c r="AK163" i="2"/>
  <c r="AN163" i="2" s="1"/>
  <c r="AK166" i="2"/>
  <c r="AN166" i="2" s="1"/>
  <c r="AK214" i="2"/>
  <c r="AN214" i="2" s="1"/>
  <c r="AK277" i="2"/>
  <c r="AK270" i="2"/>
  <c r="AK254" i="2"/>
  <c r="AK217" i="2"/>
  <c r="AN217" i="2" s="1"/>
  <c r="AK180" i="2"/>
  <c r="AN180" i="2" s="1"/>
  <c r="AK295" i="2"/>
  <c r="AK288" i="2"/>
  <c r="AK280" i="2"/>
  <c r="AK251" i="2"/>
  <c r="AK216" i="2"/>
  <c r="AN216" i="2" s="1"/>
  <c r="H129" i="2"/>
  <c r="AV129" i="2" s="1"/>
  <c r="H83" i="2"/>
  <c r="AV83" i="2" s="1"/>
  <c r="H74" i="2"/>
  <c r="AV74" i="2" s="1"/>
  <c r="H24" i="2"/>
  <c r="AV24" i="2" s="1"/>
  <c r="H18" i="2"/>
  <c r="AV18" i="2" s="1"/>
  <c r="H104" i="2"/>
  <c r="AV104" i="2" s="1"/>
  <c r="H193" i="2"/>
  <c r="AV193" i="2" s="1"/>
  <c r="H123" i="2"/>
  <c r="AV123" i="2" s="1"/>
  <c r="AV115" i="2"/>
  <c r="H107" i="2"/>
  <c r="AV107" i="2" s="1"/>
  <c r="H99" i="2"/>
  <c r="AV99" i="2" s="1"/>
  <c r="H209" i="2"/>
  <c r="AV209" i="2" s="1"/>
  <c r="H78" i="2"/>
  <c r="AV78" i="2" s="1"/>
  <c r="H126" i="2"/>
  <c r="AV126" i="2" s="1"/>
  <c r="H93" i="2"/>
  <c r="AV93" i="2" s="1"/>
  <c r="H45" i="2"/>
  <c r="AV45" i="2" s="1"/>
  <c r="H172" i="2"/>
  <c r="AV172" i="2" s="1"/>
  <c r="H159" i="2"/>
  <c r="AV159" i="2" s="1"/>
  <c r="H127" i="2"/>
  <c r="AV127" i="2" s="1"/>
  <c r="H35" i="2"/>
  <c r="AV35" i="2" s="1"/>
  <c r="H208" i="2"/>
  <c r="AV208" i="2" s="1"/>
  <c r="H96" i="2"/>
  <c r="AV96" i="2" s="1"/>
  <c r="H22" i="2"/>
  <c r="AV22" i="2" s="1"/>
  <c r="H214" i="2"/>
  <c r="AV214" i="2" s="1"/>
  <c r="H121" i="2"/>
  <c r="AV121" i="2" s="1"/>
  <c r="H113" i="2"/>
  <c r="AV113" i="2" s="1"/>
  <c r="H105" i="2"/>
  <c r="AV105" i="2" s="1"/>
  <c r="H46" i="2"/>
  <c r="AV46" i="2" s="1"/>
  <c r="AU38" i="2"/>
  <c r="H38" i="2"/>
  <c r="AV38" i="2" s="1"/>
  <c r="H30" i="2"/>
  <c r="AV30" i="2" s="1"/>
  <c r="H195" i="2"/>
  <c r="AV195" i="2" s="1"/>
  <c r="H179" i="2"/>
  <c r="AV179" i="2" s="1"/>
  <c r="H120" i="2"/>
  <c r="AV120" i="2" s="1"/>
  <c r="H112" i="2"/>
  <c r="AV112" i="2" s="1"/>
  <c r="H88" i="2"/>
  <c r="AV88" i="2" s="1"/>
  <c r="H215" i="2"/>
  <c r="AV215" i="2" s="1"/>
  <c r="H170" i="2"/>
  <c r="AV170" i="2" s="1"/>
  <c r="H186" i="2"/>
  <c r="AV186" i="2" s="1"/>
  <c r="H33" i="2"/>
  <c r="AV33" i="2" s="1"/>
  <c r="AU13" i="2"/>
  <c r="H13" i="2"/>
  <c r="AV13" i="2" s="1"/>
  <c r="H79" i="2"/>
  <c r="AV79" i="2" s="1"/>
  <c r="H20" i="2"/>
  <c r="AV20" i="2" s="1"/>
  <c r="H160" i="2"/>
  <c r="AV160" i="2" s="1"/>
  <c r="H128" i="2"/>
  <c r="AV128" i="2" s="1"/>
  <c r="H87" i="2"/>
  <c r="AV87" i="2" s="1"/>
  <c r="H44" i="2"/>
  <c r="AV44" i="2" s="1"/>
  <c r="H28" i="2"/>
  <c r="AV28" i="2" s="1"/>
  <c r="H213" i="2"/>
  <c r="AV213" i="2" s="1"/>
  <c r="H73" i="2"/>
  <c r="AV73" i="2" s="1"/>
  <c r="H23" i="2"/>
  <c r="AV23" i="2" s="1"/>
  <c r="H187" i="2"/>
  <c r="AV187" i="2" s="1"/>
  <c r="H163" i="2"/>
  <c r="AV163" i="2" s="1"/>
  <c r="H106" i="2"/>
  <c r="AV106" i="2" s="1"/>
  <c r="AI98" i="2"/>
  <c r="H98" i="2"/>
  <c r="AV98" i="2" s="1"/>
  <c r="H90" i="2"/>
  <c r="AV90" i="2" s="1"/>
  <c r="H39" i="2"/>
  <c r="AV39" i="2" s="1"/>
  <c r="H11" i="2"/>
  <c r="AV11" i="2" s="1"/>
  <c r="H134" i="2"/>
  <c r="AV134" i="2" s="1"/>
  <c r="H143" i="2"/>
  <c r="AV143" i="2" s="1"/>
  <c r="H138" i="2"/>
  <c r="AV138" i="2" s="1"/>
  <c r="H130" i="2"/>
  <c r="AV130" i="2" s="1"/>
  <c r="H145" i="2"/>
  <c r="AV145" i="2" s="1"/>
  <c r="H157" i="2"/>
  <c r="AV157" i="2" s="1"/>
  <c r="H133" i="2"/>
  <c r="AV133" i="2" s="1"/>
  <c r="H136" i="2"/>
  <c r="AV136" i="2" s="1"/>
  <c r="H148" i="2"/>
  <c r="AV148" i="2" s="1"/>
  <c r="H155" i="2"/>
  <c r="AV155" i="2" s="1"/>
  <c r="H139" i="2"/>
  <c r="AV139" i="2" s="1"/>
  <c r="H131" i="2"/>
  <c r="AV131" i="2" s="1"/>
  <c r="AS125" i="2"/>
  <c r="AK35" i="2"/>
  <c r="AN35" i="2" s="1"/>
  <c r="AK31" i="2"/>
  <c r="AN31" i="2" s="1"/>
  <c r="AK36" i="2"/>
  <c r="AN36" i="2" s="1"/>
  <c r="AK34" i="2"/>
  <c r="AN34" i="2" s="1"/>
  <c r="AK33" i="2"/>
  <c r="AN33" i="2" s="1"/>
  <c r="AK30" i="2"/>
  <c r="AN30" i="2" s="1"/>
  <c r="AK29" i="2"/>
  <c r="AN29" i="2" s="1"/>
  <c r="AK28" i="2"/>
  <c r="AN28" i="2" s="1"/>
  <c r="AK27" i="2"/>
  <c r="AN27" i="2" s="1"/>
  <c r="AK26" i="2"/>
  <c r="AN26" i="2" s="1"/>
  <c r="AK25" i="2"/>
  <c r="AN25" i="2" s="1"/>
  <c r="AN118" i="2"/>
  <c r="AN204" i="2"/>
  <c r="AP126" i="2"/>
  <c r="AK126" i="2"/>
  <c r="AW198" i="2"/>
  <c r="AK198" i="2"/>
  <c r="AN198" i="2" s="1"/>
  <c r="AK190" i="2"/>
  <c r="AN190" i="2" s="1"/>
  <c r="AK153" i="2"/>
  <c r="AW145" i="2"/>
  <c r="AK145" i="2"/>
  <c r="AK132" i="2"/>
  <c r="AW164" i="2"/>
  <c r="AK164" i="2"/>
  <c r="AN164" i="2" s="1"/>
  <c r="AK159" i="2"/>
  <c r="O10" i="5" a="1"/>
  <c r="O10" i="5" s="1"/>
  <c r="O26" i="5" a="1"/>
  <c r="O26" i="5" s="1"/>
  <c r="O42" i="5" a="1"/>
  <c r="O42" i="5" s="1"/>
  <c r="O57" i="5" a="1"/>
  <c r="O57" i="5" s="1"/>
  <c r="O73" i="5" a="1"/>
  <c r="O73" i="5" s="1"/>
  <c r="O89" i="5" a="1"/>
  <c r="O89" i="5" s="1"/>
  <c r="O14" i="5" a="1"/>
  <c r="O14" i="5" s="1"/>
  <c r="O77" i="5" a="1"/>
  <c r="O77" i="5" s="1"/>
  <c r="O62" i="5" a="1"/>
  <c r="O62" i="5" s="1"/>
  <c r="O16" i="5" a="1"/>
  <c r="O16" i="5" s="1"/>
  <c r="O63" i="5" a="1"/>
  <c r="O63" i="5" s="1"/>
  <c r="O17" i="5" a="1"/>
  <c r="O17" i="5" s="1"/>
  <c r="O64" i="5" a="1"/>
  <c r="O64" i="5" s="1"/>
  <c r="O50" i="5" a="1"/>
  <c r="O50" i="5" s="1"/>
  <c r="O82" i="5" a="1"/>
  <c r="O82" i="5" s="1"/>
  <c r="O36" i="5" a="1"/>
  <c r="O36" i="5" s="1"/>
  <c r="O21" i="5" a="1"/>
  <c r="O21" i="5" s="1"/>
  <c r="O53" i="5" a="1"/>
  <c r="O53" i="5" s="1"/>
  <c r="O72" i="5" a="1"/>
  <c r="O72" i="5" s="1"/>
  <c r="O11" i="5" a="1"/>
  <c r="O11" i="5" s="1"/>
  <c r="O43" i="5" a="1"/>
  <c r="O43" i="5" s="1"/>
  <c r="O58" i="5" a="1"/>
  <c r="O58" i="5" s="1"/>
  <c r="O74" i="5" a="1"/>
  <c r="O74" i="5" s="1"/>
  <c r="O90" i="5" a="1"/>
  <c r="O90" i="5" s="1"/>
  <c r="O61" i="5" a="1"/>
  <c r="O61" i="5" s="1"/>
  <c r="O32" i="5" a="1"/>
  <c r="O32" i="5" s="1"/>
  <c r="O79" i="5" a="1"/>
  <c r="O79" i="5" s="1"/>
  <c r="O49" i="5" a="1"/>
  <c r="O49" i="5" s="1"/>
  <c r="O18" i="5" a="1"/>
  <c r="O18" i="5" s="1"/>
  <c r="O81" i="5" a="1"/>
  <c r="O81" i="5" s="1"/>
  <c r="O19" i="5" a="1"/>
  <c r="O19" i="5" s="1"/>
  <c r="O12" i="5" a="1"/>
  <c r="O12" i="5" s="1"/>
  <c r="O29" i="5" a="1"/>
  <c r="O29" i="5" s="1"/>
  <c r="O44" i="5" a="1"/>
  <c r="O44" i="5" s="1"/>
  <c r="O59" i="5" a="1"/>
  <c r="O59" i="5" s="1"/>
  <c r="O75" i="5" a="1"/>
  <c r="O75" i="5" s="1"/>
  <c r="O91" i="5" a="1"/>
  <c r="O91" i="5" s="1"/>
  <c r="O31" i="5" a="1"/>
  <c r="O31" i="5" s="1"/>
  <c r="O93" i="5" a="1"/>
  <c r="O93" i="5" s="1"/>
  <c r="O94" i="5" a="1"/>
  <c r="O94" i="5" s="1"/>
  <c r="O48" i="5" a="1"/>
  <c r="O48" i="5" s="1"/>
  <c r="O80" i="5" a="1"/>
  <c r="O80" i="5" s="1"/>
  <c r="O34" i="5" a="1"/>
  <c r="O34" i="5" s="1"/>
  <c r="O13" i="5" a="1"/>
  <c r="O13" i="5" s="1"/>
  <c r="O30" i="5" a="1"/>
  <c r="O30" i="5" s="1"/>
  <c r="O45" i="5" a="1"/>
  <c r="O45" i="5" s="1"/>
  <c r="O60" i="5" a="1"/>
  <c r="O60" i="5" s="1"/>
  <c r="O76" i="5" a="1"/>
  <c r="O76" i="5" s="1"/>
  <c r="O92" i="5" a="1"/>
  <c r="O92" i="5" s="1"/>
  <c r="O46" i="5" a="1"/>
  <c r="O46" i="5" s="1"/>
  <c r="O47" i="5" a="1"/>
  <c r="O47" i="5" s="1"/>
  <c r="O96" i="5" a="1"/>
  <c r="O96" i="5" s="1"/>
  <c r="O65" i="5" a="1"/>
  <c r="O65" i="5" s="1"/>
  <c r="O15" i="5" a="1"/>
  <c r="O15" i="5" s="1"/>
  <c r="O78" i="5" a="1"/>
  <c r="O78" i="5" s="1"/>
  <c r="O95" i="5" a="1"/>
  <c r="O95" i="5" s="1"/>
  <c r="O33" i="5" a="1"/>
  <c r="O33" i="5" s="1"/>
  <c r="O35" i="5" a="1"/>
  <c r="O35" i="5" s="1"/>
  <c r="O98" i="5" a="1"/>
  <c r="O98" i="5" s="1"/>
  <c r="O67" i="5" a="1"/>
  <c r="O67" i="5" s="1"/>
  <c r="O52" i="5" a="1"/>
  <c r="O52" i="5" s="1"/>
  <c r="O85" i="5" a="1"/>
  <c r="O85" i="5" s="1"/>
  <c r="O97" i="5" a="1"/>
  <c r="O97" i="5" s="1"/>
  <c r="O51" i="5" a="1"/>
  <c r="O51" i="5" s="1"/>
  <c r="O83" i="5" a="1"/>
  <c r="O83" i="5" s="1"/>
  <c r="O84" i="5" a="1"/>
  <c r="O84" i="5" s="1"/>
  <c r="O102" i="5" a="1"/>
  <c r="O102" i="5" s="1"/>
  <c r="O66" i="5" a="1"/>
  <c r="O66" i="5" s="1"/>
  <c r="O37" i="5" a="1"/>
  <c r="O37" i="5" s="1"/>
  <c r="O69" i="5" a="1"/>
  <c r="O69" i="5" s="1"/>
  <c r="O20" i="5" a="1"/>
  <c r="O20" i="5" s="1"/>
  <c r="O99" i="5" a="1"/>
  <c r="O99" i="5" s="1"/>
  <c r="O100" i="5" a="1"/>
  <c r="O100" i="5" s="1"/>
  <c r="O88" i="5" a="1"/>
  <c r="O88" i="5" s="1"/>
  <c r="O5" i="5" a="1"/>
  <c r="O5" i="5" s="1"/>
  <c r="O68" i="5" a="1"/>
  <c r="O68" i="5" s="1"/>
  <c r="O101" i="5" a="1"/>
  <c r="O101" i="5" s="1"/>
  <c r="O6" i="5" a="1"/>
  <c r="O6" i="5" s="1"/>
  <c r="O22" i="5" a="1"/>
  <c r="O22" i="5" s="1"/>
  <c r="O38" i="5" a="1"/>
  <c r="O38" i="5" s="1"/>
  <c r="O86" i="5" a="1"/>
  <c r="O86" i="5" s="1"/>
  <c r="O7" i="5" a="1"/>
  <c r="O7" i="5" s="1"/>
  <c r="O23" i="5" a="1"/>
  <c r="O23" i="5" s="1"/>
  <c r="O39" i="5" a="1"/>
  <c r="O39" i="5" s="1"/>
  <c r="O54" i="5" a="1"/>
  <c r="O54" i="5" s="1"/>
  <c r="O70" i="5" a="1"/>
  <c r="O70" i="5" s="1"/>
  <c r="O8" i="5" a="1"/>
  <c r="O8" i="5" s="1"/>
  <c r="O24" i="5" a="1"/>
  <c r="O24" i="5" s="1"/>
  <c r="O40" i="5" a="1"/>
  <c r="O40" i="5" s="1"/>
  <c r="O55" i="5" a="1"/>
  <c r="O55" i="5" s="1"/>
  <c r="O71" i="5" a="1"/>
  <c r="O71" i="5" s="1"/>
  <c r="O87" i="5" a="1"/>
  <c r="O87" i="5" s="1"/>
  <c r="O9" i="5" a="1"/>
  <c r="O9" i="5" s="1"/>
  <c r="O25" i="5" a="1"/>
  <c r="O25" i="5" s="1"/>
  <c r="O41" i="5" a="1"/>
  <c r="O41" i="5" s="1"/>
  <c r="O56" i="5" a="1"/>
  <c r="O56" i="5" s="1"/>
  <c r="G22" i="8" a="1"/>
  <c r="G22" i="8" s="1"/>
  <c r="G25" i="8" a="1"/>
  <c r="G25" i="8" s="1"/>
  <c r="G26" i="8" a="1"/>
  <c r="G26" i="8" s="1"/>
  <c r="G23" i="8" a="1"/>
  <c r="G23" i="8" s="1"/>
  <c r="G24" i="8" a="1"/>
  <c r="G24" i="8" s="1"/>
  <c r="G27" i="8" a="1"/>
  <c r="G27" i="8" s="1"/>
  <c r="G28" i="8" a="1"/>
  <c r="G28" i="8" s="1"/>
  <c r="G21" i="8" a="1"/>
  <c r="G21" i="8" s="1"/>
  <c r="G20" i="8" a="1"/>
  <c r="G20" i="8" s="1"/>
  <c r="G19" i="8" a="1"/>
  <c r="G19" i="8" s="1"/>
  <c r="AK150" i="2"/>
  <c r="AN150" i="2" s="1"/>
  <c r="AW177" i="2"/>
  <c r="AK177" i="2"/>
  <c r="AK183" i="2"/>
  <c r="AK162" i="2"/>
  <c r="AK146" i="2"/>
  <c r="AP130" i="2"/>
  <c r="AK130" i="2"/>
  <c r="AW122" i="2"/>
  <c r="AK122" i="2"/>
  <c r="AW114" i="2"/>
  <c r="AK114" i="2"/>
  <c r="AK207" i="2"/>
  <c r="AP179" i="2"/>
  <c r="AK179" i="2"/>
  <c r="AW108" i="2"/>
  <c r="AK108" i="2"/>
  <c r="AK84" i="2"/>
  <c r="AN84" i="2" s="1"/>
  <c r="AK178" i="2"/>
  <c r="AP157" i="2"/>
  <c r="AK157" i="2"/>
  <c r="AK149" i="2"/>
  <c r="AK165" i="2"/>
  <c r="AN165" i="2" s="1"/>
  <c r="AK144" i="2"/>
  <c r="AP136" i="2"/>
  <c r="AK136" i="2"/>
  <c r="AW213" i="2"/>
  <c r="AK213" i="2"/>
  <c r="AK192" i="2"/>
  <c r="AK176" i="2"/>
  <c r="AK155" i="2"/>
  <c r="AP131" i="2"/>
  <c r="AK131" i="2"/>
  <c r="AW123" i="2"/>
  <c r="AK123" i="2"/>
  <c r="AW115" i="2"/>
  <c r="AK115" i="2"/>
  <c r="AI161" i="2"/>
  <c r="AU150" i="2"/>
  <c r="AU181" i="2"/>
  <c r="O109" i="5" a="1"/>
  <c r="O109" i="5" s="1"/>
  <c r="O125" i="5" a="1"/>
  <c r="O125" i="5" s="1"/>
  <c r="O141" i="5" a="1"/>
  <c r="O141" i="5" s="1"/>
  <c r="O157" i="5" a="1"/>
  <c r="O157" i="5" s="1"/>
  <c r="O173" i="5" a="1"/>
  <c r="O173" i="5" s="1"/>
  <c r="O190" i="5" a="1"/>
  <c r="O190" i="5" s="1"/>
  <c r="O206" i="5" a="1"/>
  <c r="O206" i="5" s="1"/>
  <c r="O222" i="5" a="1"/>
  <c r="O222" i="5" s="1"/>
  <c r="O238" i="5" a="1"/>
  <c r="O238" i="5" s="1"/>
  <c r="O254" i="5" a="1"/>
  <c r="O254" i="5" s="1"/>
  <c r="O271" i="5" a="1"/>
  <c r="O271" i="5" s="1"/>
  <c r="O287" i="5" a="1"/>
  <c r="O287" i="5" s="1"/>
  <c r="O303" i="5" a="1"/>
  <c r="O303" i="5" s="1"/>
  <c r="O319" i="5" a="1"/>
  <c r="O319" i="5" s="1"/>
  <c r="O335" i="5" a="1"/>
  <c r="O335" i="5" s="1"/>
  <c r="O351" i="5" a="1"/>
  <c r="O351" i="5" s="1"/>
  <c r="O367" i="5" a="1"/>
  <c r="O367" i="5" s="1"/>
  <c r="O383" i="5" a="1"/>
  <c r="O383" i="5" s="1"/>
  <c r="O399" i="5" a="1"/>
  <c r="O399" i="5" s="1"/>
  <c r="O415" i="5" a="1"/>
  <c r="O415" i="5" s="1"/>
  <c r="O431" i="5" a="1"/>
  <c r="O431" i="5" s="1"/>
  <c r="O447" i="5" a="1"/>
  <c r="O447" i="5" s="1"/>
  <c r="O463" i="5" a="1"/>
  <c r="O463" i="5" s="1"/>
  <c r="O479" i="5" a="1"/>
  <c r="O479" i="5" s="1"/>
  <c r="O495" i="5" a="1"/>
  <c r="O495" i="5" s="1"/>
  <c r="O511" i="5" a="1"/>
  <c r="O511" i="5" s="1"/>
  <c r="O527" i="5" a="1"/>
  <c r="O527" i="5" s="1"/>
  <c r="O543" i="5" a="1"/>
  <c r="O543" i="5" s="1"/>
  <c r="O559" i="5" a="1"/>
  <c r="O559" i="5" s="1"/>
  <c r="O575" i="5" a="1"/>
  <c r="O575" i="5" s="1"/>
  <c r="O591" i="5" a="1"/>
  <c r="O591" i="5" s="1"/>
  <c r="O607" i="5" a="1"/>
  <c r="O607" i="5" s="1"/>
  <c r="O624" i="5" a="1"/>
  <c r="O624" i="5" s="1"/>
  <c r="O640" i="5" a="1"/>
  <c r="O640" i="5" s="1"/>
  <c r="O656" i="5" a="1"/>
  <c r="O656" i="5" s="1"/>
  <c r="O110" i="5" a="1"/>
  <c r="O110" i="5" s="1"/>
  <c r="O126" i="5" a="1"/>
  <c r="O126" i="5" s="1"/>
  <c r="O142" i="5" a="1"/>
  <c r="O142" i="5" s="1"/>
  <c r="O158" i="5" a="1"/>
  <c r="O158" i="5" s="1"/>
  <c r="O174" i="5" a="1"/>
  <c r="O174" i="5" s="1"/>
  <c r="O191" i="5" a="1"/>
  <c r="O191" i="5" s="1"/>
  <c r="O207" i="5" a="1"/>
  <c r="O207" i="5" s="1"/>
  <c r="O223" i="5" a="1"/>
  <c r="O223" i="5" s="1"/>
  <c r="O239" i="5" a="1"/>
  <c r="O239" i="5" s="1"/>
  <c r="O255" i="5" a="1"/>
  <c r="O255" i="5" s="1"/>
  <c r="O272" i="5" a="1"/>
  <c r="O272" i="5" s="1"/>
  <c r="O288" i="5" a="1"/>
  <c r="O288" i="5" s="1"/>
  <c r="O304" i="5" a="1"/>
  <c r="O304" i="5" s="1"/>
  <c r="O320" i="5" a="1"/>
  <c r="O320" i="5" s="1"/>
  <c r="O336" i="5" a="1"/>
  <c r="O336" i="5" s="1"/>
  <c r="O352" i="5" a="1"/>
  <c r="O352" i="5" s="1"/>
  <c r="O368" i="5" a="1"/>
  <c r="O368" i="5" s="1"/>
  <c r="O384" i="5" a="1"/>
  <c r="O384" i="5" s="1"/>
  <c r="O400" i="5" a="1"/>
  <c r="O400" i="5" s="1"/>
  <c r="O416" i="5" a="1"/>
  <c r="O416" i="5" s="1"/>
  <c r="O432" i="5" a="1"/>
  <c r="O432" i="5" s="1"/>
  <c r="O448" i="5" a="1"/>
  <c r="O448" i="5" s="1"/>
  <c r="O464" i="5" a="1"/>
  <c r="O464" i="5" s="1"/>
  <c r="O480" i="5" a="1"/>
  <c r="O480" i="5" s="1"/>
  <c r="O496" i="5" a="1"/>
  <c r="O496" i="5" s="1"/>
  <c r="O512" i="5" a="1"/>
  <c r="O512" i="5" s="1"/>
  <c r="O528" i="5" a="1"/>
  <c r="O528" i="5" s="1"/>
  <c r="O544" i="5" a="1"/>
  <c r="O544" i="5" s="1"/>
  <c r="O560" i="5" a="1"/>
  <c r="O560" i="5" s="1"/>
  <c r="O576" i="5" a="1"/>
  <c r="O576" i="5" s="1"/>
  <c r="O592" i="5" a="1"/>
  <c r="O592" i="5" s="1"/>
  <c r="O608" i="5" a="1"/>
  <c r="O608" i="5" s="1"/>
  <c r="O625" i="5" a="1"/>
  <c r="O625" i="5" s="1"/>
  <c r="O641" i="5" a="1"/>
  <c r="O641" i="5" s="1"/>
  <c r="O657" i="5" a="1"/>
  <c r="O657" i="5" s="1"/>
  <c r="O673" i="5" a="1"/>
  <c r="O673" i="5" s="1"/>
  <c r="O689" i="5" a="1"/>
  <c r="O689" i="5" s="1"/>
  <c r="O705" i="5" a="1"/>
  <c r="O705" i="5" s="1"/>
  <c r="O721" i="5" a="1"/>
  <c r="O721" i="5" s="1"/>
  <c r="O737" i="5" a="1"/>
  <c r="O737" i="5" s="1"/>
  <c r="O753" i="5" a="1"/>
  <c r="O753" i="5" s="1"/>
  <c r="O769" i="5" a="1"/>
  <c r="O769" i="5" s="1"/>
  <c r="O785" i="5" a="1"/>
  <c r="O785" i="5" s="1"/>
  <c r="O801" i="5" a="1"/>
  <c r="O801" i="5" s="1"/>
  <c r="O817" i="5" a="1"/>
  <c r="O817" i="5" s="1"/>
  <c r="O833" i="5" a="1"/>
  <c r="O833" i="5" s="1"/>
  <c r="O849" i="5" a="1"/>
  <c r="O849" i="5" s="1"/>
  <c r="O865" i="5" a="1"/>
  <c r="O865" i="5" s="1"/>
  <c r="O881" i="5" a="1"/>
  <c r="O881" i="5" s="1"/>
  <c r="O897" i="5" a="1"/>
  <c r="O897" i="5" s="1"/>
  <c r="O913" i="5" a="1"/>
  <c r="O913" i="5" s="1"/>
  <c r="O929" i="5" a="1"/>
  <c r="O929" i="5" s="1"/>
  <c r="O945" i="5" a="1"/>
  <c r="O945" i="5" s="1"/>
  <c r="O961" i="5" a="1"/>
  <c r="O961" i="5" s="1"/>
  <c r="O977" i="5" a="1"/>
  <c r="O977" i="5" s="1"/>
  <c r="O993" i="5" a="1"/>
  <c r="O993" i="5" s="1"/>
  <c r="O1009" i="5" a="1"/>
  <c r="O1009" i="5" s="1"/>
  <c r="O1025" i="5" a="1"/>
  <c r="O1025" i="5" s="1"/>
  <c r="O1041" i="5" a="1"/>
  <c r="O1041" i="5" s="1"/>
  <c r="O1057" i="5" a="1"/>
  <c r="O1057" i="5" s="1"/>
  <c r="O1073" i="5" a="1"/>
  <c r="O1073" i="5" s="1"/>
  <c r="O1089" i="5" a="1"/>
  <c r="O1089" i="5" s="1"/>
  <c r="O1105" i="5" a="1"/>
  <c r="O1105" i="5" s="1"/>
  <c r="O1121" i="5" a="1"/>
  <c r="O1121" i="5" s="1"/>
  <c r="O1137" i="5" a="1"/>
  <c r="O1137" i="5" s="1"/>
  <c r="O1153" i="5" a="1"/>
  <c r="O1153" i="5" s="1"/>
  <c r="O1169" i="5" a="1"/>
  <c r="O1169" i="5" s="1"/>
  <c r="O1185" i="5" a="1"/>
  <c r="O1185" i="5" s="1"/>
  <c r="O1201" i="5" a="1"/>
  <c r="O1201" i="5" s="1"/>
  <c r="O1217" i="5" a="1"/>
  <c r="O1217" i="5" s="1"/>
  <c r="O1233" i="5" a="1"/>
  <c r="O1233" i="5" s="1"/>
  <c r="O1249" i="5" a="1"/>
  <c r="O1249" i="5" s="1"/>
  <c r="O1265" i="5" a="1"/>
  <c r="O1265" i="5" s="1"/>
  <c r="O1281" i="5" a="1"/>
  <c r="O1281" i="5" s="1"/>
  <c r="O1297" i="5" a="1"/>
  <c r="O1297" i="5" s="1"/>
  <c r="O1313" i="5" a="1"/>
  <c r="O1313" i="5" s="1"/>
  <c r="O1329" i="5" a="1"/>
  <c r="O1329" i="5" s="1"/>
  <c r="O1345" i="5" a="1"/>
  <c r="O1345" i="5" s="1"/>
  <c r="O1361" i="5" a="1"/>
  <c r="O1361" i="5" s="1"/>
  <c r="O1377" i="5" a="1"/>
  <c r="O1377" i="5" s="1"/>
  <c r="O1393" i="5" a="1"/>
  <c r="O1393" i="5" s="1"/>
  <c r="O1409" i="5" a="1"/>
  <c r="O1409" i="5" s="1"/>
  <c r="O1425" i="5" a="1"/>
  <c r="O1425" i="5" s="1"/>
  <c r="O1441" i="5" a="1"/>
  <c r="O1441" i="5" s="1"/>
  <c r="O1457" i="5" a="1"/>
  <c r="O1457" i="5" s="1"/>
  <c r="O111" i="5" a="1"/>
  <c r="O111" i="5" s="1"/>
  <c r="O127" i="5" a="1"/>
  <c r="O127" i="5" s="1"/>
  <c r="O143" i="5" a="1"/>
  <c r="O143" i="5" s="1"/>
  <c r="O159" i="5" a="1"/>
  <c r="O159" i="5" s="1"/>
  <c r="O175" i="5" a="1"/>
  <c r="O175" i="5" s="1"/>
  <c r="O192" i="5" a="1"/>
  <c r="O192" i="5" s="1"/>
  <c r="O208" i="5" a="1"/>
  <c r="O208" i="5" s="1"/>
  <c r="O224" i="5" a="1"/>
  <c r="O224" i="5" s="1"/>
  <c r="O240" i="5" a="1"/>
  <c r="O240" i="5" s="1"/>
  <c r="O256" i="5" a="1"/>
  <c r="O256" i="5" s="1"/>
  <c r="O273" i="5" a="1"/>
  <c r="O273" i="5" s="1"/>
  <c r="O289" i="5" a="1"/>
  <c r="O289" i="5" s="1"/>
  <c r="O305" i="5" a="1"/>
  <c r="O305" i="5" s="1"/>
  <c r="O321" i="5" a="1"/>
  <c r="O321" i="5" s="1"/>
  <c r="O337" i="5" a="1"/>
  <c r="O337" i="5" s="1"/>
  <c r="O353" i="5" a="1"/>
  <c r="O353" i="5" s="1"/>
  <c r="O369" i="5" a="1"/>
  <c r="O369" i="5" s="1"/>
  <c r="O385" i="5" a="1"/>
  <c r="O385" i="5" s="1"/>
  <c r="O401" i="5" a="1"/>
  <c r="O401" i="5" s="1"/>
  <c r="O417" i="5" a="1"/>
  <c r="O417" i="5" s="1"/>
  <c r="O433" i="5" a="1"/>
  <c r="O433" i="5" s="1"/>
  <c r="O449" i="5" a="1"/>
  <c r="O449" i="5" s="1"/>
  <c r="O465" i="5" a="1"/>
  <c r="O465" i="5" s="1"/>
  <c r="O481" i="5" a="1"/>
  <c r="O481" i="5" s="1"/>
  <c r="O497" i="5" a="1"/>
  <c r="O497" i="5" s="1"/>
  <c r="O513" i="5" a="1"/>
  <c r="O513" i="5" s="1"/>
  <c r="O529" i="5" a="1"/>
  <c r="O529" i="5" s="1"/>
  <c r="O545" i="5" a="1"/>
  <c r="O545" i="5" s="1"/>
  <c r="O561" i="5" a="1"/>
  <c r="O561" i="5" s="1"/>
  <c r="O577" i="5" a="1"/>
  <c r="O577" i="5" s="1"/>
  <c r="O593" i="5" a="1"/>
  <c r="O593" i="5" s="1"/>
  <c r="O609" i="5" a="1"/>
  <c r="O609" i="5" s="1"/>
  <c r="O626" i="5" a="1"/>
  <c r="O626" i="5" s="1"/>
  <c r="O642" i="5" a="1"/>
  <c r="O642" i="5" s="1"/>
  <c r="O658" i="5" a="1"/>
  <c r="O658" i="5" s="1"/>
  <c r="O674" i="5" a="1"/>
  <c r="O674" i="5" s="1"/>
  <c r="O690" i="5" a="1"/>
  <c r="O690" i="5" s="1"/>
  <c r="O706" i="5" a="1"/>
  <c r="O706" i="5" s="1"/>
  <c r="O722" i="5" a="1"/>
  <c r="O722" i="5" s="1"/>
  <c r="O738" i="5" a="1"/>
  <c r="O738" i="5" s="1"/>
  <c r="O754" i="5" a="1"/>
  <c r="O754" i="5" s="1"/>
  <c r="O770" i="5" a="1"/>
  <c r="O770" i="5" s="1"/>
  <c r="O786" i="5" a="1"/>
  <c r="O786" i="5" s="1"/>
  <c r="O115" i="5" a="1"/>
  <c r="O115" i="5" s="1"/>
  <c r="O131" i="5" a="1"/>
  <c r="O131" i="5" s="1"/>
  <c r="O147" i="5" a="1"/>
  <c r="O147" i="5" s="1"/>
  <c r="O163" i="5" a="1"/>
  <c r="O163" i="5" s="1"/>
  <c r="O180" i="5" a="1"/>
  <c r="O180" i="5" s="1"/>
  <c r="O196" i="5" a="1"/>
  <c r="O196" i="5" s="1"/>
  <c r="O212" i="5" a="1"/>
  <c r="O212" i="5" s="1"/>
  <c r="O228" i="5" a="1"/>
  <c r="O228" i="5" s="1"/>
  <c r="O244" i="5" a="1"/>
  <c r="O244" i="5" s="1"/>
  <c r="O260" i="5" a="1"/>
  <c r="O260" i="5" s="1"/>
  <c r="O277" i="5" a="1"/>
  <c r="O277" i="5" s="1"/>
  <c r="O293" i="5" a="1"/>
  <c r="O293" i="5" s="1"/>
  <c r="O309" i="5" a="1"/>
  <c r="O309" i="5" s="1"/>
  <c r="O325" i="5" a="1"/>
  <c r="O325" i="5" s="1"/>
  <c r="O341" i="5" a="1"/>
  <c r="O341" i="5" s="1"/>
  <c r="O357" i="5" a="1"/>
  <c r="O357" i="5" s="1"/>
  <c r="O373" i="5" a="1"/>
  <c r="O373" i="5" s="1"/>
  <c r="O389" i="5" a="1"/>
  <c r="O389" i="5" s="1"/>
  <c r="O405" i="5" a="1"/>
  <c r="O405" i="5" s="1"/>
  <c r="O421" i="5" a="1"/>
  <c r="O421" i="5" s="1"/>
  <c r="O437" i="5" a="1"/>
  <c r="O437" i="5" s="1"/>
  <c r="O453" i="5" a="1"/>
  <c r="O453" i="5" s="1"/>
  <c r="O469" i="5" a="1"/>
  <c r="O469" i="5" s="1"/>
  <c r="O485" i="5" a="1"/>
  <c r="O485" i="5" s="1"/>
  <c r="O501" i="5" a="1"/>
  <c r="O501" i="5" s="1"/>
  <c r="O517" i="5" a="1"/>
  <c r="O517" i="5" s="1"/>
  <c r="O103" i="5" a="1"/>
  <c r="O103" i="5" s="1"/>
  <c r="O119" i="5" a="1"/>
  <c r="O119" i="5" s="1"/>
  <c r="O135" i="5" a="1"/>
  <c r="O135" i="5" s="1"/>
  <c r="O151" i="5" a="1"/>
  <c r="O151" i="5" s="1"/>
  <c r="O167" i="5" a="1"/>
  <c r="O167" i="5" s="1"/>
  <c r="O184" i="5" a="1"/>
  <c r="O184" i="5" s="1"/>
  <c r="O200" i="5" a="1"/>
  <c r="O200" i="5" s="1"/>
  <c r="O216" i="5" a="1"/>
  <c r="O216" i="5" s="1"/>
  <c r="O232" i="5" a="1"/>
  <c r="O232" i="5" s="1"/>
  <c r="O248" i="5" a="1"/>
  <c r="O248" i="5" s="1"/>
  <c r="O264" i="5" a="1"/>
  <c r="O264" i="5" s="1"/>
  <c r="O281" i="5" a="1"/>
  <c r="O281" i="5" s="1"/>
  <c r="O297" i="5" a="1"/>
  <c r="O297" i="5" s="1"/>
  <c r="O313" i="5" a="1"/>
  <c r="O313" i="5" s="1"/>
  <c r="O329" i="5" a="1"/>
  <c r="O329" i="5" s="1"/>
  <c r="O345" i="5" a="1"/>
  <c r="O345" i="5" s="1"/>
  <c r="O361" i="5" a="1"/>
  <c r="O361" i="5" s="1"/>
  <c r="O377" i="5" a="1"/>
  <c r="O377" i="5" s="1"/>
  <c r="O393" i="5" a="1"/>
  <c r="O393" i="5" s="1"/>
  <c r="O409" i="5" a="1"/>
  <c r="O409" i="5" s="1"/>
  <c r="O425" i="5" a="1"/>
  <c r="O425" i="5" s="1"/>
  <c r="O441" i="5" a="1"/>
  <c r="O441" i="5" s="1"/>
  <c r="O457" i="5" a="1"/>
  <c r="O457" i="5" s="1"/>
  <c r="O473" i="5" a="1"/>
  <c r="O473" i="5" s="1"/>
  <c r="O489" i="5" a="1"/>
  <c r="O489" i="5" s="1"/>
  <c r="O505" i="5" a="1"/>
  <c r="O505" i="5" s="1"/>
  <c r="O521" i="5" a="1"/>
  <c r="O521" i="5" s="1"/>
  <c r="O537" i="5" a="1"/>
  <c r="O537" i="5" s="1"/>
  <c r="O553" i="5" a="1"/>
  <c r="O553" i="5" s="1"/>
  <c r="O569" i="5" a="1"/>
  <c r="O569" i="5" s="1"/>
  <c r="O585" i="5" a="1"/>
  <c r="O585" i="5" s="1"/>
  <c r="O601" i="5" a="1"/>
  <c r="O601" i="5" s="1"/>
  <c r="O618" i="5" a="1"/>
  <c r="O618" i="5" s="1"/>
  <c r="O634" i="5" a="1"/>
  <c r="O634" i="5" s="1"/>
  <c r="O650" i="5" a="1"/>
  <c r="O650" i="5" s="1"/>
  <c r="O666" i="5" a="1"/>
  <c r="O666" i="5" s="1"/>
  <c r="O682" i="5" a="1"/>
  <c r="O682" i="5" s="1"/>
  <c r="O698" i="5" a="1"/>
  <c r="O698" i="5" s="1"/>
  <c r="O714" i="5" a="1"/>
  <c r="O714" i="5" s="1"/>
  <c r="O730" i="5" a="1"/>
  <c r="O730" i="5" s="1"/>
  <c r="O746" i="5" a="1"/>
  <c r="O746" i="5" s="1"/>
  <c r="O762" i="5" a="1"/>
  <c r="O762" i="5" s="1"/>
  <c r="O778" i="5" a="1"/>
  <c r="O778" i="5" s="1"/>
  <c r="O794" i="5" a="1"/>
  <c r="O794" i="5" s="1"/>
  <c r="O810" i="5" a="1"/>
  <c r="O810" i="5" s="1"/>
  <c r="O826" i="5" a="1"/>
  <c r="O826" i="5" s="1"/>
  <c r="O842" i="5" a="1"/>
  <c r="O842" i="5" s="1"/>
  <c r="O858" i="5" a="1"/>
  <c r="O858" i="5" s="1"/>
  <c r="O874" i="5" a="1"/>
  <c r="O874" i="5" s="1"/>
  <c r="O890" i="5" a="1"/>
  <c r="O890" i="5" s="1"/>
  <c r="O906" i="5" a="1"/>
  <c r="O906" i="5" s="1"/>
  <c r="O922" i="5" a="1"/>
  <c r="O922" i="5" s="1"/>
  <c r="O938" i="5" a="1"/>
  <c r="O938" i="5" s="1"/>
  <c r="O954" i="5" a="1"/>
  <c r="O954" i="5" s="1"/>
  <c r="O970" i="5" a="1"/>
  <c r="O970" i="5" s="1"/>
  <c r="O986" i="5" a="1"/>
  <c r="O986" i="5" s="1"/>
  <c r="O1002" i="5" a="1"/>
  <c r="O1002" i="5" s="1"/>
  <c r="O1018" i="5" a="1"/>
  <c r="O1018" i="5" s="1"/>
  <c r="O1034" i="5" a="1"/>
  <c r="O1034" i="5" s="1"/>
  <c r="O1050" i="5" a="1"/>
  <c r="O1050" i="5" s="1"/>
  <c r="O1066" i="5" a="1"/>
  <c r="O1066" i="5" s="1"/>
  <c r="O1082" i="5" a="1"/>
  <c r="O1082" i="5" s="1"/>
  <c r="O1098" i="5" a="1"/>
  <c r="O1098" i="5" s="1"/>
  <c r="O1114" i="5" a="1"/>
  <c r="O1114" i="5" s="1"/>
  <c r="O1130" i="5" a="1"/>
  <c r="O1130" i="5" s="1"/>
  <c r="O1146" i="5" a="1"/>
  <c r="O1146" i="5" s="1"/>
  <c r="O1162" i="5" a="1"/>
  <c r="O1162" i="5" s="1"/>
  <c r="O1178" i="5" a="1"/>
  <c r="O1178" i="5" s="1"/>
  <c r="O1194" i="5" a="1"/>
  <c r="O1194" i="5" s="1"/>
  <c r="O1210" i="5" a="1"/>
  <c r="O1210" i="5" s="1"/>
  <c r="O1226" i="5" a="1"/>
  <c r="O1226" i="5" s="1"/>
  <c r="O1242" i="5" a="1"/>
  <c r="O1242" i="5" s="1"/>
  <c r="O1258" i="5" a="1"/>
  <c r="O1258" i="5" s="1"/>
  <c r="O1274" i="5" a="1"/>
  <c r="O1274" i="5" s="1"/>
  <c r="O1290" i="5" a="1"/>
  <c r="O1290" i="5" s="1"/>
  <c r="O1306" i="5" a="1"/>
  <c r="O1306" i="5" s="1"/>
  <c r="O104" i="5" a="1"/>
  <c r="O104" i="5" s="1"/>
  <c r="O120" i="5" a="1"/>
  <c r="O120" i="5" s="1"/>
  <c r="O136" i="5" a="1"/>
  <c r="O136" i="5" s="1"/>
  <c r="O152" i="5" a="1"/>
  <c r="O152" i="5" s="1"/>
  <c r="O168" i="5" a="1"/>
  <c r="O168" i="5" s="1"/>
  <c r="O185" i="5" a="1"/>
  <c r="O185" i="5" s="1"/>
  <c r="O201" i="5" a="1"/>
  <c r="O201" i="5" s="1"/>
  <c r="O217" i="5" a="1"/>
  <c r="O217" i="5" s="1"/>
  <c r="O233" i="5" a="1"/>
  <c r="O233" i="5" s="1"/>
  <c r="O249" i="5" a="1"/>
  <c r="O249" i="5" s="1"/>
  <c r="O265" i="5" a="1"/>
  <c r="O265" i="5" s="1"/>
  <c r="O282" i="5" a="1"/>
  <c r="O282" i="5" s="1"/>
  <c r="O298" i="5" a="1"/>
  <c r="O298" i="5" s="1"/>
  <c r="O314" i="5" a="1"/>
  <c r="O314" i="5" s="1"/>
  <c r="O330" i="5" a="1"/>
  <c r="O330" i="5" s="1"/>
  <c r="O346" i="5" a="1"/>
  <c r="O346" i="5" s="1"/>
  <c r="O362" i="5" a="1"/>
  <c r="O362" i="5" s="1"/>
  <c r="O378" i="5" a="1"/>
  <c r="O378" i="5" s="1"/>
  <c r="O394" i="5" a="1"/>
  <c r="O394" i="5" s="1"/>
  <c r="O410" i="5" a="1"/>
  <c r="O410" i="5" s="1"/>
  <c r="O426" i="5" a="1"/>
  <c r="O426" i="5" s="1"/>
  <c r="O442" i="5" a="1"/>
  <c r="O442" i="5" s="1"/>
  <c r="O458" i="5" a="1"/>
  <c r="O458" i="5" s="1"/>
  <c r="O474" i="5" a="1"/>
  <c r="O474" i="5" s="1"/>
  <c r="O490" i="5" a="1"/>
  <c r="O490" i="5" s="1"/>
  <c r="O506" i="5" a="1"/>
  <c r="O506" i="5" s="1"/>
  <c r="O522" i="5" a="1"/>
  <c r="O522" i="5" s="1"/>
  <c r="O538" i="5" a="1"/>
  <c r="O538" i="5" s="1"/>
  <c r="O554" i="5" a="1"/>
  <c r="O554" i="5" s="1"/>
  <c r="O570" i="5" a="1"/>
  <c r="O570" i="5" s="1"/>
  <c r="O586" i="5" a="1"/>
  <c r="O586" i="5" s="1"/>
  <c r="O602" i="5" a="1"/>
  <c r="O602" i="5" s="1"/>
  <c r="O619" i="5" a="1"/>
  <c r="O619" i="5" s="1"/>
  <c r="O635" i="5" a="1"/>
  <c r="O635" i="5" s="1"/>
  <c r="O651" i="5" a="1"/>
  <c r="O651" i="5" s="1"/>
  <c r="O667" i="5" a="1"/>
  <c r="O667" i="5" s="1"/>
  <c r="O683" i="5" a="1"/>
  <c r="O683" i="5" s="1"/>
  <c r="O699" i="5" a="1"/>
  <c r="O699" i="5" s="1"/>
  <c r="O715" i="5" a="1"/>
  <c r="O715" i="5" s="1"/>
  <c r="O731" i="5" a="1"/>
  <c r="O731" i="5" s="1"/>
  <c r="O747" i="5" a="1"/>
  <c r="O747" i="5" s="1"/>
  <c r="O763" i="5" a="1"/>
  <c r="O763" i="5" s="1"/>
  <c r="O779" i="5" a="1"/>
  <c r="O779" i="5" s="1"/>
  <c r="O795" i="5" a="1"/>
  <c r="O795" i="5" s="1"/>
  <c r="O811" i="5" a="1"/>
  <c r="O811" i="5" s="1"/>
  <c r="O827" i="5" a="1"/>
  <c r="O827" i="5" s="1"/>
  <c r="O843" i="5" a="1"/>
  <c r="O843" i="5" s="1"/>
  <c r="O859" i="5" a="1"/>
  <c r="O859" i="5" s="1"/>
  <c r="O875" i="5" a="1"/>
  <c r="O875" i="5" s="1"/>
  <c r="O891" i="5" a="1"/>
  <c r="O891" i="5" s="1"/>
  <c r="O907" i="5" a="1"/>
  <c r="O907" i="5" s="1"/>
  <c r="O923" i="5" a="1"/>
  <c r="O923" i="5" s="1"/>
  <c r="O939" i="5" a="1"/>
  <c r="O939" i="5" s="1"/>
  <c r="O955" i="5" a="1"/>
  <c r="O955" i="5" s="1"/>
  <c r="O971" i="5" a="1"/>
  <c r="O971" i="5" s="1"/>
  <c r="O987" i="5" a="1"/>
  <c r="O987" i="5" s="1"/>
  <c r="O1003" i="5" a="1"/>
  <c r="O1003" i="5" s="1"/>
  <c r="O1019" i="5" a="1"/>
  <c r="O1019" i="5" s="1"/>
  <c r="O1035" i="5" a="1"/>
  <c r="O1035" i="5" s="1"/>
  <c r="O1051" i="5" a="1"/>
  <c r="O1051" i="5" s="1"/>
  <c r="O1067" i="5" a="1"/>
  <c r="O1067" i="5" s="1"/>
  <c r="O1083" i="5" a="1"/>
  <c r="O1083" i="5" s="1"/>
  <c r="O1099" i="5" a="1"/>
  <c r="O1099" i="5" s="1"/>
  <c r="O1115" i="5" a="1"/>
  <c r="O1115" i="5" s="1"/>
  <c r="O1131" i="5" a="1"/>
  <c r="O1131" i="5" s="1"/>
  <c r="O1147" i="5" a="1"/>
  <c r="O1147" i="5" s="1"/>
  <c r="O1163" i="5" a="1"/>
  <c r="O1163" i="5" s="1"/>
  <c r="O1179" i="5" a="1"/>
  <c r="O1179" i="5" s="1"/>
  <c r="O1195" i="5" a="1"/>
  <c r="O1195" i="5" s="1"/>
  <c r="O1211" i="5" a="1"/>
  <c r="O1211" i="5" s="1"/>
  <c r="O1227" i="5" a="1"/>
  <c r="O1227" i="5" s="1"/>
  <c r="O1243" i="5" a="1"/>
  <c r="O1243" i="5" s="1"/>
  <c r="O1259" i="5" a="1"/>
  <c r="O1259" i="5" s="1"/>
  <c r="O1275" i="5" a="1"/>
  <c r="O1275" i="5" s="1"/>
  <c r="O1291" i="5" a="1"/>
  <c r="O1291" i="5" s="1"/>
  <c r="O1307" i="5" a="1"/>
  <c r="O1307" i="5" s="1"/>
  <c r="O1323" i="5" a="1"/>
  <c r="O1323" i="5" s="1"/>
  <c r="O105" i="5" a="1"/>
  <c r="O105" i="5" s="1"/>
  <c r="O121" i="5" a="1"/>
  <c r="O121" i="5" s="1"/>
  <c r="O137" i="5" a="1"/>
  <c r="O137" i="5" s="1"/>
  <c r="O153" i="5" a="1"/>
  <c r="O153" i="5" s="1"/>
  <c r="O169" i="5" a="1"/>
  <c r="O169" i="5" s="1"/>
  <c r="O186" i="5" a="1"/>
  <c r="O186" i="5" s="1"/>
  <c r="O202" i="5" a="1"/>
  <c r="O202" i="5" s="1"/>
  <c r="O218" i="5" a="1"/>
  <c r="O218" i="5" s="1"/>
  <c r="O234" i="5" a="1"/>
  <c r="O234" i="5" s="1"/>
  <c r="O250" i="5" a="1"/>
  <c r="O250" i="5" s="1"/>
  <c r="O266" i="5" a="1"/>
  <c r="O266" i="5" s="1"/>
  <c r="O283" i="5" a="1"/>
  <c r="O283" i="5" s="1"/>
  <c r="O299" i="5" a="1"/>
  <c r="O299" i="5" s="1"/>
  <c r="O315" i="5" a="1"/>
  <c r="O315" i="5" s="1"/>
  <c r="O331" i="5" a="1"/>
  <c r="O331" i="5" s="1"/>
  <c r="O347" i="5" a="1"/>
  <c r="O347" i="5" s="1"/>
  <c r="O363" i="5" a="1"/>
  <c r="O363" i="5" s="1"/>
  <c r="O379" i="5" a="1"/>
  <c r="O379" i="5" s="1"/>
  <c r="O395" i="5" a="1"/>
  <c r="O395" i="5" s="1"/>
  <c r="O411" i="5" a="1"/>
  <c r="O411" i="5" s="1"/>
  <c r="O427" i="5" a="1"/>
  <c r="O427" i="5" s="1"/>
  <c r="O443" i="5" a="1"/>
  <c r="O443" i="5" s="1"/>
  <c r="O459" i="5" a="1"/>
  <c r="O459" i="5" s="1"/>
  <c r="O475" i="5" a="1"/>
  <c r="O475" i="5" s="1"/>
  <c r="O491" i="5" a="1"/>
  <c r="O491" i="5" s="1"/>
  <c r="O507" i="5" a="1"/>
  <c r="O507" i="5" s="1"/>
  <c r="O523" i="5" a="1"/>
  <c r="O523" i="5" s="1"/>
  <c r="O539" i="5" a="1"/>
  <c r="O539" i="5" s="1"/>
  <c r="O555" i="5" a="1"/>
  <c r="O555" i="5" s="1"/>
  <c r="O571" i="5" a="1"/>
  <c r="O571" i="5" s="1"/>
  <c r="O587" i="5" a="1"/>
  <c r="O587" i="5" s="1"/>
  <c r="O603" i="5" a="1"/>
  <c r="O603" i="5" s="1"/>
  <c r="O620" i="5" a="1"/>
  <c r="O620" i="5" s="1"/>
  <c r="O636" i="5" a="1"/>
  <c r="O636" i="5" s="1"/>
  <c r="O652" i="5" a="1"/>
  <c r="O652" i="5" s="1"/>
  <c r="O668" i="5" a="1"/>
  <c r="O668" i="5" s="1"/>
  <c r="O684" i="5" a="1"/>
  <c r="O684" i="5" s="1"/>
  <c r="O700" i="5" a="1"/>
  <c r="O700" i="5" s="1"/>
  <c r="O716" i="5" a="1"/>
  <c r="O716" i="5" s="1"/>
  <c r="O732" i="5" a="1"/>
  <c r="O732" i="5" s="1"/>
  <c r="O748" i="5" a="1"/>
  <c r="O748" i="5" s="1"/>
  <c r="O106" i="5" a="1"/>
  <c r="O106" i="5" s="1"/>
  <c r="O122" i="5" a="1"/>
  <c r="O122" i="5" s="1"/>
  <c r="O138" i="5" a="1"/>
  <c r="O138" i="5" s="1"/>
  <c r="O154" i="5" a="1"/>
  <c r="O154" i="5" s="1"/>
  <c r="O170" i="5" a="1"/>
  <c r="O170" i="5" s="1"/>
  <c r="O187" i="5" a="1"/>
  <c r="O187" i="5" s="1"/>
  <c r="O203" i="5" a="1"/>
  <c r="O203" i="5" s="1"/>
  <c r="O219" i="5" a="1"/>
  <c r="O219" i="5" s="1"/>
  <c r="O235" i="5" a="1"/>
  <c r="O235" i="5" s="1"/>
  <c r="O251" i="5" a="1"/>
  <c r="O251" i="5" s="1"/>
  <c r="O267" i="5" a="1"/>
  <c r="O267" i="5" s="1"/>
  <c r="O284" i="5" a="1"/>
  <c r="O284" i="5" s="1"/>
  <c r="O300" i="5" a="1"/>
  <c r="O300" i="5" s="1"/>
  <c r="O316" i="5" a="1"/>
  <c r="O316" i="5" s="1"/>
  <c r="O332" i="5" a="1"/>
  <c r="O332" i="5" s="1"/>
  <c r="O348" i="5" a="1"/>
  <c r="O348" i="5" s="1"/>
  <c r="O364" i="5" a="1"/>
  <c r="O364" i="5" s="1"/>
  <c r="O380" i="5" a="1"/>
  <c r="O380" i="5" s="1"/>
  <c r="O396" i="5" a="1"/>
  <c r="O396" i="5" s="1"/>
  <c r="O412" i="5" a="1"/>
  <c r="O412" i="5" s="1"/>
  <c r="O428" i="5" a="1"/>
  <c r="O428" i="5" s="1"/>
  <c r="O444" i="5" a="1"/>
  <c r="O444" i="5" s="1"/>
  <c r="O460" i="5" a="1"/>
  <c r="O460" i="5" s="1"/>
  <c r="O476" i="5" a="1"/>
  <c r="O476" i="5" s="1"/>
  <c r="O492" i="5" a="1"/>
  <c r="O492" i="5" s="1"/>
  <c r="O508" i="5" a="1"/>
  <c r="O508" i="5" s="1"/>
  <c r="O524" i="5" a="1"/>
  <c r="O524" i="5" s="1"/>
  <c r="O540" i="5" a="1"/>
  <c r="O540" i="5" s="1"/>
  <c r="O556" i="5" a="1"/>
  <c r="O556" i="5" s="1"/>
  <c r="O572" i="5" a="1"/>
  <c r="O572" i="5" s="1"/>
  <c r="O588" i="5" a="1"/>
  <c r="O588" i="5" s="1"/>
  <c r="O604" i="5" a="1"/>
  <c r="O604" i="5" s="1"/>
  <c r="O621" i="5" a="1"/>
  <c r="O621" i="5" s="1"/>
  <c r="O637" i="5" a="1"/>
  <c r="O637" i="5" s="1"/>
  <c r="O653" i="5" a="1"/>
  <c r="O653" i="5" s="1"/>
  <c r="O669" i="5" a="1"/>
  <c r="O669" i="5" s="1"/>
  <c r="O685" i="5" a="1"/>
  <c r="O685" i="5" s="1"/>
  <c r="O701" i="5" a="1"/>
  <c r="O701" i="5" s="1"/>
  <c r="O717" i="5" a="1"/>
  <c r="O717" i="5" s="1"/>
  <c r="O733" i="5" a="1"/>
  <c r="O733" i="5" s="1"/>
  <c r="O749" i="5" a="1"/>
  <c r="O749" i="5" s="1"/>
  <c r="O765" i="5" a="1"/>
  <c r="O765" i="5" s="1"/>
  <c r="O781" i="5" a="1"/>
  <c r="O781" i="5" s="1"/>
  <c r="O797" i="5" a="1"/>
  <c r="O797" i="5" s="1"/>
  <c r="O813" i="5" a="1"/>
  <c r="O813" i="5" s="1"/>
  <c r="O829" i="5" a="1"/>
  <c r="O829" i="5" s="1"/>
  <c r="O845" i="5" a="1"/>
  <c r="O845" i="5" s="1"/>
  <c r="O861" i="5" a="1"/>
  <c r="O861" i="5" s="1"/>
  <c r="O877" i="5" a="1"/>
  <c r="O877" i="5" s="1"/>
  <c r="O893" i="5" a="1"/>
  <c r="O893" i="5" s="1"/>
  <c r="O909" i="5" a="1"/>
  <c r="O909" i="5" s="1"/>
  <c r="O925" i="5" a="1"/>
  <c r="O925" i="5" s="1"/>
  <c r="O941" i="5" a="1"/>
  <c r="O941" i="5" s="1"/>
  <c r="O957" i="5" a="1"/>
  <c r="O957" i="5" s="1"/>
  <c r="O973" i="5" a="1"/>
  <c r="O973" i="5" s="1"/>
  <c r="O989" i="5" a="1"/>
  <c r="O989" i="5" s="1"/>
  <c r="O1005" i="5" a="1"/>
  <c r="O1005" i="5" s="1"/>
  <c r="O1021" i="5" a="1"/>
  <c r="O1021" i="5" s="1"/>
  <c r="O1037" i="5" a="1"/>
  <c r="O1037" i="5" s="1"/>
  <c r="O1053" i="5" a="1"/>
  <c r="O1053" i="5" s="1"/>
  <c r="O1069" i="5" a="1"/>
  <c r="O1069" i="5" s="1"/>
  <c r="O1085" i="5" a="1"/>
  <c r="O1085" i="5" s="1"/>
  <c r="O1101" i="5" a="1"/>
  <c r="O1101" i="5" s="1"/>
  <c r="O1117" i="5" a="1"/>
  <c r="O1117" i="5" s="1"/>
  <c r="O1133" i="5" a="1"/>
  <c r="O1133" i="5" s="1"/>
  <c r="O1149" i="5" a="1"/>
  <c r="O1149" i="5" s="1"/>
  <c r="O1165" i="5" a="1"/>
  <c r="O1165" i="5" s="1"/>
  <c r="O1181" i="5" a="1"/>
  <c r="O1181" i="5" s="1"/>
  <c r="O1197" i="5" a="1"/>
  <c r="O1197" i="5" s="1"/>
  <c r="O133" i="5" a="1"/>
  <c r="O133" i="5" s="1"/>
  <c r="O165" i="5" a="1"/>
  <c r="O165" i="5" s="1"/>
  <c r="O198" i="5" a="1"/>
  <c r="O198" i="5" s="1"/>
  <c r="O230" i="5" a="1"/>
  <c r="O230" i="5" s="1"/>
  <c r="O262" i="5" a="1"/>
  <c r="O262" i="5" s="1"/>
  <c r="O295" i="5" a="1"/>
  <c r="O295" i="5" s="1"/>
  <c r="O327" i="5" a="1"/>
  <c r="O327" i="5" s="1"/>
  <c r="O359" i="5" a="1"/>
  <c r="O359" i="5" s="1"/>
  <c r="O391" i="5" a="1"/>
  <c r="O391" i="5" s="1"/>
  <c r="O423" i="5" a="1"/>
  <c r="O423" i="5" s="1"/>
  <c r="O455" i="5" a="1"/>
  <c r="O455" i="5" s="1"/>
  <c r="O487" i="5" a="1"/>
  <c r="O487" i="5" s="1"/>
  <c r="O519" i="5" a="1"/>
  <c r="O519" i="5" s="1"/>
  <c r="O549" i="5" a="1"/>
  <c r="O549" i="5" s="1"/>
  <c r="O579" i="5" a="1"/>
  <c r="O579" i="5" s="1"/>
  <c r="O606" i="5" a="1"/>
  <c r="O606" i="5" s="1"/>
  <c r="O633" i="5" a="1"/>
  <c r="O633" i="5" s="1"/>
  <c r="O663" i="5" a="1"/>
  <c r="O663" i="5" s="1"/>
  <c r="O691" i="5" a="1"/>
  <c r="O691" i="5" s="1"/>
  <c r="O713" i="5" a="1"/>
  <c r="O713" i="5" s="1"/>
  <c r="O741" i="5" a="1"/>
  <c r="O741" i="5" s="1"/>
  <c r="O766" i="5" a="1"/>
  <c r="O766" i="5" s="1"/>
  <c r="O789" i="5" a="1"/>
  <c r="O789" i="5" s="1"/>
  <c r="O809" i="5" a="1"/>
  <c r="O809" i="5" s="1"/>
  <c r="O832" i="5" a="1"/>
  <c r="O832" i="5" s="1"/>
  <c r="O853" i="5" a="1"/>
  <c r="O853" i="5" s="1"/>
  <c r="O873" i="5" a="1"/>
  <c r="O873" i="5" s="1"/>
  <c r="O896" i="5" a="1"/>
  <c r="O896" i="5" s="1"/>
  <c r="O917" i="5" a="1"/>
  <c r="O917" i="5" s="1"/>
  <c r="O937" i="5" a="1"/>
  <c r="O937" i="5" s="1"/>
  <c r="O960" i="5" a="1"/>
  <c r="O960" i="5" s="1"/>
  <c r="O981" i="5" a="1"/>
  <c r="O981" i="5" s="1"/>
  <c r="O1001" i="5" a="1"/>
  <c r="O1001" i="5" s="1"/>
  <c r="O1024" i="5" a="1"/>
  <c r="O1024" i="5" s="1"/>
  <c r="O1045" i="5" a="1"/>
  <c r="O1045" i="5" s="1"/>
  <c r="O1065" i="5" a="1"/>
  <c r="O1065" i="5" s="1"/>
  <c r="O1088" i="5" a="1"/>
  <c r="O1088" i="5" s="1"/>
  <c r="O1109" i="5" a="1"/>
  <c r="O1109" i="5" s="1"/>
  <c r="O1129" i="5" a="1"/>
  <c r="O1129" i="5" s="1"/>
  <c r="O1152" i="5" a="1"/>
  <c r="O1152" i="5" s="1"/>
  <c r="O1173" i="5" a="1"/>
  <c r="O1173" i="5" s="1"/>
  <c r="O1193" i="5" a="1"/>
  <c r="O1193" i="5" s="1"/>
  <c r="O1215" i="5" a="1"/>
  <c r="O1215" i="5" s="1"/>
  <c r="O1235" i="5" a="1"/>
  <c r="O1235" i="5" s="1"/>
  <c r="O1254" i="5" a="1"/>
  <c r="O1254" i="5" s="1"/>
  <c r="O1273" i="5" a="1"/>
  <c r="O1273" i="5" s="1"/>
  <c r="O1294" i="5" a="1"/>
  <c r="O1294" i="5" s="1"/>
  <c r="O1314" i="5" a="1"/>
  <c r="O1314" i="5" s="1"/>
  <c r="O1332" i="5" a="1"/>
  <c r="O1332" i="5" s="1"/>
  <c r="O1349" i="5" a="1"/>
  <c r="O1349" i="5" s="1"/>
  <c r="O1366" i="5" a="1"/>
  <c r="O1366" i="5" s="1"/>
  <c r="O1383" i="5" a="1"/>
  <c r="O1383" i="5" s="1"/>
  <c r="O1400" i="5" a="1"/>
  <c r="O1400" i="5" s="1"/>
  <c r="O1417" i="5" a="1"/>
  <c r="O1417" i="5" s="1"/>
  <c r="O1434" i="5" a="1"/>
  <c r="O1434" i="5" s="1"/>
  <c r="O1451" i="5" a="1"/>
  <c r="O1451" i="5" s="1"/>
  <c r="O1468" i="5" a="1"/>
  <c r="O1468" i="5" s="1"/>
  <c r="O1484" i="5" a="1"/>
  <c r="O1484" i="5" s="1"/>
  <c r="O1500" i="5" a="1"/>
  <c r="O1500" i="5" s="1"/>
  <c r="O1516" i="5" a="1"/>
  <c r="O1516" i="5" s="1"/>
  <c r="O1532" i="5" a="1"/>
  <c r="O1532" i="5" s="1"/>
  <c r="O1548" i="5" a="1"/>
  <c r="O1548" i="5" s="1"/>
  <c r="O134" i="5" a="1"/>
  <c r="O134" i="5" s="1"/>
  <c r="O166" i="5" a="1"/>
  <c r="O166" i="5" s="1"/>
  <c r="O199" i="5" a="1"/>
  <c r="O199" i="5" s="1"/>
  <c r="O231" i="5" a="1"/>
  <c r="O231" i="5" s="1"/>
  <c r="O263" i="5" a="1"/>
  <c r="O263" i="5" s="1"/>
  <c r="O296" i="5" a="1"/>
  <c r="O296" i="5" s="1"/>
  <c r="O328" i="5" a="1"/>
  <c r="O328" i="5" s="1"/>
  <c r="O360" i="5" a="1"/>
  <c r="O360" i="5" s="1"/>
  <c r="O392" i="5" a="1"/>
  <c r="O392" i="5" s="1"/>
  <c r="O424" i="5" a="1"/>
  <c r="O424" i="5" s="1"/>
  <c r="O456" i="5" a="1"/>
  <c r="O456" i="5" s="1"/>
  <c r="O488" i="5" a="1"/>
  <c r="O488" i="5" s="1"/>
  <c r="O520" i="5" a="1"/>
  <c r="O520" i="5" s="1"/>
  <c r="O550" i="5" a="1"/>
  <c r="O550" i="5" s="1"/>
  <c r="O580" i="5" a="1"/>
  <c r="O580" i="5" s="1"/>
  <c r="O610" i="5" a="1"/>
  <c r="O610" i="5" s="1"/>
  <c r="O638" i="5" a="1"/>
  <c r="O638" i="5" s="1"/>
  <c r="O664" i="5" a="1"/>
  <c r="O664" i="5" s="1"/>
  <c r="O692" i="5" a="1"/>
  <c r="O692" i="5" s="1"/>
  <c r="O718" i="5" a="1"/>
  <c r="O718" i="5" s="1"/>
  <c r="O742" i="5" a="1"/>
  <c r="O742" i="5" s="1"/>
  <c r="O767" i="5" a="1"/>
  <c r="O767" i="5" s="1"/>
  <c r="O790" i="5" a="1"/>
  <c r="O790" i="5" s="1"/>
  <c r="O812" i="5" a="1"/>
  <c r="O812" i="5" s="1"/>
  <c r="O834" i="5" a="1"/>
  <c r="O834" i="5" s="1"/>
  <c r="O854" i="5" a="1"/>
  <c r="O854" i="5" s="1"/>
  <c r="O876" i="5" a="1"/>
  <c r="O876" i="5" s="1"/>
  <c r="O898" i="5" a="1"/>
  <c r="O898" i="5" s="1"/>
  <c r="O918" i="5" a="1"/>
  <c r="O918" i="5" s="1"/>
  <c r="O940" i="5" a="1"/>
  <c r="O940" i="5" s="1"/>
  <c r="O962" i="5" a="1"/>
  <c r="O962" i="5" s="1"/>
  <c r="O982" i="5" a="1"/>
  <c r="O982" i="5" s="1"/>
  <c r="O1004" i="5" a="1"/>
  <c r="O1004" i="5" s="1"/>
  <c r="O1026" i="5" a="1"/>
  <c r="O1026" i="5" s="1"/>
  <c r="O1046" i="5" a="1"/>
  <c r="O1046" i="5" s="1"/>
  <c r="O1068" i="5" a="1"/>
  <c r="O1068" i="5" s="1"/>
  <c r="O1090" i="5" a="1"/>
  <c r="O1090" i="5" s="1"/>
  <c r="O1110" i="5" a="1"/>
  <c r="O1110" i="5" s="1"/>
  <c r="O1132" i="5" a="1"/>
  <c r="O1132" i="5" s="1"/>
  <c r="O1154" i="5" a="1"/>
  <c r="O1154" i="5" s="1"/>
  <c r="O1174" i="5" a="1"/>
  <c r="O1174" i="5" s="1"/>
  <c r="O1196" i="5" a="1"/>
  <c r="O1196" i="5" s="1"/>
  <c r="O1216" i="5" a="1"/>
  <c r="O1216" i="5" s="1"/>
  <c r="O1236" i="5" a="1"/>
  <c r="O1236" i="5" s="1"/>
  <c r="O1255" i="5" a="1"/>
  <c r="O1255" i="5" s="1"/>
  <c r="O1276" i="5" a="1"/>
  <c r="O1276" i="5" s="1"/>
  <c r="O107" i="5" a="1"/>
  <c r="O107" i="5" s="1"/>
  <c r="O139" i="5" a="1"/>
  <c r="O139" i="5" s="1"/>
  <c r="O171" i="5" a="1"/>
  <c r="O171" i="5" s="1"/>
  <c r="O204" i="5" a="1"/>
  <c r="O204" i="5" s="1"/>
  <c r="O236" i="5" a="1"/>
  <c r="O236" i="5" s="1"/>
  <c r="O268" i="5" a="1"/>
  <c r="O268" i="5" s="1"/>
  <c r="O301" i="5" a="1"/>
  <c r="O301" i="5" s="1"/>
  <c r="O333" i="5" a="1"/>
  <c r="O333" i="5" s="1"/>
  <c r="O365" i="5" a="1"/>
  <c r="O365" i="5" s="1"/>
  <c r="O397" i="5" a="1"/>
  <c r="O397" i="5" s="1"/>
  <c r="O429" i="5" a="1"/>
  <c r="O429" i="5" s="1"/>
  <c r="O461" i="5" a="1"/>
  <c r="O461" i="5" s="1"/>
  <c r="O108" i="5" a="1"/>
  <c r="O108" i="5" s="1"/>
  <c r="O140" i="5" a="1"/>
  <c r="O140" i="5" s="1"/>
  <c r="O172" i="5" a="1"/>
  <c r="O172" i="5" s="1"/>
  <c r="O112" i="5" a="1"/>
  <c r="O112" i="5" s="1"/>
  <c r="O144" i="5" a="1"/>
  <c r="O144" i="5" s="1"/>
  <c r="O177" i="5" a="1"/>
  <c r="O177" i="5" s="1"/>
  <c r="O209" i="5" a="1"/>
  <c r="O209" i="5" s="1"/>
  <c r="O241" i="5" a="1"/>
  <c r="O241" i="5" s="1"/>
  <c r="O274" i="5" a="1"/>
  <c r="O274" i="5" s="1"/>
  <c r="O306" i="5" a="1"/>
  <c r="O306" i="5" s="1"/>
  <c r="O338" i="5" a="1"/>
  <c r="O338" i="5" s="1"/>
  <c r="O370" i="5" a="1"/>
  <c r="O370" i="5" s="1"/>
  <c r="O402" i="5" a="1"/>
  <c r="O402" i="5" s="1"/>
  <c r="O434" i="5" a="1"/>
  <c r="O434" i="5" s="1"/>
  <c r="O466" i="5" a="1"/>
  <c r="O466" i="5" s="1"/>
  <c r="O498" i="5" a="1"/>
  <c r="O498" i="5" s="1"/>
  <c r="O530" i="5" a="1"/>
  <c r="O530" i="5" s="1"/>
  <c r="O557" i="5" a="1"/>
  <c r="O557" i="5" s="1"/>
  <c r="O583" i="5" a="1"/>
  <c r="O583" i="5" s="1"/>
  <c r="O613" i="5" a="1"/>
  <c r="O613" i="5" s="1"/>
  <c r="O644" i="5" a="1"/>
  <c r="O644" i="5" s="1"/>
  <c r="O671" i="5" a="1"/>
  <c r="O671" i="5" s="1"/>
  <c r="O695" i="5" a="1"/>
  <c r="O695" i="5" s="1"/>
  <c r="O723" i="5" a="1"/>
  <c r="O723" i="5" s="1"/>
  <c r="O745" i="5" a="1"/>
  <c r="O745" i="5" s="1"/>
  <c r="O772" i="5" a="1"/>
  <c r="O772" i="5" s="1"/>
  <c r="O793" i="5" a="1"/>
  <c r="O793" i="5" s="1"/>
  <c r="O816" i="5" a="1"/>
  <c r="O816" i="5" s="1"/>
  <c r="O837" i="5" a="1"/>
  <c r="O837" i="5" s="1"/>
  <c r="O857" i="5" a="1"/>
  <c r="O857" i="5" s="1"/>
  <c r="O880" i="5" a="1"/>
  <c r="O880" i="5" s="1"/>
  <c r="O901" i="5" a="1"/>
  <c r="O901" i="5" s="1"/>
  <c r="O921" i="5" a="1"/>
  <c r="O921" i="5" s="1"/>
  <c r="O944" i="5" a="1"/>
  <c r="O944" i="5" s="1"/>
  <c r="O965" i="5" a="1"/>
  <c r="O965" i="5" s="1"/>
  <c r="O985" i="5" a="1"/>
  <c r="O985" i="5" s="1"/>
  <c r="O1008" i="5" a="1"/>
  <c r="O1008" i="5" s="1"/>
  <c r="O1029" i="5" a="1"/>
  <c r="O1029" i="5" s="1"/>
  <c r="O1049" i="5" a="1"/>
  <c r="O1049" i="5" s="1"/>
  <c r="O1072" i="5" a="1"/>
  <c r="O1072" i="5" s="1"/>
  <c r="O1093" i="5" a="1"/>
  <c r="O1093" i="5" s="1"/>
  <c r="O1113" i="5" a="1"/>
  <c r="O1113" i="5" s="1"/>
  <c r="O1136" i="5" a="1"/>
  <c r="O1136" i="5" s="1"/>
  <c r="O1157" i="5" a="1"/>
  <c r="O1157" i="5" s="1"/>
  <c r="O1177" i="5" a="1"/>
  <c r="O1177" i="5" s="1"/>
  <c r="O1200" i="5" a="1"/>
  <c r="O1200" i="5" s="1"/>
  <c r="O1220" i="5" a="1"/>
  <c r="O1220" i="5" s="1"/>
  <c r="O1239" i="5" a="1"/>
  <c r="O1239" i="5" s="1"/>
  <c r="O1260" i="5" a="1"/>
  <c r="O1260" i="5" s="1"/>
  <c r="O1279" i="5" a="1"/>
  <c r="O1279" i="5" s="1"/>
  <c r="O1299" i="5" a="1"/>
  <c r="O1299" i="5" s="1"/>
  <c r="O1318" i="5" a="1"/>
  <c r="O1318" i="5" s="1"/>
  <c r="O1336" i="5" a="1"/>
  <c r="O1336" i="5" s="1"/>
  <c r="O1353" i="5" a="1"/>
  <c r="O1353" i="5" s="1"/>
  <c r="O1370" i="5" a="1"/>
  <c r="O1370" i="5" s="1"/>
  <c r="O1387" i="5" a="1"/>
  <c r="O1387" i="5" s="1"/>
  <c r="O1404" i="5" a="1"/>
  <c r="O1404" i="5" s="1"/>
  <c r="O1421" i="5" a="1"/>
  <c r="O1421" i="5" s="1"/>
  <c r="O1438" i="5" a="1"/>
  <c r="O1438" i="5" s="1"/>
  <c r="O1455" i="5" a="1"/>
  <c r="O1455" i="5" s="1"/>
  <c r="O1472" i="5" a="1"/>
  <c r="O1472" i="5" s="1"/>
  <c r="O1488" i="5" a="1"/>
  <c r="O1488" i="5" s="1"/>
  <c r="O113" i="5" a="1"/>
  <c r="O113" i="5" s="1"/>
  <c r="O145" i="5" a="1"/>
  <c r="O145" i="5" s="1"/>
  <c r="O178" i="5" a="1"/>
  <c r="O178" i="5" s="1"/>
  <c r="O210" i="5" a="1"/>
  <c r="O210" i="5" s="1"/>
  <c r="O242" i="5" a="1"/>
  <c r="O242" i="5" s="1"/>
  <c r="O275" i="5" a="1"/>
  <c r="O275" i="5" s="1"/>
  <c r="O307" i="5" a="1"/>
  <c r="O307" i="5" s="1"/>
  <c r="O339" i="5" a="1"/>
  <c r="O339" i="5" s="1"/>
  <c r="O371" i="5" a="1"/>
  <c r="O371" i="5" s="1"/>
  <c r="O403" i="5" a="1"/>
  <c r="O403" i="5" s="1"/>
  <c r="O435" i="5" a="1"/>
  <c r="O435" i="5" s="1"/>
  <c r="O467" i="5" a="1"/>
  <c r="O467" i="5" s="1"/>
  <c r="O499" i="5" a="1"/>
  <c r="O499" i="5" s="1"/>
  <c r="O531" i="5" a="1"/>
  <c r="O531" i="5" s="1"/>
  <c r="O558" i="5" a="1"/>
  <c r="O558" i="5" s="1"/>
  <c r="O584" i="5" a="1"/>
  <c r="O584" i="5" s="1"/>
  <c r="O614" i="5" a="1"/>
  <c r="O614" i="5" s="1"/>
  <c r="O645" i="5" a="1"/>
  <c r="O645" i="5" s="1"/>
  <c r="O672" i="5" a="1"/>
  <c r="O672" i="5" s="1"/>
  <c r="O696" i="5" a="1"/>
  <c r="O696" i="5" s="1"/>
  <c r="O724" i="5" a="1"/>
  <c r="O724" i="5" s="1"/>
  <c r="O750" i="5" a="1"/>
  <c r="O750" i="5" s="1"/>
  <c r="O773" i="5" a="1"/>
  <c r="O773" i="5" s="1"/>
  <c r="O796" i="5" a="1"/>
  <c r="O796" i="5" s="1"/>
  <c r="O818" i="5" a="1"/>
  <c r="O818" i="5" s="1"/>
  <c r="O838" i="5" a="1"/>
  <c r="O838" i="5" s="1"/>
  <c r="O860" i="5" a="1"/>
  <c r="O860" i="5" s="1"/>
  <c r="O882" i="5" a="1"/>
  <c r="O882" i="5" s="1"/>
  <c r="O902" i="5" a="1"/>
  <c r="O902" i="5" s="1"/>
  <c r="O924" i="5" a="1"/>
  <c r="O924" i="5" s="1"/>
  <c r="O946" i="5" a="1"/>
  <c r="O946" i="5" s="1"/>
  <c r="O966" i="5" a="1"/>
  <c r="O966" i="5" s="1"/>
  <c r="O988" i="5" a="1"/>
  <c r="O988" i="5" s="1"/>
  <c r="O1010" i="5" a="1"/>
  <c r="O1010" i="5" s="1"/>
  <c r="O1030" i="5" a="1"/>
  <c r="O1030" i="5" s="1"/>
  <c r="O1052" i="5" a="1"/>
  <c r="O1052" i="5" s="1"/>
  <c r="O1074" i="5" a="1"/>
  <c r="O1074" i="5" s="1"/>
  <c r="O1094" i="5" a="1"/>
  <c r="O1094" i="5" s="1"/>
  <c r="O1116" i="5" a="1"/>
  <c r="O1116" i="5" s="1"/>
  <c r="O1138" i="5" a="1"/>
  <c r="O1138" i="5" s="1"/>
  <c r="O1158" i="5" a="1"/>
  <c r="O1158" i="5" s="1"/>
  <c r="O1180" i="5" a="1"/>
  <c r="O1180" i="5" s="1"/>
  <c r="O1202" i="5" a="1"/>
  <c r="O1202" i="5" s="1"/>
  <c r="O1221" i="5" a="1"/>
  <c r="O1221" i="5" s="1"/>
  <c r="O1240" i="5" a="1"/>
  <c r="O1240" i="5" s="1"/>
  <c r="O1261" i="5" a="1"/>
  <c r="O1261" i="5" s="1"/>
  <c r="O1280" i="5" a="1"/>
  <c r="O1280" i="5" s="1"/>
  <c r="O1300" i="5" a="1"/>
  <c r="O1300" i="5" s="1"/>
  <c r="O1319" i="5" a="1"/>
  <c r="O1319" i="5" s="1"/>
  <c r="O1337" i="5" a="1"/>
  <c r="O1337" i="5" s="1"/>
  <c r="O1354" i="5" a="1"/>
  <c r="O1354" i="5" s="1"/>
  <c r="O1371" i="5" a="1"/>
  <c r="O1371" i="5" s="1"/>
  <c r="O1388" i="5" a="1"/>
  <c r="O1388" i="5" s="1"/>
  <c r="O1405" i="5" a="1"/>
  <c r="O1405" i="5" s="1"/>
  <c r="O1422" i="5" a="1"/>
  <c r="O1422" i="5" s="1"/>
  <c r="O1439" i="5" a="1"/>
  <c r="O1439" i="5" s="1"/>
  <c r="O1456" i="5" a="1"/>
  <c r="O1456" i="5" s="1"/>
  <c r="O1473" i="5" a="1"/>
  <c r="O1473" i="5" s="1"/>
  <c r="O1489" i="5" a="1"/>
  <c r="O1489" i="5" s="1"/>
  <c r="O1505" i="5" a="1"/>
  <c r="O1505" i="5" s="1"/>
  <c r="O1521" i="5" a="1"/>
  <c r="O1521" i="5" s="1"/>
  <c r="O1537" i="5" a="1"/>
  <c r="O1537" i="5" s="1"/>
  <c r="O116" i="5" a="1"/>
  <c r="O116" i="5" s="1"/>
  <c r="O213" i="5" a="1"/>
  <c r="O213" i="5" s="1"/>
  <c r="O245" i="5" a="1"/>
  <c r="O245" i="5" s="1"/>
  <c r="O342" i="5" a="1"/>
  <c r="O342" i="5" s="1"/>
  <c r="O406" i="5" a="1"/>
  <c r="O406" i="5" s="1"/>
  <c r="O470" i="5" a="1"/>
  <c r="O470" i="5" s="1"/>
  <c r="O563" i="5" a="1"/>
  <c r="O563" i="5" s="1"/>
  <c r="O616" i="5" a="1"/>
  <c r="O616" i="5" s="1"/>
  <c r="O702" i="5" a="1"/>
  <c r="O702" i="5" s="1"/>
  <c r="O752" i="5" a="1"/>
  <c r="O752" i="5" s="1"/>
  <c r="O799" i="5" a="1"/>
  <c r="O799" i="5" s="1"/>
  <c r="O863" i="5" a="1"/>
  <c r="O863" i="5" s="1"/>
  <c r="O927" i="5" a="1"/>
  <c r="O927" i="5" s="1"/>
  <c r="O948" i="5" a="1"/>
  <c r="O948" i="5" s="1"/>
  <c r="O1012" i="5" a="1"/>
  <c r="O1012" i="5" s="1"/>
  <c r="O1055" i="5" a="1"/>
  <c r="O1055" i="5" s="1"/>
  <c r="O1119" i="5" a="1"/>
  <c r="O1119" i="5" s="1"/>
  <c r="O1183" i="5" a="1"/>
  <c r="O1183" i="5" s="1"/>
  <c r="O1263" i="5" a="1"/>
  <c r="O1263" i="5" s="1"/>
  <c r="O1302" i="5" a="1"/>
  <c r="O1302" i="5" s="1"/>
  <c r="O1356" i="5" a="1"/>
  <c r="O1356" i="5" s="1"/>
  <c r="O1424" i="5" a="1"/>
  <c r="O1424" i="5" s="1"/>
  <c r="O1491" i="5" a="1"/>
  <c r="O1491" i="5" s="1"/>
  <c r="O114" i="5" a="1"/>
  <c r="O114" i="5" s="1"/>
  <c r="O146" i="5" a="1"/>
  <c r="O146" i="5" s="1"/>
  <c r="O179" i="5" a="1"/>
  <c r="O179" i="5" s="1"/>
  <c r="O211" i="5" a="1"/>
  <c r="O211" i="5" s="1"/>
  <c r="O243" i="5" a="1"/>
  <c r="O243" i="5" s="1"/>
  <c r="O276" i="5" a="1"/>
  <c r="O276" i="5" s="1"/>
  <c r="O308" i="5" a="1"/>
  <c r="O308" i="5" s="1"/>
  <c r="O340" i="5" a="1"/>
  <c r="O340" i="5" s="1"/>
  <c r="O372" i="5" a="1"/>
  <c r="O372" i="5" s="1"/>
  <c r="O404" i="5" a="1"/>
  <c r="O404" i="5" s="1"/>
  <c r="O436" i="5" a="1"/>
  <c r="O436" i="5" s="1"/>
  <c r="O468" i="5" a="1"/>
  <c r="O468" i="5" s="1"/>
  <c r="O500" i="5" a="1"/>
  <c r="O500" i="5" s="1"/>
  <c r="O532" i="5" a="1"/>
  <c r="O532" i="5" s="1"/>
  <c r="O562" i="5" a="1"/>
  <c r="O562" i="5" s="1"/>
  <c r="O589" i="5" a="1"/>
  <c r="O589" i="5" s="1"/>
  <c r="O615" i="5" a="1"/>
  <c r="O615" i="5" s="1"/>
  <c r="O646" i="5" a="1"/>
  <c r="O646" i="5" s="1"/>
  <c r="O675" i="5" a="1"/>
  <c r="O675" i="5" s="1"/>
  <c r="O697" i="5" a="1"/>
  <c r="O697" i="5" s="1"/>
  <c r="O725" i="5" a="1"/>
  <c r="O725" i="5" s="1"/>
  <c r="O751" i="5" a="1"/>
  <c r="O751" i="5" s="1"/>
  <c r="O774" i="5" a="1"/>
  <c r="O774" i="5" s="1"/>
  <c r="O798" i="5" a="1"/>
  <c r="O798" i="5" s="1"/>
  <c r="O819" i="5" a="1"/>
  <c r="O819" i="5" s="1"/>
  <c r="O839" i="5" a="1"/>
  <c r="O839" i="5" s="1"/>
  <c r="O862" i="5" a="1"/>
  <c r="O862" i="5" s="1"/>
  <c r="O883" i="5" a="1"/>
  <c r="O883" i="5" s="1"/>
  <c r="O903" i="5" a="1"/>
  <c r="O903" i="5" s="1"/>
  <c r="O926" i="5" a="1"/>
  <c r="O926" i="5" s="1"/>
  <c r="O947" i="5" a="1"/>
  <c r="O947" i="5" s="1"/>
  <c r="O967" i="5" a="1"/>
  <c r="O967" i="5" s="1"/>
  <c r="O990" i="5" a="1"/>
  <c r="O990" i="5" s="1"/>
  <c r="O1011" i="5" a="1"/>
  <c r="O1011" i="5" s="1"/>
  <c r="O1031" i="5" a="1"/>
  <c r="O1031" i="5" s="1"/>
  <c r="O1054" i="5" a="1"/>
  <c r="O1054" i="5" s="1"/>
  <c r="O1075" i="5" a="1"/>
  <c r="O1075" i="5" s="1"/>
  <c r="O1095" i="5" a="1"/>
  <c r="O1095" i="5" s="1"/>
  <c r="O1118" i="5" a="1"/>
  <c r="O1118" i="5" s="1"/>
  <c r="O1139" i="5" a="1"/>
  <c r="O1139" i="5" s="1"/>
  <c r="O1159" i="5" a="1"/>
  <c r="O1159" i="5" s="1"/>
  <c r="O1182" i="5" a="1"/>
  <c r="O1182" i="5" s="1"/>
  <c r="O1203" i="5" a="1"/>
  <c r="O1203" i="5" s="1"/>
  <c r="O1222" i="5" a="1"/>
  <c r="O1222" i="5" s="1"/>
  <c r="O1241" i="5" a="1"/>
  <c r="O1241" i="5" s="1"/>
  <c r="O1262" i="5" a="1"/>
  <c r="O1262" i="5" s="1"/>
  <c r="O1282" i="5" a="1"/>
  <c r="O1282" i="5" s="1"/>
  <c r="O1301" i="5" a="1"/>
  <c r="O1301" i="5" s="1"/>
  <c r="O1320" i="5" a="1"/>
  <c r="O1320" i="5" s="1"/>
  <c r="O1338" i="5" a="1"/>
  <c r="O1338" i="5" s="1"/>
  <c r="O1355" i="5" a="1"/>
  <c r="O1355" i="5" s="1"/>
  <c r="O1372" i="5" a="1"/>
  <c r="O1372" i="5" s="1"/>
  <c r="O1389" i="5" a="1"/>
  <c r="O1389" i="5" s="1"/>
  <c r="O1406" i="5" a="1"/>
  <c r="O1406" i="5" s="1"/>
  <c r="O1423" i="5" a="1"/>
  <c r="O1423" i="5" s="1"/>
  <c r="O1440" i="5" a="1"/>
  <c r="O1440" i="5" s="1"/>
  <c r="O1458" i="5" a="1"/>
  <c r="O1458" i="5" s="1"/>
  <c r="O1474" i="5" a="1"/>
  <c r="O1474" i="5" s="1"/>
  <c r="O1490" i="5" a="1"/>
  <c r="O1490" i="5" s="1"/>
  <c r="O1506" i="5" a="1"/>
  <c r="O1506" i="5" s="1"/>
  <c r="O1522" i="5" a="1"/>
  <c r="O1522" i="5" s="1"/>
  <c r="O1538" i="5" a="1"/>
  <c r="O1538" i="5" s="1"/>
  <c r="O181" i="5" a="1"/>
  <c r="O181" i="5" s="1"/>
  <c r="O278" i="5" a="1"/>
  <c r="O278" i="5" s="1"/>
  <c r="O374" i="5" a="1"/>
  <c r="O374" i="5" s="1"/>
  <c r="O438" i="5" a="1"/>
  <c r="O438" i="5" s="1"/>
  <c r="O502" i="5" a="1"/>
  <c r="O502" i="5" s="1"/>
  <c r="O590" i="5" a="1"/>
  <c r="O590" i="5" s="1"/>
  <c r="O647" i="5" a="1"/>
  <c r="O647" i="5" s="1"/>
  <c r="O726" i="5" a="1"/>
  <c r="O726" i="5" s="1"/>
  <c r="O775" i="5" a="1"/>
  <c r="O775" i="5" s="1"/>
  <c r="O840" i="5" a="1"/>
  <c r="O840" i="5" s="1"/>
  <c r="O904" i="5" a="1"/>
  <c r="O904" i="5" s="1"/>
  <c r="O968" i="5" a="1"/>
  <c r="O968" i="5" s="1"/>
  <c r="O1032" i="5" a="1"/>
  <c r="O1032" i="5" s="1"/>
  <c r="O1096" i="5" a="1"/>
  <c r="O1096" i="5" s="1"/>
  <c r="O1160" i="5" a="1"/>
  <c r="O1160" i="5" s="1"/>
  <c r="O1204" i="5" a="1"/>
  <c r="O1204" i="5" s="1"/>
  <c r="O1223" i="5" a="1"/>
  <c r="O1223" i="5" s="1"/>
  <c r="O1283" i="5" a="1"/>
  <c r="O1283" i="5" s="1"/>
  <c r="O1321" i="5" a="1"/>
  <c r="O1321" i="5" s="1"/>
  <c r="O1373" i="5" a="1"/>
  <c r="O1373" i="5" s="1"/>
  <c r="O1407" i="5" a="1"/>
  <c r="O1407" i="5" s="1"/>
  <c r="O1442" i="5" a="1"/>
  <c r="O1442" i="5" s="1"/>
  <c r="O1459" i="5" a="1"/>
  <c r="O1459" i="5" s="1"/>
  <c r="O148" i="5" a="1"/>
  <c r="O148" i="5" s="1"/>
  <c r="O310" i="5" a="1"/>
  <c r="O310" i="5" s="1"/>
  <c r="O533" i="5" a="1"/>
  <c r="O533" i="5" s="1"/>
  <c r="O676" i="5" a="1"/>
  <c r="O676" i="5" s="1"/>
  <c r="O820" i="5" a="1"/>
  <c r="O820" i="5" s="1"/>
  <c r="O884" i="5" a="1"/>
  <c r="O884" i="5" s="1"/>
  <c r="O991" i="5" a="1"/>
  <c r="O991" i="5" s="1"/>
  <c r="O1076" i="5" a="1"/>
  <c r="O1076" i="5" s="1"/>
  <c r="O1140" i="5" a="1"/>
  <c r="O1140" i="5" s="1"/>
  <c r="O1244" i="5" a="1"/>
  <c r="O1244" i="5" s="1"/>
  <c r="O1339" i="5" a="1"/>
  <c r="O1339" i="5" s="1"/>
  <c r="O1390" i="5" a="1"/>
  <c r="O1390" i="5" s="1"/>
  <c r="O1475" i="5" a="1"/>
  <c r="O1475" i="5" s="1"/>
  <c r="O117" i="5" a="1"/>
  <c r="O117" i="5" s="1"/>
  <c r="O149" i="5" a="1"/>
  <c r="O149" i="5" s="1"/>
  <c r="O182" i="5" a="1"/>
  <c r="O182" i="5" s="1"/>
  <c r="O214" i="5" a="1"/>
  <c r="O214" i="5" s="1"/>
  <c r="O246" i="5" a="1"/>
  <c r="O246" i="5" s="1"/>
  <c r="O279" i="5" a="1"/>
  <c r="O279" i="5" s="1"/>
  <c r="O311" i="5" a="1"/>
  <c r="O311" i="5" s="1"/>
  <c r="O343" i="5" a="1"/>
  <c r="O343" i="5" s="1"/>
  <c r="O375" i="5" a="1"/>
  <c r="O375" i="5" s="1"/>
  <c r="O407" i="5" a="1"/>
  <c r="O407" i="5" s="1"/>
  <c r="O439" i="5" a="1"/>
  <c r="O439" i="5" s="1"/>
  <c r="O471" i="5" a="1"/>
  <c r="O471" i="5" s="1"/>
  <c r="O503" i="5" a="1"/>
  <c r="O503" i="5" s="1"/>
  <c r="O534" i="5" a="1"/>
  <c r="O534" i="5" s="1"/>
  <c r="O564" i="5" a="1"/>
  <c r="O564" i="5" s="1"/>
  <c r="O594" i="5" a="1"/>
  <c r="O594" i="5" s="1"/>
  <c r="O622" i="5" a="1"/>
  <c r="O622" i="5" s="1"/>
  <c r="O648" i="5" a="1"/>
  <c r="O648" i="5" s="1"/>
  <c r="O677" i="5" a="1"/>
  <c r="O677" i="5" s="1"/>
  <c r="O703" i="5" a="1"/>
  <c r="O703" i="5" s="1"/>
  <c r="O727" i="5" a="1"/>
  <c r="O727" i="5" s="1"/>
  <c r="O755" i="5" a="1"/>
  <c r="O755" i="5" s="1"/>
  <c r="O776" i="5" a="1"/>
  <c r="O776" i="5" s="1"/>
  <c r="O800" i="5" a="1"/>
  <c r="O800" i="5" s="1"/>
  <c r="O821" i="5" a="1"/>
  <c r="O821" i="5" s="1"/>
  <c r="O841" i="5" a="1"/>
  <c r="O841" i="5" s="1"/>
  <c r="O864" i="5" a="1"/>
  <c r="O864" i="5" s="1"/>
  <c r="O885" i="5" a="1"/>
  <c r="O885" i="5" s="1"/>
  <c r="O905" i="5" a="1"/>
  <c r="O905" i="5" s="1"/>
  <c r="O928" i="5" a="1"/>
  <c r="O928" i="5" s="1"/>
  <c r="O949" i="5" a="1"/>
  <c r="O949" i="5" s="1"/>
  <c r="O969" i="5" a="1"/>
  <c r="O969" i="5" s="1"/>
  <c r="O992" i="5" a="1"/>
  <c r="O992" i="5" s="1"/>
  <c r="O1013" i="5" a="1"/>
  <c r="O1013" i="5" s="1"/>
  <c r="O1033" i="5" a="1"/>
  <c r="O1033" i="5" s="1"/>
  <c r="O1056" i="5" a="1"/>
  <c r="O1056" i="5" s="1"/>
  <c r="O1077" i="5" a="1"/>
  <c r="O1077" i="5" s="1"/>
  <c r="O1097" i="5" a="1"/>
  <c r="O1097" i="5" s="1"/>
  <c r="O1120" i="5" a="1"/>
  <c r="O1120" i="5" s="1"/>
  <c r="O1141" i="5" a="1"/>
  <c r="O1141" i="5" s="1"/>
  <c r="O1161" i="5" a="1"/>
  <c r="O1161" i="5" s="1"/>
  <c r="O1184" i="5" a="1"/>
  <c r="O1184" i="5" s="1"/>
  <c r="O1205" i="5" a="1"/>
  <c r="O1205" i="5" s="1"/>
  <c r="O1224" i="5" a="1"/>
  <c r="O1224" i="5" s="1"/>
  <c r="O1245" i="5" a="1"/>
  <c r="O1245" i="5" s="1"/>
  <c r="O1264" i="5" a="1"/>
  <c r="O1264" i="5" s="1"/>
  <c r="O118" i="5" a="1"/>
  <c r="O118" i="5" s="1"/>
  <c r="O150" i="5" a="1"/>
  <c r="O150" i="5" s="1"/>
  <c r="O183" i="5" a="1"/>
  <c r="O183" i="5" s="1"/>
  <c r="O215" i="5" a="1"/>
  <c r="O215" i="5" s="1"/>
  <c r="O247" i="5" a="1"/>
  <c r="O247" i="5" s="1"/>
  <c r="O280" i="5" a="1"/>
  <c r="O280" i="5" s="1"/>
  <c r="O312" i="5" a="1"/>
  <c r="O312" i="5" s="1"/>
  <c r="O344" i="5" a="1"/>
  <c r="O344" i="5" s="1"/>
  <c r="O376" i="5" a="1"/>
  <c r="O376" i="5" s="1"/>
  <c r="O408" i="5" a="1"/>
  <c r="O408" i="5" s="1"/>
  <c r="O440" i="5" a="1"/>
  <c r="O440" i="5" s="1"/>
  <c r="O472" i="5" a="1"/>
  <c r="O472" i="5" s="1"/>
  <c r="O504" i="5" a="1"/>
  <c r="O504" i="5" s="1"/>
  <c r="O535" i="5" a="1"/>
  <c r="O535" i="5" s="1"/>
  <c r="O565" i="5" a="1"/>
  <c r="O565" i="5" s="1"/>
  <c r="O595" i="5" a="1"/>
  <c r="O595" i="5" s="1"/>
  <c r="O623" i="5" a="1"/>
  <c r="O623" i="5" s="1"/>
  <c r="O649" i="5" a="1"/>
  <c r="O649" i="5" s="1"/>
  <c r="O678" i="5" a="1"/>
  <c r="O678" i="5" s="1"/>
  <c r="O704" i="5" a="1"/>
  <c r="O704" i="5" s="1"/>
  <c r="O728" i="5" a="1"/>
  <c r="O728" i="5" s="1"/>
  <c r="O756" i="5" a="1"/>
  <c r="O756" i="5" s="1"/>
  <c r="O777" i="5" a="1"/>
  <c r="O777" i="5" s="1"/>
  <c r="O802" i="5" a="1"/>
  <c r="O802" i="5" s="1"/>
  <c r="O822" i="5" a="1"/>
  <c r="O822" i="5" s="1"/>
  <c r="O844" i="5" a="1"/>
  <c r="O844" i="5" s="1"/>
  <c r="O866" i="5" a="1"/>
  <c r="O866" i="5" s="1"/>
  <c r="O886" i="5" a="1"/>
  <c r="O886" i="5" s="1"/>
  <c r="O908" i="5" a="1"/>
  <c r="O908" i="5" s="1"/>
  <c r="O930" i="5" a="1"/>
  <c r="O930" i="5" s="1"/>
  <c r="O950" i="5" a="1"/>
  <c r="O950" i="5" s="1"/>
  <c r="O972" i="5" a="1"/>
  <c r="O972" i="5" s="1"/>
  <c r="O994" i="5" a="1"/>
  <c r="O994" i="5" s="1"/>
  <c r="O1014" i="5" a="1"/>
  <c r="O1014" i="5" s="1"/>
  <c r="O1036" i="5" a="1"/>
  <c r="O1036" i="5" s="1"/>
  <c r="O1058" i="5" a="1"/>
  <c r="O1058" i="5" s="1"/>
  <c r="O1078" i="5" a="1"/>
  <c r="O1078" i="5" s="1"/>
  <c r="O1100" i="5" a="1"/>
  <c r="O1100" i="5" s="1"/>
  <c r="O1122" i="5" a="1"/>
  <c r="O1122" i="5" s="1"/>
  <c r="O1142" i="5" a="1"/>
  <c r="O1142" i="5" s="1"/>
  <c r="O1164" i="5" a="1"/>
  <c r="O1164" i="5" s="1"/>
  <c r="O1186" i="5" a="1"/>
  <c r="O1186" i="5" s="1"/>
  <c r="O1206" i="5" a="1"/>
  <c r="O1206" i="5" s="1"/>
  <c r="O1225" i="5" a="1"/>
  <c r="O1225" i="5" s="1"/>
  <c r="O1246" i="5" a="1"/>
  <c r="O1246" i="5" s="1"/>
  <c r="O1266" i="5" a="1"/>
  <c r="O1266" i="5" s="1"/>
  <c r="O123" i="5" a="1"/>
  <c r="O123" i="5" s="1"/>
  <c r="O155" i="5" a="1"/>
  <c r="O155" i="5" s="1"/>
  <c r="O188" i="5" a="1"/>
  <c r="O188" i="5" s="1"/>
  <c r="O220" i="5" a="1"/>
  <c r="O220" i="5" s="1"/>
  <c r="O252" i="5" a="1"/>
  <c r="O252" i="5" s="1"/>
  <c r="O285" i="5" a="1"/>
  <c r="O285" i="5" s="1"/>
  <c r="O317" i="5" a="1"/>
  <c r="O317" i="5" s="1"/>
  <c r="O349" i="5" a="1"/>
  <c r="O349" i="5" s="1"/>
  <c r="O381" i="5" a="1"/>
  <c r="O381" i="5" s="1"/>
  <c r="O413" i="5" a="1"/>
  <c r="O413" i="5" s="1"/>
  <c r="O445" i="5" a="1"/>
  <c r="O445" i="5" s="1"/>
  <c r="O477" i="5" a="1"/>
  <c r="O477" i="5" s="1"/>
  <c r="O509" i="5" a="1"/>
  <c r="O509" i="5" s="1"/>
  <c r="O536" i="5" a="1"/>
  <c r="O536" i="5" s="1"/>
  <c r="O566" i="5" a="1"/>
  <c r="O566" i="5" s="1"/>
  <c r="O596" i="5" a="1"/>
  <c r="O596" i="5" s="1"/>
  <c r="O627" i="5" a="1"/>
  <c r="O627" i="5" s="1"/>
  <c r="O654" i="5" a="1"/>
  <c r="O654" i="5" s="1"/>
  <c r="O679" i="5" a="1"/>
  <c r="O679" i="5" s="1"/>
  <c r="O707" i="5" a="1"/>
  <c r="O707" i="5" s="1"/>
  <c r="O729" i="5" a="1"/>
  <c r="O729" i="5" s="1"/>
  <c r="O757" i="5" a="1"/>
  <c r="O757" i="5" s="1"/>
  <c r="O780" i="5" a="1"/>
  <c r="O780" i="5" s="1"/>
  <c r="O803" i="5" a="1"/>
  <c r="O803" i="5" s="1"/>
  <c r="O823" i="5" a="1"/>
  <c r="O823" i="5" s="1"/>
  <c r="O846" i="5" a="1"/>
  <c r="O846" i="5" s="1"/>
  <c r="O867" i="5" a="1"/>
  <c r="O867" i="5" s="1"/>
  <c r="O887" i="5" a="1"/>
  <c r="O887" i="5" s="1"/>
  <c r="O910" i="5" a="1"/>
  <c r="O910" i="5" s="1"/>
  <c r="O931" i="5" a="1"/>
  <c r="O931" i="5" s="1"/>
  <c r="O951" i="5" a="1"/>
  <c r="O951" i="5" s="1"/>
  <c r="O974" i="5" a="1"/>
  <c r="O974" i="5" s="1"/>
  <c r="O995" i="5" a="1"/>
  <c r="O995" i="5" s="1"/>
  <c r="O1015" i="5" a="1"/>
  <c r="O1015" i="5" s="1"/>
  <c r="O1038" i="5" a="1"/>
  <c r="O1038" i="5" s="1"/>
  <c r="O1059" i="5" a="1"/>
  <c r="O1059" i="5" s="1"/>
  <c r="O1079" i="5" a="1"/>
  <c r="O1079" i="5" s="1"/>
  <c r="O1102" i="5" a="1"/>
  <c r="O1102" i="5" s="1"/>
  <c r="O1123" i="5" a="1"/>
  <c r="O1123" i="5" s="1"/>
  <c r="O1143" i="5" a="1"/>
  <c r="O1143" i="5" s="1"/>
  <c r="O1166" i="5" a="1"/>
  <c r="O1166" i="5" s="1"/>
  <c r="O1187" i="5" a="1"/>
  <c r="O1187" i="5" s="1"/>
  <c r="O1207" i="5" a="1"/>
  <c r="O1207" i="5" s="1"/>
  <c r="O1228" i="5" a="1"/>
  <c r="O1228" i="5" s="1"/>
  <c r="O1247" i="5" a="1"/>
  <c r="O1247" i="5" s="1"/>
  <c r="O1267" i="5" a="1"/>
  <c r="O1267" i="5" s="1"/>
  <c r="O1286" i="5" a="1"/>
  <c r="O1286" i="5" s="1"/>
  <c r="O1305" i="5" a="1"/>
  <c r="O1305" i="5" s="1"/>
  <c r="O1325" i="5" a="1"/>
  <c r="O1325" i="5" s="1"/>
  <c r="O1342" i="5" a="1"/>
  <c r="O1342" i="5" s="1"/>
  <c r="O1359" i="5" a="1"/>
  <c r="O1359" i="5" s="1"/>
  <c r="O1376" i="5" a="1"/>
  <c r="O1376" i="5" s="1"/>
  <c r="O1394" i="5" a="1"/>
  <c r="O1394" i="5" s="1"/>
  <c r="O1411" i="5" a="1"/>
  <c r="O1411" i="5" s="1"/>
  <c r="O1428" i="5" a="1"/>
  <c r="O1428" i="5" s="1"/>
  <c r="O1445" i="5" a="1"/>
  <c r="O1445" i="5" s="1"/>
  <c r="O1462" i="5" a="1"/>
  <c r="O1462" i="5" s="1"/>
  <c r="O1478" i="5" a="1"/>
  <c r="O1478" i="5" s="1"/>
  <c r="O1494" i="5" a="1"/>
  <c r="O1494" i="5" s="1"/>
  <c r="O1510" i="5" a="1"/>
  <c r="O1510" i="5" s="1"/>
  <c r="O1526" i="5" a="1"/>
  <c r="O1526" i="5" s="1"/>
  <c r="O1542" i="5" a="1"/>
  <c r="O1542" i="5" s="1"/>
  <c r="O386" i="5" a="1"/>
  <c r="O386" i="5" s="1"/>
  <c r="O124" i="5" a="1"/>
  <c r="O124" i="5" s="1"/>
  <c r="O156" i="5" a="1"/>
  <c r="O156" i="5" s="1"/>
  <c r="O189" i="5" a="1"/>
  <c r="O189" i="5" s="1"/>
  <c r="O221" i="5" a="1"/>
  <c r="O221" i="5" s="1"/>
  <c r="O253" i="5" a="1"/>
  <c r="O253" i="5" s="1"/>
  <c r="O286" i="5" a="1"/>
  <c r="O286" i="5" s="1"/>
  <c r="O318" i="5" a="1"/>
  <c r="O318" i="5" s="1"/>
  <c r="O350" i="5" a="1"/>
  <c r="O350" i="5" s="1"/>
  <c r="O382" i="5" a="1"/>
  <c r="O382" i="5" s="1"/>
  <c r="O414" i="5" a="1"/>
  <c r="O414" i="5" s="1"/>
  <c r="O446" i="5" a="1"/>
  <c r="O446" i="5" s="1"/>
  <c r="O478" i="5" a="1"/>
  <c r="O478" i="5" s="1"/>
  <c r="O510" i="5" a="1"/>
  <c r="O510" i="5" s="1"/>
  <c r="O541" i="5" a="1"/>
  <c r="O541" i="5" s="1"/>
  <c r="O567" i="5" a="1"/>
  <c r="O567" i="5" s="1"/>
  <c r="O597" i="5" a="1"/>
  <c r="O597" i="5" s="1"/>
  <c r="O628" i="5" a="1"/>
  <c r="O628" i="5" s="1"/>
  <c r="O655" i="5" a="1"/>
  <c r="O655" i="5" s="1"/>
  <c r="O680" i="5" a="1"/>
  <c r="O680" i="5" s="1"/>
  <c r="O708" i="5" a="1"/>
  <c r="O708" i="5" s="1"/>
  <c r="O734" i="5" a="1"/>
  <c r="O734" i="5" s="1"/>
  <c r="O758" i="5" a="1"/>
  <c r="O758" i="5" s="1"/>
  <c r="O782" i="5" a="1"/>
  <c r="O782" i="5" s="1"/>
  <c r="O804" i="5" a="1"/>
  <c r="O804" i="5" s="1"/>
  <c r="O824" i="5" a="1"/>
  <c r="O824" i="5" s="1"/>
  <c r="O847" i="5" a="1"/>
  <c r="O847" i="5" s="1"/>
  <c r="O868" i="5" a="1"/>
  <c r="O868" i="5" s="1"/>
  <c r="O888" i="5" a="1"/>
  <c r="O888" i="5" s="1"/>
  <c r="O911" i="5" a="1"/>
  <c r="O911" i="5" s="1"/>
  <c r="O932" i="5" a="1"/>
  <c r="O932" i="5" s="1"/>
  <c r="O952" i="5" a="1"/>
  <c r="O952" i="5" s="1"/>
  <c r="O975" i="5" a="1"/>
  <c r="O975" i="5" s="1"/>
  <c r="O996" i="5" a="1"/>
  <c r="O996" i="5" s="1"/>
  <c r="O1016" i="5" a="1"/>
  <c r="O1016" i="5" s="1"/>
  <c r="O1039" i="5" a="1"/>
  <c r="O1039" i="5" s="1"/>
  <c r="O1060" i="5" a="1"/>
  <c r="O1060" i="5" s="1"/>
  <c r="O1080" i="5" a="1"/>
  <c r="O1080" i="5" s="1"/>
  <c r="O1103" i="5" a="1"/>
  <c r="O1103" i="5" s="1"/>
  <c r="O1124" i="5" a="1"/>
  <c r="O1124" i="5" s="1"/>
  <c r="O1144" i="5" a="1"/>
  <c r="O1144" i="5" s="1"/>
  <c r="O1167" i="5" a="1"/>
  <c r="O1167" i="5" s="1"/>
  <c r="O1188" i="5" a="1"/>
  <c r="O1188" i="5" s="1"/>
  <c r="O1208" i="5" a="1"/>
  <c r="O1208" i="5" s="1"/>
  <c r="O1229" i="5" a="1"/>
  <c r="O1229" i="5" s="1"/>
  <c r="O1248" i="5" a="1"/>
  <c r="O1248" i="5" s="1"/>
  <c r="O1268" i="5" a="1"/>
  <c r="O1268" i="5" s="1"/>
  <c r="O1287" i="5" a="1"/>
  <c r="O1287" i="5" s="1"/>
  <c r="O1308" i="5" a="1"/>
  <c r="O1308" i="5" s="1"/>
  <c r="O1326" i="5" a="1"/>
  <c r="O1326" i="5" s="1"/>
  <c r="O1343" i="5" a="1"/>
  <c r="O1343" i="5" s="1"/>
  <c r="O1360" i="5" a="1"/>
  <c r="O1360" i="5" s="1"/>
  <c r="O1378" i="5" a="1"/>
  <c r="O1378" i="5" s="1"/>
  <c r="O1395" i="5" a="1"/>
  <c r="O1395" i="5" s="1"/>
  <c r="O1412" i="5" a="1"/>
  <c r="O1412" i="5" s="1"/>
  <c r="O1429" i="5" a="1"/>
  <c r="O1429" i="5" s="1"/>
  <c r="O1446" i="5" a="1"/>
  <c r="O1446" i="5" s="1"/>
  <c r="O1463" i="5" a="1"/>
  <c r="O1463" i="5" s="1"/>
  <c r="O1479" i="5" a="1"/>
  <c r="O1479" i="5" s="1"/>
  <c r="O1495" i="5" a="1"/>
  <c r="O1495" i="5" s="1"/>
  <c r="O1511" i="5" a="1"/>
  <c r="O1511" i="5" s="1"/>
  <c r="O1527" i="5" a="1"/>
  <c r="O1527" i="5" s="1"/>
  <c r="O1543" i="5" a="1"/>
  <c r="O1543" i="5" s="1"/>
  <c r="O128" i="5" a="1"/>
  <c r="O128" i="5" s="1"/>
  <c r="O160" i="5" a="1"/>
  <c r="O160" i="5" s="1"/>
  <c r="O193" i="5" a="1"/>
  <c r="O193" i="5" s="1"/>
  <c r="O225" i="5" a="1"/>
  <c r="O225" i="5" s="1"/>
  <c r="O257" i="5" a="1"/>
  <c r="O257" i="5" s="1"/>
  <c r="O290" i="5" a="1"/>
  <c r="O290" i="5" s="1"/>
  <c r="O322" i="5" a="1"/>
  <c r="O322" i="5" s="1"/>
  <c r="O354" i="5" a="1"/>
  <c r="O354" i="5" s="1"/>
  <c r="O418" i="5" a="1"/>
  <c r="O418" i="5" s="1"/>
  <c r="O129" i="5" a="1"/>
  <c r="O129" i="5" s="1"/>
  <c r="O161" i="5" a="1"/>
  <c r="O161" i="5" s="1"/>
  <c r="O194" i="5" a="1"/>
  <c r="O194" i="5" s="1"/>
  <c r="O226" i="5" a="1"/>
  <c r="O226" i="5" s="1"/>
  <c r="O130" i="5" a="1"/>
  <c r="O130" i="5" s="1"/>
  <c r="O162" i="5" a="1"/>
  <c r="O162" i="5" s="1"/>
  <c r="O195" i="5" a="1"/>
  <c r="O195" i="5" s="1"/>
  <c r="O227" i="5" a="1"/>
  <c r="O227" i="5" s="1"/>
  <c r="O259" i="5" a="1"/>
  <c r="O259" i="5" s="1"/>
  <c r="O292" i="5" a="1"/>
  <c r="O292" i="5" s="1"/>
  <c r="O324" i="5" a="1"/>
  <c r="O324" i="5" s="1"/>
  <c r="O356" i="5" a="1"/>
  <c r="O356" i="5" s="1"/>
  <c r="O388" i="5" a="1"/>
  <c r="O388" i="5" s="1"/>
  <c r="O420" i="5" a="1"/>
  <c r="O420" i="5" s="1"/>
  <c r="O452" i="5" a="1"/>
  <c r="O452" i="5" s="1"/>
  <c r="O484" i="5" a="1"/>
  <c r="O484" i="5" s="1"/>
  <c r="O516" i="5" a="1"/>
  <c r="O516" i="5" s="1"/>
  <c r="O547" i="5" a="1"/>
  <c r="O547" i="5" s="1"/>
  <c r="O574" i="5" a="1"/>
  <c r="O574" i="5" s="1"/>
  <c r="O600" i="5" a="1"/>
  <c r="O600" i="5" s="1"/>
  <c r="O631" i="5" a="1"/>
  <c r="O631" i="5" s="1"/>
  <c r="O661" i="5" a="1"/>
  <c r="O661" i="5" s="1"/>
  <c r="O687" i="5" a="1"/>
  <c r="O687" i="5" s="1"/>
  <c r="O711" i="5" a="1"/>
  <c r="O711" i="5" s="1"/>
  <c r="O132" i="5" a="1"/>
  <c r="O132" i="5" s="1"/>
  <c r="O164" i="5" a="1"/>
  <c r="O164" i="5" s="1"/>
  <c r="O197" i="5" a="1"/>
  <c r="O197" i="5" s="1"/>
  <c r="O229" i="5" a="1"/>
  <c r="O229" i="5" s="1"/>
  <c r="O261" i="5" a="1"/>
  <c r="O261" i="5" s="1"/>
  <c r="O294" i="5" a="1"/>
  <c r="O294" i="5" s="1"/>
  <c r="O326" i="5" a="1"/>
  <c r="O326" i="5" s="1"/>
  <c r="O358" i="5" a="1"/>
  <c r="O358" i="5" s="1"/>
  <c r="O390" i="5" a="1"/>
  <c r="O390" i="5" s="1"/>
  <c r="O422" i="5" a="1"/>
  <c r="O422" i="5" s="1"/>
  <c r="O454" i="5" a="1"/>
  <c r="O454" i="5" s="1"/>
  <c r="O486" i="5" a="1"/>
  <c r="O486" i="5" s="1"/>
  <c r="O518" i="5" a="1"/>
  <c r="O518" i="5" s="1"/>
  <c r="O548" i="5" a="1"/>
  <c r="O548" i="5" s="1"/>
  <c r="O578" i="5" a="1"/>
  <c r="O578" i="5" s="1"/>
  <c r="O605" i="5" a="1"/>
  <c r="O605" i="5" s="1"/>
  <c r="O632" i="5" a="1"/>
  <c r="O632" i="5" s="1"/>
  <c r="O662" i="5" a="1"/>
  <c r="O662" i="5" s="1"/>
  <c r="O688" i="5" a="1"/>
  <c r="O688" i="5" s="1"/>
  <c r="O712" i="5" a="1"/>
  <c r="O712" i="5" s="1"/>
  <c r="O740" i="5" a="1"/>
  <c r="O740" i="5" s="1"/>
  <c r="O764" i="5" a="1"/>
  <c r="O764" i="5" s="1"/>
  <c r="O788" i="5" a="1"/>
  <c r="O788" i="5" s="1"/>
  <c r="O808" i="5" a="1"/>
  <c r="O808" i="5" s="1"/>
  <c r="O831" i="5" a="1"/>
  <c r="O831" i="5" s="1"/>
  <c r="O852" i="5" a="1"/>
  <c r="O852" i="5" s="1"/>
  <c r="O872" i="5" a="1"/>
  <c r="O872" i="5" s="1"/>
  <c r="O895" i="5" a="1"/>
  <c r="O895" i="5" s="1"/>
  <c r="O916" i="5" a="1"/>
  <c r="O916" i="5" s="1"/>
  <c r="O936" i="5" a="1"/>
  <c r="O936" i="5" s="1"/>
  <c r="O959" i="5" a="1"/>
  <c r="O959" i="5" s="1"/>
  <c r="O205" i="5" a="1"/>
  <c r="O205" i="5" s="1"/>
  <c r="O462" i="5" a="1"/>
  <c r="O462" i="5" s="1"/>
  <c r="O582" i="5" a="1"/>
  <c r="O582" i="5" s="1"/>
  <c r="O694" i="5" a="1"/>
  <c r="O694" i="5" s="1"/>
  <c r="O784" i="5" a="1"/>
  <c r="O784" i="5" s="1"/>
  <c r="O851" i="5" a="1"/>
  <c r="O851" i="5" s="1"/>
  <c r="O237" i="5" a="1"/>
  <c r="O237" i="5" s="1"/>
  <c r="O482" i="5" a="1"/>
  <c r="O482" i="5" s="1"/>
  <c r="O598" i="5" a="1"/>
  <c r="O598" i="5" s="1"/>
  <c r="O709" i="5" a="1"/>
  <c r="O709" i="5" s="1"/>
  <c r="O787" i="5" a="1"/>
  <c r="O787" i="5" s="1"/>
  <c r="O855" i="5" a="1"/>
  <c r="O855" i="5" s="1"/>
  <c r="O920" i="5" a="1"/>
  <c r="O920" i="5" s="1"/>
  <c r="O984" i="5" a="1"/>
  <c r="O984" i="5" s="1"/>
  <c r="O1044" i="5" a="1"/>
  <c r="O1044" i="5" s="1"/>
  <c r="O1106" i="5" a="1"/>
  <c r="O1106" i="5" s="1"/>
  <c r="O1156" i="5" a="1"/>
  <c r="O1156" i="5" s="1"/>
  <c r="O1214" i="5" a="1"/>
  <c r="O1214" i="5" s="1"/>
  <c r="O1270" i="5" a="1"/>
  <c r="O1270" i="5" s="1"/>
  <c r="O1309" i="5" a="1"/>
  <c r="O1309" i="5" s="1"/>
  <c r="O1340" i="5" a="1"/>
  <c r="O1340" i="5" s="1"/>
  <c r="O1368" i="5" a="1"/>
  <c r="O1368" i="5" s="1"/>
  <c r="O1399" i="5" a="1"/>
  <c r="O1399" i="5" s="1"/>
  <c r="O1431" i="5" a="1"/>
  <c r="O1431" i="5" s="1"/>
  <c r="O1461" i="5" a="1"/>
  <c r="O1461" i="5" s="1"/>
  <c r="O1487" i="5" a="1"/>
  <c r="O1487" i="5" s="1"/>
  <c r="O1514" i="5" a="1"/>
  <c r="O1514" i="5" s="1"/>
  <c r="O258" i="5" a="1"/>
  <c r="O258" i="5" s="1"/>
  <c r="O483" i="5" a="1"/>
  <c r="O483" i="5" s="1"/>
  <c r="O599" i="5" a="1"/>
  <c r="O599" i="5" s="1"/>
  <c r="O710" i="5" a="1"/>
  <c r="O710" i="5" s="1"/>
  <c r="O791" i="5" a="1"/>
  <c r="O791" i="5" s="1"/>
  <c r="O856" i="5" a="1"/>
  <c r="O856" i="5" s="1"/>
  <c r="O933" i="5" a="1"/>
  <c r="O933" i="5" s="1"/>
  <c r="O997" i="5" a="1"/>
  <c r="O997" i="5" s="1"/>
  <c r="O1047" i="5" a="1"/>
  <c r="O1047" i="5" s="1"/>
  <c r="O1107" i="5" a="1"/>
  <c r="O1107" i="5" s="1"/>
  <c r="O1168" i="5" a="1"/>
  <c r="O1168" i="5" s="1"/>
  <c r="O1218" i="5" a="1"/>
  <c r="O1218" i="5" s="1"/>
  <c r="O1271" i="5" a="1"/>
  <c r="O1271" i="5" s="1"/>
  <c r="O1310" i="5" a="1"/>
  <c r="O1310" i="5" s="1"/>
  <c r="O1341" i="5" a="1"/>
  <c r="O1341" i="5" s="1"/>
  <c r="O1369" i="5" a="1"/>
  <c r="O1369" i="5" s="1"/>
  <c r="O1401" i="5" a="1"/>
  <c r="O1401" i="5" s="1"/>
  <c r="O1432" i="5" a="1"/>
  <c r="O1432" i="5" s="1"/>
  <c r="O1464" i="5" a="1"/>
  <c r="O1464" i="5" s="1"/>
  <c r="O1492" i="5" a="1"/>
  <c r="O1492" i="5" s="1"/>
  <c r="O1515" i="5" a="1"/>
  <c r="O1515" i="5" s="1"/>
  <c r="O1539" i="5" a="1"/>
  <c r="O1539" i="5" s="1"/>
  <c r="O1367" i="5" a="1"/>
  <c r="O1367" i="5" s="1"/>
  <c r="O270" i="5" a="1"/>
  <c r="O270" i="5" s="1"/>
  <c r="O493" i="5" a="1"/>
  <c r="O493" i="5" s="1"/>
  <c r="O611" i="5" a="1"/>
  <c r="O611" i="5" s="1"/>
  <c r="O719" i="5" a="1"/>
  <c r="O719" i="5" s="1"/>
  <c r="O792" i="5" a="1"/>
  <c r="O792" i="5" s="1"/>
  <c r="O869" i="5" a="1"/>
  <c r="O869" i="5" s="1"/>
  <c r="O934" i="5" a="1"/>
  <c r="O934" i="5" s="1"/>
  <c r="O998" i="5" a="1"/>
  <c r="O998" i="5" s="1"/>
  <c r="O1048" i="5" a="1"/>
  <c r="O1048" i="5" s="1"/>
  <c r="O1108" i="5" a="1"/>
  <c r="O1108" i="5" s="1"/>
  <c r="O1170" i="5" a="1"/>
  <c r="O1170" i="5" s="1"/>
  <c r="O1219" i="5" a="1"/>
  <c r="O1219" i="5" s="1"/>
  <c r="O1272" i="5" a="1"/>
  <c r="O1272" i="5" s="1"/>
  <c r="O1311" i="5" a="1"/>
  <c r="O1311" i="5" s="1"/>
  <c r="O1344" i="5" a="1"/>
  <c r="O1344" i="5" s="1"/>
  <c r="O1374" i="5" a="1"/>
  <c r="O1374" i="5" s="1"/>
  <c r="O1402" i="5" a="1"/>
  <c r="O1402" i="5" s="1"/>
  <c r="O1433" i="5" a="1"/>
  <c r="O1433" i="5" s="1"/>
  <c r="O1465" i="5" a="1"/>
  <c r="O1465" i="5" s="1"/>
  <c r="O1493" i="5" a="1"/>
  <c r="O1493" i="5" s="1"/>
  <c r="O1517" i="5" a="1"/>
  <c r="O1517" i="5" s="1"/>
  <c r="O1540" i="5" a="1"/>
  <c r="O1540" i="5" s="1"/>
  <c r="O1467" i="5" a="1"/>
  <c r="O1467" i="5" s="1"/>
  <c r="O1519" i="5" a="1"/>
  <c r="O1519" i="5" s="1"/>
  <c r="O1544" i="5" a="1"/>
  <c r="O1544" i="5" s="1"/>
  <c r="O1546" i="5" a="1"/>
  <c r="O1546" i="5" s="1"/>
  <c r="O1189" i="5" a="1"/>
  <c r="O1189" i="5" s="1"/>
  <c r="O1382" i="5" a="1"/>
  <c r="O1382" i="5" s="1"/>
  <c r="O1444" i="5" a="1"/>
  <c r="O1444" i="5" s="1"/>
  <c r="O1415" i="5" a="1"/>
  <c r="O1415" i="5" s="1"/>
  <c r="O1502" i="5" a="1"/>
  <c r="O1502" i="5" s="1"/>
  <c r="O1450" i="5" a="1"/>
  <c r="O1450" i="5" s="1"/>
  <c r="O1363" i="5" a="1"/>
  <c r="O1363" i="5" s="1"/>
  <c r="O1508" i="5" a="1"/>
  <c r="O1508" i="5" s="1"/>
  <c r="O771" i="5" a="1"/>
  <c r="O771" i="5" s="1"/>
  <c r="O1091" i="5" a="1"/>
  <c r="O1091" i="5" s="1"/>
  <c r="O1333" i="5" a="1"/>
  <c r="O1333" i="5" s="1"/>
  <c r="O451" i="5" a="1"/>
  <c r="O451" i="5" s="1"/>
  <c r="O980" i="5" a="1"/>
  <c r="O980" i="5" s="1"/>
  <c r="O1365" i="5" a="1"/>
  <c r="O1365" i="5" s="1"/>
  <c r="O919" i="5" a="1"/>
  <c r="O919" i="5" s="1"/>
  <c r="O1269" i="5" a="1"/>
  <c r="O1269" i="5" s="1"/>
  <c r="O1513" i="5" a="1"/>
  <c r="O1513" i="5" s="1"/>
  <c r="O291" i="5" a="1"/>
  <c r="O291" i="5" s="1"/>
  <c r="O494" i="5" a="1"/>
  <c r="O494" i="5" s="1"/>
  <c r="O612" i="5" a="1"/>
  <c r="O612" i="5" s="1"/>
  <c r="O720" i="5" a="1"/>
  <c r="O720" i="5" s="1"/>
  <c r="O805" i="5" a="1"/>
  <c r="O805" i="5" s="1"/>
  <c r="O870" i="5" a="1"/>
  <c r="O870" i="5" s="1"/>
  <c r="O935" i="5" a="1"/>
  <c r="O935" i="5" s="1"/>
  <c r="O999" i="5" a="1"/>
  <c r="O999" i="5" s="1"/>
  <c r="O1061" i="5" a="1"/>
  <c r="O1061" i="5" s="1"/>
  <c r="O1111" i="5" a="1"/>
  <c r="O1111" i="5" s="1"/>
  <c r="O1171" i="5" a="1"/>
  <c r="O1171" i="5" s="1"/>
  <c r="O1230" i="5" a="1"/>
  <c r="O1230" i="5" s="1"/>
  <c r="O1277" i="5" a="1"/>
  <c r="O1277" i="5" s="1"/>
  <c r="O1312" i="5" a="1"/>
  <c r="O1312" i="5" s="1"/>
  <c r="O1346" i="5" a="1"/>
  <c r="O1346" i="5" s="1"/>
  <c r="O1375" i="5" a="1"/>
  <c r="O1375" i="5" s="1"/>
  <c r="O1403" i="5" a="1"/>
  <c r="O1403" i="5" s="1"/>
  <c r="O1435" i="5" a="1"/>
  <c r="O1435" i="5" s="1"/>
  <c r="O1466" i="5" a="1"/>
  <c r="O1466" i="5" s="1"/>
  <c r="O1496" i="5" a="1"/>
  <c r="O1496" i="5" s="1"/>
  <c r="O1518" i="5" a="1"/>
  <c r="O1518" i="5" s="1"/>
  <c r="O1541" i="5" a="1"/>
  <c r="O1541" i="5" s="1"/>
  <c r="O1497" i="5" a="1"/>
  <c r="O1497" i="5" s="1"/>
  <c r="O1523" i="5" a="1"/>
  <c r="O1523" i="5" s="1"/>
  <c r="O1351" i="5" a="1"/>
  <c r="O1351" i="5" s="1"/>
  <c r="O1501" i="5" a="1"/>
  <c r="O1501" i="5" s="1"/>
  <c r="O1503" i="5" a="1"/>
  <c r="O1503" i="5" s="1"/>
  <c r="O1420" i="5" a="1"/>
  <c r="O1420" i="5" s="1"/>
  <c r="O914" i="5" a="1"/>
  <c r="O914" i="5" s="1"/>
  <c r="O1209" i="5" a="1"/>
  <c r="O1209" i="5" s="1"/>
  <c r="O1364" i="5" a="1"/>
  <c r="O1364" i="5" s="1"/>
  <c r="O693" i="5" a="1"/>
  <c r="O693" i="5" s="1"/>
  <c r="O1042" i="5" a="1"/>
  <c r="O1042" i="5" s="1"/>
  <c r="O1397" i="5" a="1"/>
  <c r="O1397" i="5" s="1"/>
  <c r="O1534" i="5" a="1"/>
  <c r="O1534" i="5" s="1"/>
  <c r="O1213" i="5" a="1"/>
  <c r="O1213" i="5" s="1"/>
  <c r="O1486" i="5" a="1"/>
  <c r="O1486" i="5" s="1"/>
  <c r="O302" i="5" a="1"/>
  <c r="O302" i="5" s="1"/>
  <c r="O514" i="5" a="1"/>
  <c r="O514" i="5" s="1"/>
  <c r="O629" i="5" a="1"/>
  <c r="O629" i="5" s="1"/>
  <c r="O735" i="5" a="1"/>
  <c r="O735" i="5" s="1"/>
  <c r="O806" i="5" a="1"/>
  <c r="O806" i="5" s="1"/>
  <c r="O871" i="5" a="1"/>
  <c r="O871" i="5" s="1"/>
  <c r="O942" i="5" a="1"/>
  <c r="O942" i="5" s="1"/>
  <c r="O1000" i="5" a="1"/>
  <c r="O1000" i="5" s="1"/>
  <c r="O1062" i="5" a="1"/>
  <c r="O1062" i="5" s="1"/>
  <c r="O1112" i="5" a="1"/>
  <c r="O1112" i="5" s="1"/>
  <c r="O1172" i="5" a="1"/>
  <c r="O1172" i="5" s="1"/>
  <c r="O1231" i="5" a="1"/>
  <c r="O1231" i="5" s="1"/>
  <c r="O1278" i="5" a="1"/>
  <c r="O1278" i="5" s="1"/>
  <c r="O1315" i="5" a="1"/>
  <c r="O1315" i="5" s="1"/>
  <c r="O1347" i="5" a="1"/>
  <c r="O1347" i="5" s="1"/>
  <c r="O1379" i="5" a="1"/>
  <c r="O1379" i="5" s="1"/>
  <c r="O1408" i="5" a="1"/>
  <c r="O1408" i="5" s="1"/>
  <c r="O1436" i="5" a="1"/>
  <c r="O1436" i="5" s="1"/>
  <c r="O1414" i="5" a="1"/>
  <c r="O1414" i="5" s="1"/>
  <c r="O1471" i="5" a="1"/>
  <c r="O1471" i="5" s="1"/>
  <c r="O1447" i="5" a="1"/>
  <c r="O1447" i="5" s="1"/>
  <c r="O1525" i="5" a="1"/>
  <c r="O1525" i="5" s="1"/>
  <c r="O1253" i="5" a="1"/>
  <c r="O1253" i="5" s="1"/>
  <c r="O1482" i="5" a="1"/>
  <c r="O1482" i="5" s="1"/>
  <c r="O848" i="5" a="1"/>
  <c r="O848" i="5" s="1"/>
  <c r="O1256" i="5" a="1"/>
  <c r="O1256" i="5" s="1"/>
  <c r="O1453" i="5" a="1"/>
  <c r="O1453" i="5" s="1"/>
  <c r="O850" i="5" a="1"/>
  <c r="O850" i="5" s="1"/>
  <c r="O1212" i="5" a="1"/>
  <c r="O1212" i="5" s="1"/>
  <c r="O1454" i="5" a="1"/>
  <c r="O1454" i="5" s="1"/>
  <c r="O1535" i="5" a="1"/>
  <c r="O1535" i="5" s="1"/>
  <c r="O323" i="5" a="1"/>
  <c r="O323" i="5" s="1"/>
  <c r="O515" i="5" a="1"/>
  <c r="O515" i="5" s="1"/>
  <c r="O630" i="5" a="1"/>
  <c r="O630" i="5" s="1"/>
  <c r="O736" i="5" a="1"/>
  <c r="O736" i="5" s="1"/>
  <c r="O807" i="5" a="1"/>
  <c r="O807" i="5" s="1"/>
  <c r="O878" i="5" a="1"/>
  <c r="O878" i="5" s="1"/>
  <c r="O943" i="5" a="1"/>
  <c r="O943" i="5" s="1"/>
  <c r="O1006" i="5" a="1"/>
  <c r="O1006" i="5" s="1"/>
  <c r="O1063" i="5" a="1"/>
  <c r="O1063" i="5" s="1"/>
  <c r="O1125" i="5" a="1"/>
  <c r="O1125" i="5" s="1"/>
  <c r="O1175" i="5" a="1"/>
  <c r="O1175" i="5" s="1"/>
  <c r="O1232" i="5" a="1"/>
  <c r="O1232" i="5" s="1"/>
  <c r="O1284" i="5" a="1"/>
  <c r="O1284" i="5" s="1"/>
  <c r="O1316" i="5" a="1"/>
  <c r="O1316" i="5" s="1"/>
  <c r="O1348" i="5" a="1"/>
  <c r="O1348" i="5" s="1"/>
  <c r="O1380" i="5" a="1"/>
  <c r="O1380" i="5" s="1"/>
  <c r="O1410" i="5" a="1"/>
  <c r="O1410" i="5" s="1"/>
  <c r="O1437" i="5" a="1"/>
  <c r="O1437" i="5" s="1"/>
  <c r="O1469" i="5" a="1"/>
  <c r="O1469" i="5" s="1"/>
  <c r="O1498" i="5" a="1"/>
  <c r="O1498" i="5" s="1"/>
  <c r="O1520" i="5" a="1"/>
  <c r="O1520" i="5" s="1"/>
  <c r="O1545" i="5" a="1"/>
  <c r="O1545" i="5" s="1"/>
  <c r="O1350" i="5" a="1"/>
  <c r="O1350" i="5" s="1"/>
  <c r="O1413" i="5" a="1"/>
  <c r="O1413" i="5" s="1"/>
  <c r="O1443" i="5" a="1"/>
  <c r="O1443" i="5" s="1"/>
  <c r="O1499" i="5" a="1"/>
  <c r="O1499" i="5" s="1"/>
  <c r="O1127" i="5" a="1"/>
  <c r="O1127" i="5" s="1"/>
  <c r="O1237" i="5" a="1"/>
  <c r="O1237" i="5" s="1"/>
  <c r="O1298" i="5" a="1"/>
  <c r="O1298" i="5" s="1"/>
  <c r="O915" i="5" a="1"/>
  <c r="O915" i="5" s="1"/>
  <c r="O1485" i="5" a="1"/>
  <c r="O1485" i="5" s="1"/>
  <c r="O1398" i="5" a="1"/>
  <c r="O1398" i="5" s="1"/>
  <c r="O334" i="5" a="1"/>
  <c r="O334" i="5" s="1"/>
  <c r="O525" i="5" a="1"/>
  <c r="O525" i="5" s="1"/>
  <c r="O639" i="5" a="1"/>
  <c r="O639" i="5" s="1"/>
  <c r="O739" i="5" a="1"/>
  <c r="O739" i="5" s="1"/>
  <c r="O814" i="5" a="1"/>
  <c r="O814" i="5" s="1"/>
  <c r="O879" i="5" a="1"/>
  <c r="O879" i="5" s="1"/>
  <c r="O953" i="5" a="1"/>
  <c r="O953" i="5" s="1"/>
  <c r="O1007" i="5" a="1"/>
  <c r="O1007" i="5" s="1"/>
  <c r="O1064" i="5" a="1"/>
  <c r="O1064" i="5" s="1"/>
  <c r="O1126" i="5" a="1"/>
  <c r="O1126" i="5" s="1"/>
  <c r="O1176" i="5" a="1"/>
  <c r="O1176" i="5" s="1"/>
  <c r="O1234" i="5" a="1"/>
  <c r="O1234" i="5" s="1"/>
  <c r="O1285" i="5" a="1"/>
  <c r="O1285" i="5" s="1"/>
  <c r="O1317" i="5" a="1"/>
  <c r="O1317" i="5" s="1"/>
  <c r="O1381" i="5" a="1"/>
  <c r="O1381" i="5" s="1"/>
  <c r="O1470" i="5" a="1"/>
  <c r="O1470" i="5" s="1"/>
  <c r="O1322" i="5" a="1"/>
  <c r="O1322" i="5" s="1"/>
  <c r="O1547" i="5" a="1"/>
  <c r="O1547" i="5" s="1"/>
  <c r="O1507" i="5" a="1"/>
  <c r="O1507" i="5" s="1"/>
  <c r="O686" i="5" a="1"/>
  <c r="O686" i="5" s="1"/>
  <c r="O1509" i="5" a="1"/>
  <c r="O1509" i="5" s="1"/>
  <c r="O1334" i="5" a="1"/>
  <c r="O1334" i="5" s="1"/>
  <c r="O1335" i="5" a="1"/>
  <c r="O1335" i="5" s="1"/>
  <c r="O355" i="5" a="1"/>
  <c r="O355" i="5" s="1"/>
  <c r="O526" i="5" a="1"/>
  <c r="O526" i="5" s="1"/>
  <c r="O643" i="5" a="1"/>
  <c r="O643" i="5" s="1"/>
  <c r="O743" i="5" a="1"/>
  <c r="O743" i="5" s="1"/>
  <c r="O815" i="5" a="1"/>
  <c r="O815" i="5" s="1"/>
  <c r="O889" i="5" a="1"/>
  <c r="O889" i="5" s="1"/>
  <c r="O956" i="5" a="1"/>
  <c r="O956" i="5" s="1"/>
  <c r="O1017" i="5" a="1"/>
  <c r="O1017" i="5" s="1"/>
  <c r="O1070" i="5" a="1"/>
  <c r="O1070" i="5" s="1"/>
  <c r="O1288" i="5" a="1"/>
  <c r="O1288" i="5" s="1"/>
  <c r="O1524" i="5" a="1"/>
  <c r="O1524" i="5" s="1"/>
  <c r="O1481" i="5" a="1"/>
  <c r="O1481" i="5" s="1"/>
  <c r="O573" i="5" a="1"/>
  <c r="O573" i="5" s="1"/>
  <c r="O1483" i="5" a="1"/>
  <c r="O1483" i="5" s="1"/>
  <c r="O1303" i="5" a="1"/>
  <c r="O1303" i="5" s="1"/>
  <c r="O1304" i="5" a="1"/>
  <c r="O1304" i="5" s="1"/>
  <c r="O366" i="5" a="1"/>
  <c r="O366" i="5" s="1"/>
  <c r="O542" i="5" a="1"/>
  <c r="O542" i="5" s="1"/>
  <c r="O659" i="5" a="1"/>
  <c r="O659" i="5" s="1"/>
  <c r="O744" i="5" a="1"/>
  <c r="O744" i="5" s="1"/>
  <c r="O825" i="5" a="1"/>
  <c r="O825" i="5" s="1"/>
  <c r="O892" i="5" a="1"/>
  <c r="O892" i="5" s="1"/>
  <c r="O958" i="5" a="1"/>
  <c r="O958" i="5" s="1"/>
  <c r="O1020" i="5" a="1"/>
  <c r="O1020" i="5" s="1"/>
  <c r="O1071" i="5" a="1"/>
  <c r="O1071" i="5" s="1"/>
  <c r="O1128" i="5" a="1"/>
  <c r="O1128" i="5" s="1"/>
  <c r="O1190" i="5" a="1"/>
  <c r="O1190" i="5" s="1"/>
  <c r="O1238" i="5" a="1"/>
  <c r="O1238" i="5" s="1"/>
  <c r="O1289" i="5" a="1"/>
  <c r="O1289" i="5" s="1"/>
  <c r="O1324" i="5" a="1"/>
  <c r="O1324" i="5" s="1"/>
  <c r="O1352" i="5" a="1"/>
  <c r="O1352" i="5" s="1"/>
  <c r="O1384" i="5" a="1"/>
  <c r="O1384" i="5" s="1"/>
  <c r="O1476" i="5" a="1"/>
  <c r="O1476" i="5" s="1"/>
  <c r="O1528" i="5" a="1"/>
  <c r="O1528" i="5" s="1"/>
  <c r="O1331" i="5" a="1"/>
  <c r="O1331" i="5" s="1"/>
  <c r="O1531" i="5" a="1"/>
  <c r="O1531" i="5" s="1"/>
  <c r="O1040" i="5" a="1"/>
  <c r="O1040" i="5" s="1"/>
  <c r="O1396" i="5" a="1"/>
  <c r="O1396" i="5" s="1"/>
  <c r="O783" i="5" a="1"/>
  <c r="O783" i="5" s="1"/>
  <c r="O1151" i="5" a="1"/>
  <c r="O1151" i="5" s="1"/>
  <c r="O1512" i="5" a="1"/>
  <c r="O1512" i="5" s="1"/>
  <c r="O1155" i="5" a="1"/>
  <c r="O1155" i="5" s="1"/>
  <c r="O1460" i="5" a="1"/>
  <c r="O1460" i="5" s="1"/>
  <c r="O387" i="5" a="1"/>
  <c r="O387" i="5" s="1"/>
  <c r="O546" i="5" a="1"/>
  <c r="O546" i="5" s="1"/>
  <c r="O660" i="5" a="1"/>
  <c r="O660" i="5" s="1"/>
  <c r="O759" i="5" a="1"/>
  <c r="O759" i="5" s="1"/>
  <c r="O828" i="5" a="1"/>
  <c r="O828" i="5" s="1"/>
  <c r="O894" i="5" a="1"/>
  <c r="O894" i="5" s="1"/>
  <c r="O963" i="5" a="1"/>
  <c r="O963" i="5" s="1"/>
  <c r="O1022" i="5" a="1"/>
  <c r="O1022" i="5" s="1"/>
  <c r="O1081" i="5" a="1"/>
  <c r="O1081" i="5" s="1"/>
  <c r="O1134" i="5" a="1"/>
  <c r="O1134" i="5" s="1"/>
  <c r="O1191" i="5" a="1"/>
  <c r="O1191" i="5" s="1"/>
  <c r="O1250" i="5" a="1"/>
  <c r="O1250" i="5" s="1"/>
  <c r="O1292" i="5" a="1"/>
  <c r="O1292" i="5" s="1"/>
  <c r="O1327" i="5" a="1"/>
  <c r="O1327" i="5" s="1"/>
  <c r="O1357" i="5" a="1"/>
  <c r="O1357" i="5" s="1"/>
  <c r="O1385" i="5" a="1"/>
  <c r="O1385" i="5" s="1"/>
  <c r="O1416" i="5" a="1"/>
  <c r="O1416" i="5" s="1"/>
  <c r="O1448" i="5" a="1"/>
  <c r="O1448" i="5" s="1"/>
  <c r="O1477" i="5" a="1"/>
  <c r="O1477" i="5" s="1"/>
  <c r="O1530" i="5" a="1"/>
  <c r="O1530" i="5" s="1"/>
  <c r="O450" i="5" a="1"/>
  <c r="O450" i="5" s="1"/>
  <c r="O1150" i="5" a="1"/>
  <c r="O1150" i="5" s="1"/>
  <c r="O581" i="5" a="1"/>
  <c r="O581" i="5" s="1"/>
  <c r="O1427" i="5" a="1"/>
  <c r="O1427" i="5" s="1"/>
  <c r="O1104" i="5" a="1"/>
  <c r="O1104" i="5" s="1"/>
  <c r="O398" i="5" a="1"/>
  <c r="O398" i="5" s="1"/>
  <c r="O551" i="5" a="1"/>
  <c r="O551" i="5" s="1"/>
  <c r="O665" i="5" a="1"/>
  <c r="O665" i="5" s="1"/>
  <c r="O760" i="5" a="1"/>
  <c r="O760" i="5" s="1"/>
  <c r="O830" i="5" a="1"/>
  <c r="O830" i="5" s="1"/>
  <c r="O899" i="5" a="1"/>
  <c r="O899" i="5" s="1"/>
  <c r="O964" i="5" a="1"/>
  <c r="O964" i="5" s="1"/>
  <c r="O1023" i="5" a="1"/>
  <c r="O1023" i="5" s="1"/>
  <c r="O1084" i="5" a="1"/>
  <c r="O1084" i="5" s="1"/>
  <c r="O1135" i="5" a="1"/>
  <c r="O1135" i="5" s="1"/>
  <c r="O1192" i="5" a="1"/>
  <c r="O1192" i="5" s="1"/>
  <c r="O1251" i="5" a="1"/>
  <c r="O1251" i="5" s="1"/>
  <c r="O1293" i="5" a="1"/>
  <c r="O1293" i="5" s="1"/>
  <c r="O1328" i="5" a="1"/>
  <c r="O1328" i="5" s="1"/>
  <c r="O1358" i="5" a="1"/>
  <c r="O1358" i="5" s="1"/>
  <c r="O1386" i="5" a="1"/>
  <c r="O1386" i="5" s="1"/>
  <c r="O1418" i="5" a="1"/>
  <c r="O1418" i="5" s="1"/>
  <c r="O1449" i="5" a="1"/>
  <c r="O1449" i="5" s="1"/>
  <c r="O1480" i="5" a="1"/>
  <c r="O1480" i="5" s="1"/>
  <c r="O1504" i="5" a="1"/>
  <c r="O1504" i="5" s="1"/>
  <c r="O1529" i="5" a="1"/>
  <c r="O1529" i="5" s="1"/>
  <c r="O419" i="5" a="1"/>
  <c r="O419" i="5" s="1"/>
  <c r="O552" i="5" a="1"/>
  <c r="O552" i="5" s="1"/>
  <c r="O761" i="5" a="1"/>
  <c r="O761" i="5" s="1"/>
  <c r="O835" i="5" a="1"/>
  <c r="O835" i="5" s="1"/>
  <c r="O976" i="5" a="1"/>
  <c r="O976" i="5" s="1"/>
  <c r="O1027" i="5" a="1"/>
  <c r="O1027" i="5" s="1"/>
  <c r="O1145" i="5" a="1"/>
  <c r="O1145" i="5" s="1"/>
  <c r="O1252" i="5" a="1"/>
  <c r="O1252" i="5" s="1"/>
  <c r="O1295" i="5" a="1"/>
  <c r="O1295" i="5" s="1"/>
  <c r="O1362" i="5" a="1"/>
  <c r="O1362" i="5" s="1"/>
  <c r="O1419" i="5" a="1"/>
  <c r="O1419" i="5" s="1"/>
  <c r="O1296" i="5" a="1"/>
  <c r="O1296" i="5" s="1"/>
  <c r="O1426" i="5" a="1"/>
  <c r="O1426" i="5" s="1"/>
  <c r="O1092" i="5" a="1"/>
  <c r="O1092" i="5" s="1"/>
  <c r="O983" i="5" a="1"/>
  <c r="O983" i="5" s="1"/>
  <c r="O1430" i="5" a="1"/>
  <c r="O1430" i="5" s="1"/>
  <c r="O670" i="5" a="1"/>
  <c r="O670" i="5" s="1"/>
  <c r="O900" i="5" a="1"/>
  <c r="O900" i="5" s="1"/>
  <c r="O1086" i="5" a="1"/>
  <c r="O1086" i="5" s="1"/>
  <c r="O1198" i="5" a="1"/>
  <c r="O1198" i="5" s="1"/>
  <c r="O1330" i="5" a="1"/>
  <c r="O1330" i="5" s="1"/>
  <c r="O1391" i="5" a="1"/>
  <c r="O1391" i="5" s="1"/>
  <c r="O1452" i="5" a="1"/>
  <c r="O1452" i="5" s="1"/>
  <c r="O979" i="5" a="1"/>
  <c r="O979" i="5" s="1"/>
  <c r="O1533" i="5" a="1"/>
  <c r="O1533" i="5" s="1"/>
  <c r="O1257" i="5" a="1"/>
  <c r="O1257" i="5" s="1"/>
  <c r="O1043" i="5" a="1"/>
  <c r="O1043" i="5" s="1"/>
  <c r="O1536" i="5" a="1"/>
  <c r="O1536" i="5" s="1"/>
  <c r="O430" i="5" a="1"/>
  <c r="O430" i="5" s="1"/>
  <c r="O568" i="5" a="1"/>
  <c r="O568" i="5" s="1"/>
  <c r="O681" i="5" a="1"/>
  <c r="O681" i="5" s="1"/>
  <c r="O768" i="5" a="1"/>
  <c r="O768" i="5" s="1"/>
  <c r="O836" i="5" a="1"/>
  <c r="O836" i="5" s="1"/>
  <c r="O912" i="5" a="1"/>
  <c r="O912" i="5" s="1"/>
  <c r="O978" i="5" a="1"/>
  <c r="O978" i="5" s="1"/>
  <c r="O1028" i="5" a="1"/>
  <c r="O1028" i="5" s="1"/>
  <c r="O1087" i="5" a="1"/>
  <c r="O1087" i="5" s="1"/>
  <c r="O1148" i="5" a="1"/>
  <c r="O1148" i="5" s="1"/>
  <c r="O1199" i="5" a="1"/>
  <c r="O1199" i="5" s="1"/>
  <c r="O1392" i="5" a="1"/>
  <c r="O1392" i="5" s="1"/>
  <c r="G8" i="8" a="1"/>
  <c r="G8" i="8" s="1"/>
  <c r="G39" i="8" a="1"/>
  <c r="G39" i="8" s="1"/>
  <c r="G9" i="8" a="1"/>
  <c r="G9" i="8" s="1"/>
  <c r="G40" i="8" a="1"/>
  <c r="G40" i="8" s="1"/>
  <c r="G4" i="8" a="1"/>
  <c r="G4" i="8" s="1"/>
  <c r="G10" i="8" a="1"/>
  <c r="G10" i="8" s="1"/>
  <c r="G41" i="8" a="1"/>
  <c r="G41" i="8" s="1"/>
  <c r="G11" i="8" a="1"/>
  <c r="G11" i="8" s="1"/>
  <c r="G42" i="8" a="1"/>
  <c r="G42" i="8" s="1"/>
  <c r="G12" i="8" a="1"/>
  <c r="G12" i="8" s="1"/>
  <c r="G43" i="8" a="1"/>
  <c r="G43" i="8" s="1"/>
  <c r="G13" i="8" a="1"/>
  <c r="G13" i="8" s="1"/>
  <c r="G44" i="8" a="1"/>
  <c r="G44" i="8" s="1"/>
  <c r="G14" i="8" a="1"/>
  <c r="G14" i="8" s="1"/>
  <c r="G29" i="8" a="1"/>
  <c r="G29" i="8" s="1"/>
  <c r="G45" i="8" a="1"/>
  <c r="G45" i="8" s="1"/>
  <c r="G15" i="8" a="1"/>
  <c r="G15" i="8" s="1"/>
  <c r="G30" i="8" a="1"/>
  <c r="G30" i="8" s="1"/>
  <c r="G46" i="8" a="1"/>
  <c r="G46" i="8" s="1"/>
  <c r="G36" i="8" a="1"/>
  <c r="G36" i="8" s="1"/>
  <c r="G16" i="8" a="1"/>
  <c r="G16" i="8" s="1"/>
  <c r="G31" i="8" a="1"/>
  <c r="G31" i="8" s="1"/>
  <c r="G47" i="8" a="1"/>
  <c r="G47" i="8" s="1"/>
  <c r="G5" i="8" a="1"/>
  <c r="G5" i="8" s="1"/>
  <c r="G17" i="8" a="1"/>
  <c r="G17" i="8" s="1"/>
  <c r="G32" i="8" a="1"/>
  <c r="G32" i="8" s="1"/>
  <c r="G48" i="8" a="1"/>
  <c r="G48" i="8" s="1"/>
  <c r="G18" i="8" a="1"/>
  <c r="G18" i="8" s="1"/>
  <c r="G33" i="8" a="1"/>
  <c r="G33" i="8" s="1"/>
  <c r="G49" i="8" a="1"/>
  <c r="G49" i="8" s="1"/>
  <c r="G34" i="8" a="1"/>
  <c r="G34" i="8" s="1"/>
  <c r="G50" i="8" a="1"/>
  <c r="G50" i="8" s="1"/>
  <c r="G35" i="8" a="1"/>
  <c r="G35" i="8" s="1"/>
  <c r="G37" i="8" a="1"/>
  <c r="G37" i="8" s="1"/>
  <c r="G7" i="8" a="1"/>
  <c r="G7" i="8" s="1"/>
  <c r="G38" i="8" a="1"/>
  <c r="G38" i="8" s="1"/>
  <c r="O1582" i="5" a="1"/>
  <c r="O1582" i="5" s="1"/>
  <c r="O1601" i="5" a="1"/>
  <c r="O1601" i="5" s="1"/>
  <c r="O1572" i="5" a="1"/>
  <c r="O1572" i="5" s="1"/>
  <c r="O1609" i="5" a="1"/>
  <c r="O1609" i="5" s="1"/>
  <c r="O1611" i="5" a="1"/>
  <c r="O1611" i="5" s="1"/>
  <c r="O1550" i="5" a="1"/>
  <c r="O1550" i="5" s="1"/>
  <c r="O1564" i="5" a="1"/>
  <c r="O1564" i="5" s="1"/>
  <c r="O1557" i="5" a="1"/>
  <c r="O1557" i="5" s="1"/>
  <c r="O1594" i="5" a="1"/>
  <c r="O1594" i="5" s="1"/>
  <c r="O1597" i="5" a="1"/>
  <c r="O1597" i="5" s="1"/>
  <c r="O1566" i="5" a="1"/>
  <c r="O1566" i="5" s="1"/>
  <c r="O1573" i="5" a="1"/>
  <c r="O1573" i="5" s="1"/>
  <c r="O1595" i="5" a="1"/>
  <c r="O1595" i="5" s="1"/>
  <c r="O1612" i="5" a="1"/>
  <c r="O1612" i="5" s="1"/>
  <c r="O1551" i="5" a="1"/>
  <c r="O1551" i="5" s="1"/>
  <c r="O1554" i="5" a="1"/>
  <c r="O1554" i="5" s="1"/>
  <c r="O1589" i="5" a="1"/>
  <c r="O1589" i="5" s="1"/>
  <c r="O1559" i="5" a="1"/>
  <c r="O1559" i="5" s="1"/>
  <c r="O1567" i="5" a="1"/>
  <c r="O1567" i="5" s="1"/>
  <c r="O1570" i="5" a="1"/>
  <c r="O1570" i="5" s="1"/>
  <c r="O1605" i="5" a="1"/>
  <c r="O1605" i="5" s="1"/>
  <c r="O1575" i="5" a="1"/>
  <c r="O1575" i="5" s="1"/>
  <c r="O1583" i="5" a="1"/>
  <c r="O1583" i="5" s="1"/>
  <c r="O1586" i="5" a="1"/>
  <c r="O1586" i="5" s="1"/>
  <c r="O1574" i="5" a="1"/>
  <c r="O1574" i="5" s="1"/>
  <c r="O1591" i="5" a="1"/>
  <c r="O1591" i="5" s="1"/>
  <c r="O1599" i="5" a="1"/>
  <c r="O1599" i="5" s="1"/>
  <c r="O1602" i="5" a="1"/>
  <c r="O1602" i="5" s="1"/>
  <c r="O1606" i="5" a="1"/>
  <c r="O1606" i="5" s="1"/>
  <c r="O1607" i="5" a="1"/>
  <c r="O1607" i="5" s="1"/>
  <c r="O1568" i="5" a="1"/>
  <c r="O1568" i="5" s="1"/>
  <c r="O1555" i="5" a="1"/>
  <c r="O1555" i="5" s="1"/>
  <c r="O1576" i="5" a="1"/>
  <c r="O1576" i="5" s="1"/>
  <c r="O1592" i="5" a="1"/>
  <c r="O1592" i="5" s="1"/>
  <c r="O1563" i="5" a="1"/>
  <c r="O1563" i="5" s="1"/>
  <c r="O1600" i="5" a="1"/>
  <c r="O1600" i="5" s="1"/>
  <c r="O1587" i="5" a="1"/>
  <c r="O1587" i="5" s="1"/>
  <c r="O1562" i="5" a="1"/>
  <c r="O1562" i="5" s="1"/>
  <c r="O1593" i="5" a="1"/>
  <c r="O1593" i="5" s="1"/>
  <c r="O1565" i="5" a="1"/>
  <c r="O1565" i="5" s="1"/>
  <c r="O1556" i="5" a="1"/>
  <c r="O1556" i="5" s="1"/>
  <c r="O1596" i="5" a="1"/>
  <c r="O1596" i="5" s="1"/>
  <c r="O1578" i="5" a="1"/>
  <c r="O1578" i="5" s="1"/>
  <c r="O1590" i="5" a="1"/>
  <c r="O1590" i="5" s="1"/>
  <c r="O1552" i="5" a="1"/>
  <c r="O1552" i="5" s="1"/>
  <c r="O1588" i="5" a="1"/>
  <c r="O1588" i="5" s="1"/>
  <c r="O1549" i="5" a="1"/>
  <c r="O1549" i="5" s="1"/>
  <c r="O1613" i="5" a="1"/>
  <c r="O1613" i="5" s="1"/>
  <c r="O1603" i="5" a="1"/>
  <c r="O1603" i="5" s="1"/>
  <c r="O1584" i="5" a="1"/>
  <c r="O1584" i="5" s="1"/>
  <c r="O1579" i="5" a="1"/>
  <c r="O1579" i="5" s="1"/>
  <c r="O1614" i="5" a="1"/>
  <c r="O1614" i="5" s="1"/>
  <c r="O1560" i="5" a="1"/>
  <c r="O1560" i="5" s="1"/>
  <c r="O1598" i="5" a="1"/>
  <c r="O1598" i="5" s="1"/>
  <c r="O1571" i="5" a="1"/>
  <c r="O1571" i="5" s="1"/>
  <c r="O1558" i="5" a="1"/>
  <c r="O1558" i="5" s="1"/>
  <c r="O1577" i="5" a="1"/>
  <c r="O1577" i="5" s="1"/>
  <c r="O1553" i="5" a="1"/>
  <c r="O1553" i="5" s="1"/>
  <c r="O1569" i="5" a="1"/>
  <c r="O1569" i="5" s="1"/>
  <c r="O1604" i="5" a="1"/>
  <c r="O1604" i="5" s="1"/>
  <c r="O1608" i="5" a="1"/>
  <c r="O1608" i="5" s="1"/>
  <c r="O1610" i="5" a="1"/>
  <c r="O1610" i="5" s="1"/>
  <c r="O1585" i="5" a="1"/>
  <c r="O1585" i="5" s="1"/>
  <c r="O1580" i="5" a="1"/>
  <c r="O1580" i="5" s="1"/>
  <c r="O1561" i="5" a="1"/>
  <c r="O1561" i="5" s="1"/>
  <c r="O1581" i="5" a="1"/>
  <c r="O1581" i="5" s="1"/>
  <c r="AK98" i="2"/>
  <c r="AN98" i="2" s="1"/>
  <c r="AK95" i="2"/>
  <c r="AN95" i="2" s="1"/>
  <c r="AK100" i="2"/>
  <c r="AK90" i="2"/>
  <c r="AK22" i="2"/>
  <c r="AK79" i="2"/>
  <c r="AK12" i="2"/>
  <c r="AN12" i="2" s="1"/>
  <c r="AK92" i="2"/>
  <c r="AN92" i="2" s="1"/>
  <c r="AK104" i="2"/>
  <c r="AK81" i="2"/>
  <c r="AK85" i="2"/>
  <c r="AN85" i="2" s="1"/>
  <c r="AK69" i="2"/>
  <c r="AK18" i="2"/>
  <c r="AK20" i="2"/>
  <c r="AK77" i="2"/>
  <c r="AN77" i="2" s="1"/>
  <c r="AK17" i="2"/>
  <c r="AK76" i="2"/>
  <c r="AK23" i="2"/>
  <c r="AK21" i="2"/>
  <c r="AK86" i="2"/>
  <c r="AK74" i="2"/>
  <c r="AK70" i="2"/>
  <c r="AK94" i="2"/>
  <c r="AK87" i="2"/>
  <c r="AK82" i="2"/>
  <c r="AK106" i="2"/>
  <c r="AK72" i="2"/>
  <c r="AK19" i="2"/>
  <c r="AK102" i="2"/>
  <c r="AN102" i="2" s="1"/>
  <c r="AK101" i="2"/>
  <c r="AK97" i="2"/>
  <c r="AN97" i="2" s="1"/>
  <c r="AK88" i="2"/>
  <c r="AK75" i="2"/>
  <c r="AK78" i="2"/>
  <c r="AK11" i="2"/>
  <c r="AK96" i="2"/>
  <c r="AK107" i="2"/>
  <c r="AK93" i="2"/>
  <c r="AN93" i="2" s="1"/>
  <c r="AK99" i="2"/>
  <c r="AK91" i="2"/>
  <c r="AN91" i="2" s="1"/>
  <c r="AK13" i="2"/>
  <c r="AN13" i="2" s="1"/>
  <c r="AK16" i="2"/>
  <c r="AN16" i="2" s="1"/>
  <c r="AK14" i="2"/>
  <c r="AK15" i="2"/>
  <c r="AN15" i="2" s="1"/>
  <c r="AK83" i="2"/>
  <c r="AK80" i="2"/>
  <c r="AN80" i="2" s="1"/>
  <c r="AK105" i="2"/>
  <c r="AK103" i="2"/>
  <c r="AK89" i="2"/>
  <c r="AN89" i="2" s="1"/>
  <c r="AK73" i="2"/>
  <c r="AK71" i="2"/>
  <c r="AK24" i="2"/>
  <c r="AW172" i="2"/>
  <c r="AK172" i="2"/>
  <c r="AK173" i="2"/>
  <c r="AN173" i="2" s="1"/>
  <c r="AW170" i="2"/>
  <c r="AK170" i="2"/>
  <c r="AN170" i="2" s="1"/>
  <c r="AW174" i="2"/>
  <c r="AK174" i="2"/>
  <c r="AC171" i="2"/>
  <c r="AJ171" i="2" s="1"/>
  <c r="AK171" i="2"/>
  <c r="AN171" i="2" s="1"/>
  <c r="AC16" i="2"/>
  <c r="AJ16" i="2" s="1"/>
  <c r="U29" i="8"/>
  <c r="T29" i="8"/>
  <c r="U22" i="8"/>
  <c r="T22" i="8"/>
  <c r="U14" i="8"/>
  <c r="T14" i="8"/>
  <c r="U33" i="8"/>
  <c r="T33" i="8"/>
  <c r="U26" i="8"/>
  <c r="T26" i="8"/>
  <c r="U18" i="8"/>
  <c r="T18" i="8"/>
  <c r="U34" i="8"/>
  <c r="T34" i="8"/>
  <c r="U24" i="8"/>
  <c r="T24" i="8"/>
  <c r="U16" i="8"/>
  <c r="T16" i="8"/>
  <c r="U32" i="8"/>
  <c r="T32" i="8"/>
  <c r="U25" i="8"/>
  <c r="T25" i="8"/>
  <c r="U17" i="8"/>
  <c r="T17" i="8"/>
  <c r="U28" i="8"/>
  <c r="T28" i="8"/>
  <c r="U21" i="8"/>
  <c r="T21" i="8"/>
  <c r="U13" i="8"/>
  <c r="T13" i="8"/>
  <c r="U30" i="8"/>
  <c r="T30" i="8"/>
  <c r="D13" i="8"/>
  <c r="C14" i="8"/>
  <c r="AC154" i="2"/>
  <c r="AJ154" i="2" s="1"/>
  <c r="AC104" i="2"/>
  <c r="AJ104" i="2" s="1"/>
  <c r="AC152" i="2"/>
  <c r="AJ152" i="2" s="1"/>
  <c r="AC120" i="2"/>
  <c r="AJ120" i="2" s="1"/>
  <c r="AC112" i="2"/>
  <c r="AJ112" i="2" s="1"/>
  <c r="AC205" i="2"/>
  <c r="AJ205" i="2" s="1"/>
  <c r="AC158" i="2"/>
  <c r="AJ158" i="2" s="1"/>
  <c r="AC134" i="2"/>
  <c r="AJ134" i="2" s="1"/>
  <c r="AC193" i="2"/>
  <c r="AJ193" i="2" s="1"/>
  <c r="AC169" i="2"/>
  <c r="AJ169" i="2" s="1"/>
  <c r="AC161" i="2"/>
  <c r="AJ161" i="2" s="1"/>
  <c r="AC121" i="2"/>
  <c r="AJ121" i="2" s="1"/>
  <c r="AC214" i="2"/>
  <c r="AJ214" i="2" s="1"/>
  <c r="AC215" i="2"/>
  <c r="AJ215" i="2" s="1"/>
  <c r="AC168" i="2"/>
  <c r="AJ168" i="2" s="1"/>
  <c r="AC203" i="2"/>
  <c r="AJ203" i="2" s="1"/>
  <c r="AC196" i="2"/>
  <c r="AJ196" i="2" s="1"/>
  <c r="AC148" i="2"/>
  <c r="AJ148" i="2" s="1"/>
  <c r="AC140" i="2"/>
  <c r="AJ140" i="2" s="1"/>
  <c r="AC189" i="2"/>
  <c r="AJ189" i="2" s="1"/>
  <c r="AC141" i="2"/>
  <c r="AJ141" i="2" s="1"/>
  <c r="AC200" i="2"/>
  <c r="AJ200" i="2" s="1"/>
  <c r="AC91" i="2"/>
  <c r="AJ91" i="2" s="1"/>
  <c r="AC97" i="2"/>
  <c r="AJ97" i="2" s="1"/>
  <c r="AC33" i="2"/>
  <c r="AJ33" i="2" s="1"/>
  <c r="AC95" i="2"/>
  <c r="AJ95" i="2" s="1"/>
  <c r="AC212" i="2"/>
  <c r="AJ212" i="2" s="1"/>
  <c r="AC195" i="2"/>
  <c r="AJ195" i="2" s="1"/>
  <c r="AC187" i="2"/>
  <c r="AJ187" i="2" s="1"/>
  <c r="AC139" i="2"/>
  <c r="AJ139" i="2" s="1"/>
  <c r="AC191" i="2"/>
  <c r="AJ191" i="2" s="1"/>
  <c r="AC175" i="2"/>
  <c r="AJ175" i="2" s="1"/>
  <c r="AV177" i="2"/>
  <c r="AC92" i="2"/>
  <c r="AJ92" i="2" s="1"/>
  <c r="AC109" i="2"/>
  <c r="AJ109" i="2" s="1"/>
  <c r="AC160" i="2"/>
  <c r="AJ160" i="2" s="1"/>
  <c r="AP67" i="2"/>
  <c r="AP64" i="2"/>
  <c r="AP65" i="2"/>
  <c r="AP66" i="2"/>
  <c r="AP62" i="2"/>
  <c r="AP63" i="2"/>
  <c r="AC69" i="2"/>
  <c r="AJ69" i="2" s="1"/>
  <c r="U115" i="5"/>
  <c r="U780" i="5"/>
  <c r="AP57" i="2"/>
  <c r="AP54" i="2"/>
  <c r="AP52" i="2"/>
  <c r="AP55" i="2"/>
  <c r="AP60" i="2"/>
  <c r="AP58" i="2"/>
  <c r="AP53" i="2"/>
  <c r="AP61" i="2"/>
  <c r="AP48" i="2"/>
  <c r="AP50" i="2"/>
  <c r="AP56" i="2"/>
  <c r="AP59" i="2"/>
  <c r="AV82" i="2"/>
  <c r="AC40" i="2"/>
  <c r="AJ40" i="2" s="1"/>
  <c r="U537" i="5"/>
  <c r="U649" i="5"/>
  <c r="U730" i="5"/>
  <c r="U668" i="5"/>
  <c r="U770" i="5"/>
  <c r="U809" i="5"/>
  <c r="U806" i="5"/>
  <c r="U812" i="5"/>
  <c r="AP313" i="2" s="1"/>
  <c r="U724" i="5"/>
  <c r="U732" i="5"/>
  <c r="U727" i="5"/>
  <c r="U729" i="5"/>
  <c r="U721" i="5"/>
  <c r="U26" i="5"/>
  <c r="F14" i="2"/>
  <c r="H14" i="2" s="1"/>
  <c r="AC207" i="2"/>
  <c r="AJ207" i="2" s="1"/>
  <c r="AV204" i="2"/>
  <c r="AI23" i="2"/>
  <c r="AC26" i="2"/>
  <c r="AJ26" i="2" s="1"/>
  <c r="AW150" i="2"/>
  <c r="AV85" i="2"/>
  <c r="AI83" i="2"/>
  <c r="AC27" i="2"/>
  <c r="AJ27" i="2" s="1"/>
  <c r="AU82" i="2"/>
  <c r="AU88" i="2"/>
  <c r="AC17" i="2"/>
  <c r="AJ17" i="2" s="1"/>
  <c r="AI7" i="2"/>
  <c r="AW207" i="2"/>
  <c r="AC173" i="2"/>
  <c r="AJ173" i="2" s="1"/>
  <c r="AI170" i="2"/>
  <c r="AC35" i="2"/>
  <c r="AJ35" i="2" s="1"/>
  <c r="AV164" i="2"/>
  <c r="AC159" i="2"/>
  <c r="AJ159" i="2" s="1"/>
  <c r="AC32" i="2"/>
  <c r="AJ32" i="2" s="1"/>
  <c r="AC34" i="2"/>
  <c r="AJ34" i="2" s="1"/>
  <c r="AC11" i="2"/>
  <c r="AJ11" i="2" s="1"/>
  <c r="AC38" i="2"/>
  <c r="AJ38" i="2" s="1"/>
  <c r="AC37" i="2"/>
  <c r="AJ37" i="2" s="1"/>
  <c r="AC21" i="2"/>
  <c r="AJ21" i="2" s="1"/>
  <c r="AN209" i="2"/>
  <c r="AN208" i="2"/>
  <c r="AW159" i="2"/>
  <c r="AC146" i="2"/>
  <c r="AJ146" i="2" s="1"/>
  <c r="AW87" i="2"/>
  <c r="AW38" i="2"/>
  <c r="AC126" i="2"/>
  <c r="AJ126" i="2" s="1"/>
  <c r="AW217" i="2"/>
  <c r="AW90" i="2"/>
  <c r="AW173" i="2"/>
  <c r="AW116" i="2"/>
  <c r="AP116" i="2"/>
  <c r="AC19" i="2"/>
  <c r="AJ19" i="2" s="1"/>
  <c r="AW146" i="2"/>
  <c r="AN113" i="2"/>
  <c r="AC197" i="2"/>
  <c r="AJ197" i="2" s="1"/>
  <c r="AW190" i="2"/>
  <c r="AC162" i="2"/>
  <c r="AJ162" i="2" s="1"/>
  <c r="AW149" i="2"/>
  <c r="AC123" i="2"/>
  <c r="AJ123" i="2" s="1"/>
  <c r="AI93" i="2"/>
  <c r="AV21" i="2"/>
  <c r="AC135" i="2"/>
  <c r="AJ135" i="2" s="1"/>
  <c r="AN128" i="2"/>
  <c r="AN120" i="2"/>
  <c r="AU107" i="2"/>
  <c r="AI104" i="2"/>
  <c r="AI96" i="2"/>
  <c r="AU70" i="2"/>
  <c r="AV70" i="2"/>
  <c r="AV201" i="2"/>
  <c r="AW193" i="2"/>
  <c r="AI181" i="2"/>
  <c r="AC177" i="2"/>
  <c r="AJ177" i="2" s="1"/>
  <c r="AI150" i="2"/>
  <c r="AC145" i="2"/>
  <c r="AJ145" i="2" s="1"/>
  <c r="AN212" i="2"/>
  <c r="AV212" i="2"/>
  <c r="AW79" i="2"/>
  <c r="AC7" i="2"/>
  <c r="AJ7" i="2" s="1"/>
  <c r="AV156" i="2"/>
  <c r="AN156" i="2"/>
  <c r="AC82" i="2"/>
  <c r="AJ82" i="2" s="1"/>
  <c r="AW100" i="2"/>
  <c r="AU98" i="2"/>
  <c r="AC36" i="2"/>
  <c r="AJ36" i="2" s="1"/>
  <c r="AW36" i="2"/>
  <c r="AW33" i="2"/>
  <c r="AP123" i="2"/>
  <c r="AW37" i="2"/>
  <c r="AW216" i="2"/>
  <c r="AW215" i="2"/>
  <c r="AC18" i="2"/>
  <c r="AJ18" i="2" s="1"/>
  <c r="AC46" i="2"/>
  <c r="AJ46" i="2" s="1"/>
  <c r="AC150" i="2"/>
  <c r="AJ150" i="2" s="1"/>
  <c r="AI38" i="2"/>
  <c r="U774" i="5"/>
  <c r="U89" i="5"/>
  <c r="U168" i="5"/>
  <c r="U23" i="5"/>
  <c r="U20" i="5"/>
  <c r="U825" i="5"/>
  <c r="U746" i="5"/>
  <c r="U797" i="5"/>
  <c r="U705" i="5"/>
  <c r="U547" i="5"/>
  <c r="AV26" i="2"/>
  <c r="AI204" i="2"/>
  <c r="AU204" i="2"/>
  <c r="AW185" i="2"/>
  <c r="AW184" i="2"/>
  <c r="AP128" i="2"/>
  <c r="AW128" i="2"/>
  <c r="AU85" i="2"/>
  <c r="AI85" i="2"/>
  <c r="AW84" i="2"/>
  <c r="AI198" i="2"/>
  <c r="AU198" i="2"/>
  <c r="AW94" i="2"/>
  <c r="AU95" i="2"/>
  <c r="AI95" i="2"/>
  <c r="AC24" i="2"/>
  <c r="AJ24" i="2" s="1"/>
  <c r="AU22" i="2"/>
  <c r="AC41" i="2"/>
  <c r="AJ41" i="2" s="1"/>
  <c r="AW41" i="2"/>
  <c r="AN139" i="2"/>
  <c r="AI190" i="2"/>
  <c r="AU190" i="2"/>
  <c r="AW156" i="2"/>
  <c r="AC156" i="2"/>
  <c r="AJ156" i="2" s="1"/>
  <c r="AC42" i="2"/>
  <c r="AJ42" i="2" s="1"/>
  <c r="AP203" i="2"/>
  <c r="AW203" i="2"/>
  <c r="AU86" i="2"/>
  <c r="AV86" i="2"/>
  <c r="AC68" i="2"/>
  <c r="AJ68" i="2" s="1"/>
  <c r="AP68" i="2"/>
  <c r="AC184" i="2"/>
  <c r="AJ184" i="2" s="1"/>
  <c r="AC163" i="2"/>
  <c r="AJ163" i="2" s="1"/>
  <c r="AW163" i="2"/>
  <c r="AC128" i="2"/>
  <c r="AJ128" i="2" s="1"/>
  <c r="AC84" i="2"/>
  <c r="AJ84" i="2" s="1"/>
  <c r="AW129" i="2"/>
  <c r="AP129" i="2"/>
  <c r="AW83" i="2"/>
  <c r="AW175" i="2"/>
  <c r="AW160" i="2"/>
  <c r="AW154" i="2"/>
  <c r="AW134" i="2"/>
  <c r="AC155" i="2"/>
  <c r="AJ155" i="2" s="1"/>
  <c r="AW155" i="2"/>
  <c r="AC83" i="2"/>
  <c r="AJ83" i="2" s="1"/>
  <c r="AW176" i="2"/>
  <c r="AC176" i="2"/>
  <c r="AJ176" i="2" s="1"/>
  <c r="AW92" i="2"/>
  <c r="AC108" i="2"/>
  <c r="AJ108" i="2" s="1"/>
  <c r="AP108" i="2"/>
  <c r="AW168" i="2"/>
  <c r="AC44" i="2"/>
  <c r="AJ44" i="2" s="1"/>
  <c r="AW44" i="2"/>
  <c r="AW165" i="2"/>
  <c r="AW135" i="2"/>
  <c r="AC78" i="2"/>
  <c r="AJ78" i="2" s="1"/>
  <c r="AV80" i="2"/>
  <c r="AI80" i="2"/>
  <c r="AC72" i="2"/>
  <c r="AJ72" i="2" s="1"/>
  <c r="AW162" i="2"/>
  <c r="AW126" i="2"/>
  <c r="U674" i="5"/>
  <c r="U718" i="5"/>
  <c r="U134" i="5"/>
  <c r="U638" i="5"/>
  <c r="AP233" i="2" s="1"/>
  <c r="U104" i="5"/>
  <c r="U749" i="5"/>
  <c r="U768" i="5"/>
  <c r="U765" i="5"/>
  <c r="AP286" i="2" s="1"/>
  <c r="U752" i="5"/>
  <c r="U621" i="5"/>
  <c r="U773" i="5"/>
  <c r="U177" i="5"/>
  <c r="U763" i="5"/>
  <c r="U536" i="5"/>
  <c r="U520" i="5"/>
  <c r="U159" i="5"/>
  <c r="U158" i="5"/>
  <c r="U142" i="5"/>
  <c r="U110" i="5"/>
  <c r="U66" i="5"/>
  <c r="U500" i="5"/>
  <c r="U80" i="5"/>
  <c r="U737" i="5"/>
  <c r="U571" i="5"/>
  <c r="AP150" i="2" s="1"/>
  <c r="AR150" i="2" s="1"/>
  <c r="U539" i="5"/>
  <c r="U507" i="5"/>
  <c r="U827" i="5"/>
  <c r="U182" i="5"/>
  <c r="U116" i="5"/>
  <c r="U509" i="5"/>
  <c r="U160" i="5"/>
  <c r="U538" i="5"/>
  <c r="U701" i="5"/>
  <c r="U550" i="5"/>
  <c r="U98" i="5"/>
  <c r="U647" i="5"/>
  <c r="U791" i="5"/>
  <c r="U723" i="5"/>
  <c r="U137" i="5"/>
  <c r="U714" i="5"/>
  <c r="U779" i="5"/>
  <c r="U644" i="5"/>
  <c r="U611" i="5"/>
  <c r="U156" i="5"/>
  <c r="U140" i="5"/>
  <c r="U95" i="5"/>
  <c r="U92" i="5"/>
  <c r="U734" i="5"/>
  <c r="U726" i="5"/>
  <c r="U660" i="5"/>
  <c r="U641" i="5"/>
  <c r="U64" i="5"/>
  <c r="U745" i="5"/>
  <c r="U704" i="5"/>
  <c r="U666" i="5"/>
  <c r="AP247" i="2" s="1"/>
  <c r="U771" i="5"/>
  <c r="U688" i="5"/>
  <c r="U139" i="5"/>
  <c r="U120" i="5"/>
  <c r="U747" i="5"/>
  <c r="U716" i="5"/>
  <c r="U624" i="5"/>
  <c r="U167" i="5"/>
  <c r="U60" i="5"/>
  <c r="U512" i="5"/>
  <c r="U633" i="5"/>
  <c r="U610" i="5"/>
  <c r="U594" i="5"/>
  <c r="U163" i="5"/>
  <c r="U814" i="5"/>
  <c r="U505" i="5"/>
  <c r="U16" i="5"/>
  <c r="U786" i="5"/>
  <c r="AP301" i="2" s="1"/>
  <c r="U29" i="5"/>
  <c r="U25" i="5"/>
  <c r="U789" i="5"/>
  <c r="U555" i="5"/>
  <c r="AP185" i="2" s="1"/>
  <c r="U795" i="5"/>
  <c r="U804" i="5"/>
  <c r="U561" i="5"/>
  <c r="U501" i="5"/>
  <c r="U180" i="5"/>
  <c r="U101" i="5"/>
  <c r="U87" i="5"/>
  <c r="U83" i="5"/>
  <c r="U63" i="5"/>
  <c r="U52" i="5"/>
  <c r="U37" i="5"/>
  <c r="U605" i="5"/>
  <c r="U131" i="5"/>
  <c r="U108" i="5"/>
  <c r="U162" i="5"/>
  <c r="U691" i="5"/>
  <c r="U50" i="5"/>
  <c r="U34" i="5"/>
  <c r="U172" i="5"/>
  <c r="AP45" i="2" s="1"/>
  <c r="U579" i="5"/>
  <c r="U709" i="5"/>
  <c r="U569" i="5"/>
  <c r="U588" i="5"/>
  <c r="U75" i="5"/>
  <c r="U58" i="5"/>
  <c r="U754" i="5"/>
  <c r="U748" i="5"/>
  <c r="U693" i="5"/>
  <c r="U607" i="5"/>
  <c r="U591" i="5"/>
  <c r="U528" i="5"/>
  <c r="U525" i="5"/>
  <c r="U506" i="5"/>
  <c r="U164" i="5"/>
  <c r="U117" i="5"/>
  <c r="U78" i="5"/>
  <c r="U61" i="5"/>
  <c r="U690" i="5"/>
  <c r="AP259" i="2" s="1"/>
  <c r="U148" i="5"/>
  <c r="AP39" i="2" s="1"/>
  <c r="U123" i="5"/>
  <c r="U100" i="5"/>
  <c r="U97" i="5"/>
  <c r="U94" i="5"/>
  <c r="U91" i="5"/>
  <c r="U68" i="5"/>
  <c r="U36" i="5"/>
  <c r="U71" i="5"/>
  <c r="U39" i="5"/>
  <c r="U740" i="5"/>
  <c r="U557" i="5"/>
  <c r="U554" i="5"/>
  <c r="U743" i="5"/>
  <c r="U697" i="5"/>
  <c r="U563" i="5"/>
  <c r="U544" i="5"/>
  <c r="AP180" i="2" s="1"/>
  <c r="U667" i="5"/>
  <c r="U651" i="5"/>
  <c r="U645" i="5"/>
  <c r="U620" i="5"/>
  <c r="U600" i="5"/>
  <c r="AP206" i="2" s="1"/>
  <c r="U670" i="5"/>
  <c r="U654" i="5"/>
  <c r="U106" i="5"/>
  <c r="U57" i="5"/>
  <c r="U42" i="5"/>
  <c r="U675" i="5"/>
  <c r="U169" i="5"/>
  <c r="U165" i="5"/>
  <c r="U541" i="5"/>
  <c r="U781" i="5"/>
  <c r="U784" i="5"/>
  <c r="U126" i="5"/>
  <c r="U103" i="5"/>
  <c r="U799" i="5"/>
  <c r="U793" i="5"/>
  <c r="U811" i="5"/>
  <c r="U802" i="5"/>
  <c r="U676" i="5"/>
  <c r="U673" i="5"/>
  <c r="U609" i="5"/>
  <c r="U577" i="5"/>
  <c r="AP194" i="2" s="1"/>
  <c r="U135" i="5"/>
  <c r="U769" i="5"/>
  <c r="U636" i="5"/>
  <c r="U565" i="5"/>
  <c r="U829" i="5"/>
  <c r="U826" i="5"/>
  <c r="U823" i="5"/>
  <c r="AP320" i="2" s="1"/>
  <c r="U596" i="5"/>
  <c r="U514" i="5"/>
  <c r="U511" i="5"/>
  <c r="U508" i="5"/>
  <c r="U170" i="5"/>
  <c r="U99" i="5"/>
  <c r="U93" i="5"/>
  <c r="U90" i="5"/>
  <c r="U67" i="5"/>
  <c r="U585" i="5"/>
  <c r="AP198" i="2" s="1"/>
  <c r="AS198" i="2" s="1"/>
  <c r="U616" i="5"/>
  <c r="U682" i="5"/>
  <c r="U685" i="5"/>
  <c r="U669" i="5"/>
  <c r="U650" i="5"/>
  <c r="U602" i="5"/>
  <c r="U533" i="5"/>
  <c r="U173" i="5"/>
  <c r="U652" i="5"/>
  <c r="U637" i="5"/>
  <c r="AP224" i="2" s="1"/>
  <c r="U592" i="5"/>
  <c r="AP156" i="2" s="1"/>
  <c r="U782" i="5"/>
  <c r="U707" i="5"/>
  <c r="U800" i="5"/>
  <c r="U794" i="5"/>
  <c r="U785" i="5"/>
  <c r="U761" i="5"/>
  <c r="U731" i="5"/>
  <c r="U728" i="5"/>
  <c r="U725" i="5"/>
  <c r="AP269" i="2" s="1"/>
  <c r="U713" i="5"/>
  <c r="U582" i="5"/>
  <c r="AP196" i="2" s="1"/>
  <c r="AR196" i="2" s="1"/>
  <c r="U517" i="5"/>
  <c r="U151" i="5"/>
  <c r="U81" i="5"/>
  <c r="U568" i="5"/>
  <c r="U777" i="5"/>
  <c r="U694" i="5"/>
  <c r="U679" i="5"/>
  <c r="U143" i="5"/>
  <c r="U762" i="5"/>
  <c r="U566" i="5"/>
  <c r="U736" i="5"/>
  <c r="U733" i="5"/>
  <c r="U715" i="5"/>
  <c r="U828" i="5"/>
  <c r="U702" i="5"/>
  <c r="U699" i="5"/>
  <c r="U816" i="5"/>
  <c r="AP316" i="2" s="1"/>
  <c r="U813" i="5"/>
  <c r="U810" i="5"/>
  <c r="U807" i="5"/>
  <c r="AP311" i="2" s="1"/>
  <c r="U801" i="5"/>
  <c r="U796" i="5"/>
  <c r="U787" i="5"/>
  <c r="U757" i="5"/>
  <c r="U663" i="5"/>
  <c r="U132" i="5"/>
  <c r="U504" i="5"/>
  <c r="U144" i="5"/>
  <c r="U141" i="5"/>
  <c r="U138" i="5"/>
  <c r="U112" i="5"/>
  <c r="U109" i="5"/>
  <c r="U672" i="5"/>
  <c r="U635" i="5"/>
  <c r="U612" i="5"/>
  <c r="U578" i="5"/>
  <c r="U556" i="5"/>
  <c r="U516" i="5"/>
  <c r="U513" i="5"/>
  <c r="U150" i="5"/>
  <c r="U147" i="5"/>
  <c r="U77" i="5"/>
  <c r="U593" i="5"/>
  <c r="U587" i="5"/>
  <c r="U584" i="5"/>
  <c r="U562" i="5"/>
  <c r="AP189" i="2" s="1"/>
  <c r="U559" i="5"/>
  <c r="AP187" i="2" s="1"/>
  <c r="U522" i="5"/>
  <c r="U153" i="5"/>
  <c r="U128" i="5"/>
  <c r="U681" i="5"/>
  <c r="U622" i="5"/>
  <c r="U619" i="5"/>
  <c r="U70" i="5"/>
  <c r="U625" i="5"/>
  <c r="AP219" i="2" s="1"/>
  <c r="U798" i="5"/>
  <c r="U756" i="5"/>
  <c r="U753" i="5"/>
  <c r="U750" i="5"/>
  <c r="U102" i="5"/>
  <c r="U111" i="5"/>
  <c r="U45" i="5"/>
  <c r="U580" i="5"/>
  <c r="U118" i="5"/>
  <c r="U114" i="5"/>
  <c r="U759" i="5"/>
  <c r="U628" i="5"/>
  <c r="U546" i="5"/>
  <c r="U543" i="5"/>
  <c r="AP178" i="2" s="1"/>
  <c r="U540" i="5"/>
  <c r="U531" i="5"/>
  <c r="U552" i="5"/>
  <c r="U48" i="5"/>
  <c r="U692" i="5"/>
  <c r="U677" i="5"/>
  <c r="U589" i="5"/>
  <c r="AP200" i="2" s="1"/>
  <c r="U738" i="5"/>
  <c r="U631" i="5"/>
  <c r="AP221" i="2" s="1"/>
  <c r="U608" i="5"/>
  <c r="U149" i="5"/>
  <c r="U146" i="5"/>
  <c r="U634" i="5"/>
  <c r="U152" i="5"/>
  <c r="U30" i="5"/>
  <c r="U698" i="5"/>
  <c r="U695" i="5"/>
  <c r="U683" i="5"/>
  <c r="U524" i="5"/>
  <c r="U174" i="5"/>
  <c r="U155" i="5"/>
  <c r="U124" i="5"/>
  <c r="U53" i="5"/>
  <c r="U661" i="5"/>
  <c r="U658" i="5"/>
  <c r="U643" i="5"/>
  <c r="U640" i="5"/>
  <c r="U598" i="5"/>
  <c r="U595" i="5"/>
  <c r="U570" i="5"/>
  <c r="U527" i="5"/>
  <c r="U178" i="5"/>
  <c r="AP47" i="2" s="1"/>
  <c r="U69" i="5"/>
  <c r="U65" i="5"/>
  <c r="U62" i="5"/>
  <c r="U59" i="5"/>
  <c r="U56" i="5"/>
  <c r="U627" i="5"/>
  <c r="U604" i="5"/>
  <c r="U601" i="5"/>
  <c r="U576" i="5"/>
  <c r="U573" i="5"/>
  <c r="U499" i="5"/>
  <c r="AP132" i="2" s="1"/>
  <c r="U181" i="5"/>
  <c r="U107" i="5"/>
  <c r="U33" i="5"/>
  <c r="U31" i="5"/>
  <c r="U22" i="5"/>
  <c r="U19" i="5"/>
  <c r="U18" i="5"/>
  <c r="U755" i="5"/>
  <c r="U824" i="5"/>
  <c r="U659" i="5"/>
  <c r="U656" i="5"/>
  <c r="U653" i="5"/>
  <c r="U775" i="5"/>
  <c r="U778" i="5"/>
  <c r="U700" i="5"/>
  <c r="U783" i="5"/>
  <c r="AP299" i="2" s="1"/>
  <c r="U805" i="5"/>
  <c r="U788" i="5"/>
  <c r="U722" i="5"/>
  <c r="U136" i="5"/>
  <c r="U739" i="5"/>
  <c r="U710" i="5"/>
  <c r="U687" i="5"/>
  <c r="U684" i="5"/>
  <c r="AP257" i="2" s="1"/>
  <c r="U575" i="5"/>
  <c r="U560" i="5"/>
  <c r="U534" i="5"/>
  <c r="U502" i="5"/>
  <c r="U133" i="5"/>
  <c r="U130" i="5"/>
  <c r="U127" i="5"/>
  <c r="U121" i="5"/>
  <c r="U84" i="5"/>
  <c r="U51" i="5"/>
  <c r="U830" i="5"/>
  <c r="U706" i="5"/>
  <c r="U21" i="5"/>
  <c r="U790" i="5"/>
  <c r="U657" i="5"/>
  <c r="U586" i="5"/>
  <c r="AP199" i="2" s="1"/>
  <c r="U551" i="5"/>
  <c r="U548" i="5"/>
  <c r="U545" i="5"/>
  <c r="U510" i="5"/>
  <c r="U764" i="5"/>
  <c r="AP285" i="2" s="1"/>
  <c r="U758" i="5"/>
  <c r="U744" i="5"/>
  <c r="U741" i="5"/>
  <c r="AP273" i="2" s="1"/>
  <c r="U689" i="5"/>
  <c r="U686" i="5"/>
  <c r="U630" i="5"/>
  <c r="U606" i="5"/>
  <c r="U603" i="5"/>
  <c r="AP211" i="2" s="1"/>
  <c r="U530" i="5"/>
  <c r="U183" i="5"/>
  <c r="U105" i="5"/>
  <c r="U86" i="5"/>
  <c r="U74" i="5"/>
  <c r="U44" i="5"/>
  <c r="U41" i="5"/>
  <c r="U38" i="5"/>
  <c r="U35" i="5"/>
  <c r="U14" i="5"/>
  <c r="U642" i="5"/>
  <c r="AP174" i="2" s="1"/>
  <c r="U521" i="5"/>
  <c r="U518" i="5"/>
  <c r="U515" i="5"/>
  <c r="AP137" i="2" s="1"/>
  <c r="U772" i="5"/>
  <c r="U553" i="5"/>
  <c r="AP184" i="2" s="1"/>
  <c r="U113" i="5"/>
  <c r="U17" i="5"/>
  <c r="U166" i="5"/>
  <c r="U665" i="5"/>
  <c r="AP246" i="2" s="1"/>
  <c r="U618" i="5"/>
  <c r="U614" i="5"/>
  <c r="U803" i="5"/>
  <c r="AP309" i="2" s="1"/>
  <c r="U766" i="5"/>
  <c r="U720" i="5"/>
  <c r="U717" i="5"/>
  <c r="U629" i="5"/>
  <c r="U564" i="5"/>
  <c r="U558" i="5"/>
  <c r="AP186" i="2" s="1"/>
  <c r="U532" i="5"/>
  <c r="U529" i="5"/>
  <c r="U526" i="5"/>
  <c r="U157" i="5"/>
  <c r="U125" i="5"/>
  <c r="U85" i="5"/>
  <c r="U82" i="5"/>
  <c r="U79" i="5"/>
  <c r="U711" i="5"/>
  <c r="U708" i="5"/>
  <c r="U632" i="5"/>
  <c r="AP223" i="2" s="1"/>
  <c r="U626" i="5"/>
  <c r="AP84" i="2" s="1"/>
  <c r="AR84" i="2" s="1"/>
  <c r="U623" i="5"/>
  <c r="U613" i="5"/>
  <c r="U523" i="5"/>
  <c r="U179" i="5"/>
  <c r="U175" i="5"/>
  <c r="U119" i="5"/>
  <c r="U76" i="5"/>
  <c r="U73" i="5"/>
  <c r="U54" i="5"/>
  <c r="U49" i="5"/>
  <c r="U46" i="5"/>
  <c r="U43" i="5"/>
  <c r="U549" i="5"/>
  <c r="U13" i="5"/>
  <c r="U12" i="5"/>
  <c r="U11" i="5"/>
  <c r="U808" i="5"/>
  <c r="U581" i="5"/>
  <c r="U703" i="5"/>
  <c r="U678" i="5"/>
  <c r="AP255" i="2" s="1"/>
  <c r="U648" i="5"/>
  <c r="U567" i="5"/>
  <c r="U122" i="5"/>
  <c r="U597" i="5"/>
  <c r="U96" i="5"/>
  <c r="U639" i="5"/>
  <c r="U583" i="5"/>
  <c r="AP197" i="2" s="1"/>
  <c r="AR197" i="2" s="1"/>
  <c r="U154" i="5"/>
  <c r="U24" i="5"/>
  <c r="U664" i="5"/>
  <c r="U760" i="5"/>
  <c r="AP282" i="2" s="1"/>
  <c r="U735" i="5"/>
  <c r="U171" i="5"/>
  <c r="U40" i="5"/>
  <c r="U719" i="5"/>
  <c r="U572" i="5"/>
  <c r="U599" i="5"/>
  <c r="U542" i="5"/>
  <c r="U815" i="5"/>
  <c r="U574" i="5"/>
  <c r="U503" i="5"/>
  <c r="U55" i="5"/>
  <c r="U129" i="5"/>
  <c r="U776" i="5"/>
  <c r="U696" i="5"/>
  <c r="U145" i="5"/>
  <c r="U15" i="5"/>
  <c r="U680" i="5"/>
  <c r="U655" i="5"/>
  <c r="U751" i="5"/>
  <c r="U671" i="5"/>
  <c r="U646" i="5"/>
  <c r="AP240" i="2" s="1"/>
  <c r="U615" i="5"/>
  <c r="AP216" i="2" s="1"/>
  <c r="AS216" i="2" s="1"/>
  <c r="U519" i="5"/>
  <c r="U72" i="5"/>
  <c r="U792" i="5"/>
  <c r="U590" i="5"/>
  <c r="AP201" i="2" s="1"/>
  <c r="U161" i="5"/>
  <c r="U32" i="5"/>
  <c r="U767" i="5"/>
  <c r="U742" i="5"/>
  <c r="U712" i="5"/>
  <c r="U535" i="5"/>
  <c r="U88" i="5"/>
  <c r="U662" i="5"/>
  <c r="U47" i="5"/>
  <c r="AI13" i="2"/>
  <c r="AI89" i="2"/>
  <c r="AU89" i="2"/>
  <c r="AC213" i="2"/>
  <c r="AJ213" i="2" s="1"/>
  <c r="AW181" i="2"/>
  <c r="AC25" i="2"/>
  <c r="AJ25" i="2" s="1"/>
  <c r="AW25" i="2"/>
  <c r="AV206" i="2"/>
  <c r="AN206" i="2"/>
  <c r="AI205" i="2"/>
  <c r="AU205" i="2"/>
  <c r="AV183" i="2"/>
  <c r="AV171" i="2"/>
  <c r="AV158" i="2"/>
  <c r="AC192" i="2"/>
  <c r="AJ192" i="2" s="1"/>
  <c r="AV180" i="2"/>
  <c r="AV162" i="2"/>
  <c r="AW107" i="2"/>
  <c r="AC107" i="2"/>
  <c r="AJ107" i="2" s="1"/>
  <c r="AW22" i="2"/>
  <c r="AI197" i="2"/>
  <c r="AU197" i="2"/>
  <c r="AP124" i="2"/>
  <c r="AW124" i="2"/>
  <c r="AC124" i="2"/>
  <c r="AJ124" i="2" s="1"/>
  <c r="AC106" i="2"/>
  <c r="AJ106" i="2" s="1"/>
  <c r="AW106" i="2"/>
  <c r="AC80" i="2"/>
  <c r="AJ80" i="2" s="1"/>
  <c r="AW195" i="2"/>
  <c r="AC96" i="2"/>
  <c r="AJ96" i="2" s="1"/>
  <c r="AW96" i="2"/>
  <c r="AP210" i="2"/>
  <c r="AW210" i="2"/>
  <c r="AW166" i="2"/>
  <c r="AC166" i="2"/>
  <c r="AJ166" i="2" s="1"/>
  <c r="AW151" i="2"/>
  <c r="AV142" i="2"/>
  <c r="AW17" i="2"/>
  <c r="AC211" i="2"/>
  <c r="AJ211" i="2" s="1"/>
  <c r="AW211" i="2"/>
  <c r="AV167" i="2"/>
  <c r="AV153" i="2"/>
  <c r="AW16" i="2"/>
  <c r="AV154" i="2"/>
  <c r="AP112" i="2"/>
  <c r="AW112" i="2"/>
  <c r="AU17" i="2"/>
  <c r="AC15" i="2"/>
  <c r="AJ15" i="2" s="1"/>
  <c r="AW15" i="2"/>
  <c r="AN211" i="2"/>
  <c r="AV194" i="2"/>
  <c r="AW192" i="2"/>
  <c r="AV140" i="2"/>
  <c r="AW120" i="2"/>
  <c r="AP120" i="2"/>
  <c r="AP111" i="2"/>
  <c r="AR111" i="2" s="1"/>
  <c r="AW111" i="2"/>
  <c r="AC111" i="2"/>
  <c r="AJ111" i="2" s="1"/>
  <c r="AW88" i="2"/>
  <c r="AC28" i="2"/>
  <c r="AJ28" i="2" s="1"/>
  <c r="AW28" i="2"/>
  <c r="AW214" i="2"/>
  <c r="AW178" i="2"/>
  <c r="AW76" i="2"/>
  <c r="AC76" i="2"/>
  <c r="AJ76" i="2" s="1"/>
  <c r="AC119" i="2"/>
  <c r="AJ119" i="2" s="1"/>
  <c r="AW119" i="2"/>
  <c r="AP119" i="2"/>
  <c r="AN112" i="2"/>
  <c r="AW75" i="2"/>
  <c r="AC75" i="2"/>
  <c r="AJ75" i="2" s="1"/>
  <c r="AV29" i="2"/>
  <c r="AC182" i="2"/>
  <c r="AJ182" i="2" s="1"/>
  <c r="AW182" i="2"/>
  <c r="AC93" i="2"/>
  <c r="AJ93" i="2" s="1"/>
  <c r="AW93" i="2"/>
  <c r="AV89" i="2"/>
  <c r="AV68" i="2"/>
  <c r="AN68" i="2"/>
  <c r="AW27" i="2"/>
  <c r="AC183" i="2"/>
  <c r="AJ183" i="2" s="1"/>
  <c r="AW183" i="2"/>
  <c r="AC181" i="2"/>
  <c r="AJ181" i="2" s="1"/>
  <c r="AW158" i="2"/>
  <c r="AC157" i="2"/>
  <c r="AJ157" i="2" s="1"/>
  <c r="AW157" i="2"/>
  <c r="AC143" i="2"/>
  <c r="AJ143" i="2" s="1"/>
  <c r="AW143" i="2"/>
  <c r="AV94" i="2"/>
  <c r="AI94" i="2"/>
  <c r="AC204" i="2"/>
  <c r="AJ204" i="2" s="1"/>
  <c r="AW204" i="2"/>
  <c r="AW199" i="2"/>
  <c r="AC199" i="2"/>
  <c r="AJ199" i="2" s="1"/>
  <c r="AW169" i="2"/>
  <c r="AP109" i="2"/>
  <c r="AW109" i="2"/>
  <c r="AC102" i="2"/>
  <c r="AJ102" i="2" s="1"/>
  <c r="AW102" i="2"/>
  <c r="AV169" i="2"/>
  <c r="AW101" i="2"/>
  <c r="AC101" i="2"/>
  <c r="AJ101" i="2" s="1"/>
  <c r="AV81" i="2"/>
  <c r="AW35" i="2"/>
  <c r="AV161" i="2"/>
  <c r="AW121" i="2"/>
  <c r="AP121" i="2"/>
  <c r="AV102" i="2"/>
  <c r="AW40" i="2"/>
  <c r="AC113" i="2"/>
  <c r="AJ113" i="2" s="1"/>
  <c r="AP113" i="2"/>
  <c r="AC39" i="2"/>
  <c r="AJ39" i="2" s="1"/>
  <c r="AW200" i="2"/>
  <c r="AI90" i="2"/>
  <c r="AC71" i="2"/>
  <c r="AJ71" i="2" s="1"/>
  <c r="AC43" i="2"/>
  <c r="AJ43" i="2" s="1"/>
  <c r="AV34" i="2"/>
  <c r="AC170" i="2"/>
  <c r="AJ170" i="2" s="1"/>
  <c r="AC115" i="2"/>
  <c r="AJ115" i="2" s="1"/>
  <c r="AP115" i="2"/>
  <c r="AV95" i="2"/>
  <c r="AC70" i="2"/>
  <c r="AJ70" i="2" s="1"/>
  <c r="AV149" i="2"/>
  <c r="AW85" i="2"/>
  <c r="AC85" i="2"/>
  <c r="AJ85" i="2" s="1"/>
  <c r="AV207" i="2"/>
  <c r="AW205" i="2"/>
  <c r="AC129" i="2"/>
  <c r="AJ129" i="2" s="1"/>
  <c r="AC116" i="2"/>
  <c r="AJ116" i="2" s="1"/>
  <c r="AV109" i="2"/>
  <c r="AN109" i="2"/>
  <c r="AV100" i="2"/>
  <c r="AI100" i="2"/>
  <c r="AC31" i="2"/>
  <c r="AJ31" i="2" s="1"/>
  <c r="AW31" i="2"/>
  <c r="AP212" i="2"/>
  <c r="AW212" i="2"/>
  <c r="AV175" i="2"/>
  <c r="AI99" i="2"/>
  <c r="AW26" i="2"/>
  <c r="AV103" i="2"/>
  <c r="AW45" i="2"/>
  <c r="AC45" i="2"/>
  <c r="AJ45" i="2" s="1"/>
  <c r="AV19" i="2"/>
  <c r="AV198" i="2"/>
  <c r="AW148" i="2"/>
  <c r="AV69" i="2"/>
  <c r="AI69" i="2"/>
  <c r="AW21" i="2"/>
  <c r="AW191" i="2"/>
  <c r="AC114" i="2"/>
  <c r="AJ114" i="2" s="1"/>
  <c r="AP114" i="2"/>
  <c r="AV178" i="2"/>
  <c r="AV150" i="2"/>
  <c r="AU129" i="2"/>
  <c r="AN127" i="2"/>
  <c r="AC94" i="2"/>
  <c r="AJ94" i="2" s="1"/>
  <c r="AV92" i="2"/>
  <c r="AC89" i="2"/>
  <c r="AJ89" i="2" s="1"/>
  <c r="AV12" i="2"/>
  <c r="AC149" i="2"/>
  <c r="AJ149" i="2" s="1"/>
  <c r="AC100" i="2"/>
  <c r="AJ100" i="2" s="1"/>
  <c r="AV37" i="2"/>
  <c r="AC23" i="2"/>
  <c r="AJ23" i="2" s="1"/>
  <c r="U11" i="8"/>
  <c r="V11" i="8" s="1"/>
  <c r="U31" i="8"/>
  <c r="V31" i="8" s="1"/>
  <c r="U23" i="8"/>
  <c r="V23" i="8" s="1"/>
  <c r="U19" i="8"/>
  <c r="V19" i="8" s="1"/>
  <c r="U27" i="8"/>
  <c r="V27" i="8" s="1"/>
  <c r="U15" i="8"/>
  <c r="V15" i="8" s="1"/>
  <c r="U12" i="8"/>
  <c r="V12" i="8" s="1"/>
  <c r="U35" i="8"/>
  <c r="V35" i="8" s="1"/>
  <c r="U20" i="8"/>
  <c r="V20" i="8" s="1"/>
  <c r="AV189" i="2"/>
  <c r="AW14" i="2"/>
  <c r="AI12" i="2"/>
  <c r="AU12" i="2"/>
  <c r="AW208" i="2"/>
  <c r="AP208" i="2"/>
  <c r="AC208" i="2"/>
  <c r="AJ208" i="2" s="1"/>
  <c r="AN116" i="2"/>
  <c r="AV116" i="2"/>
  <c r="AW196" i="2"/>
  <c r="AC186" i="2"/>
  <c r="AJ186" i="2" s="1"/>
  <c r="AW186" i="2"/>
  <c r="AC73" i="2"/>
  <c r="AJ73" i="2" s="1"/>
  <c r="AW73" i="2"/>
  <c r="AI164" i="2"/>
  <c r="AU164" i="2"/>
  <c r="AW161" i="2"/>
  <c r="AW139" i="2"/>
  <c r="AI216" i="2"/>
  <c r="AU216" i="2"/>
  <c r="AV42" i="2"/>
  <c r="AI97" i="2"/>
  <c r="AU97" i="2"/>
  <c r="AI141" i="2"/>
  <c r="AU141" i="2"/>
  <c r="AW206" i="2"/>
  <c r="AC206" i="2"/>
  <c r="AJ206" i="2" s="1"/>
  <c r="AV216" i="2"/>
  <c r="AU196" i="2"/>
  <c r="AI196" i="2"/>
  <c r="AV132" i="2"/>
  <c r="AV16" i="2"/>
  <c r="AP209" i="2"/>
  <c r="AW209" i="2"/>
  <c r="AC209" i="2"/>
  <c r="AJ209" i="2" s="1"/>
  <c r="AV124" i="2"/>
  <c r="AN124" i="2"/>
  <c r="AN210" i="2"/>
  <c r="AV210" i="2"/>
  <c r="AV76" i="2"/>
  <c r="AW11" i="2"/>
  <c r="AI111" i="2"/>
  <c r="AU111" i="2"/>
  <c r="AV117" i="2"/>
  <c r="AN117" i="2"/>
  <c r="AC180" i="2"/>
  <c r="AJ180" i="2" s="1"/>
  <c r="AW180" i="2"/>
  <c r="AV114" i="2"/>
  <c r="AV141" i="2"/>
  <c r="AV111" i="2"/>
  <c r="AN32" i="2"/>
  <c r="AV32" i="2"/>
  <c r="AC198" i="2"/>
  <c r="AJ198" i="2" s="1"/>
  <c r="AV151" i="2"/>
  <c r="AW140" i="2"/>
  <c r="AV196" i="2"/>
  <c r="AW194" i="2"/>
  <c r="AC194" i="2"/>
  <c r="AJ194" i="2" s="1"/>
  <c r="AC153" i="2"/>
  <c r="AJ153" i="2" s="1"/>
  <c r="AW153" i="2"/>
  <c r="AI41" i="2"/>
  <c r="AU41" i="2"/>
  <c r="AV199" i="2"/>
  <c r="AV188" i="2"/>
  <c r="AC172" i="2"/>
  <c r="AJ172" i="2" s="1"/>
  <c r="AC118" i="2"/>
  <c r="AJ118" i="2" s="1"/>
  <c r="AW118" i="2"/>
  <c r="AP118" i="2"/>
  <c r="AR118" i="2" s="1"/>
  <c r="AC110" i="2"/>
  <c r="AJ110" i="2" s="1"/>
  <c r="AW110" i="2"/>
  <c r="AP110" i="2"/>
  <c r="AI102" i="2"/>
  <c r="AU102" i="2"/>
  <c r="AC99" i="2"/>
  <c r="AJ99" i="2" s="1"/>
  <c r="AW99" i="2"/>
  <c r="AW91" i="2"/>
  <c r="AC216" i="2"/>
  <c r="AJ216" i="2" s="1"/>
  <c r="AV191" i="2"/>
  <c r="AW187" i="2"/>
  <c r="AV197" i="2"/>
  <c r="AU191" i="2"/>
  <c r="AI191" i="2"/>
  <c r="AU118" i="2"/>
  <c r="AI118" i="2"/>
  <c r="AW202" i="2"/>
  <c r="AW197" i="2"/>
  <c r="AC174" i="2"/>
  <c r="AJ174" i="2" s="1"/>
  <c r="AV168" i="2"/>
  <c r="AC117" i="2"/>
  <c r="AJ117" i="2" s="1"/>
  <c r="AW117" i="2"/>
  <c r="AP117" i="2"/>
  <c r="AW105" i="2"/>
  <c r="AC105" i="2"/>
  <c r="AJ105" i="2" s="1"/>
  <c r="AN185" i="2"/>
  <c r="AV185" i="2"/>
  <c r="AW167" i="2"/>
  <c r="AC167" i="2"/>
  <c r="AJ167" i="2" s="1"/>
  <c r="AW136" i="2"/>
  <c r="AC136" i="2"/>
  <c r="AJ136" i="2" s="1"/>
  <c r="AN121" i="2"/>
  <c r="AV91" i="2"/>
  <c r="AV41" i="2"/>
  <c r="AV200" i="2"/>
  <c r="AI84" i="2"/>
  <c r="AU84" i="2"/>
  <c r="AV25" i="2"/>
  <c r="AV205" i="2"/>
  <c r="AC178" i="2"/>
  <c r="AJ178" i="2" s="1"/>
  <c r="AV84" i="2"/>
  <c r="AV72" i="2"/>
  <c r="AV217" i="2"/>
  <c r="AW189" i="2"/>
  <c r="AV173" i="2"/>
  <c r="AC164" i="2"/>
  <c r="AJ164" i="2" s="1"/>
  <c r="AW152" i="2"/>
  <c r="AW144" i="2"/>
  <c r="AC144" i="2"/>
  <c r="AJ144" i="2" s="1"/>
  <c r="AW98" i="2"/>
  <c r="AC98" i="2"/>
  <c r="AJ98" i="2" s="1"/>
  <c r="AC217" i="2"/>
  <c r="AJ217" i="2" s="1"/>
  <c r="AC210" i="2"/>
  <c r="AJ210" i="2" s="1"/>
  <c r="AC13" i="2"/>
  <c r="AJ13" i="2" s="1"/>
  <c r="AW13" i="2"/>
  <c r="AV176" i="2"/>
  <c r="AC142" i="2"/>
  <c r="AJ142" i="2" s="1"/>
  <c r="AW142" i="2"/>
  <c r="AU135" i="2"/>
  <c r="AI135" i="2"/>
  <c r="AP127" i="2"/>
  <c r="AC127" i="2"/>
  <c r="AJ127" i="2" s="1"/>
  <c r="AV108" i="2"/>
  <c r="AC103" i="2"/>
  <c r="AJ103" i="2" s="1"/>
  <c r="AC29" i="2"/>
  <c r="AJ29" i="2" s="1"/>
  <c r="AW29" i="2"/>
  <c r="AC201" i="2"/>
  <c r="AJ201" i="2" s="1"/>
  <c r="AC190" i="2"/>
  <c r="AJ190" i="2" s="1"/>
  <c r="AV174" i="2"/>
  <c r="AV165" i="2"/>
  <c r="AV135" i="2"/>
  <c r="AW103" i="2"/>
  <c r="AV147" i="2"/>
  <c r="AN147" i="2"/>
  <c r="AV119" i="2"/>
  <c r="AN119" i="2"/>
  <c r="AW104" i="2"/>
  <c r="AW34" i="2"/>
  <c r="AV203" i="2"/>
  <c r="AW201" i="2"/>
  <c r="AU161" i="2"/>
  <c r="AW127" i="2"/>
  <c r="AV36" i="2"/>
  <c r="AV211" i="2"/>
  <c r="AV190" i="2"/>
  <c r="AC185" i="2"/>
  <c r="AJ185" i="2" s="1"/>
  <c r="AV184" i="2"/>
  <c r="AW179" i="2"/>
  <c r="AC179" i="2"/>
  <c r="AJ179" i="2" s="1"/>
  <c r="AC165" i="2"/>
  <c r="AJ165" i="2" s="1"/>
  <c r="AV110" i="2"/>
  <c r="AN110" i="2"/>
  <c r="AW97" i="2"/>
  <c r="AC88" i="2"/>
  <c r="AJ88" i="2" s="1"/>
  <c r="AW86" i="2"/>
  <c r="AV40" i="2"/>
  <c r="AW171" i="2"/>
  <c r="AU152" i="2"/>
  <c r="AI152" i="2"/>
  <c r="AC137" i="2"/>
  <c r="AJ137" i="2" s="1"/>
  <c r="AW137" i="2"/>
  <c r="AC132" i="2"/>
  <c r="AJ132" i="2" s="1"/>
  <c r="AW132" i="2"/>
  <c r="AW95" i="2"/>
  <c r="AP188" i="2"/>
  <c r="AW188" i="2"/>
  <c r="AC188" i="2"/>
  <c r="AJ188" i="2" s="1"/>
  <c r="AV152" i="2"/>
  <c r="AV101" i="2"/>
  <c r="AC90" i="2"/>
  <c r="AJ90" i="2" s="1"/>
  <c r="AV75" i="2"/>
  <c r="AV146" i="2"/>
  <c r="AV97" i="2"/>
  <c r="AW30" i="2"/>
  <c r="AC30" i="2"/>
  <c r="AJ30" i="2" s="1"/>
  <c r="AW141" i="2"/>
  <c r="AC133" i="2"/>
  <c r="AJ133" i="2" s="1"/>
  <c r="AW133" i="2"/>
  <c r="AN45" i="2"/>
  <c r="AW147" i="2"/>
  <c r="AC147" i="2"/>
  <c r="AJ147" i="2" s="1"/>
  <c r="AC81" i="2"/>
  <c r="AJ81" i="2" s="1"/>
  <c r="AV43" i="2"/>
  <c r="AN43" i="2"/>
  <c r="AW32" i="2"/>
  <c r="AV181" i="2"/>
  <c r="AV144" i="2"/>
  <c r="AC122" i="2"/>
  <c r="AJ122" i="2" s="1"/>
  <c r="AP122" i="2"/>
  <c r="AW81" i="2"/>
  <c r="AV27" i="2"/>
  <c r="AI15" i="2"/>
  <c r="AU15" i="2"/>
  <c r="AC138" i="2"/>
  <c r="AJ138" i="2" s="1"/>
  <c r="AV137" i="2"/>
  <c r="AI92" i="2"/>
  <c r="AU92" i="2"/>
  <c r="AW18" i="2"/>
  <c r="AV192" i="2"/>
  <c r="AV182" i="2"/>
  <c r="AV166" i="2"/>
  <c r="AC151" i="2"/>
  <c r="AJ151" i="2" s="1"/>
  <c r="AC130" i="2"/>
  <c r="AJ130" i="2" s="1"/>
  <c r="AW130" i="2"/>
  <c r="AV122" i="2"/>
  <c r="AC79" i="2"/>
  <c r="AJ79" i="2" s="1"/>
  <c r="AC74" i="2"/>
  <c r="AJ74" i="2" s="1"/>
  <c r="AP147" i="2"/>
  <c r="AW138" i="2"/>
  <c r="AV31" i="2"/>
  <c r="AV15" i="2"/>
  <c r="AC131" i="2"/>
  <c r="AJ131" i="2" s="1"/>
  <c r="AW131" i="2"/>
  <c r="AC20" i="2"/>
  <c r="AJ20" i="2" s="1"/>
  <c r="AV71" i="2"/>
  <c r="AC22" i="2"/>
  <c r="AJ22" i="2" s="1"/>
  <c r="AV17" i="2"/>
  <c r="AV118" i="2"/>
  <c r="AC87" i="2"/>
  <c r="AJ87" i="2" s="1"/>
  <c r="AC12" i="2"/>
  <c r="AJ12" i="2" s="1"/>
  <c r="AW12" i="2"/>
  <c r="AW72" i="2"/>
  <c r="AW113" i="2"/>
  <c r="AW43" i="2"/>
  <c r="AW39" i="2"/>
  <c r="AW71" i="2"/>
  <c r="AW70" i="2"/>
  <c r="AW69" i="2"/>
  <c r="AW68" i="2"/>
  <c r="AW46" i="2"/>
  <c r="AW42" i="2"/>
  <c r="S5" i="5"/>
  <c r="AQ4" i="2"/>
  <c r="AQ5" i="2"/>
  <c r="AQ6" i="2"/>
  <c r="AQ8" i="2"/>
  <c r="AQ9" i="2"/>
  <c r="AQ10" i="2"/>
  <c r="AO5" i="2"/>
  <c r="AO6" i="2"/>
  <c r="AO8" i="2"/>
  <c r="AO9" i="2"/>
  <c r="AO10" i="2"/>
  <c r="AP177" i="2" l="1"/>
  <c r="AP176" i="2"/>
  <c r="AS176" i="2" s="1"/>
  <c r="AP175" i="2"/>
  <c r="AR175" i="2" s="1"/>
  <c r="AP172" i="2"/>
  <c r="AR172" i="2" s="1"/>
  <c r="AP170" i="2"/>
  <c r="AS170" i="2" s="1"/>
  <c r="AP169" i="2"/>
  <c r="AR169" i="2" s="1"/>
  <c r="AP158" i="2"/>
  <c r="AR158" i="2" s="1"/>
  <c r="AP154" i="2"/>
  <c r="AS154" i="2" s="1"/>
  <c r="AP151" i="2"/>
  <c r="AR151" i="2" s="1"/>
  <c r="AP149" i="2"/>
  <c r="AS149" i="2" s="1"/>
  <c r="AP148" i="2"/>
  <c r="AR148" i="2" s="1"/>
  <c r="AP166" i="2"/>
  <c r="AS166" i="2" s="1"/>
  <c r="AP160" i="2"/>
  <c r="AR160" i="2" s="1"/>
  <c r="AP153" i="2"/>
  <c r="AR153" i="2" s="1"/>
  <c r="AP152" i="2"/>
  <c r="AR152" i="2" s="1"/>
  <c r="AP140" i="2"/>
  <c r="AS140" i="2" s="1"/>
  <c r="AP133" i="2"/>
  <c r="AS133" i="2" s="1"/>
  <c r="AP161" i="2"/>
  <c r="AS161" i="2" s="1"/>
  <c r="AP155" i="2"/>
  <c r="AS155" i="2" s="1"/>
  <c r="AP146" i="2"/>
  <c r="AR146" i="2" s="1"/>
  <c r="AP145" i="2"/>
  <c r="AR145" i="2" s="1"/>
  <c r="AP144" i="2"/>
  <c r="AS144" i="2" s="1"/>
  <c r="AP143" i="2"/>
  <c r="AS143" i="2" s="1"/>
  <c r="AP142" i="2"/>
  <c r="AR142" i="2" s="1"/>
  <c r="AP141" i="2"/>
  <c r="AS141" i="2" s="1"/>
  <c r="AP139" i="2"/>
  <c r="AR139" i="2" s="1"/>
  <c r="AP138" i="2"/>
  <c r="AR138" i="2" s="1"/>
  <c r="AP135" i="2"/>
  <c r="AS135" i="2" s="1"/>
  <c r="AP134" i="2"/>
  <c r="AR134" i="2" s="1"/>
  <c r="AP30" i="2"/>
  <c r="AS30" i="2" s="1"/>
  <c r="AP51" i="2"/>
  <c r="AR51" i="2" s="1"/>
  <c r="AP46" i="2"/>
  <c r="AR46" i="2" s="1"/>
  <c r="AP44" i="2"/>
  <c r="AR44" i="2" s="1"/>
  <c r="AP43" i="2"/>
  <c r="AS43" i="2" s="1"/>
  <c r="AP42" i="2"/>
  <c r="AR42" i="2" s="1"/>
  <c r="AP41" i="2"/>
  <c r="AR41" i="2" s="1"/>
  <c r="AP40" i="2"/>
  <c r="AR40" i="2" s="1"/>
  <c r="AP38" i="2"/>
  <c r="AR38" i="2" s="1"/>
  <c r="AP37" i="2"/>
  <c r="AR37" i="2" s="1"/>
  <c r="AP33" i="2"/>
  <c r="AR33" i="2" s="1"/>
  <c r="AP32" i="2"/>
  <c r="AR32" i="2" s="1"/>
  <c r="AP31" i="2"/>
  <c r="AR31" i="2" s="1"/>
  <c r="AP204" i="2"/>
  <c r="AS204" i="2" s="1"/>
  <c r="AP288" i="2"/>
  <c r="AP275" i="2"/>
  <c r="AP304" i="2"/>
  <c r="AP167" i="2"/>
  <c r="AS167" i="2" s="1"/>
  <c r="AP171" i="2"/>
  <c r="AS171" i="2" s="1"/>
  <c r="AP190" i="2"/>
  <c r="AR190" i="2" s="1"/>
  <c r="AP322" i="2"/>
  <c r="AP303" i="2"/>
  <c r="AP205" i="2"/>
  <c r="AR205" i="2" s="1"/>
  <c r="AP168" i="2"/>
  <c r="AR168" i="2" s="1"/>
  <c r="AP181" i="2"/>
  <c r="AS181" i="2" s="1"/>
  <c r="AP195" i="2"/>
  <c r="AR195" i="2" s="1"/>
  <c r="AP191" i="2"/>
  <c r="AS191" i="2" s="1"/>
  <c r="AP162" i="2"/>
  <c r="AS162" i="2" s="1"/>
  <c r="AP213" i="2"/>
  <c r="AS213" i="2" s="1"/>
  <c r="AP173" i="2"/>
  <c r="AR173" i="2" s="1"/>
  <c r="AP278" i="2"/>
  <c r="AP267" i="2"/>
  <c r="AP215" i="2"/>
  <c r="AS215" i="2" s="1"/>
  <c r="AP305" i="2"/>
  <c r="AP217" i="2"/>
  <c r="AR217" i="2" s="1"/>
  <c r="AP265" i="2"/>
  <c r="AP192" i="2"/>
  <c r="AS192" i="2" s="1"/>
  <c r="AP312" i="2"/>
  <c r="AP218" i="2"/>
  <c r="AP193" i="2"/>
  <c r="AR193" i="2" s="1"/>
  <c r="AP214" i="2"/>
  <c r="AR214" i="2" s="1"/>
  <c r="AP163" i="2"/>
  <c r="AR163" i="2" s="1"/>
  <c r="AP164" i="2"/>
  <c r="AS164" i="2" s="1"/>
  <c r="AP287" i="2"/>
  <c r="AP207" i="2"/>
  <c r="AR207" i="2" s="1"/>
  <c r="AP182" i="2"/>
  <c r="AS182" i="2" s="1"/>
  <c r="AP298" i="2"/>
  <c r="AP165" i="2"/>
  <c r="AR165" i="2" s="1"/>
  <c r="AP183" i="2"/>
  <c r="AS183" i="2" s="1"/>
  <c r="AP159" i="2"/>
  <c r="AS159" i="2" s="1"/>
  <c r="AP310" i="2"/>
  <c r="AP321" i="2"/>
  <c r="AP306" i="2"/>
  <c r="AP307" i="2"/>
  <c r="AP314" i="2"/>
  <c r="AP308" i="2"/>
  <c r="C255" i="8"/>
  <c r="D254" i="8"/>
  <c r="AP251" i="2"/>
  <c r="AP262" i="2"/>
  <c r="AP244" i="2"/>
  <c r="AP258" i="2"/>
  <c r="AP227" i="2"/>
  <c r="AP264" i="2"/>
  <c r="AP271" i="2"/>
  <c r="AP274" i="2"/>
  <c r="AP270" i="2"/>
  <c r="AP254" i="2"/>
  <c r="AP266" i="2"/>
  <c r="AP239" i="2"/>
  <c r="AP241" i="2"/>
  <c r="AP281" i="2"/>
  <c r="AP238" i="2"/>
  <c r="AP261" i="2"/>
  <c r="AP243" i="2"/>
  <c r="AP277" i="2"/>
  <c r="AP284" i="2"/>
  <c r="AP272" i="2"/>
  <c r="AP263" i="2"/>
  <c r="AP250" i="2"/>
  <c r="AP291" i="2"/>
  <c r="AP280" i="2"/>
  <c r="AP245" i="2"/>
  <c r="AP242" i="2"/>
  <c r="AP237" i="2"/>
  <c r="AP260" i="2"/>
  <c r="AP256" i="2"/>
  <c r="AP276" i="2"/>
  <c r="AP220" i="2"/>
  <c r="AP290" i="2"/>
  <c r="AP295" i="2"/>
  <c r="AP34" i="2"/>
  <c r="AR34" i="2" s="1"/>
  <c r="AG15" i="8"/>
  <c r="AG20" i="8"/>
  <c r="AP36" i="2"/>
  <c r="AS36" i="2" s="1"/>
  <c r="AP35" i="2"/>
  <c r="AS35" i="2" s="1"/>
  <c r="AP29" i="2"/>
  <c r="AS29" i="2" s="1"/>
  <c r="AP28" i="2"/>
  <c r="AS28" i="2" s="1"/>
  <c r="AP27" i="2"/>
  <c r="AR27" i="2" s="1"/>
  <c r="AP26" i="2"/>
  <c r="AR26" i="2" s="1"/>
  <c r="AP25" i="2"/>
  <c r="AS25" i="2" s="1"/>
  <c r="BH6" i="8"/>
  <c r="AN83" i="2"/>
  <c r="AN107" i="2"/>
  <c r="AN70" i="2"/>
  <c r="AN23" i="2"/>
  <c r="AN20" i="2"/>
  <c r="AN81" i="2"/>
  <c r="AN106" i="2"/>
  <c r="AN96" i="2"/>
  <c r="AN22" i="2"/>
  <c r="AN75" i="2"/>
  <c r="AN79" i="2"/>
  <c r="AN108" i="2"/>
  <c r="AN207" i="2"/>
  <c r="AN122" i="2"/>
  <c r="AN146" i="2"/>
  <c r="AN183" i="2"/>
  <c r="AN172" i="2"/>
  <c r="AN73" i="2"/>
  <c r="AN78" i="2"/>
  <c r="AN101" i="2"/>
  <c r="AN94" i="2"/>
  <c r="AN21" i="2"/>
  <c r="AN100" i="2"/>
  <c r="AN115" i="2"/>
  <c r="AN131" i="2"/>
  <c r="AN176" i="2"/>
  <c r="AN213" i="2"/>
  <c r="AN144" i="2"/>
  <c r="AN149" i="2"/>
  <c r="AN178" i="2"/>
  <c r="AN145" i="2"/>
  <c r="AN126" i="2"/>
  <c r="AN129" i="2"/>
  <c r="AN174" i="2"/>
  <c r="AN24" i="2"/>
  <c r="AN103" i="2"/>
  <c r="AN88" i="2"/>
  <c r="AN19" i="2"/>
  <c r="AN82" i="2"/>
  <c r="AN74" i="2"/>
  <c r="AN76" i="2"/>
  <c r="AN18" i="2"/>
  <c r="AN104" i="2"/>
  <c r="AN71" i="2"/>
  <c r="AN105" i="2"/>
  <c r="AN14" i="2"/>
  <c r="AN99" i="2"/>
  <c r="AN11" i="2"/>
  <c r="AN72" i="2"/>
  <c r="AN87" i="2"/>
  <c r="AN86" i="2"/>
  <c r="AN17" i="2"/>
  <c r="AN69" i="2"/>
  <c r="AN90" i="2"/>
  <c r="AN179" i="2"/>
  <c r="AN114" i="2"/>
  <c r="AN130" i="2"/>
  <c r="AN162" i="2"/>
  <c r="AN177" i="2"/>
  <c r="AN123" i="2"/>
  <c r="AN155" i="2"/>
  <c r="AN192" i="2"/>
  <c r="AN136" i="2"/>
  <c r="AN157" i="2"/>
  <c r="AN159" i="2"/>
  <c r="AN132" i="2"/>
  <c r="AN153" i="2"/>
  <c r="AS150" i="2"/>
  <c r="AG31" i="8"/>
  <c r="AG11" i="8"/>
  <c r="X12" i="8"/>
  <c r="AA12" i="8" s="1"/>
  <c r="AD12" i="8" s="1"/>
  <c r="AG12" i="8"/>
  <c r="AG35" i="8"/>
  <c r="Z27" i="8"/>
  <c r="AC27" i="8" s="1"/>
  <c r="AF27" i="8" s="1"/>
  <c r="AG27" i="8"/>
  <c r="AG19" i="8"/>
  <c r="AG23" i="8"/>
  <c r="AI166" i="2"/>
  <c r="BA14" i="2"/>
  <c r="AU166" i="2"/>
  <c r="BH30" i="8"/>
  <c r="BL30" i="8"/>
  <c r="AS179" i="2"/>
  <c r="AR176" i="2"/>
  <c r="AI154" i="2"/>
  <c r="AI215" i="2"/>
  <c r="BL28" i="8"/>
  <c r="BH28" i="8"/>
  <c r="AU201" i="2"/>
  <c r="AU46" i="2"/>
  <c r="AU160" i="2"/>
  <c r="BH32" i="8"/>
  <c r="BL32" i="8"/>
  <c r="AU156" i="2"/>
  <c r="AI140" i="2"/>
  <c r="BH27" i="8"/>
  <c r="BL27" i="8"/>
  <c r="AU193" i="2"/>
  <c r="AU213" i="2"/>
  <c r="AU37" i="2"/>
  <c r="AU35" i="2"/>
  <c r="AU113" i="2"/>
  <c r="AR132" i="2"/>
  <c r="BH29" i="8"/>
  <c r="BL29" i="8"/>
  <c r="AR157" i="2"/>
  <c r="AU39" i="2"/>
  <c r="AU120" i="2"/>
  <c r="AU187" i="2"/>
  <c r="AI138" i="2"/>
  <c r="AU133" i="2"/>
  <c r="AU128" i="2"/>
  <c r="BL31" i="8"/>
  <c r="BH31" i="8"/>
  <c r="AU208" i="2"/>
  <c r="AU109" i="2"/>
  <c r="AI180" i="2"/>
  <c r="AU136" i="2"/>
  <c r="AU139" i="2"/>
  <c r="AI44" i="2"/>
  <c r="AI68" i="2"/>
  <c r="AI209" i="2"/>
  <c r="AI29" i="2"/>
  <c r="AI143" i="2"/>
  <c r="AS29" i="8"/>
  <c r="BH8" i="8"/>
  <c r="AS31" i="8"/>
  <c r="BH7" i="8"/>
  <c r="AS30" i="8"/>
  <c r="BH5" i="8"/>
  <c r="AS28" i="8"/>
  <c r="BH9" i="8"/>
  <c r="AS32" i="8"/>
  <c r="BH4" i="8"/>
  <c r="AS27" i="8"/>
  <c r="AR206" i="2"/>
  <c r="AS211" i="2"/>
  <c r="AR180" i="2"/>
  <c r="AS132" i="2"/>
  <c r="AR156" i="2"/>
  <c r="AS137" i="2"/>
  <c r="AS113" i="2"/>
  <c r="AS189" i="2"/>
  <c r="AR112" i="2"/>
  <c r="AR216" i="2"/>
  <c r="AR201" i="2"/>
  <c r="AR184" i="2"/>
  <c r="V17" i="8"/>
  <c r="V26" i="8"/>
  <c r="AS197" i="2"/>
  <c r="AS206" i="2"/>
  <c r="AS110" i="2"/>
  <c r="AS45" i="2"/>
  <c r="X35" i="8"/>
  <c r="AA35" i="8" s="1"/>
  <c r="AD35" i="8" s="1"/>
  <c r="X20" i="8"/>
  <c r="AA20" i="8" s="1"/>
  <c r="AD20" i="8" s="1"/>
  <c r="V28" i="8"/>
  <c r="V18" i="8"/>
  <c r="V25" i="8"/>
  <c r="V33" i="8"/>
  <c r="V30" i="8"/>
  <c r="V24" i="8"/>
  <c r="V29" i="8"/>
  <c r="V14" i="8"/>
  <c r="AG14" i="8" s="1"/>
  <c r="V22" i="8"/>
  <c r="V32" i="8"/>
  <c r="V21" i="8"/>
  <c r="V34" i="8"/>
  <c r="V16" i="8"/>
  <c r="V13" i="8"/>
  <c r="D14" i="8"/>
  <c r="C15" i="8"/>
  <c r="AS131" i="2"/>
  <c r="AR68" i="2"/>
  <c r="AR185" i="2"/>
  <c r="AR200" i="2"/>
  <c r="AS200" i="2"/>
  <c r="AS208" i="2"/>
  <c r="AR187" i="2"/>
  <c r="AR186" i="2"/>
  <c r="AR209" i="2"/>
  <c r="AS187" i="2"/>
  <c r="AS114" i="2"/>
  <c r="AR114" i="2"/>
  <c r="AS111" i="2"/>
  <c r="AR115" i="2"/>
  <c r="AR120" i="2"/>
  <c r="AR188" i="2"/>
  <c r="AS157" i="2"/>
  <c r="AR199" i="2"/>
  <c r="AS203" i="2"/>
  <c r="AS128" i="2"/>
  <c r="AS130" i="2"/>
  <c r="AS116" i="2"/>
  <c r="AR45" i="2"/>
  <c r="AS185" i="2"/>
  <c r="AS156" i="2"/>
  <c r="AR124" i="2"/>
  <c r="AR123" i="2"/>
  <c r="AS180" i="2"/>
  <c r="AR119" i="2"/>
  <c r="AR122" i="2"/>
  <c r="AS121" i="2"/>
  <c r="AS177" i="2"/>
  <c r="AS194" i="2"/>
  <c r="AS109" i="2"/>
  <c r="AR127" i="2"/>
  <c r="AS112" i="2"/>
  <c r="AS178" i="2"/>
  <c r="AR147" i="2"/>
  <c r="AS147" i="2"/>
  <c r="AR174" i="2"/>
  <c r="AR177" i="2"/>
  <c r="AR178" i="2"/>
  <c r="AR208" i="2"/>
  <c r="AS108" i="2"/>
  <c r="AR131" i="2"/>
  <c r="AR179" i="2"/>
  <c r="AS129" i="2"/>
  <c r="AS136" i="2"/>
  <c r="AR108" i="2"/>
  <c r="AS118" i="2"/>
  <c r="AI130" i="2"/>
  <c r="AR130" i="2"/>
  <c r="AS123" i="2"/>
  <c r="AS117" i="2"/>
  <c r="AR198" i="2"/>
  <c r="AR136" i="2"/>
  <c r="AS68" i="2"/>
  <c r="AR39" i="2"/>
  <c r="AS174" i="2"/>
  <c r="AS126" i="2"/>
  <c r="AR113" i="2"/>
  <c r="AS124" i="2"/>
  <c r="AR126" i="2"/>
  <c r="AS212" i="2"/>
  <c r="AS39" i="2"/>
  <c r="AS188" i="2"/>
  <c r="AR212" i="2"/>
  <c r="AR203" i="2"/>
  <c r="AS209" i="2"/>
  <c r="AS196" i="2"/>
  <c r="AS127" i="2"/>
  <c r="AS201" i="2"/>
  <c r="AS199" i="2"/>
  <c r="AR137" i="2"/>
  <c r="AR110" i="2"/>
  <c r="AS120" i="2"/>
  <c r="AS210" i="2"/>
  <c r="Y27" i="8"/>
  <c r="AB27" i="8" s="1"/>
  <c r="AE27" i="8" s="1"/>
  <c r="X27" i="8"/>
  <c r="AA27" i="8" s="1"/>
  <c r="AD27" i="8" s="1"/>
  <c r="Z20" i="8"/>
  <c r="AC20" i="8" s="1"/>
  <c r="AF20" i="8" s="1"/>
  <c r="AR109" i="2"/>
  <c r="AR59" i="2"/>
  <c r="AS59" i="2"/>
  <c r="AS56" i="2"/>
  <c r="AR56" i="2"/>
  <c r="AS67" i="2"/>
  <c r="AR67" i="2"/>
  <c r="AS184" i="2"/>
  <c r="AR210" i="2"/>
  <c r="AR129" i="2"/>
  <c r="AS50" i="2"/>
  <c r="AR50" i="2"/>
  <c r="AR55" i="2"/>
  <c r="AS55" i="2"/>
  <c r="AR121" i="2"/>
  <c r="AR128" i="2"/>
  <c r="AS48" i="2"/>
  <c r="AR48" i="2"/>
  <c r="AS52" i="2"/>
  <c r="AR52" i="2"/>
  <c r="AS63" i="2"/>
  <c r="AR63" i="2"/>
  <c r="AR64" i="2"/>
  <c r="AS64" i="2"/>
  <c r="AS49" i="2"/>
  <c r="AR49" i="2"/>
  <c r="AR211" i="2"/>
  <c r="AR194" i="2"/>
  <c r="AR66" i="2"/>
  <c r="AS66" i="2"/>
  <c r="AS115" i="2"/>
  <c r="AR117" i="2"/>
  <c r="AR189" i="2"/>
  <c r="AR53" i="2"/>
  <c r="AS53" i="2"/>
  <c r="AR54" i="2"/>
  <c r="AS54" i="2"/>
  <c r="AS119" i="2"/>
  <c r="AS84" i="2"/>
  <c r="AS58" i="2"/>
  <c r="AR58" i="2"/>
  <c r="AR65" i="2"/>
  <c r="AS65" i="2"/>
  <c r="AS186" i="2"/>
  <c r="AS122" i="2"/>
  <c r="AR116" i="2"/>
  <c r="AR60" i="2"/>
  <c r="AS60" i="2"/>
  <c r="AR61" i="2"/>
  <c r="AS61" i="2"/>
  <c r="AR62" i="2"/>
  <c r="AS62" i="2"/>
  <c r="AS47" i="2"/>
  <c r="AR47" i="2"/>
  <c r="AR57" i="2"/>
  <c r="AS57" i="2"/>
  <c r="AU83" i="2"/>
  <c r="AP107" i="2"/>
  <c r="AP98" i="2"/>
  <c r="AP102" i="2"/>
  <c r="AP97" i="2"/>
  <c r="AP99" i="2"/>
  <c r="AP93" i="2"/>
  <c r="AP106" i="2"/>
  <c r="AP105" i="2"/>
  <c r="AP104" i="2"/>
  <c r="AP103" i="2"/>
  <c r="AP101" i="2"/>
  <c r="AP100" i="2"/>
  <c r="AP96" i="2"/>
  <c r="AP95" i="2"/>
  <c r="AP94" i="2"/>
  <c r="AP92" i="2"/>
  <c r="AP91" i="2"/>
  <c r="AP90" i="2"/>
  <c r="AP89" i="2"/>
  <c r="AP88" i="2"/>
  <c r="AP87" i="2"/>
  <c r="AI88" i="2"/>
  <c r="AU170" i="2"/>
  <c r="AP86" i="2"/>
  <c r="AP85" i="2"/>
  <c r="AU143" i="2"/>
  <c r="AU23" i="2"/>
  <c r="AP77" i="2"/>
  <c r="AU7" i="2"/>
  <c r="AI193" i="2"/>
  <c r="AI136" i="2"/>
  <c r="AP83" i="2"/>
  <c r="AP82" i="2"/>
  <c r="AP70" i="2"/>
  <c r="AP17" i="2"/>
  <c r="AP71" i="2"/>
  <c r="AP14" i="2"/>
  <c r="AP81" i="2"/>
  <c r="AP80" i="2"/>
  <c r="AP79" i="2"/>
  <c r="AP78" i="2"/>
  <c r="AP76" i="2"/>
  <c r="AP75" i="2"/>
  <c r="AP74" i="2"/>
  <c r="AP73" i="2"/>
  <c r="AP72" i="2"/>
  <c r="AP69" i="2"/>
  <c r="AC14" i="2"/>
  <c r="AJ14" i="2" s="1"/>
  <c r="AI82" i="2"/>
  <c r="AV14" i="2"/>
  <c r="AU96" i="2"/>
  <c r="AI46" i="2"/>
  <c r="AU138" i="2"/>
  <c r="AI187" i="2"/>
  <c r="AI22" i="2"/>
  <c r="AU180" i="2"/>
  <c r="AI70" i="2"/>
  <c r="AU104" i="2"/>
  <c r="AU93" i="2"/>
  <c r="AI139" i="2"/>
  <c r="AI133" i="2"/>
  <c r="AU100" i="2"/>
  <c r="AI201" i="2"/>
  <c r="AI109" i="2"/>
  <c r="AI129" i="2"/>
  <c r="AI208" i="2"/>
  <c r="AU209" i="2"/>
  <c r="AU215" i="2"/>
  <c r="AI107" i="2"/>
  <c r="AU69" i="2"/>
  <c r="AI120" i="2"/>
  <c r="AI213" i="2"/>
  <c r="AU44" i="2"/>
  <c r="AI113" i="2"/>
  <c r="AI17" i="2"/>
  <c r="AU154" i="2"/>
  <c r="AI156" i="2"/>
  <c r="AI35" i="2"/>
  <c r="AU99" i="2"/>
  <c r="AU80" i="2"/>
  <c r="AI128" i="2"/>
  <c r="AU212" i="2"/>
  <c r="AI212" i="2"/>
  <c r="AI105" i="2"/>
  <c r="AU105" i="2"/>
  <c r="AI39" i="2"/>
  <c r="AP15" i="2"/>
  <c r="AI86" i="2"/>
  <c r="AI160" i="2"/>
  <c r="AI33" i="2"/>
  <c r="AU33" i="2"/>
  <c r="AU68" i="2"/>
  <c r="AP24" i="2"/>
  <c r="AP16" i="2"/>
  <c r="AP23" i="2"/>
  <c r="AP22" i="2"/>
  <c r="AP21" i="2"/>
  <c r="AP20" i="2"/>
  <c r="AP19" i="2"/>
  <c r="AP18" i="2"/>
  <c r="AP13" i="2"/>
  <c r="AP12" i="2"/>
  <c r="AP11" i="2"/>
  <c r="AI162" i="2"/>
  <c r="AU162" i="2"/>
  <c r="AU90" i="2"/>
  <c r="AI14" i="2"/>
  <c r="AU14" i="2"/>
  <c r="AI194" i="2"/>
  <c r="AU194" i="2"/>
  <c r="AU140" i="2"/>
  <c r="AU130" i="2"/>
  <c r="AU127" i="2"/>
  <c r="AI127" i="2"/>
  <c r="AI103" i="2"/>
  <c r="AU103" i="2"/>
  <c r="AU207" i="2"/>
  <c r="AI207" i="2"/>
  <c r="AI169" i="2"/>
  <c r="AU169" i="2"/>
  <c r="AI167" i="2"/>
  <c r="AU167" i="2"/>
  <c r="AI112" i="2"/>
  <c r="AU112" i="2"/>
  <c r="AU18" i="2"/>
  <c r="AI18" i="2"/>
  <c r="AU184" i="2"/>
  <c r="AI184" i="2"/>
  <c r="AU183" i="2"/>
  <c r="AI183" i="2"/>
  <c r="AU195" i="2"/>
  <c r="AI195" i="2"/>
  <c r="AU81" i="2"/>
  <c r="AI81" i="2"/>
  <c r="AI37" i="2"/>
  <c r="AI175" i="2"/>
  <c r="AU175" i="2"/>
  <c r="AI87" i="2"/>
  <c r="AU87" i="2"/>
  <c r="AI106" i="2"/>
  <c r="AU106" i="2"/>
  <c r="AU206" i="2"/>
  <c r="AI206" i="2"/>
  <c r="AI11" i="2"/>
  <c r="AU11" i="2"/>
  <c r="AU29" i="2"/>
  <c r="AI178" i="2"/>
  <c r="AU178" i="2"/>
  <c r="AU171" i="2"/>
  <c r="AI171" i="2"/>
  <c r="AU149" i="2"/>
  <c r="AI149" i="2"/>
  <c r="AI34" i="2"/>
  <c r="AU34" i="2"/>
  <c r="AI211" i="2"/>
  <c r="AU211" i="2"/>
  <c r="AU142" i="2"/>
  <c r="AI142" i="2"/>
  <c r="AU145" i="2"/>
  <c r="AI145" i="2"/>
  <c r="AU94" i="2"/>
  <c r="AI19" i="2"/>
  <c r="AU19" i="2"/>
  <c r="AI126" i="2"/>
  <c r="AU126" i="2"/>
  <c r="AU21" i="2"/>
  <c r="AI21" i="2"/>
  <c r="AU122" i="2"/>
  <c r="AI122" i="2"/>
  <c r="AI158" i="2"/>
  <c r="AU158" i="2"/>
  <c r="Y20" i="8"/>
  <c r="AB20" i="8" s="1"/>
  <c r="AE20" i="8" s="1"/>
  <c r="Y11" i="8"/>
  <c r="AB11" i="8" s="1"/>
  <c r="AE11" i="8" s="1"/>
  <c r="X11" i="8"/>
  <c r="AA11" i="8" s="1"/>
  <c r="AD11" i="8" s="1"/>
  <c r="Z35" i="8"/>
  <c r="AC35" i="8" s="1"/>
  <c r="AF35" i="8" s="1"/>
  <c r="Z11" i="8"/>
  <c r="AC11" i="8" s="1"/>
  <c r="AF11" i="8" s="1"/>
  <c r="Y35" i="8"/>
  <c r="AB35" i="8" s="1"/>
  <c r="AE35" i="8" s="1"/>
  <c r="X31" i="8"/>
  <c r="AA31" i="8" s="1"/>
  <c r="AD31" i="8" s="1"/>
  <c r="Y31" i="8"/>
  <c r="AB31" i="8" s="1"/>
  <c r="AE31" i="8" s="1"/>
  <c r="Z31" i="8"/>
  <c r="AC31" i="8" s="1"/>
  <c r="AF31" i="8" s="1"/>
  <c r="Y19" i="8"/>
  <c r="AB19" i="8" s="1"/>
  <c r="AE19" i="8" s="1"/>
  <c r="Z19" i="8"/>
  <c r="AC19" i="8" s="1"/>
  <c r="AF19" i="8" s="1"/>
  <c r="X19" i="8"/>
  <c r="AA19" i="8" s="1"/>
  <c r="AD19" i="8" s="1"/>
  <c r="X23" i="8"/>
  <c r="AA23" i="8" s="1"/>
  <c r="AD23" i="8" s="1"/>
  <c r="Z23" i="8"/>
  <c r="AC23" i="8" s="1"/>
  <c r="AF23" i="8" s="1"/>
  <c r="Y23" i="8"/>
  <c r="AB23" i="8" s="1"/>
  <c r="AE23" i="8" s="1"/>
  <c r="Y12" i="8"/>
  <c r="AB12" i="8" s="1"/>
  <c r="AE12" i="8" s="1"/>
  <c r="Z12" i="8"/>
  <c r="AC12" i="8" s="1"/>
  <c r="AF12" i="8" s="1"/>
  <c r="Z15" i="8"/>
  <c r="AC15" i="8" s="1"/>
  <c r="AF15" i="8" s="1"/>
  <c r="X15" i="8"/>
  <c r="AA15" i="8" s="1"/>
  <c r="AD15" i="8" s="1"/>
  <c r="Y15" i="8"/>
  <c r="AB15" i="8" s="1"/>
  <c r="AE15" i="8" s="1"/>
  <c r="AI131" i="2"/>
  <c r="AU131" i="2"/>
  <c r="AU199" i="2"/>
  <c r="AI199" i="2"/>
  <c r="AU73" i="2"/>
  <c r="AI73" i="2"/>
  <c r="AU192" i="2"/>
  <c r="AI192" i="2"/>
  <c r="AU147" i="2"/>
  <c r="AI147" i="2"/>
  <c r="AU177" i="2"/>
  <c r="AI177" i="2"/>
  <c r="AI25" i="2"/>
  <c r="AU25" i="2"/>
  <c r="AI210" i="2"/>
  <c r="AU210" i="2"/>
  <c r="AI74" i="2"/>
  <c r="AU74" i="2"/>
  <c r="AI189" i="2"/>
  <c r="AU189" i="2"/>
  <c r="AU115" i="2"/>
  <c r="AI115" i="2"/>
  <c r="AU40" i="2"/>
  <c r="AI40" i="2"/>
  <c r="AU78" i="2"/>
  <c r="AI78" i="2"/>
  <c r="AI24" i="2"/>
  <c r="AU24" i="2"/>
  <c r="AU155" i="2"/>
  <c r="AI155" i="2"/>
  <c r="AU76" i="2"/>
  <c r="AI76" i="2"/>
  <c r="AI26" i="2"/>
  <c r="AU26" i="2"/>
  <c r="AU182" i="2"/>
  <c r="AI182" i="2"/>
  <c r="AU146" i="2"/>
  <c r="AI146" i="2"/>
  <c r="AI148" i="2"/>
  <c r="AU148" i="2"/>
  <c r="AU173" i="2"/>
  <c r="AI173" i="2"/>
  <c r="AI203" i="2"/>
  <c r="AU203" i="2"/>
  <c r="AI30" i="2"/>
  <c r="AU30" i="2"/>
  <c r="AI172" i="2"/>
  <c r="AU172" i="2"/>
  <c r="AU179" i="2"/>
  <c r="AI179" i="2"/>
  <c r="AI214" i="2"/>
  <c r="AU214" i="2"/>
  <c r="AU217" i="2"/>
  <c r="AI217" i="2"/>
  <c r="AU132" i="2"/>
  <c r="AI132" i="2"/>
  <c r="AI27" i="2"/>
  <c r="AU27" i="2"/>
  <c r="AI20" i="2"/>
  <c r="AU20" i="2"/>
  <c r="AU159" i="2"/>
  <c r="AI159" i="2"/>
  <c r="AU168" i="2"/>
  <c r="AI168" i="2"/>
  <c r="AI32" i="2"/>
  <c r="AU32" i="2"/>
  <c r="AU157" i="2"/>
  <c r="AI157" i="2"/>
  <c r="AI114" i="2"/>
  <c r="AU114" i="2"/>
  <c r="AI28" i="2"/>
  <c r="AU28" i="2"/>
  <c r="AU110" i="2"/>
  <c r="AI110" i="2"/>
  <c r="AU36" i="2"/>
  <c r="AI36" i="2"/>
  <c r="AU119" i="2"/>
  <c r="AI119" i="2"/>
  <c r="AI91" i="2"/>
  <c r="AU91" i="2"/>
  <c r="AI124" i="2"/>
  <c r="AU124" i="2"/>
  <c r="AI16" i="2"/>
  <c r="AU16" i="2"/>
  <c r="AI31" i="2"/>
  <c r="AU31" i="2"/>
  <c r="AU176" i="2"/>
  <c r="AI176" i="2"/>
  <c r="AU108" i="2"/>
  <c r="AI108" i="2"/>
  <c r="AU79" i="2"/>
  <c r="AI79" i="2"/>
  <c r="AU137" i="2"/>
  <c r="AI137" i="2"/>
  <c r="AU75" i="2"/>
  <c r="AI75" i="2"/>
  <c r="AI42" i="2"/>
  <c r="AU42" i="2"/>
  <c r="AU144" i="2"/>
  <c r="AI144" i="2"/>
  <c r="AI200" i="2"/>
  <c r="AU200" i="2"/>
  <c r="AU121" i="2"/>
  <c r="AI121" i="2"/>
  <c r="AI186" i="2"/>
  <c r="AU186" i="2"/>
  <c r="AU123" i="2"/>
  <c r="AI123" i="2"/>
  <c r="AU45" i="2"/>
  <c r="AI45" i="2"/>
  <c r="AU151" i="2"/>
  <c r="AI151" i="2"/>
  <c r="AI188" i="2"/>
  <c r="AU188" i="2"/>
  <c r="AU116" i="2"/>
  <c r="AI116" i="2"/>
  <c r="AU117" i="2"/>
  <c r="AI117" i="2"/>
  <c r="AI165" i="2"/>
  <c r="AU165" i="2"/>
  <c r="AI163" i="2"/>
  <c r="AU163" i="2"/>
  <c r="AU72" i="2"/>
  <c r="AI72" i="2"/>
  <c r="AI185" i="2"/>
  <c r="AU185" i="2"/>
  <c r="AU71" i="2"/>
  <c r="AI71" i="2"/>
  <c r="AU134" i="2"/>
  <c r="AI134" i="2"/>
  <c r="AU43" i="2"/>
  <c r="AI43" i="2"/>
  <c r="AI101" i="2"/>
  <c r="AU101" i="2"/>
  <c r="AU153" i="2"/>
  <c r="AI153" i="2"/>
  <c r="AU174" i="2"/>
  <c r="AI174" i="2"/>
  <c r="AS172" i="2" l="1"/>
  <c r="AS175" i="2"/>
  <c r="AR170" i="2"/>
  <c r="AS169" i="2"/>
  <c r="AS158" i="2"/>
  <c r="AS151" i="2"/>
  <c r="AR154" i="2"/>
  <c r="AS148" i="2"/>
  <c r="AR149" i="2"/>
  <c r="AS153" i="2"/>
  <c r="AR166" i="2"/>
  <c r="AS160" i="2"/>
  <c r="AS152" i="2"/>
  <c r="AR133" i="2"/>
  <c r="AR161" i="2"/>
  <c r="AR155" i="2"/>
  <c r="AR140" i="2"/>
  <c r="AS145" i="2"/>
  <c r="AS146" i="2"/>
  <c r="AS142" i="2"/>
  <c r="AR141" i="2"/>
  <c r="AR144" i="2"/>
  <c r="AR143" i="2"/>
  <c r="AS139" i="2"/>
  <c r="AR135" i="2"/>
  <c r="AS138" i="2"/>
  <c r="AS134" i="2"/>
  <c r="AR30" i="2"/>
  <c r="AS51" i="2"/>
  <c r="AS46" i="2"/>
  <c r="AS42" i="2"/>
  <c r="AR43" i="2"/>
  <c r="AS44" i="2"/>
  <c r="AS41" i="2"/>
  <c r="AS40" i="2"/>
  <c r="AS38" i="2"/>
  <c r="AS37" i="2"/>
  <c r="AS33" i="2"/>
  <c r="AS32" i="2"/>
  <c r="AS31" i="2"/>
  <c r="AR183" i="2"/>
  <c r="AR167" i="2"/>
  <c r="AR171" i="2"/>
  <c r="AS165" i="2"/>
  <c r="AS217" i="2"/>
  <c r="AR182" i="2"/>
  <c r="AR204" i="2"/>
  <c r="AR181" i="2"/>
  <c r="AS168" i="2"/>
  <c r="AR215" i="2"/>
  <c r="AS190" i="2"/>
  <c r="AS195" i="2"/>
  <c r="AS193" i="2"/>
  <c r="AS214" i="2"/>
  <c r="AS163" i="2"/>
  <c r="AS173" i="2"/>
  <c r="AS205" i="2"/>
  <c r="AR162" i="2"/>
  <c r="AS207" i="2"/>
  <c r="AR159" i="2"/>
  <c r="AR213" i="2"/>
  <c r="AR164" i="2"/>
  <c r="AR191" i="2"/>
  <c r="AR192" i="2"/>
  <c r="C256" i="8"/>
  <c r="D255" i="8"/>
  <c r="AS34" i="2"/>
  <c r="AG18" i="8"/>
  <c r="AG26" i="8"/>
  <c r="AG28" i="8"/>
  <c r="AR36" i="2"/>
  <c r="AR35" i="2"/>
  <c r="AR29" i="2"/>
  <c r="AR28" i="2"/>
  <c r="AS27" i="2"/>
  <c r="AS26" i="2"/>
  <c r="AR25" i="2"/>
  <c r="AG21" i="8"/>
  <c r="BI6" i="8"/>
  <c r="AG24" i="8"/>
  <c r="AG25" i="8"/>
  <c r="AG33" i="8"/>
  <c r="AG34" i="8"/>
  <c r="X17" i="8"/>
  <c r="AA17" i="8" s="1"/>
  <c r="AD17" i="8" s="1"/>
  <c r="AG17" i="8"/>
  <c r="Y16" i="8"/>
  <c r="AB16" i="8" s="1"/>
  <c r="AE16" i="8" s="1"/>
  <c r="AG16" i="8"/>
  <c r="AG32" i="8"/>
  <c r="AG29" i="8"/>
  <c r="AG30" i="8"/>
  <c r="AG13" i="8"/>
  <c r="AG22" i="8"/>
  <c r="BB14" i="2"/>
  <c r="AZ14" i="2"/>
  <c r="AY14" i="2"/>
  <c r="BI31" i="8"/>
  <c r="BM31" i="8"/>
  <c r="BI9" i="8"/>
  <c r="BI28" i="8"/>
  <c r="BI5" i="8"/>
  <c r="BM28" i="8"/>
  <c r="BM32" i="8"/>
  <c r="BI7" i="8"/>
  <c r="BI32" i="8"/>
  <c r="BM29" i="8"/>
  <c r="BM27" i="8"/>
  <c r="BI8" i="8"/>
  <c r="BI29" i="8"/>
  <c r="BI27" i="8"/>
  <c r="BM30" i="8"/>
  <c r="BI4" i="8"/>
  <c r="BI30" i="8"/>
  <c r="AT27" i="8"/>
  <c r="AT32" i="8"/>
  <c r="AT28" i="8"/>
  <c r="AT30" i="8"/>
  <c r="AT31" i="8"/>
  <c r="AT29" i="8"/>
  <c r="Y26" i="8"/>
  <c r="AB26" i="8" s="1"/>
  <c r="AE26" i="8" s="1"/>
  <c r="Y14" i="8"/>
  <c r="AB14" i="8" s="1"/>
  <c r="AE14" i="8" s="1"/>
  <c r="X18" i="8"/>
  <c r="AA18" i="8" s="1"/>
  <c r="AD18" i="8" s="1"/>
  <c r="X28" i="8"/>
  <c r="AA28" i="8" s="1"/>
  <c r="AD28" i="8" s="1"/>
  <c r="Z17" i="8"/>
  <c r="AC17" i="8" s="1"/>
  <c r="AF17" i="8" s="1"/>
  <c r="Z26" i="8"/>
  <c r="AC26" i="8" s="1"/>
  <c r="AF26" i="8" s="1"/>
  <c r="Y17" i="8"/>
  <c r="AB17" i="8" s="1"/>
  <c r="AE17" i="8" s="1"/>
  <c r="Y25" i="8"/>
  <c r="AB25" i="8" s="1"/>
  <c r="AE25" i="8" s="1"/>
  <c r="Z25" i="8"/>
  <c r="AC25" i="8" s="1"/>
  <c r="AF25" i="8" s="1"/>
  <c r="X26" i="8"/>
  <c r="AA26" i="8" s="1"/>
  <c r="AD26" i="8" s="1"/>
  <c r="Z33" i="8"/>
  <c r="AC33" i="8" s="1"/>
  <c r="AF33" i="8" s="1"/>
  <c r="Y18" i="8"/>
  <c r="AB18" i="8" s="1"/>
  <c r="AE18" i="8" s="1"/>
  <c r="X14" i="8"/>
  <c r="AA14" i="8" s="1"/>
  <c r="AD14" i="8" s="1"/>
  <c r="Y29" i="8"/>
  <c r="AB29" i="8" s="1"/>
  <c r="AE29" i="8" s="1"/>
  <c r="X24" i="8"/>
  <c r="AA24" i="8" s="1"/>
  <c r="AD24" i="8" s="1"/>
  <c r="Z28" i="8"/>
  <c r="AC28" i="8" s="1"/>
  <c r="AF28" i="8" s="1"/>
  <c r="X13" i="8"/>
  <c r="AA13" i="8" s="1"/>
  <c r="AD13" i="8" s="1"/>
  <c r="Y30" i="8"/>
  <c r="AB30" i="8" s="1"/>
  <c r="AE30" i="8" s="1"/>
  <c r="X25" i="8"/>
  <c r="AA25" i="8" s="1"/>
  <c r="AD25" i="8" s="1"/>
  <c r="Y21" i="8"/>
  <c r="AB21" i="8" s="1"/>
  <c r="AE21" i="8" s="1"/>
  <c r="Y33" i="8"/>
  <c r="AB33" i="8" s="1"/>
  <c r="AE33" i="8" s="1"/>
  <c r="X33" i="8"/>
  <c r="AA33" i="8" s="1"/>
  <c r="AD33" i="8" s="1"/>
  <c r="Z34" i="8"/>
  <c r="AC34" i="8" s="1"/>
  <c r="AF34" i="8" s="1"/>
  <c r="Z14" i="8"/>
  <c r="AC14" i="8" s="1"/>
  <c r="AF14" i="8" s="1"/>
  <c r="X32" i="8"/>
  <c r="AA32" i="8" s="1"/>
  <c r="AD32" i="8" s="1"/>
  <c r="Z22" i="8"/>
  <c r="AC22" i="8" s="1"/>
  <c r="AF22" i="8" s="1"/>
  <c r="Y22" i="8"/>
  <c r="AB22" i="8" s="1"/>
  <c r="AE22" i="8" s="1"/>
  <c r="X22" i="8"/>
  <c r="AA22" i="8" s="1"/>
  <c r="AD22" i="8" s="1"/>
  <c r="Y34" i="8"/>
  <c r="AB34" i="8" s="1"/>
  <c r="AE34" i="8" s="1"/>
  <c r="Y32" i="8"/>
  <c r="AB32" i="8" s="1"/>
  <c r="AE32" i="8" s="1"/>
  <c r="Z18" i="8"/>
  <c r="AC18" i="8" s="1"/>
  <c r="AF18" i="8" s="1"/>
  <c r="Y28" i="8"/>
  <c r="AB28" i="8" s="1"/>
  <c r="AE28" i="8" s="1"/>
  <c r="Y24" i="8"/>
  <c r="AB24" i="8" s="1"/>
  <c r="AE24" i="8" s="1"/>
  <c r="X34" i="8"/>
  <c r="AA34" i="8" s="1"/>
  <c r="AD34" i="8" s="1"/>
  <c r="X30" i="8"/>
  <c r="AA30" i="8" s="1"/>
  <c r="AD30" i="8" s="1"/>
  <c r="X29" i="8"/>
  <c r="AA29" i="8" s="1"/>
  <c r="AD29" i="8" s="1"/>
  <c r="Z30" i="8"/>
  <c r="AC30" i="8" s="1"/>
  <c r="AF30" i="8" s="1"/>
  <c r="Z29" i="8"/>
  <c r="AC29" i="8" s="1"/>
  <c r="AF29" i="8" s="1"/>
  <c r="Z24" i="8"/>
  <c r="AC24" i="8" s="1"/>
  <c r="AF24" i="8" s="1"/>
  <c r="Z32" i="8"/>
  <c r="AC32" i="8" s="1"/>
  <c r="AF32" i="8" s="1"/>
  <c r="Z16" i="8"/>
  <c r="AC16" i="8" s="1"/>
  <c r="AF16" i="8" s="1"/>
  <c r="Z21" i="8"/>
  <c r="AC21" i="8" s="1"/>
  <c r="AF21" i="8" s="1"/>
  <c r="X16" i="8"/>
  <c r="AA16" i="8" s="1"/>
  <c r="AD16" i="8" s="1"/>
  <c r="Z13" i="8"/>
  <c r="AC13" i="8" s="1"/>
  <c r="AF13" i="8" s="1"/>
  <c r="X21" i="8"/>
  <c r="AA21" i="8" s="1"/>
  <c r="AD21" i="8" s="1"/>
  <c r="Y13" i="8"/>
  <c r="AB13" i="8" s="1"/>
  <c r="AE13" i="8" s="1"/>
  <c r="D15" i="8"/>
  <c r="C16" i="8"/>
  <c r="AR70" i="2"/>
  <c r="AS70" i="2"/>
  <c r="AS92" i="2"/>
  <c r="AR92" i="2"/>
  <c r="AR94" i="2"/>
  <c r="AS94" i="2"/>
  <c r="AS24" i="2"/>
  <c r="AR24" i="2"/>
  <c r="AR72" i="2"/>
  <c r="AS72" i="2"/>
  <c r="AR95" i="2"/>
  <c r="AS95" i="2"/>
  <c r="AR73" i="2"/>
  <c r="AS73" i="2"/>
  <c r="AR96" i="2"/>
  <c r="AS96" i="2"/>
  <c r="AR98" i="2"/>
  <c r="AS98" i="2"/>
  <c r="AR77" i="2"/>
  <c r="AS77" i="2"/>
  <c r="AS103" i="2"/>
  <c r="AR103" i="2"/>
  <c r="AR107" i="2"/>
  <c r="AS107" i="2"/>
  <c r="AS69" i="2"/>
  <c r="AR69" i="2"/>
  <c r="AR101" i="2"/>
  <c r="AS101" i="2"/>
  <c r="AR11" i="2"/>
  <c r="AS11" i="2"/>
  <c r="AR78" i="2"/>
  <c r="AS78" i="2"/>
  <c r="AR85" i="2"/>
  <c r="AS85" i="2"/>
  <c r="AR104" i="2"/>
  <c r="AS104" i="2"/>
  <c r="AS22" i="2"/>
  <c r="AR22" i="2"/>
  <c r="AR16" i="2"/>
  <c r="AS16" i="2"/>
  <c r="AR100" i="2"/>
  <c r="AS100" i="2"/>
  <c r="AS12" i="2"/>
  <c r="AR12" i="2"/>
  <c r="AR79" i="2"/>
  <c r="AS79" i="2"/>
  <c r="AR86" i="2"/>
  <c r="AS86" i="2"/>
  <c r="AR105" i="2"/>
  <c r="AS105" i="2"/>
  <c r="AR21" i="2"/>
  <c r="AS21" i="2"/>
  <c r="AS83" i="2"/>
  <c r="AR83" i="2"/>
  <c r="AR74" i="2"/>
  <c r="AS74" i="2"/>
  <c r="AR75" i="2"/>
  <c r="AS75" i="2"/>
  <c r="AS76" i="2"/>
  <c r="AR76" i="2"/>
  <c r="AS15" i="2"/>
  <c r="AR15" i="2"/>
  <c r="AS80" i="2"/>
  <c r="AR80" i="2"/>
  <c r="AR106" i="2"/>
  <c r="AS106" i="2"/>
  <c r="AR13" i="2"/>
  <c r="AS13" i="2"/>
  <c r="AR81" i="2"/>
  <c r="AS81" i="2"/>
  <c r="AR93" i="2"/>
  <c r="AS93" i="2"/>
  <c r="AR82" i="2"/>
  <c r="AS82" i="2"/>
  <c r="AS14" i="2"/>
  <c r="AR14" i="2"/>
  <c r="AR87" i="2"/>
  <c r="AS87" i="2"/>
  <c r="AR99" i="2"/>
  <c r="AS99" i="2"/>
  <c r="AS91" i="2"/>
  <c r="AR91" i="2"/>
  <c r="AS19" i="2"/>
  <c r="AR19" i="2"/>
  <c r="AS88" i="2"/>
  <c r="AR88" i="2"/>
  <c r="AR97" i="2"/>
  <c r="AS97" i="2"/>
  <c r="AR90" i="2"/>
  <c r="AS90" i="2"/>
  <c r="AS23" i="2"/>
  <c r="AR23" i="2"/>
  <c r="AS18" i="2"/>
  <c r="AR18" i="2"/>
  <c r="AR71" i="2"/>
  <c r="AS71" i="2"/>
  <c r="AR20" i="2"/>
  <c r="AS20" i="2"/>
  <c r="AS17" i="2"/>
  <c r="AR17" i="2"/>
  <c r="AR89" i="2"/>
  <c r="AS89" i="2"/>
  <c r="AR102" i="2"/>
  <c r="AS102" i="2"/>
  <c r="AB5" i="2"/>
  <c r="AB6" i="2"/>
  <c r="AB8" i="2"/>
  <c r="AB9" i="2"/>
  <c r="AB10" i="2"/>
  <c r="AB4" i="2"/>
  <c r="AW4" i="2" s="1"/>
  <c r="D256" i="8" l="1"/>
  <c r="C257" i="8"/>
  <c r="AP8" i="2"/>
  <c r="AK8" i="2"/>
  <c r="AP10" i="2"/>
  <c r="AK10" i="2"/>
  <c r="AP9" i="2"/>
  <c r="AK9" i="2"/>
  <c r="D16" i="8"/>
  <c r="C17" i="8"/>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B4" i="15"/>
  <c r="G4" i="15"/>
  <c r="I4" i="15" s="1"/>
  <c r="H4" i="15"/>
  <c r="J4" i="15" s="1"/>
  <c r="B5" i="15"/>
  <c r="G5" i="15"/>
  <c r="I5" i="15" s="1"/>
  <c r="H5" i="15"/>
  <c r="J5" i="15" s="1"/>
  <c r="B6" i="15"/>
  <c r="G6" i="15"/>
  <c r="I6" i="15" s="1"/>
  <c r="H6" i="15"/>
  <c r="J6" i="15" s="1"/>
  <c r="B7" i="15"/>
  <c r="G7" i="15"/>
  <c r="I7" i="15" s="1"/>
  <c r="H7" i="15"/>
  <c r="J7" i="15" s="1"/>
  <c r="B8" i="15"/>
  <c r="G8" i="15"/>
  <c r="I8" i="15" s="1"/>
  <c r="H8" i="15"/>
  <c r="J8" i="15" s="1"/>
  <c r="B9" i="15"/>
  <c r="G9" i="15"/>
  <c r="I9" i="15" s="1"/>
  <c r="H9" i="15"/>
  <c r="J9" i="15" s="1"/>
  <c r="B10" i="15"/>
  <c r="G10" i="15"/>
  <c r="I10" i="15" s="1"/>
  <c r="H10" i="15"/>
  <c r="J10" i="15" s="1"/>
  <c r="B11" i="15"/>
  <c r="G11" i="15"/>
  <c r="I11" i="15" s="1"/>
  <c r="H11" i="15"/>
  <c r="J11" i="15" s="1"/>
  <c r="B12" i="15"/>
  <c r="G12" i="15"/>
  <c r="I12" i="15" s="1"/>
  <c r="H12" i="15"/>
  <c r="J12" i="15" s="1"/>
  <c r="B13" i="15"/>
  <c r="G13" i="15"/>
  <c r="I13" i="15" s="1"/>
  <c r="H13" i="15"/>
  <c r="J13" i="15" s="1"/>
  <c r="B14" i="15"/>
  <c r="G14" i="15"/>
  <c r="I14" i="15" s="1"/>
  <c r="H14" i="15"/>
  <c r="J14" i="15" s="1"/>
  <c r="B15" i="15"/>
  <c r="G15" i="15"/>
  <c r="I15" i="15" s="1"/>
  <c r="H15" i="15"/>
  <c r="J15" i="15" s="1"/>
  <c r="B16" i="15"/>
  <c r="G16" i="15"/>
  <c r="I16" i="15" s="1"/>
  <c r="H16" i="15"/>
  <c r="J16" i="15" s="1"/>
  <c r="B17" i="15"/>
  <c r="G17" i="15"/>
  <c r="I17" i="15" s="1"/>
  <c r="H17" i="15"/>
  <c r="J17" i="15" s="1"/>
  <c r="B18" i="15"/>
  <c r="G18" i="15"/>
  <c r="I18" i="15" s="1"/>
  <c r="H18" i="15"/>
  <c r="J18" i="15" s="1"/>
  <c r="B19" i="15"/>
  <c r="G19" i="15"/>
  <c r="I19" i="15" s="1"/>
  <c r="H19" i="15"/>
  <c r="J19" i="15" s="1"/>
  <c r="B20" i="15"/>
  <c r="G20" i="15"/>
  <c r="I20" i="15" s="1"/>
  <c r="H20" i="15"/>
  <c r="J20" i="15" s="1"/>
  <c r="B21" i="15"/>
  <c r="G21" i="15"/>
  <c r="I21" i="15" s="1"/>
  <c r="H21" i="15"/>
  <c r="J21" i="15" s="1"/>
  <c r="B22" i="15"/>
  <c r="G22" i="15"/>
  <c r="I22" i="15" s="1"/>
  <c r="H22" i="15"/>
  <c r="J22" i="15" s="1"/>
  <c r="B23" i="15"/>
  <c r="G23" i="15"/>
  <c r="I23" i="15" s="1"/>
  <c r="H23" i="15"/>
  <c r="J23" i="15" s="1"/>
  <c r="B24" i="15"/>
  <c r="G24" i="15"/>
  <c r="I24" i="15" s="1"/>
  <c r="H24" i="15"/>
  <c r="J24" i="15" s="1"/>
  <c r="B25" i="15"/>
  <c r="G25" i="15"/>
  <c r="I25" i="15" s="1"/>
  <c r="H25" i="15"/>
  <c r="J25" i="15" s="1"/>
  <c r="B26" i="15"/>
  <c r="G26" i="15"/>
  <c r="I26" i="15" s="1"/>
  <c r="H26" i="15"/>
  <c r="J26" i="15" s="1"/>
  <c r="B27" i="15"/>
  <c r="G27" i="15"/>
  <c r="I27" i="15" s="1"/>
  <c r="H27" i="15"/>
  <c r="J27" i="15" s="1"/>
  <c r="B28" i="15"/>
  <c r="G28" i="15"/>
  <c r="I28" i="15" s="1"/>
  <c r="H28" i="15"/>
  <c r="J28" i="15" s="1"/>
  <c r="B29" i="15"/>
  <c r="G29" i="15"/>
  <c r="I29" i="15" s="1"/>
  <c r="H29" i="15"/>
  <c r="J29" i="15" s="1"/>
  <c r="B30" i="15"/>
  <c r="G30" i="15"/>
  <c r="I30" i="15" s="1"/>
  <c r="H30" i="15"/>
  <c r="J30" i="15" s="1"/>
  <c r="B31" i="15"/>
  <c r="G31" i="15"/>
  <c r="I31" i="15" s="1"/>
  <c r="H31" i="15"/>
  <c r="J31" i="15" s="1"/>
  <c r="B32" i="15"/>
  <c r="G32" i="15"/>
  <c r="I32" i="15" s="1"/>
  <c r="H32" i="15"/>
  <c r="J32" i="15" s="1"/>
  <c r="B33" i="15"/>
  <c r="G33" i="15"/>
  <c r="I33" i="15" s="1"/>
  <c r="H33" i="15"/>
  <c r="J33" i="15" s="1"/>
  <c r="B34" i="15"/>
  <c r="G34" i="15"/>
  <c r="I34" i="15" s="1"/>
  <c r="H34" i="15"/>
  <c r="J34" i="15" s="1"/>
  <c r="B35" i="15"/>
  <c r="G35" i="15"/>
  <c r="I35" i="15" s="1"/>
  <c r="H35" i="15"/>
  <c r="J35" i="15" s="1"/>
  <c r="B36" i="15"/>
  <c r="G36" i="15"/>
  <c r="I36" i="15" s="1"/>
  <c r="H36" i="15"/>
  <c r="J36" i="15" s="1"/>
  <c r="B37" i="15"/>
  <c r="G37" i="15"/>
  <c r="I37" i="15" s="1"/>
  <c r="H37" i="15"/>
  <c r="J37" i="15" s="1"/>
  <c r="B38" i="15"/>
  <c r="G38" i="15"/>
  <c r="I38" i="15" s="1"/>
  <c r="H38" i="15"/>
  <c r="J38" i="15" s="1"/>
  <c r="B39" i="15"/>
  <c r="G39" i="15"/>
  <c r="I39" i="15" s="1"/>
  <c r="H39" i="15"/>
  <c r="J39" i="15" s="1"/>
  <c r="B40" i="15"/>
  <c r="G40" i="15"/>
  <c r="I40" i="15" s="1"/>
  <c r="H40" i="15"/>
  <c r="J40" i="15" s="1"/>
  <c r="B41" i="15"/>
  <c r="G41" i="15"/>
  <c r="I41" i="15" s="1"/>
  <c r="H41" i="15"/>
  <c r="J41" i="15" s="1"/>
  <c r="B42" i="15"/>
  <c r="G42" i="15"/>
  <c r="I42" i="15" s="1"/>
  <c r="H42" i="15"/>
  <c r="J42" i="15" s="1"/>
  <c r="B43" i="15"/>
  <c r="G43" i="15"/>
  <c r="I43" i="15" s="1"/>
  <c r="H43" i="15"/>
  <c r="J43" i="15" s="1"/>
  <c r="B44" i="15"/>
  <c r="G44" i="15"/>
  <c r="I44" i="15" s="1"/>
  <c r="H44" i="15"/>
  <c r="J44" i="15" s="1"/>
  <c r="B45" i="15"/>
  <c r="G45" i="15"/>
  <c r="I45" i="15" s="1"/>
  <c r="H45" i="15"/>
  <c r="J45" i="15" s="1"/>
  <c r="B46" i="15"/>
  <c r="G46" i="15"/>
  <c r="I46" i="15" s="1"/>
  <c r="H46" i="15"/>
  <c r="J46" i="15" s="1"/>
  <c r="B47" i="15"/>
  <c r="G47" i="15"/>
  <c r="I47" i="15" s="1"/>
  <c r="H47" i="15"/>
  <c r="J47" i="15" s="1"/>
  <c r="B48" i="15"/>
  <c r="G48" i="15"/>
  <c r="I48" i="15" s="1"/>
  <c r="H48" i="15"/>
  <c r="J48" i="15" s="1"/>
  <c r="B49" i="15"/>
  <c r="G49" i="15"/>
  <c r="I49" i="15" s="1"/>
  <c r="H49" i="15"/>
  <c r="J49" i="15" s="1"/>
  <c r="B50" i="15"/>
  <c r="G50" i="15"/>
  <c r="I50" i="15" s="1"/>
  <c r="H50" i="15"/>
  <c r="J50" i="15" s="1"/>
  <c r="B51" i="15"/>
  <c r="G51" i="15"/>
  <c r="I51" i="15" s="1"/>
  <c r="H51" i="15"/>
  <c r="J51" i="15" s="1"/>
  <c r="B52" i="15"/>
  <c r="G52" i="15"/>
  <c r="I52" i="15" s="1"/>
  <c r="H52" i="15"/>
  <c r="J52" i="15" s="1"/>
  <c r="B53" i="15"/>
  <c r="G53" i="15"/>
  <c r="I53" i="15" s="1"/>
  <c r="H53" i="15"/>
  <c r="J53" i="15" s="1"/>
  <c r="B54" i="15"/>
  <c r="G54" i="15"/>
  <c r="I54" i="15" s="1"/>
  <c r="H54" i="15"/>
  <c r="J54" i="15" s="1"/>
  <c r="B55" i="15"/>
  <c r="G55" i="15"/>
  <c r="I55" i="15" s="1"/>
  <c r="H55" i="15"/>
  <c r="J55" i="15" s="1"/>
  <c r="B56" i="15"/>
  <c r="G56" i="15"/>
  <c r="I56" i="15" s="1"/>
  <c r="H56" i="15"/>
  <c r="J56" i="15" s="1"/>
  <c r="B57" i="15"/>
  <c r="G57" i="15"/>
  <c r="I57" i="15" s="1"/>
  <c r="H57" i="15"/>
  <c r="J57" i="15" s="1"/>
  <c r="B58" i="15"/>
  <c r="G58" i="15"/>
  <c r="I58" i="15" s="1"/>
  <c r="H58" i="15"/>
  <c r="J58" i="15" s="1"/>
  <c r="B59" i="15"/>
  <c r="G59" i="15"/>
  <c r="I59" i="15" s="1"/>
  <c r="H59" i="15"/>
  <c r="J59" i="15" s="1"/>
  <c r="B60" i="15"/>
  <c r="G60" i="15"/>
  <c r="I60" i="15" s="1"/>
  <c r="H60" i="15"/>
  <c r="J60" i="15" s="1"/>
  <c r="B61" i="15"/>
  <c r="G61" i="15"/>
  <c r="I61" i="15" s="1"/>
  <c r="H61" i="15"/>
  <c r="J61" i="15" s="1"/>
  <c r="B62" i="15"/>
  <c r="G62" i="15"/>
  <c r="I62" i="15" s="1"/>
  <c r="H62" i="15"/>
  <c r="J62" i="15" s="1"/>
  <c r="B63" i="15"/>
  <c r="G63" i="15"/>
  <c r="I63" i="15" s="1"/>
  <c r="H63" i="15"/>
  <c r="J63" i="15" s="1"/>
  <c r="B64" i="15"/>
  <c r="G64" i="15"/>
  <c r="I64" i="15" s="1"/>
  <c r="H64" i="15"/>
  <c r="J64" i="15" s="1"/>
  <c r="B65" i="15"/>
  <c r="G65" i="15"/>
  <c r="I65" i="15" s="1"/>
  <c r="H65" i="15"/>
  <c r="J65" i="15" s="1"/>
  <c r="B66" i="15"/>
  <c r="G66" i="15"/>
  <c r="I66" i="15" s="1"/>
  <c r="H66" i="15"/>
  <c r="J66" i="15" s="1"/>
  <c r="B67" i="15"/>
  <c r="G67" i="15"/>
  <c r="I67" i="15" s="1"/>
  <c r="H67" i="15"/>
  <c r="J67" i="15" s="1"/>
  <c r="B68" i="15"/>
  <c r="G68" i="15"/>
  <c r="I68" i="15" s="1"/>
  <c r="H68" i="15"/>
  <c r="J68" i="15" s="1"/>
  <c r="B69" i="15"/>
  <c r="G69" i="15"/>
  <c r="I69" i="15" s="1"/>
  <c r="H69" i="15"/>
  <c r="J69" i="15" s="1"/>
  <c r="B70" i="15"/>
  <c r="G70" i="15"/>
  <c r="I70" i="15" s="1"/>
  <c r="H70" i="15"/>
  <c r="J70" i="15" s="1"/>
  <c r="B71" i="15"/>
  <c r="G71" i="15"/>
  <c r="I71" i="15" s="1"/>
  <c r="H71" i="15"/>
  <c r="J71" i="15" s="1"/>
  <c r="B72" i="15"/>
  <c r="G72" i="15"/>
  <c r="I72" i="15" s="1"/>
  <c r="H72" i="15"/>
  <c r="J72" i="15" s="1"/>
  <c r="B73" i="15"/>
  <c r="G73" i="15"/>
  <c r="I73" i="15" s="1"/>
  <c r="H73" i="15"/>
  <c r="J73" i="15" s="1"/>
  <c r="B74" i="15"/>
  <c r="G74" i="15"/>
  <c r="I74" i="15" s="1"/>
  <c r="H74" i="15"/>
  <c r="J74" i="15" s="1"/>
  <c r="B75" i="15"/>
  <c r="G75" i="15"/>
  <c r="I75" i="15" s="1"/>
  <c r="H75" i="15"/>
  <c r="J75" i="15" s="1"/>
  <c r="B76" i="15"/>
  <c r="G76" i="15"/>
  <c r="I76" i="15" s="1"/>
  <c r="H76" i="15"/>
  <c r="J76" i="15" s="1"/>
  <c r="B77" i="15"/>
  <c r="G77" i="15"/>
  <c r="I77" i="15" s="1"/>
  <c r="H77" i="15"/>
  <c r="J77" i="15" s="1"/>
  <c r="B78" i="15"/>
  <c r="G78" i="15"/>
  <c r="I78" i="15" s="1"/>
  <c r="H78" i="15"/>
  <c r="J78" i="15" s="1"/>
  <c r="B79" i="15"/>
  <c r="G79" i="15"/>
  <c r="I79" i="15" s="1"/>
  <c r="H79" i="15"/>
  <c r="J79" i="15" s="1"/>
  <c r="B80" i="15"/>
  <c r="G80" i="15"/>
  <c r="I80" i="15" s="1"/>
  <c r="H80" i="15"/>
  <c r="J80" i="15" s="1"/>
  <c r="B81" i="15"/>
  <c r="G81" i="15"/>
  <c r="I81" i="15" s="1"/>
  <c r="H81" i="15"/>
  <c r="J81" i="15" s="1"/>
  <c r="B82" i="15"/>
  <c r="G82" i="15"/>
  <c r="I82" i="15" s="1"/>
  <c r="H82" i="15"/>
  <c r="J82" i="15" s="1"/>
  <c r="B83" i="15"/>
  <c r="G83" i="15"/>
  <c r="I83" i="15" s="1"/>
  <c r="H83" i="15"/>
  <c r="J83" i="15" s="1"/>
  <c r="B84" i="15"/>
  <c r="G84" i="15"/>
  <c r="I84" i="15" s="1"/>
  <c r="H84" i="15"/>
  <c r="J84" i="15" s="1"/>
  <c r="B85" i="15"/>
  <c r="G85" i="15"/>
  <c r="I85" i="15" s="1"/>
  <c r="H85" i="15"/>
  <c r="J85" i="15" s="1"/>
  <c r="B86" i="15"/>
  <c r="G86" i="15"/>
  <c r="I86" i="15" s="1"/>
  <c r="H86" i="15"/>
  <c r="J86" i="15" s="1"/>
  <c r="B87" i="15"/>
  <c r="G87" i="15"/>
  <c r="I87" i="15" s="1"/>
  <c r="H87" i="15"/>
  <c r="J87" i="15" s="1"/>
  <c r="B88" i="15"/>
  <c r="G88" i="15"/>
  <c r="I88" i="15" s="1"/>
  <c r="H88" i="15"/>
  <c r="J88" i="15" s="1"/>
  <c r="B89" i="15"/>
  <c r="G89" i="15"/>
  <c r="I89" i="15" s="1"/>
  <c r="H89" i="15"/>
  <c r="J89" i="15" s="1"/>
  <c r="B90" i="15"/>
  <c r="G90" i="15"/>
  <c r="I90" i="15" s="1"/>
  <c r="H90" i="15"/>
  <c r="J90" i="15" s="1"/>
  <c r="B91" i="15"/>
  <c r="G91" i="15"/>
  <c r="I91" i="15" s="1"/>
  <c r="H91" i="15"/>
  <c r="J91" i="15" s="1"/>
  <c r="B92" i="15"/>
  <c r="G92" i="15"/>
  <c r="I92" i="15" s="1"/>
  <c r="H92" i="15"/>
  <c r="J92" i="15" s="1"/>
  <c r="B93" i="15"/>
  <c r="G93" i="15"/>
  <c r="I93" i="15" s="1"/>
  <c r="H93" i="15"/>
  <c r="J93" i="15" s="1"/>
  <c r="B94" i="15"/>
  <c r="G94" i="15"/>
  <c r="I94" i="15" s="1"/>
  <c r="H94" i="15"/>
  <c r="J94" i="15" s="1"/>
  <c r="B95" i="15"/>
  <c r="G95" i="15"/>
  <c r="I95" i="15" s="1"/>
  <c r="H95" i="15"/>
  <c r="J95" i="15" s="1"/>
  <c r="B96" i="15"/>
  <c r="G96" i="15"/>
  <c r="I96" i="15" s="1"/>
  <c r="H96" i="15"/>
  <c r="J96" i="15" s="1"/>
  <c r="B97" i="15"/>
  <c r="G97" i="15"/>
  <c r="I97" i="15" s="1"/>
  <c r="H97" i="15"/>
  <c r="J97" i="15" s="1"/>
  <c r="B98" i="15"/>
  <c r="G98" i="15"/>
  <c r="I98" i="15" s="1"/>
  <c r="H98" i="15"/>
  <c r="J98" i="15" s="1"/>
  <c r="B99" i="15"/>
  <c r="G99" i="15"/>
  <c r="I99" i="15" s="1"/>
  <c r="H99" i="15"/>
  <c r="J99" i="15" s="1"/>
  <c r="B100" i="15"/>
  <c r="G100" i="15"/>
  <c r="I100" i="15" s="1"/>
  <c r="H100" i="15"/>
  <c r="J100" i="15" s="1"/>
  <c r="B101" i="15"/>
  <c r="G101" i="15"/>
  <c r="I101" i="15" s="1"/>
  <c r="H101" i="15"/>
  <c r="J101" i="15" s="1"/>
  <c r="B102" i="15"/>
  <c r="G102" i="15"/>
  <c r="I102" i="15" s="1"/>
  <c r="H102" i="15"/>
  <c r="J102" i="15" s="1"/>
  <c r="B103" i="15"/>
  <c r="G103" i="15"/>
  <c r="I103" i="15" s="1"/>
  <c r="H103" i="15"/>
  <c r="J103" i="15" s="1"/>
  <c r="B104" i="15"/>
  <c r="G104" i="15"/>
  <c r="I104" i="15" s="1"/>
  <c r="H104" i="15"/>
  <c r="J104" i="15" s="1"/>
  <c r="B105" i="15"/>
  <c r="G105" i="15"/>
  <c r="I105" i="15" s="1"/>
  <c r="H105" i="15"/>
  <c r="J105" i="15" s="1"/>
  <c r="B106" i="15"/>
  <c r="G106" i="15"/>
  <c r="I106" i="15" s="1"/>
  <c r="H106" i="15"/>
  <c r="J106" i="15" s="1"/>
  <c r="B107" i="15"/>
  <c r="G107" i="15"/>
  <c r="I107" i="15" s="1"/>
  <c r="H107" i="15"/>
  <c r="J107" i="15" s="1"/>
  <c r="B108" i="15"/>
  <c r="G108" i="15"/>
  <c r="I108" i="15" s="1"/>
  <c r="H108" i="15"/>
  <c r="J108" i="15" s="1"/>
  <c r="B109" i="15"/>
  <c r="G109" i="15"/>
  <c r="I109" i="15" s="1"/>
  <c r="H109" i="15"/>
  <c r="J109" i="15" s="1"/>
  <c r="B110" i="15"/>
  <c r="G110" i="15"/>
  <c r="I110" i="15" s="1"/>
  <c r="H110" i="15"/>
  <c r="J110" i="15" s="1"/>
  <c r="B111" i="15"/>
  <c r="G111" i="15"/>
  <c r="I111" i="15" s="1"/>
  <c r="H111" i="15"/>
  <c r="J111" i="15" s="1"/>
  <c r="B112" i="15"/>
  <c r="G112" i="15"/>
  <c r="I112" i="15" s="1"/>
  <c r="H112" i="15"/>
  <c r="J112" i="15" s="1"/>
  <c r="B113" i="15"/>
  <c r="G113" i="15"/>
  <c r="I113" i="15" s="1"/>
  <c r="H113" i="15"/>
  <c r="J113" i="15" s="1"/>
  <c r="B114" i="15"/>
  <c r="G114" i="15"/>
  <c r="I114" i="15" s="1"/>
  <c r="H114" i="15"/>
  <c r="J114" i="15" s="1"/>
  <c r="B115" i="15"/>
  <c r="G115" i="15"/>
  <c r="I115" i="15" s="1"/>
  <c r="H115" i="15"/>
  <c r="J115" i="15" s="1"/>
  <c r="B116" i="15"/>
  <c r="G116" i="15"/>
  <c r="I116" i="15" s="1"/>
  <c r="H116" i="15"/>
  <c r="J116" i="15" s="1"/>
  <c r="B117" i="15"/>
  <c r="G117" i="15"/>
  <c r="I117" i="15" s="1"/>
  <c r="H117" i="15"/>
  <c r="J117" i="15" s="1"/>
  <c r="B118" i="15"/>
  <c r="G118" i="15"/>
  <c r="I118" i="15" s="1"/>
  <c r="H118" i="15"/>
  <c r="J118" i="15" s="1"/>
  <c r="B119" i="15"/>
  <c r="G119" i="15"/>
  <c r="I119" i="15" s="1"/>
  <c r="H119" i="15"/>
  <c r="J119" i="15" s="1"/>
  <c r="B120" i="15"/>
  <c r="G120" i="15"/>
  <c r="I120" i="15" s="1"/>
  <c r="H120" i="15"/>
  <c r="J120" i="15" s="1"/>
  <c r="B121" i="15"/>
  <c r="G121" i="15"/>
  <c r="I121" i="15" s="1"/>
  <c r="H121" i="15"/>
  <c r="J121" i="15" s="1"/>
  <c r="B122" i="15"/>
  <c r="G122" i="15"/>
  <c r="I122" i="15" s="1"/>
  <c r="H122" i="15"/>
  <c r="J122" i="15" s="1"/>
  <c r="B123" i="15"/>
  <c r="G123" i="15"/>
  <c r="I123" i="15" s="1"/>
  <c r="H123" i="15"/>
  <c r="J123" i="15" s="1"/>
  <c r="B124" i="15"/>
  <c r="G124" i="15"/>
  <c r="I124" i="15" s="1"/>
  <c r="H124" i="15"/>
  <c r="J124" i="15" s="1"/>
  <c r="B125" i="15"/>
  <c r="G125" i="15"/>
  <c r="I125" i="15" s="1"/>
  <c r="H125" i="15"/>
  <c r="J125" i="15" s="1"/>
  <c r="B126" i="15"/>
  <c r="G126" i="15"/>
  <c r="I126" i="15" s="1"/>
  <c r="H126" i="15"/>
  <c r="J126" i="15" s="1"/>
  <c r="B127" i="15"/>
  <c r="G127" i="15"/>
  <c r="I127" i="15" s="1"/>
  <c r="H127" i="15"/>
  <c r="J127" i="15" s="1"/>
  <c r="B128" i="15"/>
  <c r="G128" i="15"/>
  <c r="I128" i="15" s="1"/>
  <c r="H128" i="15"/>
  <c r="J128" i="15" s="1"/>
  <c r="B129" i="15"/>
  <c r="G129" i="15"/>
  <c r="I129" i="15" s="1"/>
  <c r="H129" i="15"/>
  <c r="J129" i="15" s="1"/>
  <c r="B130" i="15"/>
  <c r="G130" i="15"/>
  <c r="I130" i="15" s="1"/>
  <c r="H130" i="15"/>
  <c r="J130" i="15" s="1"/>
  <c r="B131" i="15"/>
  <c r="G131" i="15"/>
  <c r="I131" i="15" s="1"/>
  <c r="H131" i="15"/>
  <c r="J131" i="15" s="1"/>
  <c r="B132" i="15"/>
  <c r="G132" i="15"/>
  <c r="I132" i="15" s="1"/>
  <c r="H132" i="15"/>
  <c r="J132" i="15" s="1"/>
  <c r="B133" i="15"/>
  <c r="G133" i="15"/>
  <c r="I133" i="15" s="1"/>
  <c r="H133" i="15"/>
  <c r="J133" i="15" s="1"/>
  <c r="B134" i="15"/>
  <c r="G134" i="15"/>
  <c r="I134" i="15" s="1"/>
  <c r="H134" i="15"/>
  <c r="J134" i="15" s="1"/>
  <c r="B135" i="15"/>
  <c r="G135" i="15"/>
  <c r="I135" i="15" s="1"/>
  <c r="H135" i="15"/>
  <c r="J135" i="15" s="1"/>
  <c r="B136" i="15"/>
  <c r="G136" i="15"/>
  <c r="I136" i="15" s="1"/>
  <c r="H136" i="15"/>
  <c r="J136" i="15" s="1"/>
  <c r="B137" i="15"/>
  <c r="G137" i="15"/>
  <c r="I137" i="15" s="1"/>
  <c r="H137" i="15"/>
  <c r="J137" i="15" s="1"/>
  <c r="B138" i="15"/>
  <c r="G138" i="15"/>
  <c r="I138" i="15" s="1"/>
  <c r="H138" i="15"/>
  <c r="J138" i="15" s="1"/>
  <c r="B139" i="15"/>
  <c r="G139" i="15"/>
  <c r="I139" i="15" s="1"/>
  <c r="H139" i="15"/>
  <c r="J139" i="15" s="1"/>
  <c r="B140" i="15"/>
  <c r="G140" i="15"/>
  <c r="I140" i="15" s="1"/>
  <c r="H140" i="15"/>
  <c r="J140" i="15" s="1"/>
  <c r="B141" i="15"/>
  <c r="G141" i="15"/>
  <c r="I141" i="15" s="1"/>
  <c r="H141" i="15"/>
  <c r="J141" i="15" s="1"/>
  <c r="B142" i="15"/>
  <c r="G142" i="15"/>
  <c r="I142" i="15" s="1"/>
  <c r="H142" i="15"/>
  <c r="J142" i="15" s="1"/>
  <c r="B143" i="15"/>
  <c r="G143" i="15"/>
  <c r="I143" i="15" s="1"/>
  <c r="H143" i="15"/>
  <c r="J143" i="15" s="1"/>
  <c r="B144" i="15"/>
  <c r="G144" i="15"/>
  <c r="I144" i="15" s="1"/>
  <c r="H144" i="15"/>
  <c r="J144" i="15" s="1"/>
  <c r="B145" i="15"/>
  <c r="G145" i="15"/>
  <c r="I145" i="15" s="1"/>
  <c r="H145" i="15"/>
  <c r="J145" i="15" s="1"/>
  <c r="B146" i="15"/>
  <c r="G146" i="15"/>
  <c r="I146" i="15" s="1"/>
  <c r="H146" i="15"/>
  <c r="J146" i="15" s="1"/>
  <c r="B147" i="15"/>
  <c r="G147" i="15"/>
  <c r="I147" i="15" s="1"/>
  <c r="H147" i="15"/>
  <c r="J147" i="15" s="1"/>
  <c r="B148" i="15"/>
  <c r="G148" i="15"/>
  <c r="I148" i="15" s="1"/>
  <c r="H148" i="15"/>
  <c r="J148" i="15" s="1"/>
  <c r="B149" i="15"/>
  <c r="G149" i="15"/>
  <c r="I149" i="15" s="1"/>
  <c r="H149" i="15"/>
  <c r="J149" i="15" s="1"/>
  <c r="B150" i="15"/>
  <c r="G150" i="15"/>
  <c r="I150" i="15" s="1"/>
  <c r="H150" i="15"/>
  <c r="J150" i="15" s="1"/>
  <c r="B151" i="15"/>
  <c r="G151" i="15"/>
  <c r="I151" i="15" s="1"/>
  <c r="H151" i="15"/>
  <c r="J151" i="15" s="1"/>
  <c r="B152" i="15"/>
  <c r="G152" i="15"/>
  <c r="I152" i="15" s="1"/>
  <c r="H152" i="15"/>
  <c r="J152" i="15" s="1"/>
  <c r="B153" i="15"/>
  <c r="G153" i="15"/>
  <c r="I153" i="15" s="1"/>
  <c r="H153" i="15"/>
  <c r="J153" i="15" s="1"/>
  <c r="B154" i="15"/>
  <c r="G154" i="15"/>
  <c r="I154" i="15" s="1"/>
  <c r="H154" i="15"/>
  <c r="J154" i="15" s="1"/>
  <c r="B155" i="15"/>
  <c r="G155" i="15"/>
  <c r="I155" i="15" s="1"/>
  <c r="H155" i="15"/>
  <c r="J155" i="15" s="1"/>
  <c r="B156" i="15"/>
  <c r="G156" i="15"/>
  <c r="I156" i="15" s="1"/>
  <c r="H156" i="15"/>
  <c r="J156" i="15" s="1"/>
  <c r="B157" i="15"/>
  <c r="G157" i="15"/>
  <c r="I157" i="15" s="1"/>
  <c r="H157" i="15"/>
  <c r="J157" i="15" s="1"/>
  <c r="B158" i="15"/>
  <c r="G158" i="15"/>
  <c r="I158" i="15" s="1"/>
  <c r="H158" i="15"/>
  <c r="J158" i="15" s="1"/>
  <c r="B159" i="15"/>
  <c r="G159" i="15"/>
  <c r="I159" i="15" s="1"/>
  <c r="H159" i="15"/>
  <c r="J159" i="15" s="1"/>
  <c r="B160" i="15"/>
  <c r="G160" i="15"/>
  <c r="I160" i="15" s="1"/>
  <c r="H160" i="15"/>
  <c r="J160" i="15" s="1"/>
  <c r="B161" i="15"/>
  <c r="G161" i="15"/>
  <c r="I161" i="15" s="1"/>
  <c r="H161" i="15"/>
  <c r="J161" i="15" s="1"/>
  <c r="B162" i="15"/>
  <c r="G162" i="15"/>
  <c r="I162" i="15" s="1"/>
  <c r="H162" i="15"/>
  <c r="J162" i="15" s="1"/>
  <c r="B163" i="15"/>
  <c r="G163" i="15"/>
  <c r="I163" i="15" s="1"/>
  <c r="H163" i="15"/>
  <c r="J163" i="15" s="1"/>
  <c r="B164" i="15"/>
  <c r="G164" i="15"/>
  <c r="I164" i="15" s="1"/>
  <c r="H164" i="15"/>
  <c r="J164" i="15" s="1"/>
  <c r="B165" i="15"/>
  <c r="G165" i="15"/>
  <c r="I165" i="15" s="1"/>
  <c r="H165" i="15"/>
  <c r="J165" i="15" s="1"/>
  <c r="B166" i="15"/>
  <c r="G166" i="15"/>
  <c r="I166" i="15" s="1"/>
  <c r="H166" i="15"/>
  <c r="J166" i="15" s="1"/>
  <c r="B167" i="15"/>
  <c r="G167" i="15"/>
  <c r="I167" i="15" s="1"/>
  <c r="H167" i="15"/>
  <c r="J167" i="15" s="1"/>
  <c r="B168" i="15"/>
  <c r="G168" i="15"/>
  <c r="I168" i="15" s="1"/>
  <c r="H168" i="15"/>
  <c r="J168" i="15" s="1"/>
  <c r="B169" i="15"/>
  <c r="G169" i="15"/>
  <c r="I169" i="15" s="1"/>
  <c r="H169" i="15"/>
  <c r="J169" i="15" s="1"/>
  <c r="B170" i="15"/>
  <c r="G170" i="15"/>
  <c r="I170" i="15" s="1"/>
  <c r="H170" i="15"/>
  <c r="J170" i="15" s="1"/>
  <c r="B171" i="15"/>
  <c r="G171" i="15"/>
  <c r="I171" i="15" s="1"/>
  <c r="H171" i="15"/>
  <c r="J171" i="15" s="1"/>
  <c r="B172" i="15"/>
  <c r="G172" i="15"/>
  <c r="I172" i="15" s="1"/>
  <c r="H172" i="15"/>
  <c r="J172" i="15" s="1"/>
  <c r="B173" i="15"/>
  <c r="G173" i="15"/>
  <c r="I173" i="15" s="1"/>
  <c r="H173" i="15"/>
  <c r="J173" i="15" s="1"/>
  <c r="B174" i="15"/>
  <c r="G174" i="15"/>
  <c r="I174" i="15" s="1"/>
  <c r="H174" i="15"/>
  <c r="J174" i="15" s="1"/>
  <c r="B175" i="15"/>
  <c r="G175" i="15"/>
  <c r="I175" i="15" s="1"/>
  <c r="H175" i="15"/>
  <c r="J175" i="15" s="1"/>
  <c r="B176" i="15"/>
  <c r="G176" i="15"/>
  <c r="I176" i="15" s="1"/>
  <c r="H176" i="15"/>
  <c r="J176" i="15" s="1"/>
  <c r="B177" i="15"/>
  <c r="G177" i="15"/>
  <c r="I177" i="15" s="1"/>
  <c r="H177" i="15"/>
  <c r="J177" i="15" s="1"/>
  <c r="B178" i="15"/>
  <c r="G178" i="15"/>
  <c r="I178" i="15" s="1"/>
  <c r="H178" i="15"/>
  <c r="J178" i="15" s="1"/>
  <c r="B179" i="15"/>
  <c r="G179" i="15"/>
  <c r="I179" i="15" s="1"/>
  <c r="H179" i="15"/>
  <c r="J179" i="15" s="1"/>
  <c r="B180" i="15"/>
  <c r="G180" i="15"/>
  <c r="I180" i="15" s="1"/>
  <c r="H180" i="15"/>
  <c r="J180" i="15" s="1"/>
  <c r="B181" i="15"/>
  <c r="G181" i="15"/>
  <c r="I181" i="15" s="1"/>
  <c r="H181" i="15"/>
  <c r="J181" i="15" s="1"/>
  <c r="B182" i="15"/>
  <c r="G182" i="15"/>
  <c r="I182" i="15" s="1"/>
  <c r="H182" i="15"/>
  <c r="J182" i="15" s="1"/>
  <c r="B183" i="15"/>
  <c r="G183" i="15"/>
  <c r="I183" i="15" s="1"/>
  <c r="H183" i="15"/>
  <c r="J183" i="15" s="1"/>
  <c r="B184" i="15"/>
  <c r="G184" i="15"/>
  <c r="I184" i="15" s="1"/>
  <c r="H184" i="15"/>
  <c r="J184" i="15" s="1"/>
  <c r="B185" i="15"/>
  <c r="G185" i="15"/>
  <c r="I185" i="15" s="1"/>
  <c r="H185" i="15"/>
  <c r="J185" i="15" s="1"/>
  <c r="B186" i="15"/>
  <c r="G186" i="15"/>
  <c r="I186" i="15" s="1"/>
  <c r="H186" i="15"/>
  <c r="J186" i="15" s="1"/>
  <c r="B187" i="15"/>
  <c r="G187" i="15"/>
  <c r="I187" i="15" s="1"/>
  <c r="H187" i="15"/>
  <c r="J187" i="15" s="1"/>
  <c r="B188" i="15"/>
  <c r="G188" i="15"/>
  <c r="I188" i="15" s="1"/>
  <c r="H188" i="15"/>
  <c r="J188" i="15" s="1"/>
  <c r="B189" i="15"/>
  <c r="G189" i="15"/>
  <c r="I189" i="15" s="1"/>
  <c r="H189" i="15"/>
  <c r="J189" i="15" s="1"/>
  <c r="B190" i="15"/>
  <c r="G190" i="15"/>
  <c r="I190" i="15" s="1"/>
  <c r="H190" i="15"/>
  <c r="J190" i="15" s="1"/>
  <c r="B191" i="15"/>
  <c r="G191" i="15"/>
  <c r="I191" i="15" s="1"/>
  <c r="H191" i="15"/>
  <c r="J191" i="15" s="1"/>
  <c r="B192" i="15"/>
  <c r="G192" i="15"/>
  <c r="I192" i="15" s="1"/>
  <c r="H192" i="15"/>
  <c r="J192" i="15" s="1"/>
  <c r="B193" i="15"/>
  <c r="G193" i="15"/>
  <c r="I193" i="15" s="1"/>
  <c r="H193" i="15"/>
  <c r="J193" i="15" s="1"/>
  <c r="B194" i="15"/>
  <c r="G194" i="15"/>
  <c r="I194" i="15" s="1"/>
  <c r="H194" i="15"/>
  <c r="J194" i="15" s="1"/>
  <c r="B195" i="15"/>
  <c r="G195" i="15"/>
  <c r="I195" i="15" s="1"/>
  <c r="H195" i="15"/>
  <c r="J195" i="15" s="1"/>
  <c r="B196" i="15"/>
  <c r="G196" i="15"/>
  <c r="I196" i="15" s="1"/>
  <c r="H196" i="15"/>
  <c r="J196" i="15" s="1"/>
  <c r="B197" i="15"/>
  <c r="G197" i="15"/>
  <c r="I197" i="15" s="1"/>
  <c r="H197" i="15"/>
  <c r="J197" i="15" s="1"/>
  <c r="B198" i="15"/>
  <c r="G198" i="15"/>
  <c r="I198" i="15" s="1"/>
  <c r="H198" i="15"/>
  <c r="J198" i="15" s="1"/>
  <c r="B199" i="15"/>
  <c r="G199" i="15"/>
  <c r="I199" i="15" s="1"/>
  <c r="H199" i="15"/>
  <c r="J199" i="15" s="1"/>
  <c r="B200" i="15"/>
  <c r="G200" i="15"/>
  <c r="I200" i="15" s="1"/>
  <c r="H200" i="15"/>
  <c r="J200" i="15" s="1"/>
  <c r="B201" i="15"/>
  <c r="G201" i="15"/>
  <c r="I201" i="15" s="1"/>
  <c r="H201" i="15"/>
  <c r="J201" i="15" s="1"/>
  <c r="B202" i="15"/>
  <c r="G202" i="15"/>
  <c r="I202" i="15" s="1"/>
  <c r="H202" i="15"/>
  <c r="J202" i="15" s="1"/>
  <c r="B203" i="15"/>
  <c r="G203" i="15"/>
  <c r="I203" i="15" s="1"/>
  <c r="H203" i="15"/>
  <c r="J203" i="15" s="1"/>
  <c r="B204" i="15"/>
  <c r="G204" i="15"/>
  <c r="I204" i="15" s="1"/>
  <c r="H204" i="15"/>
  <c r="J204" i="15" s="1"/>
  <c r="B205" i="15"/>
  <c r="G205" i="15"/>
  <c r="I205" i="15" s="1"/>
  <c r="H205" i="15"/>
  <c r="J205" i="15" s="1"/>
  <c r="B206" i="15"/>
  <c r="G206" i="15"/>
  <c r="I206" i="15" s="1"/>
  <c r="H206" i="15"/>
  <c r="J206" i="15" s="1"/>
  <c r="B207" i="15"/>
  <c r="G207" i="15"/>
  <c r="I207" i="15" s="1"/>
  <c r="H207" i="15"/>
  <c r="J207" i="15" s="1"/>
  <c r="B208" i="15"/>
  <c r="G208" i="15"/>
  <c r="I208" i="15" s="1"/>
  <c r="H208" i="15"/>
  <c r="J208" i="15" s="1"/>
  <c r="B209" i="15"/>
  <c r="G209" i="15"/>
  <c r="I209" i="15" s="1"/>
  <c r="H209" i="15"/>
  <c r="J209" i="15" s="1"/>
  <c r="B210" i="15"/>
  <c r="G210" i="15"/>
  <c r="I210" i="15" s="1"/>
  <c r="H210" i="15"/>
  <c r="J210" i="15" s="1"/>
  <c r="B211" i="15"/>
  <c r="G211" i="15"/>
  <c r="I211" i="15" s="1"/>
  <c r="H211" i="15"/>
  <c r="J211" i="15" s="1"/>
  <c r="B212" i="15"/>
  <c r="G212" i="15"/>
  <c r="I212" i="15" s="1"/>
  <c r="H212" i="15"/>
  <c r="J212" i="15" s="1"/>
  <c r="B213" i="15"/>
  <c r="G213" i="15"/>
  <c r="I213" i="15" s="1"/>
  <c r="H213" i="15"/>
  <c r="J213" i="15" s="1"/>
  <c r="B214" i="15"/>
  <c r="G214" i="15"/>
  <c r="I214" i="15" s="1"/>
  <c r="H214" i="15"/>
  <c r="J214" i="15" s="1"/>
  <c r="B215" i="15"/>
  <c r="G215" i="15"/>
  <c r="I215" i="15" s="1"/>
  <c r="H215" i="15"/>
  <c r="J215" i="15" s="1"/>
  <c r="B216" i="15"/>
  <c r="G216" i="15"/>
  <c r="I216" i="15" s="1"/>
  <c r="H216" i="15"/>
  <c r="J216" i="15" s="1"/>
  <c r="B217" i="15"/>
  <c r="G217" i="15"/>
  <c r="I217" i="15" s="1"/>
  <c r="H217" i="15"/>
  <c r="J217" i="15" s="1"/>
  <c r="B218" i="15"/>
  <c r="G218" i="15"/>
  <c r="I218" i="15" s="1"/>
  <c r="H218" i="15"/>
  <c r="J218" i="15" s="1"/>
  <c r="B219" i="15"/>
  <c r="G219" i="15"/>
  <c r="I219" i="15" s="1"/>
  <c r="H219" i="15"/>
  <c r="J219" i="15" s="1"/>
  <c r="B220" i="15"/>
  <c r="G220" i="15"/>
  <c r="I220" i="15" s="1"/>
  <c r="H220" i="15"/>
  <c r="J220" i="15" s="1"/>
  <c r="B221" i="15"/>
  <c r="G221" i="15"/>
  <c r="I221" i="15" s="1"/>
  <c r="H221" i="15"/>
  <c r="J221" i="15" s="1"/>
  <c r="B222" i="15"/>
  <c r="G222" i="15"/>
  <c r="I222" i="15" s="1"/>
  <c r="H222" i="15"/>
  <c r="J222" i="15" s="1"/>
  <c r="B223" i="15"/>
  <c r="G223" i="15"/>
  <c r="I223" i="15" s="1"/>
  <c r="H223" i="15"/>
  <c r="J223" i="15" s="1"/>
  <c r="B224" i="15"/>
  <c r="G224" i="15"/>
  <c r="I224" i="15" s="1"/>
  <c r="H224" i="15"/>
  <c r="J224" i="15" s="1"/>
  <c r="B225" i="15"/>
  <c r="G225" i="15"/>
  <c r="I225" i="15" s="1"/>
  <c r="H225" i="15"/>
  <c r="J225" i="15" s="1"/>
  <c r="B226" i="15"/>
  <c r="G226" i="15"/>
  <c r="I226" i="15" s="1"/>
  <c r="H226" i="15"/>
  <c r="J226" i="15" s="1"/>
  <c r="B227" i="15"/>
  <c r="G227" i="15"/>
  <c r="I227" i="15" s="1"/>
  <c r="H227" i="15"/>
  <c r="J227" i="15" s="1"/>
  <c r="B228" i="15"/>
  <c r="G228" i="15"/>
  <c r="I228" i="15" s="1"/>
  <c r="H228" i="15"/>
  <c r="J228" i="15" s="1"/>
  <c r="B229" i="15"/>
  <c r="G229" i="15"/>
  <c r="I229" i="15" s="1"/>
  <c r="H229" i="15"/>
  <c r="J229" i="15" s="1"/>
  <c r="B230" i="15"/>
  <c r="G230" i="15"/>
  <c r="I230" i="15" s="1"/>
  <c r="H230" i="15"/>
  <c r="J230" i="15" s="1"/>
  <c r="B231" i="15"/>
  <c r="G231" i="15"/>
  <c r="I231" i="15" s="1"/>
  <c r="H231" i="15"/>
  <c r="J231" i="15" s="1"/>
  <c r="B232" i="15"/>
  <c r="G232" i="15"/>
  <c r="I232" i="15" s="1"/>
  <c r="H232" i="15"/>
  <c r="J232" i="15" s="1"/>
  <c r="B233" i="15"/>
  <c r="G233" i="15"/>
  <c r="I233" i="15" s="1"/>
  <c r="H233" i="15"/>
  <c r="J233" i="15" s="1"/>
  <c r="B234" i="15"/>
  <c r="G234" i="15"/>
  <c r="I234" i="15" s="1"/>
  <c r="H234" i="15"/>
  <c r="J234" i="15" s="1"/>
  <c r="B235" i="15"/>
  <c r="G235" i="15"/>
  <c r="I235" i="15" s="1"/>
  <c r="H235" i="15"/>
  <c r="J235" i="15" s="1"/>
  <c r="B236" i="15"/>
  <c r="G236" i="15"/>
  <c r="I236" i="15" s="1"/>
  <c r="H236" i="15"/>
  <c r="J236" i="15" s="1"/>
  <c r="B237" i="15"/>
  <c r="G237" i="15"/>
  <c r="I237" i="15" s="1"/>
  <c r="H237" i="15"/>
  <c r="J237" i="15" s="1"/>
  <c r="B238" i="15"/>
  <c r="G238" i="15"/>
  <c r="I238" i="15" s="1"/>
  <c r="H238" i="15"/>
  <c r="J238" i="15" s="1"/>
  <c r="B239" i="15"/>
  <c r="G239" i="15"/>
  <c r="I239" i="15" s="1"/>
  <c r="H239" i="15"/>
  <c r="J239" i="15" s="1"/>
  <c r="B240" i="15"/>
  <c r="G240" i="15"/>
  <c r="I240" i="15" s="1"/>
  <c r="H240" i="15"/>
  <c r="J240" i="15" s="1"/>
  <c r="B241" i="15"/>
  <c r="G241" i="15"/>
  <c r="I241" i="15" s="1"/>
  <c r="H241" i="15"/>
  <c r="J241" i="15" s="1"/>
  <c r="B242" i="15"/>
  <c r="G242" i="15"/>
  <c r="I242" i="15" s="1"/>
  <c r="H242" i="15"/>
  <c r="J242" i="15" s="1"/>
  <c r="B243" i="15"/>
  <c r="G243" i="15"/>
  <c r="I243" i="15" s="1"/>
  <c r="H243" i="15"/>
  <c r="J243" i="15" s="1"/>
  <c r="B244" i="15"/>
  <c r="G244" i="15"/>
  <c r="I244" i="15" s="1"/>
  <c r="H244" i="15"/>
  <c r="J244" i="15" s="1"/>
  <c r="B245" i="15"/>
  <c r="G245" i="15"/>
  <c r="I245" i="15" s="1"/>
  <c r="H245" i="15"/>
  <c r="J245" i="15" s="1"/>
  <c r="B246" i="15"/>
  <c r="G246" i="15"/>
  <c r="I246" i="15" s="1"/>
  <c r="H246" i="15"/>
  <c r="J246" i="15" s="1"/>
  <c r="B247" i="15"/>
  <c r="G247" i="15"/>
  <c r="I247" i="15" s="1"/>
  <c r="H247" i="15"/>
  <c r="J247" i="15" s="1"/>
  <c r="B248" i="15"/>
  <c r="G248" i="15"/>
  <c r="I248" i="15" s="1"/>
  <c r="H248" i="15"/>
  <c r="J248" i="15" s="1"/>
  <c r="B249" i="15"/>
  <c r="G249" i="15"/>
  <c r="I249" i="15" s="1"/>
  <c r="H249" i="15"/>
  <c r="J249" i="15" s="1"/>
  <c r="B250" i="15"/>
  <c r="G250" i="15"/>
  <c r="I250" i="15" s="1"/>
  <c r="H250" i="15"/>
  <c r="J250" i="15" s="1"/>
  <c r="B251" i="15"/>
  <c r="G251" i="15"/>
  <c r="I251" i="15" s="1"/>
  <c r="H251" i="15"/>
  <c r="J251" i="15" s="1"/>
  <c r="B252" i="15"/>
  <c r="G252" i="15"/>
  <c r="I252" i="15" s="1"/>
  <c r="H252" i="15"/>
  <c r="J252" i="15" s="1"/>
  <c r="B253" i="15"/>
  <c r="G253" i="15"/>
  <c r="I253" i="15" s="1"/>
  <c r="H253" i="15"/>
  <c r="J253" i="15" s="1"/>
  <c r="B254" i="15"/>
  <c r="G254" i="15"/>
  <c r="I254" i="15" s="1"/>
  <c r="H254" i="15"/>
  <c r="J254" i="15" s="1"/>
  <c r="B255" i="15"/>
  <c r="G255" i="15"/>
  <c r="I255" i="15" s="1"/>
  <c r="H255" i="15"/>
  <c r="J255" i="15" s="1"/>
  <c r="B256" i="15"/>
  <c r="G256" i="15"/>
  <c r="I256" i="15" s="1"/>
  <c r="H256" i="15"/>
  <c r="J256" i="15" s="1"/>
  <c r="B257" i="15"/>
  <c r="G257" i="15"/>
  <c r="I257" i="15" s="1"/>
  <c r="H257" i="15"/>
  <c r="J257" i="15" s="1"/>
  <c r="B258" i="15"/>
  <c r="G258" i="15"/>
  <c r="I258" i="15" s="1"/>
  <c r="H258" i="15"/>
  <c r="J258" i="15" s="1"/>
  <c r="B259" i="15"/>
  <c r="G259" i="15"/>
  <c r="I259" i="15" s="1"/>
  <c r="H259" i="15"/>
  <c r="J259" i="15" s="1"/>
  <c r="B260" i="15"/>
  <c r="G260" i="15"/>
  <c r="I260" i="15" s="1"/>
  <c r="H260" i="15"/>
  <c r="J260" i="15" s="1"/>
  <c r="B261" i="15"/>
  <c r="G261" i="15"/>
  <c r="I261" i="15" s="1"/>
  <c r="H261" i="15"/>
  <c r="J261" i="15" s="1"/>
  <c r="B262" i="15"/>
  <c r="G262" i="15"/>
  <c r="I262" i="15" s="1"/>
  <c r="H262" i="15"/>
  <c r="J262" i="15" s="1"/>
  <c r="B263" i="15"/>
  <c r="G263" i="15"/>
  <c r="I263" i="15" s="1"/>
  <c r="H263" i="15"/>
  <c r="J263" i="15" s="1"/>
  <c r="B264" i="15"/>
  <c r="G264" i="15"/>
  <c r="I264" i="15" s="1"/>
  <c r="H264" i="15"/>
  <c r="J264" i="15" s="1"/>
  <c r="B265" i="15"/>
  <c r="G265" i="15"/>
  <c r="I265" i="15" s="1"/>
  <c r="H265" i="15"/>
  <c r="J265" i="15" s="1"/>
  <c r="B266" i="15"/>
  <c r="G266" i="15"/>
  <c r="I266" i="15" s="1"/>
  <c r="H266" i="15"/>
  <c r="J266" i="15" s="1"/>
  <c r="B267" i="15"/>
  <c r="G267" i="15"/>
  <c r="I267" i="15" s="1"/>
  <c r="H267" i="15"/>
  <c r="J267" i="15" s="1"/>
  <c r="B268" i="15"/>
  <c r="G268" i="15"/>
  <c r="I268" i="15" s="1"/>
  <c r="H268" i="15"/>
  <c r="J268" i="15" s="1"/>
  <c r="B269" i="15"/>
  <c r="G269" i="15"/>
  <c r="I269" i="15" s="1"/>
  <c r="H269" i="15"/>
  <c r="J269" i="15" s="1"/>
  <c r="B270" i="15"/>
  <c r="G270" i="15"/>
  <c r="I270" i="15" s="1"/>
  <c r="H270" i="15"/>
  <c r="J270" i="15" s="1"/>
  <c r="B271" i="15"/>
  <c r="G271" i="15"/>
  <c r="I271" i="15" s="1"/>
  <c r="H271" i="15"/>
  <c r="J271" i="15" s="1"/>
  <c r="B272" i="15"/>
  <c r="G272" i="15"/>
  <c r="I272" i="15" s="1"/>
  <c r="H272" i="15"/>
  <c r="J272" i="15" s="1"/>
  <c r="B273" i="15"/>
  <c r="G273" i="15"/>
  <c r="I273" i="15" s="1"/>
  <c r="H273" i="15"/>
  <c r="J273" i="15" s="1"/>
  <c r="B274" i="15"/>
  <c r="G274" i="15"/>
  <c r="I274" i="15" s="1"/>
  <c r="H274" i="15"/>
  <c r="J274" i="15" s="1"/>
  <c r="B275" i="15"/>
  <c r="G275" i="15"/>
  <c r="I275" i="15" s="1"/>
  <c r="H275" i="15"/>
  <c r="J275" i="15" s="1"/>
  <c r="B276" i="15"/>
  <c r="G276" i="15"/>
  <c r="I276" i="15" s="1"/>
  <c r="H276" i="15"/>
  <c r="J276" i="15" s="1"/>
  <c r="B277" i="15"/>
  <c r="G277" i="15"/>
  <c r="I277" i="15" s="1"/>
  <c r="H277" i="15"/>
  <c r="J277" i="15" s="1"/>
  <c r="B278" i="15"/>
  <c r="G278" i="15"/>
  <c r="I278" i="15" s="1"/>
  <c r="H278" i="15"/>
  <c r="J278" i="15" s="1"/>
  <c r="B279" i="15"/>
  <c r="G279" i="15"/>
  <c r="I279" i="15" s="1"/>
  <c r="H279" i="15"/>
  <c r="J279" i="15" s="1"/>
  <c r="B280" i="15"/>
  <c r="G280" i="15"/>
  <c r="I280" i="15" s="1"/>
  <c r="H280" i="15"/>
  <c r="J280" i="15" s="1"/>
  <c r="B281" i="15"/>
  <c r="G281" i="15"/>
  <c r="I281" i="15" s="1"/>
  <c r="H281" i="15"/>
  <c r="J281" i="15" s="1"/>
  <c r="B282" i="15"/>
  <c r="G282" i="15"/>
  <c r="I282" i="15" s="1"/>
  <c r="H282" i="15"/>
  <c r="J282" i="15" s="1"/>
  <c r="B283" i="15"/>
  <c r="G283" i="15"/>
  <c r="I283" i="15" s="1"/>
  <c r="H283" i="15"/>
  <c r="J283" i="15" s="1"/>
  <c r="B284" i="15"/>
  <c r="G284" i="15"/>
  <c r="I284" i="15" s="1"/>
  <c r="H284" i="15"/>
  <c r="J284" i="15" s="1"/>
  <c r="B285" i="15"/>
  <c r="G285" i="15"/>
  <c r="I285" i="15" s="1"/>
  <c r="H285" i="15"/>
  <c r="J285" i="15" s="1"/>
  <c r="B286" i="15"/>
  <c r="G286" i="15"/>
  <c r="I286" i="15" s="1"/>
  <c r="H286" i="15"/>
  <c r="J286" i="15" s="1"/>
  <c r="B287" i="15"/>
  <c r="G287" i="15"/>
  <c r="I287" i="15" s="1"/>
  <c r="H287" i="15"/>
  <c r="J287" i="15" s="1"/>
  <c r="B288" i="15"/>
  <c r="G288" i="15"/>
  <c r="I288" i="15" s="1"/>
  <c r="H288" i="15"/>
  <c r="J288" i="15" s="1"/>
  <c r="B289" i="15"/>
  <c r="G289" i="15"/>
  <c r="I289" i="15" s="1"/>
  <c r="H289" i="15"/>
  <c r="J289" i="15" s="1"/>
  <c r="B290" i="15"/>
  <c r="G290" i="15"/>
  <c r="I290" i="15" s="1"/>
  <c r="H290" i="15"/>
  <c r="J290" i="15" s="1"/>
  <c r="B291" i="15"/>
  <c r="G291" i="15"/>
  <c r="I291" i="15" s="1"/>
  <c r="H291" i="15"/>
  <c r="J291" i="15" s="1"/>
  <c r="B292" i="15"/>
  <c r="G292" i="15"/>
  <c r="I292" i="15" s="1"/>
  <c r="H292" i="15"/>
  <c r="J292" i="15" s="1"/>
  <c r="B293" i="15"/>
  <c r="G293" i="15"/>
  <c r="I293" i="15" s="1"/>
  <c r="H293" i="15"/>
  <c r="J293" i="15" s="1"/>
  <c r="B294" i="15"/>
  <c r="G294" i="15"/>
  <c r="I294" i="15" s="1"/>
  <c r="H294" i="15"/>
  <c r="J294" i="15" s="1"/>
  <c r="B295" i="15"/>
  <c r="G295" i="15"/>
  <c r="I295" i="15" s="1"/>
  <c r="H295" i="15"/>
  <c r="J295" i="15" s="1"/>
  <c r="B296" i="15"/>
  <c r="G296" i="15"/>
  <c r="I296" i="15" s="1"/>
  <c r="H296" i="15"/>
  <c r="J296" i="15" s="1"/>
  <c r="B297" i="15"/>
  <c r="G297" i="15"/>
  <c r="I297" i="15" s="1"/>
  <c r="H297" i="15"/>
  <c r="J297" i="15" s="1"/>
  <c r="B298" i="15"/>
  <c r="G298" i="15"/>
  <c r="I298" i="15" s="1"/>
  <c r="H298" i="15"/>
  <c r="J298" i="15" s="1"/>
  <c r="B299" i="15"/>
  <c r="G299" i="15"/>
  <c r="I299" i="15" s="1"/>
  <c r="H299" i="15"/>
  <c r="J299" i="15" s="1"/>
  <c r="B300" i="15"/>
  <c r="G300" i="15"/>
  <c r="I300" i="15" s="1"/>
  <c r="H300" i="15"/>
  <c r="J300" i="15" s="1"/>
  <c r="B301" i="15"/>
  <c r="G301" i="15"/>
  <c r="I301" i="15" s="1"/>
  <c r="H301" i="15"/>
  <c r="J301" i="15" s="1"/>
  <c r="B302" i="15"/>
  <c r="G302" i="15"/>
  <c r="I302" i="15" s="1"/>
  <c r="H302" i="15"/>
  <c r="J302" i="15" s="1"/>
  <c r="B303" i="15"/>
  <c r="G303" i="15"/>
  <c r="I303" i="15" s="1"/>
  <c r="H303" i="15"/>
  <c r="J303" i="15" s="1"/>
  <c r="B304" i="15"/>
  <c r="G304" i="15"/>
  <c r="I304" i="15" s="1"/>
  <c r="H304" i="15"/>
  <c r="J304" i="15" s="1"/>
  <c r="B305" i="15"/>
  <c r="G305" i="15"/>
  <c r="I305" i="15" s="1"/>
  <c r="H305" i="15"/>
  <c r="J305" i="15" s="1"/>
  <c r="B306" i="15"/>
  <c r="G306" i="15"/>
  <c r="I306" i="15" s="1"/>
  <c r="H306" i="15"/>
  <c r="J306" i="15" s="1"/>
  <c r="B307" i="15"/>
  <c r="G307" i="15"/>
  <c r="I307" i="15" s="1"/>
  <c r="H307" i="15"/>
  <c r="J307" i="15" s="1"/>
  <c r="B308" i="15"/>
  <c r="G308" i="15"/>
  <c r="I308" i="15" s="1"/>
  <c r="H308" i="15"/>
  <c r="J308" i="15" s="1"/>
  <c r="B309" i="15"/>
  <c r="G309" i="15"/>
  <c r="I309" i="15" s="1"/>
  <c r="H309" i="15"/>
  <c r="J309" i="15" s="1"/>
  <c r="B310" i="15"/>
  <c r="G310" i="15"/>
  <c r="I310" i="15" s="1"/>
  <c r="H310" i="15"/>
  <c r="J310" i="15" s="1"/>
  <c r="B311" i="15"/>
  <c r="G311" i="15"/>
  <c r="I311" i="15" s="1"/>
  <c r="H311" i="15"/>
  <c r="J311" i="15" s="1"/>
  <c r="B312" i="15"/>
  <c r="G312" i="15"/>
  <c r="I312" i="15" s="1"/>
  <c r="H312" i="15"/>
  <c r="J312" i="15" s="1"/>
  <c r="B313" i="15"/>
  <c r="G313" i="15"/>
  <c r="I313" i="15" s="1"/>
  <c r="H313" i="15"/>
  <c r="J313" i="15" s="1"/>
  <c r="B314" i="15"/>
  <c r="G314" i="15"/>
  <c r="I314" i="15" s="1"/>
  <c r="H314" i="15"/>
  <c r="J314" i="15" s="1"/>
  <c r="B315" i="15"/>
  <c r="G315" i="15"/>
  <c r="I315" i="15" s="1"/>
  <c r="H315" i="15"/>
  <c r="J315" i="15" s="1"/>
  <c r="B316" i="15"/>
  <c r="G316" i="15"/>
  <c r="I316" i="15" s="1"/>
  <c r="H316" i="15"/>
  <c r="J316" i="15" s="1"/>
  <c r="B317" i="15"/>
  <c r="G317" i="15"/>
  <c r="I317" i="15" s="1"/>
  <c r="H317" i="15"/>
  <c r="J317" i="15" s="1"/>
  <c r="B318" i="15"/>
  <c r="G318" i="15"/>
  <c r="I318" i="15" s="1"/>
  <c r="H318" i="15"/>
  <c r="J318" i="15" s="1"/>
  <c r="B319" i="15"/>
  <c r="G319" i="15"/>
  <c r="I319" i="15" s="1"/>
  <c r="H319" i="15"/>
  <c r="J319" i="15" s="1"/>
  <c r="B320" i="15"/>
  <c r="G320" i="15"/>
  <c r="I320" i="15" s="1"/>
  <c r="H320" i="15"/>
  <c r="J320" i="15" s="1"/>
  <c r="B321" i="15"/>
  <c r="G321" i="15"/>
  <c r="I321" i="15" s="1"/>
  <c r="H321" i="15"/>
  <c r="J321" i="15" s="1"/>
  <c r="B322" i="15"/>
  <c r="G322" i="15"/>
  <c r="I322" i="15" s="1"/>
  <c r="H322" i="15"/>
  <c r="J322" i="15" s="1"/>
  <c r="B323" i="15"/>
  <c r="G323" i="15"/>
  <c r="I323" i="15" s="1"/>
  <c r="H323" i="15"/>
  <c r="J323" i="15" s="1"/>
  <c r="B324" i="15"/>
  <c r="G324" i="15"/>
  <c r="I324" i="15" s="1"/>
  <c r="H324" i="15"/>
  <c r="J324" i="15" s="1"/>
  <c r="B325" i="15"/>
  <c r="G325" i="15"/>
  <c r="I325" i="15" s="1"/>
  <c r="H325" i="15"/>
  <c r="J325" i="15" s="1"/>
  <c r="B326" i="15"/>
  <c r="G326" i="15"/>
  <c r="I326" i="15" s="1"/>
  <c r="H326" i="15"/>
  <c r="J326" i="15" s="1"/>
  <c r="B327" i="15"/>
  <c r="G327" i="15"/>
  <c r="I327" i="15" s="1"/>
  <c r="H327" i="15"/>
  <c r="J327" i="15" s="1"/>
  <c r="B328" i="15"/>
  <c r="G328" i="15"/>
  <c r="I328" i="15" s="1"/>
  <c r="H328" i="15"/>
  <c r="J328" i="15" s="1"/>
  <c r="B329" i="15"/>
  <c r="G329" i="15"/>
  <c r="I329" i="15" s="1"/>
  <c r="H329" i="15"/>
  <c r="J329" i="15" s="1"/>
  <c r="B330" i="15"/>
  <c r="G330" i="15"/>
  <c r="I330" i="15" s="1"/>
  <c r="H330" i="15"/>
  <c r="J330" i="15" s="1"/>
  <c r="B331" i="15"/>
  <c r="G331" i="15"/>
  <c r="I331" i="15" s="1"/>
  <c r="H331" i="15"/>
  <c r="J331" i="15" s="1"/>
  <c r="B332" i="15"/>
  <c r="G332" i="15"/>
  <c r="I332" i="15" s="1"/>
  <c r="H332" i="15"/>
  <c r="J332" i="15" s="1"/>
  <c r="B333" i="15"/>
  <c r="G333" i="15"/>
  <c r="I333" i="15" s="1"/>
  <c r="H333" i="15"/>
  <c r="J333" i="15" s="1"/>
  <c r="B334" i="15"/>
  <c r="G334" i="15"/>
  <c r="I334" i="15" s="1"/>
  <c r="H334" i="15"/>
  <c r="J334" i="15" s="1"/>
  <c r="B335" i="15"/>
  <c r="G335" i="15"/>
  <c r="I335" i="15" s="1"/>
  <c r="H335" i="15"/>
  <c r="J335" i="15" s="1"/>
  <c r="B336" i="15"/>
  <c r="G336" i="15"/>
  <c r="I336" i="15" s="1"/>
  <c r="H336" i="15"/>
  <c r="J336" i="15" s="1"/>
  <c r="B337" i="15"/>
  <c r="G337" i="15"/>
  <c r="I337" i="15" s="1"/>
  <c r="H337" i="15"/>
  <c r="J337" i="15" s="1"/>
  <c r="B338" i="15"/>
  <c r="G338" i="15"/>
  <c r="I338" i="15" s="1"/>
  <c r="H338" i="15"/>
  <c r="J338" i="15" s="1"/>
  <c r="B339" i="15"/>
  <c r="G339" i="15"/>
  <c r="I339" i="15" s="1"/>
  <c r="H339" i="15"/>
  <c r="J339" i="15" s="1"/>
  <c r="B340" i="15"/>
  <c r="G340" i="15"/>
  <c r="I340" i="15" s="1"/>
  <c r="H340" i="15"/>
  <c r="J340" i="15" s="1"/>
  <c r="B341" i="15"/>
  <c r="G341" i="15"/>
  <c r="I341" i="15" s="1"/>
  <c r="H341" i="15"/>
  <c r="J341" i="15" s="1"/>
  <c r="B342" i="15"/>
  <c r="G342" i="15"/>
  <c r="I342" i="15" s="1"/>
  <c r="H342" i="15"/>
  <c r="J342" i="15" s="1"/>
  <c r="B343" i="15"/>
  <c r="G343" i="15"/>
  <c r="I343" i="15" s="1"/>
  <c r="H343" i="15"/>
  <c r="J343" i="15" s="1"/>
  <c r="B344" i="15"/>
  <c r="G344" i="15"/>
  <c r="I344" i="15" s="1"/>
  <c r="H344" i="15"/>
  <c r="J344" i="15" s="1"/>
  <c r="B345" i="15"/>
  <c r="G345" i="15"/>
  <c r="I345" i="15" s="1"/>
  <c r="H345" i="15"/>
  <c r="J345" i="15" s="1"/>
  <c r="B346" i="15"/>
  <c r="G346" i="15"/>
  <c r="I346" i="15" s="1"/>
  <c r="H346" i="15"/>
  <c r="J346" i="15" s="1"/>
  <c r="D257" i="8" l="1"/>
  <c r="C258" i="8"/>
  <c r="D17" i="8"/>
  <c r="C18" i="8"/>
  <c r="B8" i="2"/>
  <c r="B9" i="2"/>
  <c r="B10" i="2"/>
  <c r="C259" i="8" l="1"/>
  <c r="D258" i="8"/>
  <c r="D18" i="8"/>
  <c r="C19" i="8"/>
  <c r="V5" i="5"/>
  <c r="V6" i="5"/>
  <c r="V7" i="5"/>
  <c r="AK6" i="2" s="1"/>
  <c r="V8" i="5"/>
  <c r="V9" i="5"/>
  <c r="V10" i="5"/>
  <c r="T5" i="5"/>
  <c r="T6" i="5"/>
  <c r="T7" i="5"/>
  <c r="T8" i="5"/>
  <c r="T9" i="5"/>
  <c r="T10" i="5"/>
  <c r="S6" i="5"/>
  <c r="S7" i="5"/>
  <c r="S8" i="5"/>
  <c r="S9" i="5"/>
  <c r="S10" i="5"/>
  <c r="AK7" i="2" l="1"/>
  <c r="AN7" i="2" s="1"/>
  <c r="D259" i="8"/>
  <c r="C260" i="8"/>
  <c r="AK4" i="2"/>
  <c r="AK5" i="2"/>
  <c r="C20" i="8"/>
  <c r="D19" i="8"/>
  <c r="BO17" i="4"/>
  <c r="BO18" i="4"/>
  <c r="BO19" i="4"/>
  <c r="D260" i="8" l="1"/>
  <c r="C261" i="8"/>
  <c r="C21" i="8"/>
  <c r="D20" i="8"/>
  <c r="U10" i="5"/>
  <c r="U9" i="5"/>
  <c r="U8" i="5"/>
  <c r="U7" i="5"/>
  <c r="AP6" i="2" s="1"/>
  <c r="U6" i="5"/>
  <c r="U5" i="5"/>
  <c r="AP4" i="2" s="1"/>
  <c r="AP7" i="2" l="1"/>
  <c r="AS7" i="2" s="1"/>
  <c r="AP5" i="2"/>
  <c r="D261" i="8"/>
  <c r="C262" i="8"/>
  <c r="C22" i="8"/>
  <c r="D21" i="8"/>
  <c r="AR7" i="2" l="1"/>
  <c r="D262" i="8"/>
  <c r="C263" i="8"/>
  <c r="C23" i="8"/>
  <c r="D22" i="8"/>
  <c r="O4" i="5" a="1"/>
  <c r="O4" i="5" s="1"/>
  <c r="D263" i="8" l="1"/>
  <c r="C264" i="8"/>
  <c r="C24" i="8"/>
  <c r="D23" i="8"/>
  <c r="D264" i="8" l="1"/>
  <c r="C265" i="8"/>
  <c r="C25" i="8"/>
  <c r="D24" i="8"/>
  <c r="C266" i="8" l="1"/>
  <c r="D265" i="8"/>
  <c r="C26" i="8"/>
  <c r="C27" i="8" s="1"/>
  <c r="C28" i="8" s="1"/>
  <c r="D25" i="8"/>
  <c r="S5" i="8"/>
  <c r="T5" i="8" s="1"/>
  <c r="S10" i="8"/>
  <c r="S9" i="8"/>
  <c r="T9" i="8" s="1"/>
  <c r="S8" i="8"/>
  <c r="T8" i="8" s="1"/>
  <c r="S7" i="8"/>
  <c r="C267" i="8" l="1"/>
  <c r="D266" i="8"/>
  <c r="U7" i="8"/>
  <c r="T7" i="8"/>
  <c r="U10" i="8"/>
  <c r="T10" i="8"/>
  <c r="D26" i="8"/>
  <c r="U5" i="8"/>
  <c r="V5" i="8" s="1"/>
  <c r="U9" i="8"/>
  <c r="V9" i="8" s="1"/>
  <c r="U8" i="8"/>
  <c r="V8" i="8" s="1"/>
  <c r="C268" i="8" l="1"/>
  <c r="D267" i="8"/>
  <c r="AG5" i="8"/>
  <c r="AG8" i="8"/>
  <c r="AG9" i="8"/>
  <c r="V10" i="8"/>
  <c r="V7" i="8"/>
  <c r="Z9" i="8"/>
  <c r="AC9" i="8" s="1"/>
  <c r="AF9" i="8" s="1"/>
  <c r="X5" i="8"/>
  <c r="AA5" i="8" s="1"/>
  <c r="AD5" i="8" s="1"/>
  <c r="X8" i="8"/>
  <c r="AA8" i="8" s="1"/>
  <c r="AD8" i="8" s="1"/>
  <c r="X9" i="8"/>
  <c r="AA9" i="8" s="1"/>
  <c r="AD9" i="8" s="1"/>
  <c r="Y9" i="8"/>
  <c r="AB9" i="8" s="1"/>
  <c r="AE9" i="8" s="1"/>
  <c r="Z8" i="8"/>
  <c r="AC8" i="8" s="1"/>
  <c r="AF8" i="8" s="1"/>
  <c r="Y8" i="8"/>
  <c r="AB8" i="8" s="1"/>
  <c r="AE8" i="8" s="1"/>
  <c r="Z5" i="8"/>
  <c r="AC5" i="8" s="1"/>
  <c r="AF5" i="8" s="1"/>
  <c r="Y5" i="8"/>
  <c r="AB5" i="8" s="1"/>
  <c r="AE5" i="8" s="1"/>
  <c r="C269" i="8" l="1"/>
  <c r="D268" i="8"/>
  <c r="AG7" i="8"/>
  <c r="X10" i="8"/>
  <c r="AA10" i="8" s="1"/>
  <c r="AD10" i="8" s="1"/>
  <c r="AG10" i="8"/>
  <c r="X7" i="8"/>
  <c r="AA7" i="8" s="1"/>
  <c r="AD7" i="8" s="1"/>
  <c r="Y7" i="8"/>
  <c r="AB7" i="8" s="1"/>
  <c r="AE7" i="8" s="1"/>
  <c r="Z7" i="8"/>
  <c r="AC7" i="8" s="1"/>
  <c r="AF7" i="8" s="1"/>
  <c r="Y10" i="8"/>
  <c r="AB10" i="8" s="1"/>
  <c r="AE10" i="8" s="1"/>
  <c r="Z10" i="8"/>
  <c r="AC10" i="8" s="1"/>
  <c r="AF10" i="8" s="1"/>
  <c r="D27" i="8"/>
  <c r="O5" i="4"/>
  <c r="O7" i="4"/>
  <c r="O8" i="4"/>
  <c r="O9" i="4"/>
  <c r="O10" i="4"/>
  <c r="O11" i="4"/>
  <c r="O6" i="4"/>
  <c r="BD5" i="2"/>
  <c r="BD6" i="2"/>
  <c r="BD8" i="2"/>
  <c r="BD9" i="2"/>
  <c r="BD10" i="2"/>
  <c r="Z2" i="8"/>
  <c r="Y2" i="8"/>
  <c r="D269" i="8" l="1"/>
  <c r="C270" i="8"/>
  <c r="C29" i="8"/>
  <c r="D28" i="8"/>
  <c r="AW5" i="2"/>
  <c r="AW6" i="2"/>
  <c r="AW8" i="2"/>
  <c r="AW9" i="2"/>
  <c r="AW10" i="2"/>
  <c r="D270" i="8" l="1"/>
  <c r="C271" i="8"/>
  <c r="C30" i="8"/>
  <c r="D29" i="8"/>
  <c r="AZ5" i="2"/>
  <c r="BB5" i="2"/>
  <c r="AY6" i="2"/>
  <c r="AZ6" i="2"/>
  <c r="BA6" i="2"/>
  <c r="BB6" i="2"/>
  <c r="AY8" i="2"/>
  <c r="AZ8" i="2"/>
  <c r="BA8" i="2"/>
  <c r="BB8" i="2"/>
  <c r="AY9" i="2"/>
  <c r="AZ9" i="2"/>
  <c r="BB9" i="2"/>
  <c r="AY10" i="2"/>
  <c r="AZ10" i="2"/>
  <c r="BB10" i="2"/>
  <c r="BB4" i="2"/>
  <c r="BA4" i="2"/>
  <c r="AZ4" i="2"/>
  <c r="AY4" i="2"/>
  <c r="G7" i="11"/>
  <c r="BY6" i="4"/>
  <c r="BY7" i="4"/>
  <c r="BY8" i="4"/>
  <c r="BY5" i="4"/>
  <c r="C272" i="8" l="1"/>
  <c r="D271" i="8"/>
  <c r="C31" i="8"/>
  <c r="D30" i="8"/>
  <c r="BA9" i="2"/>
  <c r="BA10" i="2"/>
  <c r="BA5" i="2"/>
  <c r="B4" i="5"/>
  <c r="B5" i="5"/>
  <c r="B6" i="5"/>
  <c r="B7" i="5"/>
  <c r="B8" i="5"/>
  <c r="B9" i="5"/>
  <c r="B10" i="5"/>
  <c r="D272" i="8" l="1"/>
  <c r="C273" i="8"/>
  <c r="C32" i="8"/>
  <c r="D31" i="8"/>
  <c r="F4" i="2"/>
  <c r="AC4" i="2" s="1"/>
  <c r="D273" i="8" l="1"/>
  <c r="C274" i="8"/>
  <c r="C33" i="8"/>
  <c r="D32" i="8"/>
  <c r="AJ4" i="2"/>
  <c r="H4" i="2"/>
  <c r="AV4" i="2" s="1"/>
  <c r="F9" i="2"/>
  <c r="F8" i="2"/>
  <c r="F5" i="2"/>
  <c r="AC5" i="2" s="1"/>
  <c r="AJ5" i="2" s="1"/>
  <c r="F6" i="2"/>
  <c r="F10" i="2"/>
  <c r="C275" i="8" l="1"/>
  <c r="D274" i="8"/>
  <c r="AC10" i="2"/>
  <c r="AJ10" i="2" s="1"/>
  <c r="H10" i="2"/>
  <c r="AV10" i="2" s="1"/>
  <c r="AC8" i="2"/>
  <c r="AJ8" i="2" s="1"/>
  <c r="H8" i="2"/>
  <c r="AV8" i="2" s="1"/>
  <c r="AC9" i="2"/>
  <c r="AJ9" i="2" s="1"/>
  <c r="H9" i="2"/>
  <c r="AV9" i="2" s="1"/>
  <c r="AR4" i="2"/>
  <c r="AN4" i="2"/>
  <c r="AU4" i="2"/>
  <c r="AS4" i="2"/>
  <c r="C34" i="8"/>
  <c r="D33" i="8"/>
  <c r="AI4" i="2"/>
  <c r="AN6" i="2"/>
  <c r="AC6" i="2"/>
  <c r="AJ6" i="2" s="1"/>
  <c r="AN5" i="2"/>
  <c r="AN8" i="2"/>
  <c r="AN9" i="2"/>
  <c r="AN10" i="2"/>
  <c r="H5" i="2"/>
  <c r="AV5" i="2" s="1"/>
  <c r="H6" i="2"/>
  <c r="AV6" i="2" s="1"/>
  <c r="C276" i="8" l="1"/>
  <c r="D275" i="8"/>
  <c r="C35" i="8"/>
  <c r="D34" i="8"/>
  <c r="AR5" i="2"/>
  <c r="AS5" i="2"/>
  <c r="AS8" i="2"/>
  <c r="AR8" i="2"/>
  <c r="AR6" i="2"/>
  <c r="AS6" i="2"/>
  <c r="AR10" i="2"/>
  <c r="AS10" i="2"/>
  <c r="AS9" i="2"/>
  <c r="AR9" i="2"/>
  <c r="AI10" i="2"/>
  <c r="AI6" i="2"/>
  <c r="AI9" i="2"/>
  <c r="AI5" i="2"/>
  <c r="AI8" i="2"/>
  <c r="AU9" i="2"/>
  <c r="AU6" i="2"/>
  <c r="AU10" i="2"/>
  <c r="AU8" i="2"/>
  <c r="AU5" i="2"/>
  <c r="C277" i="8" l="1"/>
  <c r="D276" i="8"/>
  <c r="C36" i="8"/>
  <c r="D35" i="8"/>
  <c r="AP202" i="2"/>
  <c r="F202" i="2"/>
  <c r="H202" i="2" s="1"/>
  <c r="D277" i="8" l="1"/>
  <c r="C278" i="8"/>
  <c r="C37" i="8"/>
  <c r="D36" i="8"/>
  <c r="AV202" i="2"/>
  <c r="AC202" i="2"/>
  <c r="AJ202" i="2" s="1"/>
  <c r="AN202" i="2"/>
  <c r="D278" i="8" l="1"/>
  <c r="C279" i="8"/>
  <c r="AS202" i="2"/>
  <c r="C38" i="8"/>
  <c r="D37" i="8"/>
  <c r="AR202" i="2"/>
  <c r="AU202" i="2"/>
  <c r="AI202" i="2"/>
  <c r="D279" i="8" l="1"/>
  <c r="C280" i="8"/>
  <c r="C39" i="8"/>
  <c r="D38" i="8"/>
  <c r="U4" i="8"/>
  <c r="V4" i="8" s="1"/>
  <c r="AD389" i="2" l="1" a="1"/>
  <c r="AD389" i="2" s="1"/>
  <c r="AD489" i="2" a="1"/>
  <c r="AD489" i="2" s="1"/>
  <c r="AD373" i="2" a="1"/>
  <c r="AD373" i="2" s="1"/>
  <c r="AE373" i="2" s="1" a="1"/>
  <c r="AE373" i="2" s="1"/>
  <c r="AF373" i="2" s="1" a="1"/>
  <c r="AF373" i="2" s="1"/>
  <c r="AG373" i="2" s="1"/>
  <c r="AD320" i="2" a="1"/>
  <c r="AD320" i="2" s="1"/>
  <c r="AE320" i="2" s="1" a="1"/>
  <c r="AE320" i="2" s="1"/>
  <c r="AF320" i="2" s="1" a="1"/>
  <c r="AF320" i="2" s="1"/>
  <c r="AG320" i="2" s="1"/>
  <c r="AD317" i="2" a="1"/>
  <c r="AD317" i="2" s="1"/>
  <c r="AD357" i="2" a="1"/>
  <c r="AD357" i="2" s="1"/>
  <c r="AE357" i="2" s="1" a="1"/>
  <c r="AE357" i="2" s="1"/>
  <c r="AF357" i="2" s="1" a="1"/>
  <c r="AF357" i="2" s="1"/>
  <c r="AG357" i="2" s="1"/>
  <c r="AD459" i="2" a="1"/>
  <c r="AD459" i="2" s="1"/>
  <c r="AE459" i="2" s="1" a="1"/>
  <c r="AE459" i="2" s="1"/>
  <c r="AF459" i="2" s="1" a="1"/>
  <c r="AF459" i="2" s="1"/>
  <c r="AG459" i="2" s="1"/>
  <c r="AD343" i="2" a="1"/>
  <c r="AD343" i="2" s="1"/>
  <c r="AE343" i="2" s="1" a="1"/>
  <c r="AE343" i="2" s="1"/>
  <c r="AF343" i="2" s="1" a="1"/>
  <c r="AF343" i="2" s="1"/>
  <c r="AG343" i="2" s="1"/>
  <c r="AD353" i="2" a="1"/>
  <c r="AD353" i="2" s="1"/>
  <c r="AE353" i="2" s="1" a="1"/>
  <c r="AE353" i="2" s="1"/>
  <c r="AF353" i="2" s="1" a="1"/>
  <c r="AF353" i="2" s="1"/>
  <c r="AG353" i="2" s="1"/>
  <c r="AD482" i="2" a="1"/>
  <c r="AD482" i="2" s="1"/>
  <c r="AE482" i="2" s="1" a="1"/>
  <c r="AE482" i="2" s="1"/>
  <c r="AF482" i="2" s="1" a="1"/>
  <c r="AF482" i="2" s="1"/>
  <c r="AG482" i="2" s="1"/>
  <c r="AD336" i="2" a="1"/>
  <c r="AD336" i="2" s="1"/>
  <c r="AE336" i="2" s="1" a="1"/>
  <c r="AE336" i="2" s="1"/>
  <c r="AF336" i="2" s="1" a="1"/>
  <c r="AF336" i="2" s="1"/>
  <c r="AG336" i="2" s="1"/>
  <c r="AD380" i="2" a="1"/>
  <c r="AD380" i="2" s="1"/>
  <c r="AE380" i="2" s="1" a="1"/>
  <c r="AE380" i="2" s="1"/>
  <c r="AD327" i="2" a="1"/>
  <c r="AD327" i="2" s="1"/>
  <c r="AE327" i="2" s="1" a="1"/>
  <c r="AE327" i="2" s="1"/>
  <c r="AF327" i="2" s="1" a="1"/>
  <c r="AF327" i="2" s="1"/>
  <c r="AG327" i="2" s="1"/>
  <c r="AD384" i="2" a="1"/>
  <c r="AD384" i="2" s="1"/>
  <c r="AE384" i="2" s="1" a="1"/>
  <c r="AE384" i="2" s="1"/>
  <c r="AF384" i="2" s="1" a="1"/>
  <c r="AF384" i="2" s="1"/>
  <c r="AG384" i="2" s="1"/>
  <c r="AD515" i="2" a="1"/>
  <c r="AD515" i="2" s="1"/>
  <c r="AE515" i="2" s="1" a="1"/>
  <c r="AE515" i="2" s="1"/>
  <c r="AF515" i="2" s="1" a="1"/>
  <c r="AF515" i="2" s="1"/>
  <c r="AG515" i="2" s="1"/>
  <c r="AD364" i="2" a="1"/>
  <c r="AD364" i="2" s="1"/>
  <c r="AE364" i="2" s="1" a="1"/>
  <c r="AE364" i="2" s="1"/>
  <c r="AF364" i="2" s="1" a="1"/>
  <c r="AF364" i="2" s="1"/>
  <c r="AG364" i="2" s="1"/>
  <c r="AD311" i="2" a="1"/>
  <c r="AD311" i="2" s="1"/>
  <c r="AE311" i="2" s="1" a="1"/>
  <c r="AE311" i="2" s="1"/>
  <c r="AF311" i="2" s="1" a="1"/>
  <c r="AF311" i="2" s="1"/>
  <c r="AG311" i="2" s="1"/>
  <c r="AD491" i="2" a="1"/>
  <c r="AD491" i="2" s="1"/>
  <c r="AE491" i="2" s="1" a="1"/>
  <c r="AE491" i="2" s="1"/>
  <c r="AF491" i="2" s="1" a="1"/>
  <c r="AF491" i="2" s="1"/>
  <c r="AG491" i="2" s="1"/>
  <c r="AD304" i="2" a="1"/>
  <c r="AD304" i="2" s="1"/>
  <c r="AE304" i="2" s="1" a="1"/>
  <c r="AE304" i="2" s="1"/>
  <c r="AF304" i="2" s="1" a="1"/>
  <c r="AF304" i="2" s="1"/>
  <c r="AG304" i="2" s="1"/>
  <c r="AD318" i="2" a="1"/>
  <c r="AD318" i="2" s="1"/>
  <c r="AE318" i="2" s="1" a="1"/>
  <c r="AE318" i="2" s="1"/>
  <c r="AF318" i="2" s="1" a="1"/>
  <c r="AF318" i="2" s="1"/>
  <c r="AG318" i="2" s="1"/>
  <c r="AD382" i="2" a="1"/>
  <c r="AD382" i="2" s="1"/>
  <c r="AE382" i="2" s="1" a="1"/>
  <c r="AE382" i="2" s="1"/>
  <c r="AF382" i="2" s="1" a="1"/>
  <c r="AF382" i="2" s="1"/>
  <c r="AG382" i="2" s="1"/>
  <c r="AD363" i="2" a="1"/>
  <c r="AD363" i="2" s="1"/>
  <c r="AE363" i="2" s="1" a="1"/>
  <c r="AE363" i="2" s="1"/>
  <c r="AF363" i="2" s="1" a="1"/>
  <c r="AF363" i="2" s="1"/>
  <c r="AG363" i="2" s="1"/>
  <c r="AD485" i="2" a="1"/>
  <c r="AD485" i="2" s="1"/>
  <c r="AD467" i="2" a="1"/>
  <c r="AD467" i="2" s="1"/>
  <c r="AE467" i="2" s="1" a="1"/>
  <c r="AE467" i="2" s="1"/>
  <c r="AF467" i="2" s="1" a="1"/>
  <c r="AF467" i="2" s="1"/>
  <c r="AG467" i="2" s="1"/>
  <c r="AD438" i="2" a="1"/>
  <c r="AD438" i="2" s="1"/>
  <c r="AE438" i="2" s="1" a="1"/>
  <c r="AE438" i="2" s="1"/>
  <c r="AF438" i="2" s="1" a="1"/>
  <c r="AF438" i="2" s="1"/>
  <c r="AG438" i="2" s="1"/>
  <c r="AD344" i="2" a="1"/>
  <c r="AD344" i="2" s="1"/>
  <c r="AE344" i="2" s="1" a="1"/>
  <c r="AE344" i="2" s="1"/>
  <c r="AF344" i="2" s="1" a="1"/>
  <c r="AF344" i="2" s="1"/>
  <c r="AG344" i="2" s="1"/>
  <c r="AD479" i="2" a="1"/>
  <c r="AD479" i="2" s="1"/>
  <c r="AE479" i="2" s="1" a="1"/>
  <c r="AE479" i="2" s="1"/>
  <c r="AF479" i="2" s="1" a="1"/>
  <c r="AF479" i="2" s="1"/>
  <c r="AG479" i="2" s="1"/>
  <c r="AD439" i="2" a="1"/>
  <c r="AD439" i="2" s="1"/>
  <c r="AE439" i="2" s="1" a="1"/>
  <c r="AE439" i="2" s="1"/>
  <c r="AF439" i="2" s="1" a="1"/>
  <c r="AF439" i="2" s="1"/>
  <c r="AG439" i="2" s="1"/>
  <c r="AD303" i="2" a="1"/>
  <c r="AD303" i="2" s="1"/>
  <c r="AE303" i="2" s="1" a="1"/>
  <c r="AE303" i="2" s="1"/>
  <c r="AF303" i="2" s="1" a="1"/>
  <c r="AF303" i="2" s="1"/>
  <c r="AG303" i="2" s="1"/>
  <c r="AD379" i="2" a="1"/>
  <c r="AD379" i="2" s="1"/>
  <c r="AE379" i="2" s="1" a="1"/>
  <c r="AE379" i="2" s="1"/>
  <c r="AF379" i="2" s="1" a="1"/>
  <c r="AF379" i="2" s="1"/>
  <c r="AG379" i="2" s="1"/>
  <c r="AD378" i="2" a="1"/>
  <c r="AD378" i="2" s="1"/>
  <c r="AE378" i="2" s="1" a="1"/>
  <c r="AE378" i="2" s="1"/>
  <c r="AF378" i="2" s="1" a="1"/>
  <c r="AF378" i="2" s="1"/>
  <c r="AG378" i="2" s="1"/>
  <c r="AD511" i="2" a="1"/>
  <c r="AD511" i="2" s="1"/>
  <c r="AD471" i="2" a="1"/>
  <c r="AD471" i="2" s="1"/>
  <c r="AE471" i="2" s="1" a="1"/>
  <c r="AE471" i="2" s="1"/>
  <c r="AF471" i="2" s="1" a="1"/>
  <c r="AF471" i="2" s="1"/>
  <c r="AG471" i="2" s="1"/>
  <c r="AD316" i="2" a="1"/>
  <c r="AD316" i="2" s="1"/>
  <c r="AE316" i="2" s="1" a="1"/>
  <c r="AE316" i="2" s="1"/>
  <c r="AF316" i="2" s="1" a="1"/>
  <c r="AF316" i="2" s="1"/>
  <c r="AG316" i="2" s="1"/>
  <c r="AD325" i="2" a="1"/>
  <c r="AD325" i="2" s="1"/>
  <c r="AE325" i="2" s="1" a="1"/>
  <c r="AE325" i="2" s="1"/>
  <c r="AF325" i="2" s="1" a="1"/>
  <c r="AF325" i="2" s="1"/>
  <c r="AG325" i="2" s="1"/>
  <c r="AD516" i="2" a="1"/>
  <c r="AD516" i="2" s="1"/>
  <c r="AE516" i="2" s="1" a="1"/>
  <c r="AE516" i="2" s="1"/>
  <c r="AF516" i="2" s="1" a="1"/>
  <c r="AF516" i="2" s="1"/>
  <c r="AG516" i="2" s="1"/>
  <c r="AD398" i="2" a="1"/>
  <c r="AD398" i="2" s="1"/>
  <c r="AE398" i="2" s="1" a="1"/>
  <c r="AE398" i="2" s="1"/>
  <c r="AF398" i="2" s="1" a="1"/>
  <c r="AF398" i="2" s="1"/>
  <c r="AG398" i="2" s="1"/>
  <c r="AD338" i="2" a="1"/>
  <c r="AD338" i="2" s="1"/>
  <c r="AD315" i="2" a="1"/>
  <c r="AD315" i="2" s="1"/>
  <c r="AE315" i="2" s="1" a="1"/>
  <c r="AE315" i="2" s="1"/>
  <c r="AF315" i="2" s="1" a="1"/>
  <c r="AF315" i="2" s="1"/>
  <c r="AG315" i="2" s="1"/>
  <c r="AD480" i="2" a="1"/>
  <c r="AD480" i="2" s="1"/>
  <c r="AE480" i="2" s="1" a="1"/>
  <c r="AE480" i="2" s="1"/>
  <c r="AF480" i="2" s="1" a="1"/>
  <c r="AF480" i="2" s="1"/>
  <c r="AG480" i="2" s="1"/>
  <c r="AD426" i="2" a="1"/>
  <c r="AD426" i="2" s="1"/>
  <c r="AE426" i="2" s="1" a="1"/>
  <c r="AE426" i="2" s="1"/>
  <c r="AF426" i="2" s="1" a="1"/>
  <c r="AF426" i="2" s="1"/>
  <c r="AG426" i="2" s="1"/>
  <c r="AD497" i="2" a="1"/>
  <c r="AD497" i="2" s="1"/>
  <c r="AE497" i="2" s="1" a="1"/>
  <c r="AE497" i="2" s="1"/>
  <c r="AF497" i="2" s="1" a="1"/>
  <c r="AF497" i="2" s="1"/>
  <c r="AG497" i="2" s="1"/>
  <c r="AD360" i="2" a="1"/>
  <c r="AD360" i="2" s="1"/>
  <c r="AE360" i="2" s="1" a="1"/>
  <c r="AE360" i="2" s="1"/>
  <c r="AF360" i="2" s="1" a="1"/>
  <c r="AF360" i="2" s="1"/>
  <c r="AG360" i="2" s="1"/>
  <c r="AD308" i="2" a="1"/>
  <c r="AD308" i="2" s="1"/>
  <c r="AE308" i="2" s="1" a="1"/>
  <c r="AE308" i="2" s="1"/>
  <c r="AF308" i="2" s="1" a="1"/>
  <c r="AF308" i="2" s="1"/>
  <c r="AG308" i="2" s="1"/>
  <c r="AD461" i="2" a="1"/>
  <c r="AD461" i="2" s="1"/>
  <c r="AD414" i="2" a="1"/>
  <c r="AD414" i="2" s="1"/>
  <c r="AD314" i="2" a="1"/>
  <c r="AD314" i="2" s="1"/>
  <c r="AE314" i="2" s="1" a="1"/>
  <c r="AE314" i="2" s="1"/>
  <c r="AF314" i="2" s="1" a="1"/>
  <c r="AF314" i="2" s="1"/>
  <c r="AG314" i="2" s="1"/>
  <c r="AD396" i="2" a="1"/>
  <c r="AD396" i="2" s="1"/>
  <c r="AE396" i="2" s="1" a="1"/>
  <c r="AE396" i="2" s="1"/>
  <c r="AF396" i="2" s="1" a="1"/>
  <c r="AF396" i="2" s="1"/>
  <c r="AG396" i="2" s="1"/>
  <c r="AD339" i="2" a="1"/>
  <c r="AD339" i="2" s="1"/>
  <c r="AE339" i="2" s="1" a="1"/>
  <c r="AE339" i="2" s="1"/>
  <c r="AF339" i="2" s="1" a="1"/>
  <c r="AF339" i="2" s="1"/>
  <c r="AG339" i="2" s="1"/>
  <c r="AD381" i="2" a="1"/>
  <c r="AD381" i="2" s="1"/>
  <c r="AE381" i="2" s="1" a="1"/>
  <c r="AE381" i="2" s="1"/>
  <c r="AF381" i="2" s="1" a="1"/>
  <c r="AF381" i="2" s="1"/>
  <c r="AG381" i="2" s="1"/>
  <c r="AD328" i="2" a="1"/>
  <c r="AD328" i="2" s="1"/>
  <c r="AE328" i="2" s="1" a="1"/>
  <c r="AE328" i="2" s="1"/>
  <c r="AF328" i="2" s="1" a="1"/>
  <c r="AF328" i="2" s="1"/>
  <c r="AG328" i="2" s="1"/>
  <c r="AD307" i="2" a="1"/>
  <c r="AD307" i="2" s="1"/>
  <c r="AE307" i="2" s="1" a="1"/>
  <c r="AE307" i="2" s="1"/>
  <c r="AF307" i="2" s="1" a="1"/>
  <c r="AF307" i="2" s="1"/>
  <c r="AG307" i="2" s="1"/>
  <c r="AD484" i="2" a="1"/>
  <c r="AD484" i="2" s="1"/>
  <c r="AE484" i="2" s="1" a="1"/>
  <c r="AE484" i="2" s="1"/>
  <c r="AF484" i="2" s="1" a="1"/>
  <c r="AF484" i="2" s="1"/>
  <c r="AG484" i="2" s="1"/>
  <c r="AD352" i="2" a="1"/>
  <c r="AD352" i="2" s="1"/>
  <c r="AE352" i="2" s="1" a="1"/>
  <c r="AE352" i="2" s="1"/>
  <c r="AF352" i="2" s="1" a="1"/>
  <c r="AF352" i="2" s="1"/>
  <c r="AG352" i="2" s="1"/>
  <c r="AD337" i="2" a="1"/>
  <c r="AD337" i="2" s="1"/>
  <c r="AE337" i="2" s="1" a="1"/>
  <c r="AE337" i="2" s="1"/>
  <c r="AF337" i="2" s="1" a="1"/>
  <c r="AF337" i="2" s="1"/>
  <c r="AG337" i="2" s="1"/>
  <c r="AD372" i="2" a="1"/>
  <c r="AD372" i="2" s="1"/>
  <c r="AE372" i="2" s="1" a="1"/>
  <c r="AE372" i="2" s="1"/>
  <c r="AF372" i="2" s="1" a="1"/>
  <c r="AF372" i="2" s="1"/>
  <c r="AG372" i="2" s="1"/>
  <c r="AD312" i="2" a="1"/>
  <c r="AD312" i="2" s="1"/>
  <c r="AE312" i="2" s="1" a="1"/>
  <c r="AE312" i="2" s="1"/>
  <c r="AF312" i="2" s="1" a="1"/>
  <c r="AF312" i="2" s="1"/>
  <c r="AG312" i="2" s="1"/>
  <c r="AD341" i="2" a="1"/>
  <c r="AD341" i="2" s="1"/>
  <c r="AE341" i="2" s="1" a="1"/>
  <c r="AE341" i="2" s="1"/>
  <c r="AF341" i="2" s="1" a="1"/>
  <c r="AF341" i="2" s="1"/>
  <c r="AG341" i="2" s="1"/>
  <c r="AD441" i="2" a="1"/>
  <c r="AD441" i="2" s="1"/>
  <c r="AE441" i="2" s="1" a="1"/>
  <c r="AE441" i="2" s="1"/>
  <c r="AF441" i="2" s="1" a="1"/>
  <c r="AF441" i="2" s="1"/>
  <c r="AG441" i="2" s="1"/>
  <c r="AD483" i="2" a="1"/>
  <c r="AD483" i="2" s="1"/>
  <c r="AE483" i="2" s="1" a="1"/>
  <c r="AE483" i="2" s="1"/>
  <c r="AF483" i="2" s="1" a="1"/>
  <c r="AF483" i="2" s="1"/>
  <c r="AG483" i="2" s="1"/>
  <c r="AD431" i="2" a="1"/>
  <c r="AD431" i="2" s="1"/>
  <c r="AE431" i="2" s="1" a="1"/>
  <c r="AE431" i="2" s="1"/>
  <c r="AF431" i="2" s="1" a="1"/>
  <c r="AF431" i="2" s="1"/>
  <c r="AG431" i="2" s="1"/>
  <c r="AD383" i="2" a="1"/>
  <c r="AD383" i="2" s="1"/>
  <c r="AE383" i="2" s="1" a="1"/>
  <c r="AE383" i="2" s="1"/>
  <c r="AF383" i="2" s="1" a="1"/>
  <c r="AF383" i="2" s="1"/>
  <c r="AG383" i="2" s="1"/>
  <c r="AD374" i="2" a="1"/>
  <c r="AD374" i="2" s="1"/>
  <c r="AE374" i="2" s="1" a="1"/>
  <c r="AE374" i="2" s="1"/>
  <c r="AF374" i="2" s="1" a="1"/>
  <c r="AF374" i="2" s="1"/>
  <c r="AG374" i="2" s="1"/>
  <c r="AD430" i="2" a="1"/>
  <c r="AD430" i="2" s="1"/>
  <c r="AE430" i="2" s="1" a="1"/>
  <c r="AE430" i="2" s="1"/>
  <c r="AF430" i="2" s="1" a="1"/>
  <c r="AF430" i="2" s="1"/>
  <c r="AG430" i="2" s="1"/>
  <c r="AD505" i="2" a="1"/>
  <c r="AD505" i="2" s="1"/>
  <c r="AE505" i="2" s="1" a="1"/>
  <c r="AE505" i="2" s="1"/>
  <c r="AF505" i="2" s="1" a="1"/>
  <c r="AF505" i="2" s="1"/>
  <c r="AG505" i="2" s="1"/>
  <c r="AD301" i="2" a="1"/>
  <c r="AD301" i="2" s="1"/>
  <c r="AE301" i="2" s="1" a="1"/>
  <c r="AE301" i="2" s="1"/>
  <c r="AF301" i="2" s="1" a="1"/>
  <c r="AF301" i="2" s="1"/>
  <c r="AG301" i="2" s="1"/>
  <c r="AD463" i="2" a="1"/>
  <c r="AD463" i="2" s="1"/>
  <c r="AD310" i="2" a="1"/>
  <c r="AD310" i="2" s="1"/>
  <c r="AD411" i="2" a="1"/>
  <c r="AD411" i="2" s="1"/>
  <c r="AE411" i="2" s="1" a="1"/>
  <c r="AE411" i="2" s="1"/>
  <c r="AF411" i="2" s="1" a="1"/>
  <c r="AF411" i="2" s="1"/>
  <c r="AG411" i="2" s="1"/>
  <c r="AD456" i="2" a="1"/>
  <c r="AD456" i="2" s="1"/>
  <c r="AE456" i="2" s="1" a="1"/>
  <c r="AE456" i="2" s="1"/>
  <c r="AF456" i="2" s="1" a="1"/>
  <c r="AF456" i="2" s="1"/>
  <c r="AG456" i="2" s="1"/>
  <c r="AD321" i="2" a="1"/>
  <c r="AD321" i="2" s="1"/>
  <c r="AE321" i="2" s="1" a="1"/>
  <c r="AE321" i="2" s="1"/>
  <c r="AF321" i="2" s="1" a="1"/>
  <c r="AF321" i="2" s="1"/>
  <c r="AG321" i="2" s="1"/>
  <c r="AD331" i="2" a="1"/>
  <c r="AD331" i="2" s="1"/>
  <c r="AE331" i="2" s="1" a="1"/>
  <c r="AE331" i="2" s="1"/>
  <c r="AF331" i="2" s="1" a="1"/>
  <c r="AF331" i="2" s="1"/>
  <c r="AG331" i="2" s="1"/>
  <c r="AD514" i="2" a="1"/>
  <c r="AD514" i="2" s="1"/>
  <c r="AE514" i="2" s="1" a="1"/>
  <c r="AE514" i="2" s="1"/>
  <c r="AF514" i="2" s="1" a="1"/>
  <c r="AF514" i="2" s="1"/>
  <c r="AG514" i="2" s="1"/>
  <c r="AD473" i="2" a="1"/>
  <c r="AD473" i="2" s="1"/>
  <c r="AE473" i="2" s="1" a="1"/>
  <c r="AE473" i="2" s="1"/>
  <c r="AF473" i="2" s="1" a="1"/>
  <c r="AF473" i="2" s="1"/>
  <c r="AG473" i="2" s="1"/>
  <c r="AD302" i="2" a="1"/>
  <c r="AD302" i="2" s="1"/>
  <c r="AE302" i="2" s="1" a="1"/>
  <c r="AE302" i="2" s="1"/>
  <c r="AF302" i="2" s="1" a="1"/>
  <c r="AF302" i="2" s="1"/>
  <c r="AG302" i="2" s="1"/>
  <c r="AD432" i="2" a="1"/>
  <c r="AD432" i="2" s="1"/>
  <c r="AE432" i="2" s="1" a="1"/>
  <c r="AE432" i="2" s="1"/>
  <c r="AF432" i="2" s="1" a="1"/>
  <c r="AF432" i="2" s="1"/>
  <c r="AG432" i="2" s="1"/>
  <c r="AD487" i="2" a="1"/>
  <c r="AD487" i="2" s="1"/>
  <c r="AE487" i="2" s="1" a="1"/>
  <c r="AE487" i="2" s="1"/>
  <c r="AF487" i="2" s="1" a="1"/>
  <c r="AF487" i="2" s="1"/>
  <c r="AG487" i="2" s="1"/>
  <c r="AD512" i="2" a="1"/>
  <c r="AD512" i="2" s="1"/>
  <c r="AE512" i="2" s="1" a="1"/>
  <c r="AE512" i="2" s="1"/>
  <c r="AF512" i="2" s="1" a="1"/>
  <c r="AF512" i="2" s="1"/>
  <c r="AG512" i="2" s="1"/>
  <c r="AD488" i="2" a="1"/>
  <c r="AD488" i="2" s="1"/>
  <c r="AE488" i="2" s="1" a="1"/>
  <c r="AE488" i="2" s="1"/>
  <c r="AF488" i="2" s="1" a="1"/>
  <c r="AF488" i="2" s="1"/>
  <c r="AG488" i="2" s="1"/>
  <c r="AD460" i="2" a="1"/>
  <c r="AD460" i="2" s="1"/>
  <c r="AE460" i="2" s="1" a="1"/>
  <c r="AE460" i="2" s="1"/>
  <c r="AF460" i="2" s="1" a="1"/>
  <c r="AF460" i="2" s="1"/>
  <c r="AG460" i="2" s="1"/>
  <c r="AD371" i="2" a="1"/>
  <c r="AD371" i="2" s="1"/>
  <c r="AE371" i="2" s="1" a="1"/>
  <c r="AE371" i="2" s="1"/>
  <c r="AF371" i="2" s="1" a="1"/>
  <c r="AF371" i="2" s="1"/>
  <c r="AG371" i="2" s="1"/>
  <c r="AD391" i="2" a="1"/>
  <c r="AD391" i="2" s="1"/>
  <c r="AE391" i="2" s="1" a="1"/>
  <c r="AE391" i="2" s="1"/>
  <c r="AF391" i="2" s="1" a="1"/>
  <c r="AF391" i="2" s="1"/>
  <c r="AG391" i="2" s="1"/>
  <c r="AD502" i="2" a="1"/>
  <c r="AD502" i="2" s="1"/>
  <c r="AE502" i="2" s="1" a="1"/>
  <c r="AE502" i="2" s="1"/>
  <c r="AF502" i="2" s="1" a="1"/>
  <c r="AF502" i="2" s="1"/>
  <c r="AG502" i="2" s="1"/>
  <c r="AD504" i="2" a="1"/>
  <c r="AD504" i="2" s="1"/>
  <c r="AE504" i="2" s="1" a="1"/>
  <c r="AE504" i="2" s="1"/>
  <c r="AF504" i="2" s="1" a="1"/>
  <c r="AF504" i="2" s="1"/>
  <c r="AG504" i="2" s="1"/>
  <c r="AD462" i="2" a="1"/>
  <c r="AD462" i="2" s="1"/>
  <c r="AE462" i="2" s="1" a="1"/>
  <c r="AE462" i="2" s="1"/>
  <c r="AF462" i="2" s="1" a="1"/>
  <c r="AF462" i="2" s="1"/>
  <c r="AG462" i="2" s="1"/>
  <c r="AD448" i="2" a="1"/>
  <c r="AD448" i="2" s="1"/>
  <c r="AE448" i="2" s="1" a="1"/>
  <c r="AE448" i="2" s="1"/>
  <c r="AF448" i="2" s="1" a="1"/>
  <c r="AF448" i="2" s="1"/>
  <c r="AG448" i="2" s="1"/>
  <c r="AD507" i="2" a="1"/>
  <c r="AD507" i="2" s="1"/>
  <c r="AE507" i="2" s="1" a="1"/>
  <c r="AE507" i="2" s="1"/>
  <c r="AF507" i="2" s="1" a="1"/>
  <c r="AF507" i="2" s="1"/>
  <c r="AG507" i="2" s="1"/>
  <c r="AD399" i="2" a="1"/>
  <c r="AD399" i="2" s="1"/>
  <c r="AE399" i="2" s="1" a="1"/>
  <c r="AE399" i="2" s="1"/>
  <c r="AF399" i="2" s="1" a="1"/>
  <c r="AF399" i="2" s="1"/>
  <c r="AG399" i="2" s="1"/>
  <c r="AD334" i="2" a="1"/>
  <c r="AD334" i="2" s="1"/>
  <c r="AD476" i="2" a="1"/>
  <c r="AD476" i="2" s="1"/>
  <c r="AD490" i="2" a="1"/>
  <c r="AD490" i="2" s="1"/>
  <c r="AE490" i="2" s="1" a="1"/>
  <c r="AE490" i="2" s="1"/>
  <c r="AF490" i="2" s="1" a="1"/>
  <c r="AF490" i="2" s="1"/>
  <c r="AG490" i="2" s="1"/>
  <c r="AD397" i="2" a="1"/>
  <c r="AD397" i="2" s="1"/>
  <c r="AE397" i="2" s="1" a="1"/>
  <c r="AE397" i="2" s="1"/>
  <c r="AF397" i="2" s="1" a="1"/>
  <c r="AF397" i="2" s="1"/>
  <c r="AG397" i="2" s="1"/>
  <c r="AD506" i="2" a="1"/>
  <c r="AD506" i="2" s="1"/>
  <c r="AE506" i="2" s="1" a="1"/>
  <c r="AE506" i="2" s="1"/>
  <c r="AF506" i="2" s="1" a="1"/>
  <c r="AF506" i="2" s="1"/>
  <c r="AG506" i="2" s="1"/>
  <c r="AD437" i="2" a="1"/>
  <c r="AD437" i="2" s="1"/>
  <c r="AE437" i="2" s="1" a="1"/>
  <c r="AE437" i="2" s="1"/>
  <c r="AF437" i="2" s="1" a="1"/>
  <c r="AF437" i="2" s="1"/>
  <c r="AG437" i="2" s="1"/>
  <c r="AD356" i="2" a="1"/>
  <c r="AD356" i="2" s="1"/>
  <c r="AE356" i="2" s="1" a="1"/>
  <c r="AE356" i="2" s="1"/>
  <c r="AF356" i="2" s="1" a="1"/>
  <c r="AF356" i="2" s="1"/>
  <c r="AG356" i="2" s="1"/>
  <c r="AD415" i="2" a="1"/>
  <c r="AD415" i="2" s="1"/>
  <c r="AE415" i="2" s="1" a="1"/>
  <c r="AE415" i="2" s="1"/>
  <c r="AF415" i="2" s="1" a="1"/>
  <c r="AF415" i="2" s="1"/>
  <c r="AG415" i="2" s="1"/>
  <c r="AD413" i="2" a="1"/>
  <c r="AD413" i="2" s="1"/>
  <c r="AE413" i="2" s="1" a="1"/>
  <c r="AE413" i="2" s="1"/>
  <c r="AF413" i="2" s="1" a="1"/>
  <c r="AF413" i="2" s="1"/>
  <c r="AG413" i="2" s="1"/>
  <c r="AD390" i="2" a="1"/>
  <c r="AD390" i="2" s="1"/>
  <c r="AE390" i="2" s="1" a="1"/>
  <c r="AE390" i="2" s="1"/>
  <c r="AF390" i="2" s="1" a="1"/>
  <c r="AF390" i="2" s="1"/>
  <c r="AG390" i="2" s="1"/>
  <c r="AD427" i="2" a="1"/>
  <c r="AD427" i="2" s="1"/>
  <c r="AE427" i="2" s="1" a="1"/>
  <c r="AE427" i="2" s="1"/>
  <c r="AF427" i="2" s="1" a="1"/>
  <c r="AF427" i="2" s="1"/>
  <c r="AG427" i="2" s="1"/>
  <c r="AD332" i="2" a="1"/>
  <c r="AD332" i="2" s="1"/>
  <c r="AE332" i="2" s="1" a="1"/>
  <c r="AE332" i="2" s="1"/>
  <c r="AF332" i="2" s="1" a="1"/>
  <c r="AF332" i="2" s="1"/>
  <c r="AG332" i="2" s="1"/>
  <c r="AD429" i="2" a="1"/>
  <c r="AD429" i="2" s="1"/>
  <c r="AE429" i="2" s="1" a="1"/>
  <c r="AE429" i="2" s="1"/>
  <c r="AF429" i="2" s="1" a="1"/>
  <c r="AF429" i="2" s="1"/>
  <c r="AG429" i="2" s="1"/>
  <c r="AD454" i="2" a="1"/>
  <c r="AD454" i="2" s="1"/>
  <c r="AE454" i="2" s="1" a="1"/>
  <c r="AE454" i="2" s="1"/>
  <c r="AF454" i="2" s="1" a="1"/>
  <c r="AF454" i="2" s="1"/>
  <c r="AG454" i="2" s="1"/>
  <c r="AD385" i="2" a="1"/>
  <c r="AD385" i="2" s="1"/>
  <c r="AE385" i="2" s="1" a="1"/>
  <c r="AE385" i="2" s="1"/>
  <c r="AF385" i="2" s="1" a="1"/>
  <c r="AF385" i="2" s="1"/>
  <c r="AG385" i="2" s="1"/>
  <c r="AD425" i="2" a="1"/>
  <c r="AD425" i="2" s="1"/>
  <c r="AE425" i="2" s="1" a="1"/>
  <c r="AE425" i="2" s="1"/>
  <c r="AF425" i="2" s="1" a="1"/>
  <c r="AF425" i="2" s="1"/>
  <c r="AG425" i="2" s="1"/>
  <c r="AD335" i="2" a="1"/>
  <c r="AD335" i="2" s="1"/>
  <c r="AE335" i="2" s="1" a="1"/>
  <c r="AE335" i="2" s="1"/>
  <c r="AF335" i="2" s="1" a="1"/>
  <c r="AF335" i="2" s="1"/>
  <c r="AG335" i="2" s="1"/>
  <c r="AD350" i="2" a="1"/>
  <c r="AD350" i="2" s="1"/>
  <c r="AE350" i="2" s="1" a="1"/>
  <c r="AE350" i="2" s="1"/>
  <c r="AF350" i="2" s="1" a="1"/>
  <c r="AF350" i="2" s="1"/>
  <c r="AG350" i="2" s="1"/>
  <c r="AD499" i="2" a="1"/>
  <c r="AD499" i="2" s="1"/>
  <c r="AE499" i="2" s="1" a="1"/>
  <c r="AE499" i="2" s="1"/>
  <c r="AF499" i="2" s="1" a="1"/>
  <c r="AF499" i="2" s="1"/>
  <c r="AG499" i="2" s="1"/>
  <c r="AD440" i="2" a="1"/>
  <c r="AD440" i="2" s="1"/>
  <c r="AE440" i="2" s="1" a="1"/>
  <c r="AE440" i="2" s="1"/>
  <c r="AF440" i="2" s="1" a="1"/>
  <c r="AF440" i="2" s="1"/>
  <c r="AG440" i="2" s="1"/>
  <c r="AD478" i="2" a="1"/>
  <c r="AD478" i="2" s="1"/>
  <c r="AE478" i="2" s="1" a="1"/>
  <c r="AE478" i="2" s="1"/>
  <c r="AF478" i="2" s="1" a="1"/>
  <c r="AF478" i="2" s="1"/>
  <c r="AG478" i="2" s="1"/>
  <c r="AD436" i="2" a="1"/>
  <c r="AD436" i="2" s="1"/>
  <c r="AE436" i="2" s="1" a="1"/>
  <c r="AE436" i="2" s="1"/>
  <c r="AF436" i="2" s="1" a="1"/>
  <c r="AF436" i="2" s="1"/>
  <c r="AG436" i="2" s="1"/>
  <c r="AD404" i="2" a="1"/>
  <c r="AD404" i="2" s="1"/>
  <c r="AD494" i="2" a="1"/>
  <c r="AD494" i="2" s="1"/>
  <c r="AD362" i="2" a="1"/>
  <c r="AD362" i="2" s="1"/>
  <c r="AE362" i="2" s="1" a="1"/>
  <c r="AE362" i="2" s="1"/>
  <c r="AF362" i="2" s="1" a="1"/>
  <c r="AF362" i="2" s="1"/>
  <c r="AG362" i="2" s="1"/>
  <c r="AD465" i="2" a="1"/>
  <c r="AD465" i="2" s="1"/>
  <c r="AE465" i="2" s="1" a="1"/>
  <c r="AE465" i="2" s="1"/>
  <c r="AF465" i="2" s="1" a="1"/>
  <c r="AF465" i="2" s="1"/>
  <c r="AG465" i="2" s="1"/>
  <c r="AD354" i="2" a="1"/>
  <c r="AD354" i="2" s="1"/>
  <c r="AD435" i="2" a="1"/>
  <c r="AD435" i="2" s="1"/>
  <c r="AE435" i="2" s="1" a="1"/>
  <c r="AE435" i="2" s="1"/>
  <c r="AF435" i="2" s="1" a="1"/>
  <c r="AF435" i="2" s="1"/>
  <c r="AG435" i="2" s="1"/>
  <c r="AD319" i="2" a="1"/>
  <c r="AD319" i="2" s="1"/>
  <c r="AE319" i="2" s="1" a="1"/>
  <c r="AE319" i="2" s="1"/>
  <c r="AF319" i="2" s="1" a="1"/>
  <c r="AF319" i="2" s="1"/>
  <c r="AG319" i="2" s="1"/>
  <c r="AD493" i="2" a="1"/>
  <c r="AD493" i="2" s="1"/>
  <c r="AE493" i="2" s="1" a="1"/>
  <c r="AE493" i="2" s="1"/>
  <c r="AF493" i="2" s="1" a="1"/>
  <c r="AF493" i="2" s="1"/>
  <c r="AG493" i="2" s="1"/>
  <c r="AD470" i="2" a="1"/>
  <c r="AD470" i="2" s="1"/>
  <c r="AE470" i="2" s="1" a="1"/>
  <c r="AE470" i="2" s="1"/>
  <c r="AF470" i="2" s="1" a="1"/>
  <c r="AF470" i="2" s="1"/>
  <c r="AG470" i="2" s="1"/>
  <c r="AD370" i="2" a="1"/>
  <c r="AD370" i="2" s="1"/>
  <c r="AE370" i="2" s="1" a="1"/>
  <c r="AE370" i="2" s="1"/>
  <c r="AF370" i="2" s="1" a="1"/>
  <c r="AF370" i="2" s="1"/>
  <c r="AG370" i="2" s="1"/>
  <c r="AD355" i="2" a="1"/>
  <c r="AD355" i="2" s="1"/>
  <c r="AE355" i="2" s="1" a="1"/>
  <c r="AE355" i="2" s="1"/>
  <c r="AF355" i="2" s="1" a="1"/>
  <c r="AF355" i="2" s="1"/>
  <c r="AG355" i="2" s="1"/>
  <c r="AD451" i="2" a="1"/>
  <c r="AD451" i="2" s="1"/>
  <c r="AE451" i="2" s="1" a="1"/>
  <c r="AE451" i="2" s="1"/>
  <c r="AF451" i="2" s="1" a="1"/>
  <c r="AF451" i="2" s="1"/>
  <c r="AG451" i="2" s="1"/>
  <c r="AD475" i="2" a="1"/>
  <c r="AD475" i="2" s="1"/>
  <c r="AE475" i="2" s="1" a="1"/>
  <c r="AE475" i="2" s="1"/>
  <c r="AF475" i="2" s="1" a="1"/>
  <c r="AF475" i="2" s="1"/>
  <c r="AG475" i="2" s="1"/>
  <c r="AD424" i="2" a="1"/>
  <c r="AD424" i="2" s="1"/>
  <c r="AE424" i="2" s="1" a="1"/>
  <c r="AE424" i="2" s="1"/>
  <c r="AF424" i="2" s="1" a="1"/>
  <c r="AF424" i="2" s="1"/>
  <c r="AG424" i="2" s="1"/>
  <c r="AD474" i="2" a="1"/>
  <c r="AD474" i="2" s="1"/>
  <c r="AE474" i="2" s="1" a="1"/>
  <c r="AE474" i="2" s="1"/>
  <c r="AF474" i="2" s="1" a="1"/>
  <c r="AF474" i="2" s="1"/>
  <c r="AG474" i="2" s="1"/>
  <c r="AD500" i="2" a="1"/>
  <c r="AD500" i="2" s="1"/>
  <c r="AE500" i="2" s="1" a="1"/>
  <c r="AE500" i="2" s="1"/>
  <c r="AF500" i="2" s="1" a="1"/>
  <c r="AF500" i="2" s="1"/>
  <c r="AG500" i="2" s="1"/>
  <c r="AD326" i="2" a="1"/>
  <c r="AD326" i="2" s="1"/>
  <c r="AE326" i="2" s="1" a="1"/>
  <c r="AE326" i="2" s="1"/>
  <c r="AF326" i="2" s="1" a="1"/>
  <c r="AF326" i="2" s="1"/>
  <c r="AG326" i="2" s="1"/>
  <c r="AD403" i="2" a="1"/>
  <c r="AD403" i="2" s="1"/>
  <c r="AE403" i="2" s="1" a="1"/>
  <c r="AE403" i="2" s="1"/>
  <c r="AF403" i="2" s="1" a="1"/>
  <c r="AF403" i="2" s="1"/>
  <c r="AG403" i="2" s="1"/>
  <c r="AD477" i="2" a="1"/>
  <c r="AD477" i="2" s="1"/>
  <c r="AE477" i="2" s="1" a="1"/>
  <c r="AE477" i="2" s="1"/>
  <c r="AF477" i="2" s="1" a="1"/>
  <c r="AF477" i="2" s="1"/>
  <c r="AG477" i="2" s="1"/>
  <c r="AD347" i="2" a="1"/>
  <c r="AD347" i="2" s="1"/>
  <c r="AE347" i="2" s="1" a="1"/>
  <c r="AE347" i="2" s="1"/>
  <c r="AF347" i="2" s="1" a="1"/>
  <c r="AF347" i="2" s="1"/>
  <c r="AG347" i="2" s="1"/>
  <c r="AD517" i="2" a="1"/>
  <c r="AD517" i="2" s="1"/>
  <c r="AE517" i="2" s="1" a="1"/>
  <c r="AE517" i="2" s="1"/>
  <c r="AF517" i="2" s="1" a="1"/>
  <c r="AF517" i="2" s="1"/>
  <c r="AG517" i="2" s="1"/>
  <c r="AD351" i="2" a="1"/>
  <c r="AD351" i="2" s="1"/>
  <c r="AE351" i="2" s="1" a="1"/>
  <c r="AE351" i="2" s="1"/>
  <c r="AF351" i="2" s="1" a="1"/>
  <c r="AF351" i="2" s="1"/>
  <c r="AG351" i="2" s="1"/>
  <c r="AD400" i="2" a="1"/>
  <c r="AD400" i="2" s="1"/>
  <c r="AD468" i="2" a="1"/>
  <c r="AD468" i="2" s="1"/>
  <c r="AD450" i="2" a="1"/>
  <c r="AD450" i="2" s="1"/>
  <c r="AE450" i="2" s="1" a="1"/>
  <c r="AE450" i="2" s="1"/>
  <c r="AF450" i="2" s="1" a="1"/>
  <c r="AF450" i="2" s="1"/>
  <c r="AG450" i="2" s="1"/>
  <c r="AD412" i="2" a="1"/>
  <c r="AD412" i="2" s="1"/>
  <c r="AE412" i="2" s="1" a="1"/>
  <c r="AE412" i="2" s="1"/>
  <c r="AF412" i="2" s="1" a="1"/>
  <c r="AF412" i="2" s="1"/>
  <c r="AG412" i="2" s="1"/>
  <c r="AD464" i="2" a="1"/>
  <c r="AD464" i="2" s="1"/>
  <c r="AE464" i="2" s="1" a="1"/>
  <c r="AE464" i="2" s="1"/>
  <c r="AF464" i="2" s="1" a="1"/>
  <c r="AF464" i="2" s="1"/>
  <c r="AG464" i="2" s="1"/>
  <c r="AD349" i="2" a="1"/>
  <c r="AD349" i="2" s="1"/>
  <c r="AE349" i="2" s="1" a="1"/>
  <c r="AE349" i="2" s="1"/>
  <c r="AF349" i="2" s="1" a="1"/>
  <c r="AF349" i="2" s="1"/>
  <c r="AG349" i="2" s="1"/>
  <c r="AD498" i="2" a="1"/>
  <c r="AD498" i="2" s="1"/>
  <c r="AE498" i="2" s="1" a="1"/>
  <c r="AE498" i="2" s="1"/>
  <c r="AF498" i="2" s="1" a="1"/>
  <c r="AF498" i="2" s="1"/>
  <c r="AG498" i="2" s="1"/>
  <c r="AD377" i="2" a="1"/>
  <c r="AD377" i="2" s="1"/>
  <c r="AE377" i="2" s="1" a="1"/>
  <c r="AE377" i="2" s="1"/>
  <c r="AF377" i="2" s="1" a="1"/>
  <c r="AF377" i="2" s="1"/>
  <c r="AG377" i="2" s="1"/>
  <c r="AD434" i="2" a="1"/>
  <c r="AD434" i="2" s="1"/>
  <c r="AE434" i="2" s="1" a="1"/>
  <c r="AE434" i="2" s="1"/>
  <c r="AF434" i="2" s="1" a="1"/>
  <c r="AF434" i="2" s="1"/>
  <c r="AG434" i="2" s="1"/>
  <c r="AD447" i="2" a="1"/>
  <c r="AD447" i="2" s="1"/>
  <c r="AE447" i="2" s="1" a="1"/>
  <c r="AE447" i="2" s="1"/>
  <c r="AF447" i="2" s="1" a="1"/>
  <c r="AF447" i="2" s="1"/>
  <c r="AG447" i="2" s="1"/>
  <c r="AD503" i="2" a="1"/>
  <c r="AD503" i="2" s="1"/>
  <c r="AE503" i="2" s="1" a="1"/>
  <c r="AE503" i="2" s="1"/>
  <c r="AF503" i="2" s="1" a="1"/>
  <c r="AF503" i="2" s="1"/>
  <c r="AG503" i="2" s="1"/>
  <c r="AD418" i="2" a="1"/>
  <c r="AD418" i="2" s="1"/>
  <c r="AE418" i="2" s="1" a="1"/>
  <c r="AE418" i="2" s="1"/>
  <c r="AF418" i="2" s="1" a="1"/>
  <c r="AF418" i="2" s="1"/>
  <c r="AG418" i="2" s="1"/>
  <c r="AD402" i="2" a="1"/>
  <c r="AD402" i="2" s="1"/>
  <c r="AE402" i="2" s="1" a="1"/>
  <c r="AE402" i="2" s="1"/>
  <c r="AF402" i="2" s="1" a="1"/>
  <c r="AF402" i="2" s="1"/>
  <c r="AG402" i="2" s="1"/>
  <c r="AD466" i="2" a="1"/>
  <c r="AD466" i="2" s="1"/>
  <c r="AE466" i="2" s="1" a="1"/>
  <c r="AE466" i="2" s="1"/>
  <c r="AF466" i="2" s="1" a="1"/>
  <c r="AF466" i="2" s="1"/>
  <c r="AG466" i="2" s="1"/>
  <c r="AD323" i="2" a="1"/>
  <c r="AD323" i="2" s="1"/>
  <c r="AE323" i="2" s="1" a="1"/>
  <c r="AE323" i="2" s="1"/>
  <c r="AF323" i="2" s="1" a="1"/>
  <c r="AF323" i="2" s="1"/>
  <c r="AG323" i="2" s="1"/>
  <c r="AD442" i="2" a="1"/>
  <c r="AD442" i="2" s="1"/>
  <c r="AE442" i="2" s="1" a="1"/>
  <c r="AE442" i="2" s="1"/>
  <c r="AF442" i="2" s="1" a="1"/>
  <c r="AF442" i="2" s="1"/>
  <c r="AG442" i="2" s="1"/>
  <c r="AD496" i="2" a="1"/>
  <c r="AD496" i="2" s="1"/>
  <c r="AE496" i="2" s="1" a="1"/>
  <c r="AE496" i="2" s="1"/>
  <c r="AF496" i="2" s="1" a="1"/>
  <c r="AF496" i="2" s="1"/>
  <c r="AG496" i="2" s="1"/>
  <c r="AD486" i="2" a="1"/>
  <c r="AD486" i="2" s="1"/>
  <c r="AE486" i="2" s="1" a="1"/>
  <c r="AE486" i="2" s="1"/>
  <c r="AF486" i="2" s="1" a="1"/>
  <c r="AF486" i="2" s="1"/>
  <c r="AG486" i="2" s="1"/>
  <c r="AD453" i="2" a="1"/>
  <c r="AD453" i="2" s="1"/>
  <c r="AE453" i="2" s="1" a="1"/>
  <c r="AE453" i="2" s="1"/>
  <c r="AF453" i="2" s="1" a="1"/>
  <c r="AF453" i="2" s="1"/>
  <c r="AG453" i="2" s="1"/>
  <c r="AD313" i="2" a="1"/>
  <c r="AD313" i="2" s="1"/>
  <c r="AE313" i="2" s="1" a="1"/>
  <c r="AE313" i="2" s="1"/>
  <c r="AF313" i="2" s="1" a="1"/>
  <c r="AF313" i="2" s="1"/>
  <c r="AG313" i="2" s="1"/>
  <c r="AD513" i="2" a="1"/>
  <c r="AD513" i="2" s="1"/>
  <c r="AE513" i="2" s="1" a="1"/>
  <c r="AE513" i="2" s="1"/>
  <c r="AF513" i="2" s="1" a="1"/>
  <c r="AF513" i="2" s="1"/>
  <c r="AG513" i="2" s="1"/>
  <c r="AD395" i="2" a="1"/>
  <c r="AD395" i="2" s="1"/>
  <c r="AE395" i="2" s="1" a="1"/>
  <c r="AE395" i="2" s="1"/>
  <c r="AF395" i="2" s="1" a="1"/>
  <c r="AF395" i="2" s="1"/>
  <c r="AG395" i="2" s="1"/>
  <c r="AD366" i="2" a="1"/>
  <c r="AD366" i="2" s="1"/>
  <c r="AD322" i="2" a="1"/>
  <c r="AD322" i="2" s="1"/>
  <c r="AE322" i="2" s="1" a="1"/>
  <c r="AE322" i="2" s="1"/>
  <c r="AF322" i="2" s="1" a="1"/>
  <c r="AF322" i="2" s="1"/>
  <c r="AG322" i="2" s="1"/>
  <c r="AD405" i="2" a="1"/>
  <c r="AD405" i="2" s="1"/>
  <c r="AE405" i="2" s="1" a="1"/>
  <c r="AE405" i="2" s="1"/>
  <c r="AF405" i="2" s="1" a="1"/>
  <c r="AF405" i="2" s="1"/>
  <c r="AG405" i="2" s="1"/>
  <c r="AD345" i="2" a="1"/>
  <c r="AD345" i="2" s="1"/>
  <c r="AE345" i="2" s="1" a="1"/>
  <c r="AE345" i="2" s="1"/>
  <c r="AF345" i="2" s="1" a="1"/>
  <c r="AF345" i="2" s="1"/>
  <c r="AG345" i="2" s="1"/>
  <c r="AD368" i="2" a="1"/>
  <c r="AD368" i="2" s="1"/>
  <c r="AE368" i="2" s="1" a="1"/>
  <c r="AE368" i="2" s="1"/>
  <c r="AF368" i="2" s="1" a="1"/>
  <c r="AF368" i="2" s="1"/>
  <c r="AG368" i="2" s="1"/>
  <c r="AD455" i="2" a="1"/>
  <c r="AD455" i="2" s="1"/>
  <c r="AE455" i="2" s="1" a="1"/>
  <c r="AE455" i="2" s="1"/>
  <c r="AF455" i="2" s="1" a="1"/>
  <c r="AF455" i="2" s="1"/>
  <c r="AG455" i="2" s="1"/>
  <c r="AD469" i="2" a="1"/>
  <c r="AD469" i="2" s="1"/>
  <c r="AE469" i="2" s="1" a="1"/>
  <c r="AE469" i="2" s="1"/>
  <c r="AF469" i="2" s="1" a="1"/>
  <c r="AF469" i="2" s="1"/>
  <c r="AG469" i="2" s="1"/>
  <c r="AD361" i="2" a="1"/>
  <c r="AD361" i="2" s="1"/>
  <c r="AE361" i="2" s="1" a="1"/>
  <c r="AE361" i="2" s="1"/>
  <c r="AF361" i="2" s="1" a="1"/>
  <c r="AF361" i="2" s="1"/>
  <c r="AG361" i="2" s="1"/>
  <c r="AD340" i="2" a="1"/>
  <c r="AD340" i="2" s="1"/>
  <c r="AE340" i="2" s="1" a="1"/>
  <c r="AE340" i="2" s="1"/>
  <c r="AF340" i="2" s="1" a="1"/>
  <c r="AF340" i="2" s="1"/>
  <c r="AG340" i="2" s="1"/>
  <c r="AD509" i="2" a="1"/>
  <c r="AD509" i="2" s="1"/>
  <c r="AE509" i="2" s="1" a="1"/>
  <c r="AE509" i="2" s="1"/>
  <c r="AF509" i="2" s="1" a="1"/>
  <c r="AF509" i="2" s="1"/>
  <c r="AG509" i="2" s="1"/>
  <c r="AD329" i="2" a="1"/>
  <c r="AD329" i="2" s="1"/>
  <c r="AE329" i="2" s="1" a="1"/>
  <c r="AE329" i="2" s="1"/>
  <c r="AF329" i="2" s="1" a="1"/>
  <c r="AF329" i="2" s="1"/>
  <c r="AG329" i="2" s="1"/>
  <c r="AD306" i="2" a="1"/>
  <c r="AD306" i="2" s="1"/>
  <c r="AE306" i="2" s="1" a="1"/>
  <c r="AE306" i="2" s="1"/>
  <c r="AF306" i="2" s="1" a="1"/>
  <c r="AF306" i="2" s="1"/>
  <c r="AG306" i="2" s="1"/>
  <c r="AD417" i="2" a="1"/>
  <c r="AD417" i="2" s="1"/>
  <c r="AE417" i="2" s="1" a="1"/>
  <c r="AE417" i="2" s="1"/>
  <c r="AF417" i="2" s="1" a="1"/>
  <c r="AF417" i="2" s="1"/>
  <c r="AG417" i="2" s="1"/>
  <c r="AD423" i="2" a="1"/>
  <c r="AD423" i="2" s="1"/>
  <c r="AE423" i="2" s="1" a="1"/>
  <c r="AE423" i="2" s="1"/>
  <c r="AF423" i="2" s="1" a="1"/>
  <c r="AF423" i="2" s="1"/>
  <c r="AG423" i="2" s="1"/>
  <c r="AD452" i="2" a="1"/>
  <c r="AD452" i="2" s="1"/>
  <c r="AE452" i="2" s="1" a="1"/>
  <c r="AE452" i="2" s="1"/>
  <c r="AF452" i="2" s="1" a="1"/>
  <c r="AF452" i="2" s="1"/>
  <c r="AG452" i="2" s="1"/>
  <c r="AD416" i="2" a="1"/>
  <c r="AD416" i="2" s="1"/>
  <c r="AE416" i="2" s="1" a="1"/>
  <c r="AE416" i="2" s="1"/>
  <c r="AF416" i="2" s="1" a="1"/>
  <c r="AF416" i="2" s="1"/>
  <c r="AG416" i="2" s="1"/>
  <c r="AD393" i="2" a="1"/>
  <c r="AD393" i="2" s="1"/>
  <c r="AE393" i="2" s="1" a="1"/>
  <c r="AE393" i="2" s="1"/>
  <c r="AF393" i="2" s="1" a="1"/>
  <c r="AF393" i="2" s="1"/>
  <c r="AG393" i="2" s="1"/>
  <c r="AD408" i="2" a="1"/>
  <c r="AD408" i="2" s="1"/>
  <c r="AE408" i="2" s="1" a="1"/>
  <c r="AE408" i="2" s="1"/>
  <c r="AF408" i="2" s="1" a="1"/>
  <c r="AF408" i="2" s="1"/>
  <c r="AG408" i="2" s="1"/>
  <c r="AD458" i="2" a="1"/>
  <c r="AD458" i="2" s="1"/>
  <c r="AE458" i="2" s="1" a="1"/>
  <c r="AE458" i="2" s="1"/>
  <c r="AF458" i="2" s="1" a="1"/>
  <c r="AF458" i="2" s="1"/>
  <c r="AG458" i="2" s="1"/>
  <c r="AD358" i="2" a="1"/>
  <c r="AD358" i="2" s="1"/>
  <c r="AE358" i="2" s="1" a="1"/>
  <c r="AE358" i="2" s="1"/>
  <c r="AF358" i="2" s="1" a="1"/>
  <c r="AF358" i="2" s="1"/>
  <c r="AG358" i="2" s="1"/>
  <c r="AD375" i="2" a="1"/>
  <c r="AD375" i="2" s="1"/>
  <c r="AE375" i="2" s="1" a="1"/>
  <c r="AE375" i="2" s="1"/>
  <c r="AF375" i="2" s="1" a="1"/>
  <c r="AF375" i="2" s="1"/>
  <c r="AG375" i="2" s="1"/>
  <c r="AD501" i="2" a="1"/>
  <c r="AD501" i="2" s="1"/>
  <c r="AE501" i="2" s="1" a="1"/>
  <c r="AE501" i="2" s="1"/>
  <c r="AF501" i="2" s="1" a="1"/>
  <c r="AF501" i="2" s="1"/>
  <c r="AG501" i="2" s="1"/>
  <c r="AD401" i="2" a="1"/>
  <c r="AD401" i="2" s="1"/>
  <c r="AD433" i="2" a="1"/>
  <c r="AD433" i="2" s="1"/>
  <c r="AD510" i="2" a="1"/>
  <c r="AD510" i="2" s="1"/>
  <c r="AE510" i="2" s="1" a="1"/>
  <c r="AE510" i="2" s="1"/>
  <c r="AF510" i="2" s="1" a="1"/>
  <c r="AF510" i="2" s="1"/>
  <c r="AG510" i="2" s="1"/>
  <c r="AD333" i="2" a="1"/>
  <c r="AD333" i="2" s="1"/>
  <c r="AE333" i="2" s="1" a="1"/>
  <c r="AE333" i="2" s="1"/>
  <c r="AF333" i="2" s="1" a="1"/>
  <c r="AF333" i="2" s="1"/>
  <c r="AG333" i="2" s="1"/>
  <c r="AD359" i="2" a="1"/>
  <c r="AD359" i="2" s="1"/>
  <c r="AE359" i="2" s="1" a="1"/>
  <c r="AE359" i="2" s="1"/>
  <c r="AF359" i="2" s="1" a="1"/>
  <c r="AF359" i="2" s="1"/>
  <c r="AG359" i="2" s="1"/>
  <c r="AD481" i="2" a="1"/>
  <c r="AD481" i="2" s="1"/>
  <c r="AE481" i="2" s="1" a="1"/>
  <c r="AE481" i="2" s="1"/>
  <c r="AF481" i="2" s="1" a="1"/>
  <c r="AF481" i="2" s="1"/>
  <c r="AG481" i="2" s="1"/>
  <c r="AD445" i="2" a="1"/>
  <c r="AD445" i="2" s="1"/>
  <c r="AE445" i="2" s="1" a="1"/>
  <c r="AE445" i="2" s="1"/>
  <c r="AF445" i="2" s="1" a="1"/>
  <c r="AF445" i="2" s="1"/>
  <c r="AG445" i="2" s="1"/>
  <c r="AD508" i="2" a="1"/>
  <c r="AD508" i="2" s="1"/>
  <c r="AE508" i="2" s="1" a="1"/>
  <c r="AE508" i="2" s="1"/>
  <c r="AF508" i="2" s="1" a="1"/>
  <c r="AF508" i="2" s="1"/>
  <c r="AG508" i="2" s="1"/>
  <c r="AD457" i="2" a="1"/>
  <c r="AD457" i="2" s="1"/>
  <c r="AE457" i="2" s="1" a="1"/>
  <c r="AE457" i="2" s="1"/>
  <c r="AF457" i="2" s="1" a="1"/>
  <c r="AF457" i="2" s="1"/>
  <c r="AG457" i="2" s="1"/>
  <c r="AD495" i="2" a="1"/>
  <c r="AD495" i="2" s="1"/>
  <c r="AE495" i="2" s="1" a="1"/>
  <c r="AE495" i="2" s="1"/>
  <c r="AF495" i="2" s="1" a="1"/>
  <c r="AF495" i="2" s="1"/>
  <c r="AG495" i="2" s="1"/>
  <c r="AD420" i="2" a="1"/>
  <c r="AD420" i="2" s="1"/>
  <c r="AE420" i="2" s="1" a="1"/>
  <c r="AE420" i="2" s="1"/>
  <c r="AF420" i="2" s="1" a="1"/>
  <c r="AF420" i="2" s="1"/>
  <c r="AG420" i="2" s="1"/>
  <c r="AD409" i="2" a="1"/>
  <c r="AD409" i="2" s="1"/>
  <c r="AE409" i="2" s="1" a="1"/>
  <c r="AE409" i="2" s="1"/>
  <c r="AF409" i="2" s="1" a="1"/>
  <c r="AF409" i="2" s="1"/>
  <c r="AG409" i="2" s="1"/>
  <c r="AD410" i="2" a="1"/>
  <c r="AD410" i="2" s="1"/>
  <c r="AE410" i="2" s="1" a="1"/>
  <c r="AE410" i="2" s="1"/>
  <c r="AF410" i="2" s="1" a="1"/>
  <c r="AF410" i="2" s="1"/>
  <c r="AG410" i="2" s="1"/>
  <c r="AD330" i="2" a="1"/>
  <c r="AD330" i="2" s="1"/>
  <c r="AE330" i="2" s="1" a="1"/>
  <c r="AE330" i="2" s="1"/>
  <c r="AF330" i="2" s="1" a="1"/>
  <c r="AF330" i="2" s="1"/>
  <c r="AG330" i="2" s="1"/>
  <c r="AD421" i="2" a="1"/>
  <c r="AD421" i="2" s="1"/>
  <c r="AE421" i="2" s="1" a="1"/>
  <c r="AE421" i="2" s="1"/>
  <c r="AF421" i="2" s="1" a="1"/>
  <c r="AF421" i="2" s="1"/>
  <c r="AG421" i="2" s="1"/>
  <c r="AD387" i="2" a="1"/>
  <c r="AD387" i="2" s="1"/>
  <c r="AE387" i="2" s="1" a="1"/>
  <c r="AE387" i="2" s="1"/>
  <c r="AF387" i="2" s="1" a="1"/>
  <c r="AF387" i="2" s="1"/>
  <c r="AG387" i="2" s="1"/>
  <c r="AD365" i="2" a="1"/>
  <c r="AD365" i="2" s="1"/>
  <c r="AE365" i="2" s="1" a="1"/>
  <c r="AE365" i="2" s="1"/>
  <c r="AF365" i="2" s="1" a="1"/>
  <c r="AF365" i="2" s="1"/>
  <c r="AG365" i="2" s="1"/>
  <c r="AD446" i="2" a="1"/>
  <c r="AD446" i="2" s="1"/>
  <c r="AE446" i="2" s="1" a="1"/>
  <c r="AE446" i="2" s="1"/>
  <c r="AF446" i="2" s="1" a="1"/>
  <c r="AF446" i="2" s="1"/>
  <c r="AG446" i="2" s="1"/>
  <c r="AD305" i="2" a="1"/>
  <c r="AD305" i="2" s="1"/>
  <c r="AE305" i="2" s="1" a="1"/>
  <c r="AE305" i="2" s="1"/>
  <c r="AF305" i="2" s="1" a="1"/>
  <c r="AF305" i="2" s="1"/>
  <c r="AG305" i="2" s="1"/>
  <c r="AD394" i="2" a="1"/>
  <c r="AD394" i="2" s="1"/>
  <c r="AE394" i="2" s="1" a="1"/>
  <c r="AE394" i="2" s="1"/>
  <c r="AF394" i="2" s="1" a="1"/>
  <c r="AF394" i="2" s="1"/>
  <c r="AG394" i="2" s="1"/>
  <c r="AD428" i="2" a="1"/>
  <c r="AD428" i="2" s="1"/>
  <c r="AE428" i="2" s="1" a="1"/>
  <c r="AE428" i="2" s="1"/>
  <c r="AF428" i="2" s="1" a="1"/>
  <c r="AF428" i="2" s="1"/>
  <c r="AG428" i="2" s="1"/>
  <c r="AD346" i="2" a="1"/>
  <c r="AD346" i="2" s="1"/>
  <c r="AE346" i="2" s="1" a="1"/>
  <c r="AE346" i="2" s="1"/>
  <c r="AF346" i="2" s="1" a="1"/>
  <c r="AF346" i="2" s="1"/>
  <c r="AG346" i="2" s="1"/>
  <c r="AD443" i="2" a="1"/>
  <c r="AD443" i="2" s="1"/>
  <c r="AD449" i="2" a="1"/>
  <c r="AD449" i="2" s="1"/>
  <c r="AE449" i="2" s="1" a="1"/>
  <c r="AE449" i="2" s="1"/>
  <c r="AF449" i="2" s="1" a="1"/>
  <c r="AF449" i="2" s="1"/>
  <c r="AG449" i="2" s="1"/>
  <c r="AD444" i="2" a="1"/>
  <c r="AD444" i="2" s="1"/>
  <c r="AE444" i="2" s="1" a="1"/>
  <c r="AE444" i="2" s="1"/>
  <c r="AF444" i="2" s="1" a="1"/>
  <c r="AF444" i="2" s="1"/>
  <c r="AG444" i="2" s="1"/>
  <c r="AD407" i="2" a="1"/>
  <c r="AD407" i="2" s="1"/>
  <c r="AE407" i="2" s="1" a="1"/>
  <c r="AE407" i="2" s="1"/>
  <c r="AF407" i="2" s="1" a="1"/>
  <c r="AF407" i="2" s="1"/>
  <c r="AG407" i="2" s="1"/>
  <c r="AD472" i="2" a="1"/>
  <c r="AD472" i="2" s="1"/>
  <c r="AE472" i="2" s="1" a="1"/>
  <c r="AE472" i="2" s="1"/>
  <c r="AF472" i="2" s="1" a="1"/>
  <c r="AF472" i="2" s="1"/>
  <c r="AG472" i="2" s="1"/>
  <c r="AD376" i="2" a="1"/>
  <c r="AD376" i="2" s="1"/>
  <c r="AE376" i="2" s="1" a="1"/>
  <c r="AE376" i="2" s="1"/>
  <c r="AF376" i="2" s="1" a="1"/>
  <c r="AF376" i="2" s="1"/>
  <c r="AG376" i="2" s="1"/>
  <c r="AD492" i="2" a="1"/>
  <c r="AD492" i="2" s="1"/>
  <c r="AE492" i="2" s="1" a="1"/>
  <c r="AE492" i="2" s="1"/>
  <c r="AF492" i="2" s="1" a="1"/>
  <c r="AF492" i="2" s="1"/>
  <c r="AG492" i="2" s="1"/>
  <c r="AD309" i="2" a="1"/>
  <c r="AD309" i="2" s="1"/>
  <c r="AE309" i="2" s="1" a="1"/>
  <c r="AE309" i="2" s="1"/>
  <c r="AF309" i="2" s="1" a="1"/>
  <c r="AF309" i="2" s="1"/>
  <c r="AG309" i="2" s="1"/>
  <c r="AD348" i="2" a="1"/>
  <c r="AD348" i="2" s="1"/>
  <c r="AE348" i="2" s="1" a="1"/>
  <c r="AE348" i="2" s="1"/>
  <c r="AF348" i="2" s="1" a="1"/>
  <c r="AF348" i="2" s="1"/>
  <c r="AG348" i="2" s="1"/>
  <c r="AD419" i="2" a="1"/>
  <c r="AD419" i="2" s="1"/>
  <c r="AE419" i="2" s="1" a="1"/>
  <c r="AE419" i="2" s="1"/>
  <c r="AF419" i="2" s="1" a="1"/>
  <c r="AF419" i="2" s="1"/>
  <c r="AG419" i="2" s="1"/>
  <c r="AD392" i="2" a="1"/>
  <c r="AD392" i="2" s="1"/>
  <c r="AE392" i="2" s="1" a="1"/>
  <c r="AE392" i="2" s="1"/>
  <c r="AF392" i="2" s="1" a="1"/>
  <c r="AF392" i="2" s="1"/>
  <c r="AG392" i="2" s="1"/>
  <c r="AD386" i="2" a="1"/>
  <c r="AD386" i="2" s="1"/>
  <c r="AE386" i="2" s="1" a="1"/>
  <c r="AE386" i="2" s="1"/>
  <c r="AF386" i="2" s="1" a="1"/>
  <c r="AF386" i="2" s="1"/>
  <c r="AG386" i="2" s="1"/>
  <c r="AD367" i="2" a="1"/>
  <c r="AD367" i="2" s="1"/>
  <c r="AE367" i="2" s="1" a="1"/>
  <c r="AE367" i="2" s="1"/>
  <c r="AF367" i="2" s="1" a="1"/>
  <c r="AF367" i="2" s="1"/>
  <c r="AG367" i="2" s="1"/>
  <c r="AD388" i="2" a="1"/>
  <c r="AD388" i="2" s="1"/>
  <c r="AE388" i="2" s="1" a="1"/>
  <c r="AE388" i="2" s="1"/>
  <c r="AF388" i="2" s="1" a="1"/>
  <c r="AF388" i="2" s="1"/>
  <c r="AG388" i="2" s="1"/>
  <c r="AD342" i="2" a="1"/>
  <c r="AD342" i="2" s="1"/>
  <c r="AE342" i="2" s="1" a="1"/>
  <c r="AE342" i="2" s="1"/>
  <c r="AF342" i="2" s="1" a="1"/>
  <c r="AF342" i="2" s="1"/>
  <c r="AG342" i="2" s="1"/>
  <c r="AD406" i="2" a="1"/>
  <c r="AD406" i="2" s="1"/>
  <c r="AE406" i="2" s="1" a="1"/>
  <c r="AE406" i="2" s="1"/>
  <c r="AF406" i="2" s="1" a="1"/>
  <c r="AF406" i="2" s="1"/>
  <c r="AG406" i="2" s="1"/>
  <c r="AD369" i="2" a="1"/>
  <c r="AD369" i="2" s="1"/>
  <c r="AE369" i="2" s="1" a="1"/>
  <c r="AE369" i="2" s="1"/>
  <c r="AF369" i="2" s="1" a="1"/>
  <c r="AF369" i="2" s="1"/>
  <c r="AG369" i="2" s="1"/>
  <c r="AD422" i="2" a="1"/>
  <c r="AD422" i="2" s="1"/>
  <c r="AE422" i="2" s="1" a="1"/>
  <c r="AE422" i="2" s="1"/>
  <c r="AF422" i="2" s="1" a="1"/>
  <c r="AF422" i="2" s="1"/>
  <c r="AG422" i="2" s="1"/>
  <c r="AD324" i="2" a="1"/>
  <c r="AD324" i="2" s="1"/>
  <c r="AE324" i="2" s="1" a="1"/>
  <c r="AE324" i="2" s="1"/>
  <c r="AF324" i="2" s="1" a="1"/>
  <c r="AF324" i="2" s="1"/>
  <c r="AG324" i="2" s="1"/>
  <c r="AD233" i="2" a="1"/>
  <c r="AD233" i="2" s="1"/>
  <c r="AE233" i="2" s="1" a="1"/>
  <c r="AE233" i="2" s="1"/>
  <c r="AF233" i="2" s="1" a="1"/>
  <c r="AF233" i="2" s="1"/>
  <c r="AG233" i="2" s="1"/>
  <c r="AD234" i="2" a="1"/>
  <c r="AD234" i="2" s="1"/>
  <c r="AE234" i="2" s="1" a="1"/>
  <c r="AE234" i="2" s="1"/>
  <c r="AF234" i="2" s="1" a="1"/>
  <c r="AF234" i="2" s="1"/>
  <c r="AG234" i="2" s="1"/>
  <c r="AD284" i="2" a="1"/>
  <c r="AD284" i="2" s="1"/>
  <c r="AE284" i="2" s="1" a="1"/>
  <c r="AE284" i="2" s="1"/>
  <c r="AF284" i="2" s="1" a="1"/>
  <c r="AF284" i="2" s="1"/>
  <c r="AG284" i="2" s="1"/>
  <c r="AD223" i="2" a="1"/>
  <c r="AD223" i="2" s="1"/>
  <c r="AD275" i="2" a="1"/>
  <c r="AD275" i="2" s="1"/>
  <c r="AE275" i="2" s="1" a="1"/>
  <c r="AE275" i="2" s="1"/>
  <c r="AD78" i="2" a="1"/>
  <c r="AD78" i="2" s="1"/>
  <c r="AE78" i="2" s="1" a="1"/>
  <c r="AE78" i="2" s="1"/>
  <c r="AF78" i="2" s="1" a="1"/>
  <c r="AF78" i="2" s="1"/>
  <c r="AD4" i="2" a="1"/>
  <c r="AD4" i="2" s="1"/>
  <c r="AE4" i="2" s="1" a="1"/>
  <c r="AE4" i="2" s="1"/>
  <c r="AD9" i="2" a="1"/>
  <c r="AD9" i="2" s="1"/>
  <c r="AE9" i="2" s="1" a="1"/>
  <c r="AE9" i="2" s="1"/>
  <c r="AF9" i="2" s="1" a="1"/>
  <c r="AF9" i="2" s="1"/>
  <c r="AD54" i="2" a="1"/>
  <c r="AD54" i="2" s="1"/>
  <c r="AE54" i="2" s="1" a="1"/>
  <c r="AE54" i="2" s="1"/>
  <c r="AF54" i="2" s="1" a="1"/>
  <c r="AF54" i="2" s="1"/>
  <c r="AD257" i="2" a="1"/>
  <c r="AD257" i="2" s="1"/>
  <c r="AE257" i="2" s="1" a="1"/>
  <c r="AE257" i="2" s="1"/>
  <c r="AF257" i="2" s="1" a="1"/>
  <c r="AF257" i="2" s="1"/>
  <c r="AG257" i="2" s="1"/>
  <c r="AD258" i="2" a="1"/>
  <c r="AD258" i="2" s="1"/>
  <c r="AE258" i="2" s="1" a="1"/>
  <c r="AE258" i="2" s="1"/>
  <c r="AF258" i="2" s="1" a="1"/>
  <c r="AF258" i="2" s="1"/>
  <c r="AG258" i="2" s="1"/>
  <c r="AD285" i="2" a="1"/>
  <c r="AD285" i="2" s="1"/>
  <c r="AE285" i="2" s="1" a="1"/>
  <c r="AE285" i="2" s="1"/>
  <c r="AF285" i="2" s="1" a="1"/>
  <c r="AF285" i="2" s="1"/>
  <c r="AG285" i="2" s="1"/>
  <c r="AD248" i="2" a="1"/>
  <c r="AD248" i="2" s="1"/>
  <c r="AE248" i="2" s="1" a="1"/>
  <c r="AE248" i="2" s="1"/>
  <c r="AF248" i="2" s="1" a="1"/>
  <c r="AF248" i="2" s="1"/>
  <c r="AG248" i="2" s="1"/>
  <c r="AD294" i="2" a="1"/>
  <c r="AD294" i="2" s="1"/>
  <c r="AE294" i="2" s="1" a="1"/>
  <c r="AE294" i="2" s="1"/>
  <c r="AD48" i="2" a="1"/>
  <c r="AD48" i="2" s="1"/>
  <c r="AE48" i="2" s="1" a="1"/>
  <c r="AE48" i="2" s="1"/>
  <c r="AF48" i="2" s="1" a="1"/>
  <c r="AF48" i="2" s="1"/>
  <c r="AD267" i="2" a="1"/>
  <c r="AD267" i="2" s="1"/>
  <c r="AE267" i="2" s="1" a="1"/>
  <c r="AE267" i="2" s="1"/>
  <c r="AF267" i="2" s="1" a="1"/>
  <c r="AF267" i="2" s="1"/>
  <c r="AG267" i="2" s="1"/>
  <c r="AD100" i="2" a="1"/>
  <c r="AD100" i="2" s="1"/>
  <c r="AE100" i="2" s="1" a="1"/>
  <c r="AE100" i="2" s="1"/>
  <c r="AF100" i="2" s="1" a="1"/>
  <c r="AF100" i="2" s="1"/>
  <c r="AD92" i="2" a="1"/>
  <c r="AD92" i="2" s="1"/>
  <c r="AE92" i="2" s="1" a="1"/>
  <c r="AE92" i="2" s="1"/>
  <c r="AF92" i="2" s="1" a="1"/>
  <c r="AF92" i="2" s="1"/>
  <c r="AD243" i="2" a="1"/>
  <c r="AD243" i="2" s="1"/>
  <c r="AE243" i="2" s="1" a="1"/>
  <c r="AE243" i="2" s="1"/>
  <c r="AD283" i="2" a="1"/>
  <c r="AD283" i="2" s="1"/>
  <c r="AE283" i="2" s="1" a="1"/>
  <c r="AE283" i="2" s="1"/>
  <c r="AF283" i="2" s="1" a="1"/>
  <c r="AF283" i="2" s="1"/>
  <c r="AG283" i="2" s="1"/>
  <c r="AD276" i="2" a="1"/>
  <c r="AD276" i="2" s="1"/>
  <c r="AE276" i="2" s="1" a="1"/>
  <c r="AE276" i="2" s="1"/>
  <c r="AD266" i="2" a="1"/>
  <c r="AD266" i="2" s="1"/>
  <c r="AE266" i="2" s="1" a="1"/>
  <c r="AE266" i="2" s="1"/>
  <c r="AF266" i="2" s="1" a="1"/>
  <c r="AF266" i="2" s="1"/>
  <c r="AG266" i="2" s="1"/>
  <c r="AD255" i="2" a="1"/>
  <c r="AD255" i="2" s="1"/>
  <c r="AE255" i="2" s="1" a="1"/>
  <c r="AE255" i="2" s="1"/>
  <c r="AD298" i="2" a="1"/>
  <c r="AD298" i="2" s="1"/>
  <c r="AE298" i="2" s="1" a="1"/>
  <c r="AE298" i="2" s="1"/>
  <c r="AF298" i="2" s="1" a="1"/>
  <c r="AF298" i="2" s="1"/>
  <c r="AG298" i="2" s="1"/>
  <c r="AD297" i="2" a="1"/>
  <c r="AD297" i="2" s="1"/>
  <c r="AE297" i="2" s="1" a="1"/>
  <c r="AE297" i="2" s="1"/>
  <c r="AD290" i="2" a="1"/>
  <c r="AD290" i="2" s="1"/>
  <c r="AD270" i="2" a="1"/>
  <c r="AD270" i="2" s="1"/>
  <c r="AE270" i="2" s="1" a="1"/>
  <c r="AE270" i="2" s="1"/>
  <c r="AF270" i="2" s="1" a="1"/>
  <c r="AF270" i="2" s="1"/>
  <c r="AG270" i="2" s="1"/>
  <c r="AD29" i="2" a="1"/>
  <c r="AD29" i="2" s="1"/>
  <c r="AE29" i="2" s="1" a="1"/>
  <c r="AE29" i="2" s="1"/>
  <c r="AF29" i="2" s="1" a="1"/>
  <c r="AF29" i="2" s="1"/>
  <c r="AD280" i="2" a="1"/>
  <c r="AD280" i="2" s="1"/>
  <c r="AE280" i="2" s="1" a="1"/>
  <c r="AE280" i="2" s="1"/>
  <c r="AD225" i="2" a="1"/>
  <c r="AD225" i="2" s="1"/>
  <c r="AE225" i="2" s="1" a="1"/>
  <c r="AE225" i="2" s="1"/>
  <c r="AF225" i="2" s="1" a="1"/>
  <c r="AF225" i="2" s="1"/>
  <c r="AG225" i="2" s="1"/>
  <c r="AD235" i="2" a="1"/>
  <c r="AD235" i="2" s="1"/>
  <c r="AE235" i="2" s="1" a="1"/>
  <c r="AE235" i="2" s="1"/>
  <c r="AF235" i="2" s="1" a="1"/>
  <c r="AF235" i="2" s="1"/>
  <c r="AG235" i="2" s="1"/>
  <c r="AD263" i="2" a="1"/>
  <c r="AD263" i="2" s="1"/>
  <c r="AE263" i="2" s="1" a="1"/>
  <c r="AE263" i="2" s="1"/>
  <c r="AF263" i="2" s="1" a="1"/>
  <c r="AF263" i="2" s="1"/>
  <c r="AG263" i="2" s="1"/>
  <c r="AD226" i="2" a="1"/>
  <c r="AD226" i="2" s="1"/>
  <c r="AE226" i="2" s="1" a="1"/>
  <c r="AE226" i="2" s="1"/>
  <c r="AF226" i="2" s="1" a="1"/>
  <c r="AF226" i="2" s="1"/>
  <c r="AG226" i="2" s="1"/>
  <c r="AD295" i="2" a="1"/>
  <c r="AD295" i="2" s="1"/>
  <c r="AE295" i="2" s="1" a="1"/>
  <c r="AE295" i="2" s="1"/>
  <c r="AF295" i="2" s="1" a="1"/>
  <c r="AF295" i="2" s="1"/>
  <c r="AG295" i="2" s="1"/>
  <c r="AD238" i="2" a="1"/>
  <c r="AD238" i="2" s="1"/>
  <c r="AE238" i="2" s="1" a="1"/>
  <c r="AE238" i="2" s="1"/>
  <c r="AF238" i="2" s="1" a="1"/>
  <c r="AF238" i="2" s="1"/>
  <c r="AG238" i="2" s="1"/>
  <c r="AD259" i="2" a="1"/>
  <c r="AD259" i="2" s="1"/>
  <c r="AE259" i="2" s="1" a="1"/>
  <c r="AE259" i="2" s="1"/>
  <c r="AF259" i="2" s="1" a="1"/>
  <c r="AF259" i="2" s="1"/>
  <c r="AG259" i="2" s="1"/>
  <c r="AD249" i="2" a="1"/>
  <c r="AD249" i="2" s="1"/>
  <c r="AE249" i="2" s="1" a="1"/>
  <c r="AE249" i="2" s="1"/>
  <c r="AF249" i="2" s="1" a="1"/>
  <c r="AF249" i="2" s="1"/>
  <c r="AG249" i="2" s="1"/>
  <c r="AD228" i="2" a="1"/>
  <c r="AD228" i="2" s="1"/>
  <c r="AE228" i="2" s="1" a="1"/>
  <c r="AE228" i="2" s="1"/>
  <c r="AF228" i="2" s="1" a="1"/>
  <c r="AF228" i="2" s="1"/>
  <c r="AG228" i="2" s="1"/>
  <c r="AD97" i="2" a="1"/>
  <c r="AD97" i="2" s="1"/>
  <c r="AE97" i="2" s="1" a="1"/>
  <c r="AE97" i="2" s="1"/>
  <c r="AF97" i="2" s="1" a="1"/>
  <c r="AF97" i="2" s="1"/>
  <c r="AD49" i="2" a="1"/>
  <c r="AD49" i="2" s="1"/>
  <c r="AE49" i="2" s="1" a="1"/>
  <c r="AE49" i="2" s="1"/>
  <c r="AF49" i="2" s="1" a="1"/>
  <c r="AF49" i="2" s="1"/>
  <c r="AD236" i="2" a="1"/>
  <c r="AD236" i="2" s="1"/>
  <c r="AE236" i="2" s="1" a="1"/>
  <c r="AE236" i="2" s="1"/>
  <c r="AF236" i="2" s="1" a="1"/>
  <c r="AF236" i="2" s="1"/>
  <c r="AG236" i="2" s="1"/>
  <c r="AD264" i="2" a="1"/>
  <c r="AD264" i="2" s="1"/>
  <c r="AE264" i="2" s="1" a="1"/>
  <c r="AE264" i="2" s="1"/>
  <c r="AF264" i="2" s="1" a="1"/>
  <c r="AF264" i="2" s="1"/>
  <c r="AG264" i="2" s="1"/>
  <c r="AD18" i="2" a="1"/>
  <c r="AD18" i="2" s="1"/>
  <c r="AE18" i="2" s="1" a="1"/>
  <c r="AE18" i="2" s="1"/>
  <c r="AF18" i="2" s="1" a="1"/>
  <c r="AF18" i="2" s="1"/>
  <c r="AD231" i="2" a="1"/>
  <c r="AD231" i="2" s="1"/>
  <c r="AE231" i="2" s="1" a="1"/>
  <c r="AE231" i="2" s="1"/>
  <c r="AF231" i="2" s="1" a="1"/>
  <c r="AF231" i="2" s="1"/>
  <c r="AG231" i="2" s="1"/>
  <c r="AD252" i="2" a="1"/>
  <c r="AD252" i="2" s="1"/>
  <c r="AE252" i="2" s="1" a="1"/>
  <c r="AE252" i="2" s="1"/>
  <c r="AF252" i="2" s="1" a="1"/>
  <c r="AF252" i="2" s="1"/>
  <c r="AG252" i="2" s="1"/>
  <c r="AD277" i="2" a="1"/>
  <c r="AD277" i="2" s="1"/>
  <c r="AE277" i="2" s="1" a="1"/>
  <c r="AE277" i="2" s="1"/>
  <c r="AF277" i="2" s="1" a="1"/>
  <c r="AF277" i="2" s="1"/>
  <c r="AG277" i="2" s="1"/>
  <c r="AD241" i="2" a="1"/>
  <c r="AD241" i="2" s="1"/>
  <c r="AE241" i="2" s="1" a="1"/>
  <c r="AE241" i="2" s="1"/>
  <c r="AD250" i="2" a="1"/>
  <c r="AD250" i="2" s="1"/>
  <c r="AD58" i="2" a="1"/>
  <c r="AD58" i="2" s="1"/>
  <c r="AE58" i="2" s="1" a="1"/>
  <c r="AE58" i="2" s="1"/>
  <c r="AF58" i="2" s="1" a="1"/>
  <c r="AF58" i="2" s="1"/>
  <c r="AD77" i="2" a="1"/>
  <c r="AD77" i="2" s="1"/>
  <c r="AE77" i="2" s="1" a="1"/>
  <c r="AE77" i="2" s="1"/>
  <c r="AF77" i="2" s="1" a="1"/>
  <c r="AF77" i="2" s="1"/>
  <c r="AD221" i="2" a="1"/>
  <c r="AD221" i="2" s="1"/>
  <c r="AE221" i="2" s="1" a="1"/>
  <c r="AE221" i="2" s="1"/>
  <c r="AF221" i="2" s="1" a="1"/>
  <c r="AF221" i="2" s="1"/>
  <c r="AG221" i="2" s="1"/>
  <c r="AD271" i="2" a="1"/>
  <c r="AD271" i="2" s="1"/>
  <c r="AE271" i="2" s="1" a="1"/>
  <c r="AE271" i="2" s="1"/>
  <c r="AF271" i="2" s="1" a="1"/>
  <c r="AF271" i="2" s="1"/>
  <c r="AG271" i="2" s="1"/>
  <c r="AD256" i="2" a="1"/>
  <c r="AD256" i="2" s="1"/>
  <c r="AE256" i="2" s="1" a="1"/>
  <c r="AE256" i="2" s="1"/>
  <c r="AF256" i="2" s="1" a="1"/>
  <c r="AF256" i="2" s="1"/>
  <c r="AG256" i="2" s="1"/>
  <c r="AD44" i="2" a="1"/>
  <c r="AD44" i="2" s="1"/>
  <c r="AE44" i="2" s="1" a="1"/>
  <c r="AE44" i="2" s="1"/>
  <c r="AF44" i="2" s="1" a="1"/>
  <c r="AF44" i="2" s="1"/>
  <c r="AD268" i="2" a="1"/>
  <c r="AD268" i="2" s="1"/>
  <c r="AE268" i="2" s="1" a="1"/>
  <c r="AE268" i="2" s="1"/>
  <c r="AD237" i="2" a="1"/>
  <c r="AD237" i="2" s="1"/>
  <c r="AE237" i="2" s="1" a="1"/>
  <c r="AE237" i="2" s="1"/>
  <c r="AF237" i="2" s="1" a="1"/>
  <c r="AF237" i="2" s="1"/>
  <c r="AG237" i="2" s="1"/>
  <c r="AD260" i="2" a="1"/>
  <c r="AD260" i="2" s="1"/>
  <c r="AE260" i="2" s="1" a="1"/>
  <c r="AE260" i="2" s="1"/>
  <c r="AF260" i="2" s="1" a="1"/>
  <c r="AF260" i="2" s="1"/>
  <c r="AG260" i="2" s="1"/>
  <c r="AD245" i="2" a="1"/>
  <c r="AD245" i="2" s="1"/>
  <c r="AE245" i="2" s="1" a="1"/>
  <c r="AE245" i="2" s="1"/>
  <c r="AF245" i="2" s="1" a="1"/>
  <c r="AF245" i="2" s="1"/>
  <c r="AG245" i="2" s="1"/>
  <c r="AD291" i="2" a="1"/>
  <c r="AD291" i="2" s="1"/>
  <c r="AE291" i="2" s="1" a="1"/>
  <c r="AE291" i="2" s="1"/>
  <c r="AF291" i="2" s="1" a="1"/>
  <c r="AF291" i="2" s="1"/>
  <c r="AG291" i="2" s="1"/>
  <c r="AD84" i="2" a="1"/>
  <c r="AD84" i="2" s="1"/>
  <c r="AE84" i="2" s="1" a="1"/>
  <c r="AE84" i="2" s="1"/>
  <c r="AF84" i="2" s="1" a="1"/>
  <c r="AF84" i="2" s="1"/>
  <c r="AD82" i="2" a="1"/>
  <c r="AD82" i="2" s="1"/>
  <c r="AE82" i="2" s="1" a="1"/>
  <c r="AE82" i="2" s="1"/>
  <c r="AF82" i="2" s="1" a="1"/>
  <c r="AF82" i="2" s="1"/>
  <c r="AD90" i="2" a="1"/>
  <c r="AD90" i="2" s="1"/>
  <c r="AE90" i="2" s="1" a="1"/>
  <c r="AE90" i="2" s="1"/>
  <c r="AF90" i="2" s="1" a="1"/>
  <c r="AF90" i="2" s="1"/>
  <c r="AD281" i="2" a="1"/>
  <c r="AD281" i="2" s="1"/>
  <c r="AE281" i="2" s="1" a="1"/>
  <c r="AE281" i="2" s="1"/>
  <c r="AD253" i="2" a="1"/>
  <c r="AD253" i="2" s="1"/>
  <c r="AE253" i="2" s="1" a="1"/>
  <c r="AE253" i="2" s="1"/>
  <c r="AF253" i="2" s="1" a="1"/>
  <c r="AF253" i="2" s="1"/>
  <c r="AG253" i="2" s="1"/>
  <c r="AD299" i="2" a="1"/>
  <c r="AD299" i="2" s="1"/>
  <c r="AE299" i="2" s="1" a="1"/>
  <c r="AE299" i="2" s="1"/>
  <c r="AF299" i="2" s="1" a="1"/>
  <c r="AF299" i="2" s="1"/>
  <c r="AG299" i="2" s="1"/>
  <c r="AD265" i="2" a="1"/>
  <c r="AD265" i="2" s="1"/>
  <c r="AE265" i="2" s="1" a="1"/>
  <c r="AE265" i="2" s="1"/>
  <c r="AF265" i="2" s="1" a="1"/>
  <c r="AF265" i="2" s="1"/>
  <c r="AG265" i="2" s="1"/>
  <c r="AD292" i="2" a="1"/>
  <c r="AD292" i="2" s="1"/>
  <c r="AE292" i="2" s="1" a="1"/>
  <c r="AE292" i="2" s="1"/>
  <c r="AF292" i="2" s="1" a="1"/>
  <c r="AF292" i="2" s="1"/>
  <c r="AG292" i="2" s="1"/>
  <c r="AD73" i="2" a="1"/>
  <c r="AD73" i="2" s="1"/>
  <c r="AE73" i="2" s="1" a="1"/>
  <c r="AE73" i="2" s="1"/>
  <c r="AF73" i="2" s="1" a="1"/>
  <c r="AF73" i="2" s="1"/>
  <c r="AD10" i="2" a="1"/>
  <c r="AD10" i="2" s="1"/>
  <c r="AE10" i="2" s="1" a="1"/>
  <c r="AE10" i="2" s="1"/>
  <c r="AF10" i="2" s="1" a="1"/>
  <c r="AF10" i="2" s="1"/>
  <c r="AD251" i="2" a="1"/>
  <c r="AD251" i="2" s="1"/>
  <c r="AD296" i="2" a="1"/>
  <c r="AD296" i="2" s="1"/>
  <c r="AE296" i="2" s="1" a="1"/>
  <c r="AE296" i="2" s="1"/>
  <c r="AF296" i="2" s="1" a="1"/>
  <c r="AF296" i="2" s="1"/>
  <c r="AG296" i="2" s="1"/>
  <c r="AD272" i="2" a="1"/>
  <c r="AD272" i="2" s="1"/>
  <c r="AE272" i="2" s="1" a="1"/>
  <c r="AE272" i="2" s="1"/>
  <c r="AD239" i="2" a="1"/>
  <c r="AD239" i="2" s="1"/>
  <c r="AE239" i="2" s="1" a="1"/>
  <c r="AE239" i="2" s="1"/>
  <c r="AF239" i="2" s="1" a="1"/>
  <c r="AF239" i="2" s="1"/>
  <c r="AG239" i="2" s="1"/>
  <c r="AD286" i="2" a="1"/>
  <c r="AD286" i="2" s="1"/>
  <c r="AE286" i="2" s="1" a="1"/>
  <c r="AE286" i="2" s="1"/>
  <c r="AD229" i="2" a="1"/>
  <c r="AD229" i="2" s="1"/>
  <c r="AE229" i="2" s="1" a="1"/>
  <c r="AE229" i="2" s="1"/>
  <c r="AF229" i="2" s="1" a="1"/>
  <c r="AF229" i="2" s="1"/>
  <c r="AG229" i="2" s="1"/>
  <c r="AD86" i="2" a="1"/>
  <c r="AD86" i="2" s="1"/>
  <c r="AE86" i="2" s="1" a="1"/>
  <c r="AE86" i="2" s="1"/>
  <c r="AF86" i="2" s="1" a="1"/>
  <c r="AF86" i="2" s="1"/>
  <c r="AD57" i="2" a="1"/>
  <c r="AD57" i="2" s="1"/>
  <c r="AE57" i="2" s="1" a="1"/>
  <c r="AE57" i="2" s="1"/>
  <c r="AF57" i="2" s="1" a="1"/>
  <c r="AF57" i="2" s="1"/>
  <c r="AD220" i="2" a="1"/>
  <c r="AD220" i="2" s="1"/>
  <c r="AE220" i="2" s="1" a="1"/>
  <c r="AE220" i="2" s="1"/>
  <c r="AF220" i="2" s="1" a="1"/>
  <c r="AF220" i="2" s="1"/>
  <c r="AG220" i="2" s="1"/>
  <c r="AD289" i="2" a="1"/>
  <c r="AD289" i="2" s="1"/>
  <c r="AE289" i="2" s="1" a="1"/>
  <c r="AE289" i="2" s="1"/>
  <c r="AF289" i="2" s="1" a="1"/>
  <c r="AF289" i="2" s="1"/>
  <c r="AG289" i="2" s="1"/>
  <c r="AD300" i="2" a="1"/>
  <c r="AD300" i="2" s="1"/>
  <c r="AE300" i="2" s="1" a="1"/>
  <c r="AE300" i="2" s="1"/>
  <c r="AF300" i="2" s="1" a="1"/>
  <c r="AF300" i="2" s="1"/>
  <c r="AG300" i="2" s="1"/>
  <c r="AD293" i="2" a="1"/>
  <c r="AD293" i="2" s="1"/>
  <c r="AE293" i="2" s="1" a="1"/>
  <c r="AE293" i="2" s="1"/>
  <c r="AF293" i="2" s="1" a="1"/>
  <c r="AF293" i="2" s="1"/>
  <c r="AG293" i="2" s="1"/>
  <c r="AD232" i="2" a="1"/>
  <c r="AD232" i="2" s="1"/>
  <c r="AE232" i="2" s="1" a="1"/>
  <c r="AE232" i="2" s="1"/>
  <c r="AF232" i="2" s="1" a="1"/>
  <c r="AF232" i="2" s="1"/>
  <c r="AG232" i="2" s="1"/>
  <c r="AD224" i="2" a="1"/>
  <c r="AD224" i="2" s="1"/>
  <c r="AE224" i="2" s="1" a="1"/>
  <c r="AE224" i="2" s="1"/>
  <c r="AD261" i="2" a="1"/>
  <c r="AD261" i="2" s="1"/>
  <c r="AE261" i="2" s="1" a="1"/>
  <c r="AE261" i="2" s="1"/>
  <c r="AD246" i="2" a="1"/>
  <c r="AD246" i="2" s="1"/>
  <c r="AE246" i="2" s="1" a="1"/>
  <c r="AE246" i="2" s="1"/>
  <c r="AF246" i="2" s="1" a="1"/>
  <c r="AF246" i="2" s="1"/>
  <c r="AG246" i="2" s="1"/>
  <c r="AD273" i="2" a="1"/>
  <c r="AD273" i="2" s="1"/>
  <c r="AE273" i="2" s="1" a="1"/>
  <c r="AE273" i="2" s="1"/>
  <c r="AD101" i="2" a="1"/>
  <c r="AD101" i="2" s="1"/>
  <c r="AE101" i="2" s="1" a="1"/>
  <c r="AE101" i="2" s="1"/>
  <c r="AF101" i="2" s="1" a="1"/>
  <c r="AF101" i="2" s="1"/>
  <c r="AD94" i="2" a="1"/>
  <c r="AD94" i="2" s="1"/>
  <c r="AE94" i="2" s="1" a="1"/>
  <c r="AE94" i="2" s="1"/>
  <c r="AF94" i="2" s="1" a="1"/>
  <c r="AF94" i="2" s="1"/>
  <c r="AD244" i="2" a="1"/>
  <c r="AD244" i="2" s="1"/>
  <c r="AE244" i="2" s="1" a="1"/>
  <c r="AE244" i="2" s="1"/>
  <c r="AD242" i="2" a="1"/>
  <c r="AD242" i="2" s="1"/>
  <c r="AE242" i="2" s="1" a="1"/>
  <c r="AE242" i="2" s="1"/>
  <c r="AF242" i="2" s="1" a="1"/>
  <c r="AF242" i="2" s="1"/>
  <c r="AG242" i="2" s="1"/>
  <c r="AD240" i="2" a="1"/>
  <c r="AD240" i="2" s="1"/>
  <c r="AE240" i="2" s="1" a="1"/>
  <c r="AE240" i="2" s="1"/>
  <c r="AF240" i="2" s="1" a="1"/>
  <c r="AF240" i="2" s="1"/>
  <c r="AG240" i="2" s="1"/>
  <c r="AD247" i="2" a="1"/>
  <c r="AD247" i="2" s="1"/>
  <c r="AD230" i="2" a="1"/>
  <c r="AD230" i="2" s="1"/>
  <c r="AE230" i="2" s="1" a="1"/>
  <c r="AE230" i="2" s="1"/>
  <c r="AD6" i="2" a="1"/>
  <c r="AD6" i="2" s="1"/>
  <c r="AE6" i="2" s="1" a="1"/>
  <c r="AE6" i="2" s="1"/>
  <c r="AF6" i="2" s="1" a="1"/>
  <c r="AF6" i="2" s="1"/>
  <c r="AD55" i="2" a="1"/>
  <c r="AD55" i="2" s="1"/>
  <c r="AE55" i="2" s="1" a="1"/>
  <c r="AE55" i="2" s="1"/>
  <c r="AF55" i="2" s="1" a="1"/>
  <c r="AF55" i="2" s="1"/>
  <c r="AD81" i="2" a="1"/>
  <c r="AD81" i="2" s="1"/>
  <c r="AE81" i="2" s="1" a="1"/>
  <c r="AE81" i="2" s="1"/>
  <c r="AF81" i="2" s="1" a="1"/>
  <c r="AF81" i="2" s="1"/>
  <c r="AD60" i="2" a="1"/>
  <c r="AD60" i="2" s="1"/>
  <c r="AE60" i="2" s="1" a="1"/>
  <c r="AE60" i="2" s="1"/>
  <c r="AF60" i="2" s="1" a="1"/>
  <c r="AF60" i="2" s="1"/>
  <c r="AD269" i="2" a="1"/>
  <c r="AD269" i="2" s="1"/>
  <c r="AE269" i="2" s="1" a="1"/>
  <c r="AE269" i="2" s="1"/>
  <c r="AD227" i="2" a="1"/>
  <c r="AD227" i="2" s="1"/>
  <c r="AE227" i="2" s="1" a="1"/>
  <c r="AE227" i="2" s="1"/>
  <c r="AF227" i="2" s="1" a="1"/>
  <c r="AF227" i="2" s="1"/>
  <c r="AG227" i="2" s="1"/>
  <c r="AD262" i="2" a="1"/>
  <c r="AD262" i="2" s="1"/>
  <c r="AE262" i="2" s="1" a="1"/>
  <c r="AE262" i="2" s="1"/>
  <c r="AF262" i="2" s="1" a="1"/>
  <c r="AF262" i="2" s="1"/>
  <c r="AG262" i="2" s="1"/>
  <c r="AD287" i="2" a="1"/>
  <c r="AD287" i="2" s="1"/>
  <c r="AE287" i="2" s="1" a="1"/>
  <c r="AE287" i="2" s="1"/>
  <c r="AF287" i="2" s="1" a="1"/>
  <c r="AF287" i="2" s="1"/>
  <c r="AG287" i="2" s="1"/>
  <c r="AD274" i="2" a="1"/>
  <c r="AD274" i="2" s="1"/>
  <c r="AE274" i="2" s="1" a="1"/>
  <c r="AE274" i="2" s="1"/>
  <c r="AF274" i="2" s="1" a="1"/>
  <c r="AF274" i="2" s="1"/>
  <c r="AG274" i="2" s="1"/>
  <c r="AD27" i="2" a="1"/>
  <c r="AD27" i="2" s="1"/>
  <c r="AE27" i="2" s="1" a="1"/>
  <c r="AE27" i="2" s="1"/>
  <c r="AF27" i="2" s="1" a="1"/>
  <c r="AF27" i="2" s="1"/>
  <c r="AD282" i="2" a="1"/>
  <c r="AD282" i="2" s="1"/>
  <c r="AE282" i="2" s="1" a="1"/>
  <c r="AE282" i="2" s="1"/>
  <c r="AF282" i="2" s="1" a="1"/>
  <c r="AF282" i="2" s="1"/>
  <c r="AG282" i="2" s="1"/>
  <c r="AD278" i="2" a="1"/>
  <c r="AD278" i="2" s="1"/>
  <c r="AE278" i="2" s="1" a="1"/>
  <c r="AE278" i="2" s="1"/>
  <c r="AF278" i="2" s="1" a="1"/>
  <c r="AF278" i="2" s="1"/>
  <c r="AG278" i="2" s="1"/>
  <c r="AD279" i="2" a="1"/>
  <c r="AD279" i="2" s="1"/>
  <c r="AE279" i="2" s="1" a="1"/>
  <c r="AE279" i="2" s="1"/>
  <c r="AF279" i="2" s="1" a="1"/>
  <c r="AF279" i="2" s="1"/>
  <c r="AG279" i="2" s="1"/>
  <c r="AD288" i="2" a="1"/>
  <c r="AD288" i="2" s="1"/>
  <c r="AE288" i="2" s="1" a="1"/>
  <c r="AE288" i="2" s="1"/>
  <c r="AF288" i="2" s="1" a="1"/>
  <c r="AF288" i="2" s="1"/>
  <c r="AG288" i="2" s="1"/>
  <c r="AD254" i="2" a="1"/>
  <c r="AD254" i="2" s="1"/>
  <c r="AE254" i="2" s="1" a="1"/>
  <c r="AE254" i="2" s="1"/>
  <c r="AD67" i="2" a="1"/>
  <c r="AD67" i="2" s="1"/>
  <c r="AE67" i="2" s="1" a="1"/>
  <c r="AE67" i="2" s="1"/>
  <c r="AF67" i="2" s="1" a="1"/>
  <c r="AF67" i="2" s="1"/>
  <c r="AD218" i="2" a="1"/>
  <c r="AD218" i="2" s="1"/>
  <c r="AE218" i="2" s="1" a="1"/>
  <c r="AE218" i="2" s="1"/>
  <c r="AF218" i="2" s="1" a="1"/>
  <c r="AF218" i="2" s="1"/>
  <c r="AG218" i="2" s="1"/>
  <c r="AD219" i="2" a="1"/>
  <c r="AD219" i="2" s="1"/>
  <c r="AE219" i="2" s="1" a="1"/>
  <c r="AE219" i="2" s="1"/>
  <c r="AF219" i="2" s="1" a="1"/>
  <c r="AF219" i="2" s="1"/>
  <c r="AG219" i="2" s="1"/>
  <c r="AD222" i="2" a="1"/>
  <c r="AD222" i="2" s="1"/>
  <c r="AE222" i="2" s="1" a="1"/>
  <c r="AE222" i="2" s="1"/>
  <c r="AF222" i="2" s="1" a="1"/>
  <c r="AF222" i="2" s="1"/>
  <c r="AG222" i="2" s="1"/>
  <c r="AD47" i="2" a="1"/>
  <c r="AD47" i="2" s="1"/>
  <c r="AE47" i="2" s="1" a="1"/>
  <c r="AE47" i="2" s="1"/>
  <c r="AF47" i="2" s="1" a="1"/>
  <c r="AF47" i="2" s="1"/>
  <c r="AD38" i="2" a="1"/>
  <c r="AD38" i="2" s="1"/>
  <c r="AE38" i="2" s="1" a="1"/>
  <c r="AE38" i="2" s="1"/>
  <c r="AF38" i="2" s="1" a="1"/>
  <c r="AF38" i="2" s="1"/>
  <c r="AD59" i="2" a="1"/>
  <c r="AD59" i="2" s="1"/>
  <c r="AE59" i="2" s="1" a="1"/>
  <c r="AE59" i="2" s="1"/>
  <c r="AF59" i="2" s="1" a="1"/>
  <c r="AF59" i="2" s="1"/>
  <c r="AD83" i="2" a="1"/>
  <c r="AD83" i="2" s="1"/>
  <c r="AE83" i="2" s="1" a="1"/>
  <c r="AE83" i="2" s="1"/>
  <c r="AF83" i="2" s="1" a="1"/>
  <c r="AF83" i="2" s="1"/>
  <c r="AD93" i="2" a="1"/>
  <c r="AD93" i="2" s="1"/>
  <c r="AE93" i="2" s="1" a="1"/>
  <c r="AE93" i="2" s="1"/>
  <c r="AF93" i="2" s="1" a="1"/>
  <c r="AF93" i="2" s="1"/>
  <c r="AD74" i="2" a="1"/>
  <c r="AD74" i="2" s="1"/>
  <c r="AE74" i="2" s="1" a="1"/>
  <c r="AE74" i="2" s="1"/>
  <c r="AF74" i="2" s="1" a="1"/>
  <c r="AF74" i="2" s="1"/>
  <c r="AD53" i="2" a="1"/>
  <c r="AD53" i="2" s="1"/>
  <c r="AE53" i="2" s="1" a="1"/>
  <c r="AE53" i="2" s="1"/>
  <c r="AF53" i="2" s="1" a="1"/>
  <c r="AF53" i="2" s="1"/>
  <c r="AD91" i="2" a="1"/>
  <c r="AD91" i="2" s="1"/>
  <c r="AE91" i="2" s="1" a="1"/>
  <c r="AE91" i="2" s="1"/>
  <c r="AF91" i="2" s="1" a="1"/>
  <c r="AF91" i="2" s="1"/>
  <c r="AD62" i="2" a="1"/>
  <c r="AD62" i="2" s="1"/>
  <c r="AE62" i="2" s="1" a="1"/>
  <c r="AE62" i="2" s="1"/>
  <c r="AF62" i="2" s="1" a="1"/>
  <c r="AF62" i="2" s="1"/>
  <c r="AD70" i="2" a="1"/>
  <c r="AD70" i="2" s="1"/>
  <c r="AE70" i="2" s="1" a="1"/>
  <c r="AE70" i="2" s="1"/>
  <c r="AF70" i="2" s="1" a="1"/>
  <c r="AF70" i="2" s="1"/>
  <c r="AD95" i="2" a="1"/>
  <c r="AD95" i="2" s="1"/>
  <c r="AE95" i="2" s="1" a="1"/>
  <c r="AE95" i="2" s="1"/>
  <c r="AF95" i="2" s="1" a="1"/>
  <c r="AF95" i="2" s="1"/>
  <c r="AD32" i="2" a="1"/>
  <c r="AD32" i="2" s="1"/>
  <c r="AE32" i="2" s="1" a="1"/>
  <c r="AE32" i="2" s="1"/>
  <c r="AF32" i="2" s="1" a="1"/>
  <c r="AF32" i="2" s="1"/>
  <c r="AD102" i="2" a="1"/>
  <c r="AD102" i="2" s="1"/>
  <c r="AE102" i="2" s="1" a="1"/>
  <c r="AE102" i="2" s="1"/>
  <c r="AF102" i="2" s="1" a="1"/>
  <c r="AF102" i="2" s="1"/>
  <c r="AD65" i="2" a="1"/>
  <c r="AD65" i="2" s="1"/>
  <c r="AE65" i="2" s="1" a="1"/>
  <c r="AE65" i="2" s="1"/>
  <c r="AF65" i="2" s="1" a="1"/>
  <c r="AF65" i="2" s="1"/>
  <c r="AD33" i="2" a="1"/>
  <c r="AD33" i="2" s="1"/>
  <c r="AE33" i="2" s="1" a="1"/>
  <c r="AE33" i="2" s="1"/>
  <c r="AF33" i="2" s="1" a="1"/>
  <c r="AF33" i="2" s="1"/>
  <c r="AD40" i="2" a="1"/>
  <c r="AD40" i="2" s="1"/>
  <c r="AE40" i="2" s="1" a="1"/>
  <c r="AE40" i="2" s="1"/>
  <c r="AF40" i="2" s="1" a="1"/>
  <c r="AF40" i="2" s="1"/>
  <c r="AD51" i="2" a="1"/>
  <c r="AD51" i="2" s="1"/>
  <c r="AE51" i="2" s="1" a="1"/>
  <c r="AE51" i="2" s="1"/>
  <c r="AF51" i="2" s="1" a="1"/>
  <c r="AF51" i="2" s="1"/>
  <c r="AD87" i="2" a="1"/>
  <c r="AD87" i="2" s="1"/>
  <c r="AE87" i="2" s="1" a="1"/>
  <c r="AE87" i="2" s="1"/>
  <c r="AF87" i="2" s="1" a="1"/>
  <c r="AF87" i="2" s="1"/>
  <c r="AD61" i="2" a="1"/>
  <c r="AD61" i="2" s="1"/>
  <c r="AE61" i="2" s="1" a="1"/>
  <c r="AE61" i="2" s="1"/>
  <c r="AF61" i="2" s="1" a="1"/>
  <c r="AF61" i="2" s="1"/>
  <c r="AD45" i="2" a="1"/>
  <c r="AD45" i="2" s="1"/>
  <c r="AE45" i="2" s="1" a="1"/>
  <c r="AE45" i="2" s="1"/>
  <c r="AF45" i="2" s="1" a="1"/>
  <c r="AF45" i="2" s="1"/>
  <c r="AD125" i="2" a="1"/>
  <c r="AD125" i="2" s="1"/>
  <c r="AE125" i="2" s="1" a="1"/>
  <c r="AE125" i="2" s="1"/>
  <c r="AF125" i="2" s="1" a="1"/>
  <c r="AF125" i="2" s="1"/>
  <c r="AG125" i="2" s="1"/>
  <c r="AH125" i="2" s="1"/>
  <c r="AM125" i="2" s="1"/>
  <c r="BC125" i="2" s="1"/>
  <c r="AD43" i="2" a="1"/>
  <c r="AD43" i="2" s="1"/>
  <c r="AE43" i="2" s="1" a="1"/>
  <c r="AE43" i="2" s="1"/>
  <c r="AF43" i="2" s="1" a="1"/>
  <c r="AF43" i="2" s="1"/>
  <c r="AD76" i="2" a="1"/>
  <c r="AD76" i="2" s="1"/>
  <c r="AE76" i="2" s="1" a="1"/>
  <c r="AE76" i="2" s="1"/>
  <c r="AF76" i="2" s="1" a="1"/>
  <c r="AF76" i="2" s="1"/>
  <c r="AD34" i="2" a="1"/>
  <c r="AD34" i="2" s="1"/>
  <c r="AE34" i="2" s="1" a="1"/>
  <c r="AE34" i="2" s="1"/>
  <c r="AF34" i="2" s="1" a="1"/>
  <c r="AF34" i="2" s="1"/>
  <c r="AD41" i="2" a="1"/>
  <c r="AD41" i="2" s="1"/>
  <c r="AE41" i="2" s="1" a="1"/>
  <c r="AE41" i="2" s="1"/>
  <c r="AF41" i="2" s="1" a="1"/>
  <c r="AF41" i="2" s="1"/>
  <c r="AD79" i="2" a="1"/>
  <c r="AD79" i="2" s="1"/>
  <c r="AE79" i="2" s="1" a="1"/>
  <c r="AE79" i="2" s="1"/>
  <c r="AF79" i="2" s="1" a="1"/>
  <c r="AF79" i="2" s="1"/>
  <c r="AD89" i="2" a="1"/>
  <c r="AD89" i="2" s="1"/>
  <c r="AE89" i="2" s="1" a="1"/>
  <c r="AE89" i="2" s="1"/>
  <c r="AF89" i="2" s="1" a="1"/>
  <c r="AF89" i="2" s="1"/>
  <c r="AD104" i="2" a="1"/>
  <c r="AD104" i="2" s="1"/>
  <c r="AE104" i="2" s="1" a="1"/>
  <c r="AE104" i="2" s="1"/>
  <c r="AF104" i="2" s="1" a="1"/>
  <c r="AF104" i="2" s="1"/>
  <c r="AD35" i="2" a="1"/>
  <c r="AD35" i="2" s="1"/>
  <c r="AE35" i="2" s="1" a="1"/>
  <c r="AE35" i="2" s="1"/>
  <c r="AF35" i="2" s="1" a="1"/>
  <c r="AF35" i="2" s="1"/>
  <c r="AD88" i="2" a="1"/>
  <c r="AD88" i="2" s="1"/>
  <c r="AE88" i="2" s="1" a="1"/>
  <c r="AE88" i="2" s="1"/>
  <c r="AF88" i="2" s="1" a="1"/>
  <c r="AF88" i="2" s="1"/>
  <c r="AD52" i="2" a="1"/>
  <c r="AD52" i="2" s="1"/>
  <c r="AE52" i="2" s="1" a="1"/>
  <c r="AE52" i="2" s="1"/>
  <c r="AF52" i="2" s="1" a="1"/>
  <c r="AF52" i="2" s="1"/>
  <c r="AD72" i="2" a="1"/>
  <c r="AD72" i="2" s="1"/>
  <c r="AE72" i="2" s="1" a="1"/>
  <c r="AE72" i="2" s="1"/>
  <c r="AF72" i="2" s="1" a="1"/>
  <c r="AF72" i="2" s="1"/>
  <c r="AD36" i="2" a="1"/>
  <c r="AD36" i="2" s="1"/>
  <c r="AE36" i="2" s="1" a="1"/>
  <c r="AE36" i="2" s="1"/>
  <c r="AF36" i="2" s="1" a="1"/>
  <c r="AF36" i="2" s="1"/>
  <c r="AD56" i="2" a="1"/>
  <c r="AD56" i="2" s="1"/>
  <c r="AE56" i="2" s="1" a="1"/>
  <c r="AE56" i="2" s="1"/>
  <c r="AF56" i="2" s="1" a="1"/>
  <c r="AF56" i="2" s="1"/>
  <c r="AD103" i="2" a="1"/>
  <c r="AD103" i="2" s="1"/>
  <c r="AE103" i="2" s="1" a="1"/>
  <c r="AE103" i="2" s="1"/>
  <c r="AF103" i="2" s="1" a="1"/>
  <c r="AF103" i="2" s="1"/>
  <c r="AD42" i="2" a="1"/>
  <c r="AD42" i="2" s="1"/>
  <c r="AE42" i="2" s="1" a="1"/>
  <c r="AE42" i="2" s="1"/>
  <c r="AF42" i="2" s="1" a="1"/>
  <c r="AF42" i="2" s="1"/>
  <c r="AD98" i="2" a="1"/>
  <c r="AD98" i="2" s="1"/>
  <c r="AE98" i="2" s="1" a="1"/>
  <c r="AE98" i="2" s="1"/>
  <c r="AF98" i="2" s="1" a="1"/>
  <c r="AF98" i="2" s="1"/>
  <c r="AD75" i="2" a="1"/>
  <c r="AD75" i="2" s="1"/>
  <c r="AE75" i="2" s="1" a="1"/>
  <c r="AE75" i="2" s="1"/>
  <c r="AF75" i="2" s="1" a="1"/>
  <c r="AF75" i="2" s="1"/>
  <c r="AD39" i="2" a="1"/>
  <c r="AD39" i="2" s="1"/>
  <c r="AE39" i="2" s="1" a="1"/>
  <c r="AE39" i="2" s="1"/>
  <c r="AF39" i="2" s="1" a="1"/>
  <c r="AF39" i="2" s="1"/>
  <c r="AD31" i="2" a="1"/>
  <c r="AD31" i="2" s="1"/>
  <c r="AE31" i="2" s="1" a="1"/>
  <c r="AE31" i="2" s="1"/>
  <c r="AF31" i="2" s="1" a="1"/>
  <c r="AF31" i="2" s="1"/>
  <c r="AD50" i="2" a="1"/>
  <c r="AD50" i="2" s="1"/>
  <c r="AE50" i="2" s="1" a="1"/>
  <c r="AE50" i="2" s="1"/>
  <c r="AF50" i="2" s="1" a="1"/>
  <c r="AF50" i="2" s="1"/>
  <c r="AD80" i="2" a="1"/>
  <c r="AD80" i="2" s="1"/>
  <c r="AE80" i="2" s="1" a="1"/>
  <c r="AE80" i="2" s="1"/>
  <c r="AF80" i="2" s="1" a="1"/>
  <c r="AF80" i="2" s="1"/>
  <c r="AD69" i="2" a="1"/>
  <c r="AD69" i="2" s="1"/>
  <c r="AE69" i="2" s="1" a="1"/>
  <c r="AE69" i="2" s="1"/>
  <c r="AF69" i="2" s="1" a="1"/>
  <c r="AF69" i="2" s="1"/>
  <c r="AD85" i="2" a="1"/>
  <c r="AD85" i="2" s="1"/>
  <c r="AE85" i="2" s="1" a="1"/>
  <c r="AE85" i="2" s="1"/>
  <c r="AF85" i="2" s="1" a="1"/>
  <c r="AF85" i="2" s="1"/>
  <c r="AD195" i="2" a="1"/>
  <c r="AD195" i="2" s="1"/>
  <c r="AE195" i="2" s="1" a="1"/>
  <c r="AE195" i="2" s="1"/>
  <c r="AF195" i="2" s="1" a="1"/>
  <c r="AF195" i="2" s="1"/>
  <c r="AD217" i="2" a="1"/>
  <c r="AD217" i="2" s="1"/>
  <c r="AD154" i="2" a="1"/>
  <c r="AD154" i="2" s="1"/>
  <c r="AE154" i="2" s="1" a="1"/>
  <c r="AE154" i="2" s="1"/>
  <c r="AF154" i="2" s="1" a="1"/>
  <c r="AF154" i="2" s="1"/>
  <c r="AD147" i="2" a="1"/>
  <c r="AD147" i="2" s="1"/>
  <c r="AE147" i="2" s="1" a="1"/>
  <c r="AE147" i="2" s="1"/>
  <c r="AF147" i="2" s="1" a="1"/>
  <c r="AF147" i="2" s="1"/>
  <c r="AD164" i="2" a="1"/>
  <c r="AD164" i="2" s="1"/>
  <c r="AE164" i="2" s="1" a="1"/>
  <c r="AE164" i="2" s="1"/>
  <c r="AF164" i="2" s="1" a="1"/>
  <c r="AF164" i="2" s="1"/>
  <c r="AD169" i="2" a="1"/>
  <c r="AD169" i="2" s="1"/>
  <c r="AE169" i="2" s="1" a="1"/>
  <c r="AE169" i="2" s="1"/>
  <c r="AF169" i="2" s="1" a="1"/>
  <c r="AF169" i="2" s="1"/>
  <c r="AD114" i="2" a="1"/>
  <c r="AD114" i="2" s="1"/>
  <c r="AE114" i="2" s="1" a="1"/>
  <c r="AE114" i="2" s="1"/>
  <c r="AF114" i="2" s="1" a="1"/>
  <c r="AF114" i="2" s="1"/>
  <c r="AD157" i="2" a="1"/>
  <c r="AD157" i="2" s="1"/>
  <c r="AE157" i="2" s="1" a="1"/>
  <c r="AE157" i="2" s="1"/>
  <c r="AF157" i="2" s="1" a="1"/>
  <c r="AF157" i="2" s="1"/>
  <c r="AD207" i="2" a="1"/>
  <c r="AD207" i="2" s="1"/>
  <c r="AE207" i="2" s="1" a="1"/>
  <c r="AE207" i="2" s="1"/>
  <c r="AF207" i="2" s="1" a="1"/>
  <c r="AF207" i="2" s="1"/>
  <c r="AD37" i="2" a="1"/>
  <c r="AD37" i="2" s="1"/>
  <c r="AE37" i="2" s="1" a="1"/>
  <c r="AE37" i="2" s="1"/>
  <c r="AF37" i="2" s="1" a="1"/>
  <c r="AF37" i="2" s="1"/>
  <c r="AD204" i="2" a="1"/>
  <c r="AD204" i="2" s="1"/>
  <c r="AE204" i="2" s="1" a="1"/>
  <c r="AE204" i="2" s="1"/>
  <c r="AF204" i="2" s="1" a="1"/>
  <c r="AF204" i="2" s="1"/>
  <c r="AD181" i="2" a="1"/>
  <c r="AD181" i="2" s="1"/>
  <c r="AE181" i="2" s="1" a="1"/>
  <c r="AE181" i="2" s="1"/>
  <c r="AF181" i="2" s="1" a="1"/>
  <c r="AF181" i="2" s="1"/>
  <c r="AD71" i="2" a="1"/>
  <c r="AD71" i="2" s="1"/>
  <c r="AE71" i="2" s="1" a="1"/>
  <c r="AE71" i="2" s="1"/>
  <c r="AF71" i="2" s="1" a="1"/>
  <c r="AF71" i="2" s="1"/>
  <c r="AD212" i="2" a="1"/>
  <c r="AD212" i="2" s="1"/>
  <c r="AE212" i="2" s="1" a="1"/>
  <c r="AE212" i="2" s="1"/>
  <c r="AF212" i="2" s="1" a="1"/>
  <c r="AF212" i="2" s="1"/>
  <c r="AD117" i="2" a="1"/>
  <c r="AD117" i="2" s="1"/>
  <c r="AE117" i="2" s="1" a="1"/>
  <c r="AE117" i="2" s="1"/>
  <c r="AF117" i="2" s="1" a="1"/>
  <c r="AF117" i="2" s="1"/>
  <c r="AD146" i="2" a="1"/>
  <c r="AD146" i="2" s="1"/>
  <c r="AE146" i="2" s="1" a="1"/>
  <c r="AE146" i="2" s="1"/>
  <c r="AF146" i="2" s="1" a="1"/>
  <c r="AF146" i="2" s="1"/>
  <c r="AD153" i="2" a="1"/>
  <c r="AD153" i="2" s="1"/>
  <c r="AE153" i="2" s="1" a="1"/>
  <c r="AE153" i="2" s="1"/>
  <c r="AF153" i="2" s="1" a="1"/>
  <c r="AF153" i="2" s="1"/>
  <c r="AD178" i="2" a="1"/>
  <c r="AD178" i="2" s="1"/>
  <c r="AE178" i="2" s="1" a="1"/>
  <c r="AE178" i="2" s="1"/>
  <c r="AF178" i="2" s="1" a="1"/>
  <c r="AF178" i="2" s="1"/>
  <c r="AD118" i="2" a="1"/>
  <c r="AD118" i="2" s="1"/>
  <c r="AE118" i="2" s="1" a="1"/>
  <c r="AE118" i="2" s="1"/>
  <c r="AF118" i="2" s="1" a="1"/>
  <c r="AF118" i="2" s="1"/>
  <c r="AD68" i="2" a="1"/>
  <c r="AD68" i="2" s="1"/>
  <c r="AE68" i="2" s="1" a="1"/>
  <c r="AE68" i="2" s="1"/>
  <c r="AF68" i="2" s="1" a="1"/>
  <c r="AF68" i="2" s="1"/>
  <c r="AD198" i="2" a="1"/>
  <c r="AD198" i="2" s="1"/>
  <c r="AE198" i="2" s="1" a="1"/>
  <c r="AE198" i="2" s="1"/>
  <c r="AF198" i="2" s="1" a="1"/>
  <c r="AF198" i="2" s="1"/>
  <c r="AD139" i="2" a="1"/>
  <c r="AD139" i="2" s="1"/>
  <c r="AE139" i="2" s="1" a="1"/>
  <c r="AE139" i="2" s="1"/>
  <c r="AF139" i="2" s="1" a="1"/>
  <c r="AF139" i="2" s="1"/>
  <c r="AD156" i="2" a="1"/>
  <c r="AD156" i="2" s="1"/>
  <c r="AE156" i="2" s="1" a="1"/>
  <c r="AE156" i="2" s="1"/>
  <c r="AF156" i="2" s="1" a="1"/>
  <c r="AF156" i="2" s="1"/>
  <c r="AD121" i="2" a="1"/>
  <c r="AD121" i="2" s="1"/>
  <c r="AE121" i="2" s="1" a="1"/>
  <c r="AE121" i="2" s="1"/>
  <c r="AF121" i="2" s="1" a="1"/>
  <c r="AF121" i="2" s="1"/>
  <c r="AD174" i="2" a="1"/>
  <c r="AD174" i="2" s="1"/>
  <c r="AE174" i="2" s="1" a="1"/>
  <c r="AE174" i="2" s="1"/>
  <c r="AF174" i="2" s="1" a="1"/>
  <c r="AF174" i="2" s="1"/>
  <c r="AD137" i="2" a="1"/>
  <c r="AD137" i="2" s="1"/>
  <c r="AE137" i="2" s="1" a="1"/>
  <c r="AE137" i="2" s="1"/>
  <c r="AF137" i="2" s="1" a="1"/>
  <c r="AF137" i="2" s="1"/>
  <c r="AD203" i="2" a="1"/>
  <c r="AD203" i="2" s="1"/>
  <c r="AE203" i="2" s="1" a="1"/>
  <c r="AE203" i="2" s="1"/>
  <c r="AF203" i="2" s="1" a="1"/>
  <c r="AF203" i="2" s="1"/>
  <c r="AD150" i="2" a="1"/>
  <c r="AD150" i="2" s="1"/>
  <c r="AE150" i="2" s="1" a="1"/>
  <c r="AE150" i="2" s="1"/>
  <c r="AF150" i="2" s="1" a="1"/>
  <c r="AF150" i="2" s="1"/>
  <c r="AD209" i="2" a="1"/>
  <c r="AD209" i="2" s="1"/>
  <c r="AE209" i="2" s="1" a="1"/>
  <c r="AE209" i="2" s="1"/>
  <c r="AF209" i="2" s="1" a="1"/>
  <c r="AF209" i="2" s="1"/>
  <c r="AD96" i="2" a="1"/>
  <c r="AD96" i="2" s="1"/>
  <c r="AE96" i="2" s="1" a="1"/>
  <c r="AE96" i="2" s="1"/>
  <c r="AF96" i="2" s="1" a="1"/>
  <c r="AF96" i="2" s="1"/>
  <c r="AD210" i="2" a="1"/>
  <c r="AD210" i="2" s="1"/>
  <c r="AE210" i="2" s="1" a="1"/>
  <c r="AE210" i="2" s="1"/>
  <c r="AF210" i="2" s="1" a="1"/>
  <c r="AF210" i="2" s="1"/>
  <c r="AD160" i="2" a="1"/>
  <c r="AD160" i="2" s="1"/>
  <c r="AE160" i="2" s="1" a="1"/>
  <c r="AE160" i="2" s="1"/>
  <c r="AF160" i="2" s="1" a="1"/>
  <c r="AF160" i="2" s="1"/>
  <c r="AD132" i="2" a="1"/>
  <c r="AD132" i="2" s="1"/>
  <c r="AE132" i="2" s="1" a="1"/>
  <c r="AE132" i="2" s="1"/>
  <c r="AF132" i="2" s="1" a="1"/>
  <c r="AF132" i="2" s="1"/>
  <c r="AD175" i="2" a="1"/>
  <c r="AD175" i="2" s="1"/>
  <c r="AE175" i="2" s="1" a="1"/>
  <c r="AE175" i="2" s="1"/>
  <c r="AF175" i="2" s="1" a="1"/>
  <c r="AF175" i="2" s="1"/>
  <c r="AD130" i="2" a="1"/>
  <c r="AD130" i="2" s="1"/>
  <c r="AE130" i="2" s="1" a="1"/>
  <c r="AE130" i="2" s="1"/>
  <c r="AF130" i="2" s="1" a="1"/>
  <c r="AF130" i="2" s="1"/>
  <c r="AD127" i="2" a="1"/>
  <c r="AD127" i="2" s="1"/>
  <c r="AE127" i="2" s="1" a="1"/>
  <c r="AE127" i="2" s="1"/>
  <c r="AF127" i="2" s="1" a="1"/>
  <c r="AF127" i="2" s="1"/>
  <c r="AD187" i="2" a="1"/>
  <c r="AD187" i="2" s="1"/>
  <c r="AE187" i="2" s="1" a="1"/>
  <c r="AE187" i="2" s="1"/>
  <c r="AF187" i="2" s="1" a="1"/>
  <c r="AF187" i="2" s="1"/>
  <c r="AD202" i="2" a="1"/>
  <c r="AD202" i="2" s="1"/>
  <c r="AE202" i="2" s="1" a="1"/>
  <c r="AE202" i="2" s="1"/>
  <c r="AF202" i="2" s="1" a="1"/>
  <c r="AF202" i="2" s="1"/>
  <c r="AD158" i="2" a="1"/>
  <c r="AD158" i="2" s="1"/>
  <c r="AE158" i="2" s="1" a="1"/>
  <c r="AE158" i="2" s="1"/>
  <c r="AF158" i="2" s="1" a="1"/>
  <c r="AF158" i="2" s="1"/>
  <c r="AD46" i="2" a="1"/>
  <c r="AD46" i="2" s="1"/>
  <c r="AE46" i="2" s="1" a="1"/>
  <c r="AE46" i="2" s="1"/>
  <c r="AF46" i="2" s="1" a="1"/>
  <c r="AF46" i="2" s="1"/>
  <c r="AD189" i="2" a="1"/>
  <c r="AD189" i="2" s="1"/>
  <c r="AE189" i="2" s="1" a="1"/>
  <c r="AE189" i="2" s="1"/>
  <c r="AF189" i="2" s="1" a="1"/>
  <c r="AF189" i="2" s="1"/>
  <c r="AD109" i="2" a="1"/>
  <c r="AD109" i="2" s="1"/>
  <c r="AE109" i="2" s="1" a="1"/>
  <c r="AE109" i="2" s="1"/>
  <c r="AF109" i="2" s="1" a="1"/>
  <c r="AF109" i="2" s="1"/>
  <c r="AD134" i="2" a="1"/>
  <c r="AD134" i="2" s="1"/>
  <c r="AE134" i="2" s="1" a="1"/>
  <c r="AE134" i="2" s="1"/>
  <c r="AF134" i="2" s="1" a="1"/>
  <c r="AF134" i="2" s="1"/>
  <c r="AD136" i="2" a="1"/>
  <c r="AD136" i="2" s="1"/>
  <c r="AE136" i="2" s="1" a="1"/>
  <c r="AE136" i="2" s="1"/>
  <c r="AF136" i="2" s="1" a="1"/>
  <c r="AF136" i="2" s="1"/>
  <c r="AD143" i="2" a="1"/>
  <c r="AD143" i="2" s="1"/>
  <c r="AE143" i="2" s="1" a="1"/>
  <c r="AE143" i="2" s="1"/>
  <c r="AF143" i="2" s="1" a="1"/>
  <c r="AF143" i="2" s="1"/>
  <c r="AD144" i="2" a="1"/>
  <c r="AD144" i="2" s="1"/>
  <c r="AE144" i="2" s="1" a="1"/>
  <c r="AE144" i="2" s="1"/>
  <c r="AF144" i="2" s="1" a="1"/>
  <c r="AF144" i="2" s="1"/>
  <c r="AD64" i="2" a="1"/>
  <c r="AD64" i="2" s="1"/>
  <c r="AE64" i="2" s="1" a="1"/>
  <c r="AE64" i="2" s="1"/>
  <c r="AF64" i="2" s="1" a="1"/>
  <c r="AF64" i="2" s="1"/>
  <c r="AD196" i="2" a="1"/>
  <c r="AD196" i="2" s="1"/>
  <c r="AE196" i="2" s="1" a="1"/>
  <c r="AE196" i="2" s="1"/>
  <c r="AF196" i="2" s="1" a="1"/>
  <c r="AF196" i="2" s="1"/>
  <c r="AD106" i="2" a="1"/>
  <c r="AD106" i="2" s="1"/>
  <c r="AE106" i="2" s="1" a="1"/>
  <c r="AE106" i="2" s="1"/>
  <c r="AF106" i="2" s="1" a="1"/>
  <c r="AF106" i="2" s="1"/>
  <c r="AD201" i="2" a="1"/>
  <c r="AD201" i="2" s="1"/>
  <c r="AE201" i="2" s="1" a="1"/>
  <c r="AE201" i="2" s="1"/>
  <c r="AF201" i="2" s="1" a="1"/>
  <c r="AF201" i="2" s="1"/>
  <c r="AD162" i="2" a="1"/>
  <c r="AD162" i="2" s="1"/>
  <c r="AE162" i="2" s="1" a="1"/>
  <c r="AE162" i="2" s="1"/>
  <c r="AF162" i="2" s="1" a="1"/>
  <c r="AF162" i="2" s="1"/>
  <c r="AD188" i="2" a="1"/>
  <c r="AD188" i="2" s="1"/>
  <c r="AE188" i="2" s="1" a="1"/>
  <c r="AE188" i="2" s="1"/>
  <c r="AF188" i="2" s="1" a="1"/>
  <c r="AF188" i="2" s="1"/>
  <c r="AD107" i="2" a="1"/>
  <c r="AD107" i="2" s="1"/>
  <c r="AE107" i="2" s="1" a="1"/>
  <c r="AE107" i="2" s="1"/>
  <c r="AF107" i="2" s="1" a="1"/>
  <c r="AF107" i="2" s="1"/>
  <c r="AD208" i="2" a="1"/>
  <c r="AD208" i="2" s="1"/>
  <c r="AE208" i="2" s="1" a="1"/>
  <c r="AE208" i="2" s="1"/>
  <c r="AF208" i="2" s="1" a="1"/>
  <c r="AF208" i="2" s="1"/>
  <c r="AD99" i="2" a="1"/>
  <c r="AD99" i="2" s="1"/>
  <c r="AE99" i="2" s="1" a="1"/>
  <c r="AE99" i="2" s="1"/>
  <c r="AF99" i="2" s="1" a="1"/>
  <c r="AF99" i="2" s="1"/>
  <c r="AD199" i="2" a="1"/>
  <c r="AD199" i="2" s="1"/>
  <c r="AE199" i="2" s="1" a="1"/>
  <c r="AE199" i="2" s="1"/>
  <c r="AF199" i="2" s="1" a="1"/>
  <c r="AF199" i="2" s="1"/>
  <c r="AD129" i="2" a="1"/>
  <c r="AD129" i="2" s="1"/>
  <c r="AE129" i="2" s="1" a="1"/>
  <c r="AE129" i="2" s="1"/>
  <c r="AF129" i="2" s="1" a="1"/>
  <c r="AF129" i="2" s="1"/>
  <c r="AD180" i="2" a="1"/>
  <c r="AD180" i="2" s="1"/>
  <c r="AE180" i="2" s="1" a="1"/>
  <c r="AE180" i="2" s="1"/>
  <c r="AF180" i="2" s="1" a="1"/>
  <c r="AF180" i="2" s="1"/>
  <c r="AD140" i="2" a="1"/>
  <c r="AD140" i="2" s="1"/>
  <c r="AE140" i="2" s="1" a="1"/>
  <c r="AE140" i="2" s="1"/>
  <c r="AF140" i="2" s="1" a="1"/>
  <c r="AF140" i="2" s="1"/>
  <c r="AD211" i="2" a="1"/>
  <c r="AD211" i="2" s="1"/>
  <c r="AE211" i="2" s="1" a="1"/>
  <c r="AE211" i="2" s="1"/>
  <c r="AF211" i="2" s="1" a="1"/>
  <c r="AF211" i="2" s="1"/>
  <c r="AD168" i="2" a="1"/>
  <c r="AD168" i="2" s="1"/>
  <c r="AE168" i="2" s="1" a="1"/>
  <c r="AE168" i="2" s="1"/>
  <c r="AF168" i="2" s="1" a="1"/>
  <c r="AF168" i="2" s="1"/>
  <c r="AD167" i="2" a="1"/>
  <c r="AD167" i="2" s="1"/>
  <c r="AE167" i="2" s="1" a="1"/>
  <c r="AE167" i="2" s="1"/>
  <c r="AF167" i="2" s="1" a="1"/>
  <c r="AF167" i="2" s="1"/>
  <c r="AD161" i="2" a="1"/>
  <c r="AD161" i="2" s="1"/>
  <c r="AE161" i="2" s="1" a="1"/>
  <c r="AE161" i="2" s="1"/>
  <c r="AF161" i="2" s="1" a="1"/>
  <c r="AF161" i="2" s="1"/>
  <c r="AD145" i="2" a="1"/>
  <c r="AD145" i="2" s="1"/>
  <c r="AE145" i="2" s="1" a="1"/>
  <c r="AE145" i="2" s="1"/>
  <c r="AF145" i="2" s="1" a="1"/>
  <c r="AF145" i="2" s="1"/>
  <c r="AD111" i="2" a="1"/>
  <c r="AD111" i="2" s="1"/>
  <c r="AE111" i="2" s="1" a="1"/>
  <c r="AE111" i="2" s="1"/>
  <c r="AF111" i="2" s="1" a="1"/>
  <c r="AF111" i="2" s="1"/>
  <c r="AD155" i="2" a="1"/>
  <c r="AD155" i="2" s="1"/>
  <c r="AE155" i="2" s="1" a="1"/>
  <c r="AE155" i="2" s="1"/>
  <c r="AF155" i="2" s="1" a="1"/>
  <c r="AF155" i="2" s="1"/>
  <c r="AD214" i="2" a="1"/>
  <c r="AD214" i="2" s="1"/>
  <c r="AE214" i="2" s="1" a="1"/>
  <c r="AE214" i="2" s="1"/>
  <c r="AF214" i="2" s="1" a="1"/>
  <c r="AF214" i="2" s="1"/>
  <c r="AD185" i="2" a="1"/>
  <c r="AD185" i="2" s="1"/>
  <c r="AE185" i="2" s="1" a="1"/>
  <c r="AE185" i="2" s="1"/>
  <c r="AF185" i="2" s="1" a="1"/>
  <c r="AF185" i="2" s="1"/>
  <c r="AD193" i="2" a="1"/>
  <c r="AD193" i="2" s="1"/>
  <c r="AE193" i="2" s="1" a="1"/>
  <c r="AE193" i="2" s="1"/>
  <c r="AF193" i="2" s="1" a="1"/>
  <c r="AF193" i="2" s="1"/>
  <c r="AD141" i="2" a="1"/>
  <c r="AD141" i="2" s="1"/>
  <c r="AE141" i="2" s="1" a="1"/>
  <c r="AE141" i="2" s="1"/>
  <c r="AF141" i="2" s="1" a="1"/>
  <c r="AF141" i="2" s="1"/>
  <c r="AD165" i="2" a="1"/>
  <c r="AD165" i="2" s="1"/>
  <c r="AE165" i="2" s="1" a="1"/>
  <c r="AE165" i="2" s="1"/>
  <c r="AF165" i="2" s="1" a="1"/>
  <c r="AF165" i="2" s="1"/>
  <c r="AD148" i="2" a="1"/>
  <c r="AD148" i="2" s="1"/>
  <c r="AE148" i="2" s="1" a="1"/>
  <c r="AE148" i="2" s="1"/>
  <c r="AF148" i="2" s="1" a="1"/>
  <c r="AF148" i="2" s="1"/>
  <c r="AD120" i="2" a="1"/>
  <c r="AD120" i="2" s="1"/>
  <c r="AE120" i="2" s="1" a="1"/>
  <c r="AE120" i="2" s="1"/>
  <c r="AF120" i="2" s="1" a="1"/>
  <c r="AF120" i="2" s="1"/>
  <c r="AD184" i="2" a="1"/>
  <c r="AD184" i="2" s="1"/>
  <c r="AE184" i="2" s="1" a="1"/>
  <c r="AE184" i="2" s="1"/>
  <c r="AF184" i="2" s="1" a="1"/>
  <c r="AF184" i="2" s="1"/>
  <c r="AD179" i="2" a="1"/>
  <c r="AD179" i="2" s="1"/>
  <c r="AE179" i="2" s="1" a="1"/>
  <c r="AE179" i="2" s="1"/>
  <c r="AF179" i="2" s="1" a="1"/>
  <c r="AF179" i="2" s="1"/>
  <c r="AD190" i="2" a="1"/>
  <c r="AD190" i="2" s="1"/>
  <c r="AE190" i="2" s="1" a="1"/>
  <c r="AE190" i="2" s="1"/>
  <c r="AF190" i="2" s="1" a="1"/>
  <c r="AF190" i="2" s="1"/>
  <c r="AD110" i="2" a="1"/>
  <c r="AD110" i="2" s="1"/>
  <c r="AE110" i="2" s="1" a="1"/>
  <c r="AE110" i="2" s="1"/>
  <c r="AF110" i="2" s="1" a="1"/>
  <c r="AF110" i="2" s="1"/>
  <c r="AD135" i="2" a="1"/>
  <c r="AD135" i="2" s="1"/>
  <c r="AE135" i="2" s="1" a="1"/>
  <c r="AE135" i="2" s="1"/>
  <c r="AF135" i="2" s="1" a="1"/>
  <c r="AF135" i="2" s="1"/>
  <c r="AD112" i="2" a="1"/>
  <c r="AD112" i="2" s="1"/>
  <c r="AE112" i="2" s="1" a="1"/>
  <c r="AE112" i="2" s="1"/>
  <c r="AF112" i="2" s="1" a="1"/>
  <c r="AF112" i="2" s="1"/>
  <c r="AD159" i="2" a="1"/>
  <c r="AD159" i="2" s="1"/>
  <c r="AE159" i="2" s="1" a="1"/>
  <c r="AE159" i="2" s="1"/>
  <c r="AF159" i="2" s="1" a="1"/>
  <c r="AF159" i="2" s="1"/>
  <c r="AD149" i="2" a="1"/>
  <c r="AD149" i="2" s="1"/>
  <c r="AE149" i="2" s="1" a="1"/>
  <c r="AE149" i="2" s="1"/>
  <c r="AF149" i="2" s="1" a="1"/>
  <c r="AF149" i="2" s="1"/>
  <c r="AD215" i="2" a="1"/>
  <c r="AD215" i="2" s="1"/>
  <c r="AE215" i="2" s="1" a="1"/>
  <c r="AE215" i="2" s="1"/>
  <c r="AF215" i="2" s="1" a="1"/>
  <c r="AF215" i="2" s="1"/>
  <c r="AD152" i="2" a="1"/>
  <c r="AD152" i="2" s="1"/>
  <c r="AE152" i="2" s="1" a="1"/>
  <c r="AE152" i="2" s="1"/>
  <c r="AF152" i="2" s="1" a="1"/>
  <c r="AF152" i="2" s="1"/>
  <c r="AD194" i="2" a="1"/>
  <c r="AD194" i="2" s="1"/>
  <c r="AE194" i="2" s="1" a="1"/>
  <c r="AE194" i="2" s="1"/>
  <c r="AF194" i="2" s="1" a="1"/>
  <c r="AF194" i="2" s="1"/>
  <c r="AD200" i="2" a="1"/>
  <c r="AD200" i="2" s="1"/>
  <c r="AE200" i="2" s="1" a="1"/>
  <c r="AE200" i="2" s="1"/>
  <c r="AF200" i="2" s="1" a="1"/>
  <c r="AF200" i="2" s="1"/>
  <c r="AD177" i="2" a="1"/>
  <c r="AD177" i="2" s="1"/>
  <c r="AE177" i="2" s="1" a="1"/>
  <c r="AE177" i="2" s="1"/>
  <c r="AF177" i="2" s="1" a="1"/>
  <c r="AF177" i="2" s="1"/>
  <c r="AD170" i="2" a="1"/>
  <c r="AD170" i="2" s="1"/>
  <c r="AE170" i="2" s="1" a="1"/>
  <c r="AE170" i="2" s="1"/>
  <c r="AF170" i="2" s="1" a="1"/>
  <c r="AF170" i="2" s="1"/>
  <c r="AD183" i="2" a="1"/>
  <c r="AD183" i="2" s="1"/>
  <c r="AE183" i="2" s="1" a="1"/>
  <c r="AE183" i="2" s="1"/>
  <c r="AF183" i="2" s="1" a="1"/>
  <c r="AF183" i="2" s="1"/>
  <c r="AD176" i="2" a="1"/>
  <c r="AD176" i="2" s="1"/>
  <c r="AE176" i="2" s="1" a="1"/>
  <c r="AE176" i="2" s="1"/>
  <c r="AF176" i="2" s="1" a="1"/>
  <c r="AF176" i="2" s="1"/>
  <c r="AD197" i="2" a="1"/>
  <c r="AD197" i="2" s="1"/>
  <c r="AE197" i="2" s="1" a="1"/>
  <c r="AE197" i="2" s="1"/>
  <c r="AF197" i="2" s="1" a="1"/>
  <c r="AF197" i="2" s="1"/>
  <c r="AD206" i="2" a="1"/>
  <c r="AD206" i="2" s="1"/>
  <c r="AE206" i="2" s="1" a="1"/>
  <c r="AE206" i="2" s="1"/>
  <c r="AF206" i="2" s="1" a="1"/>
  <c r="AF206" i="2" s="1"/>
  <c r="AD116" i="2" a="1"/>
  <c r="AD116" i="2" s="1"/>
  <c r="AE116" i="2" s="1" a="1"/>
  <c r="AE116" i="2" s="1"/>
  <c r="AF116" i="2" s="1" a="1"/>
  <c r="AF116" i="2" s="1"/>
  <c r="AD163" i="2" a="1"/>
  <c r="AD163" i="2" s="1"/>
  <c r="AE163" i="2" s="1" a="1"/>
  <c r="AE163" i="2" s="1"/>
  <c r="AF163" i="2" s="1" a="1"/>
  <c r="AF163" i="2" s="1"/>
  <c r="AD166" i="2" a="1"/>
  <c r="AD166" i="2" s="1"/>
  <c r="AE166" i="2" s="1" a="1"/>
  <c r="AE166" i="2" s="1"/>
  <c r="AF166" i="2" s="1" a="1"/>
  <c r="AF166" i="2" s="1"/>
  <c r="AD66" i="2" a="1"/>
  <c r="AD66" i="2" s="1"/>
  <c r="AE66" i="2" s="1" a="1"/>
  <c r="AE66" i="2" s="1"/>
  <c r="AF66" i="2" s="1" a="1"/>
  <c r="AF66" i="2" s="1"/>
  <c r="AD205" i="2" a="1"/>
  <c r="AD205" i="2" s="1"/>
  <c r="AE205" i="2" s="1" a="1"/>
  <c r="AE205" i="2" s="1"/>
  <c r="AF205" i="2" s="1" a="1"/>
  <c r="AF205" i="2" s="1"/>
  <c r="AD171" i="2" a="1"/>
  <c r="AD171" i="2" s="1"/>
  <c r="AE171" i="2" s="1" a="1"/>
  <c r="AE171" i="2" s="1"/>
  <c r="AF171" i="2" s="1" a="1"/>
  <c r="AF171" i="2" s="1"/>
  <c r="AD192" i="2" a="1"/>
  <c r="AD192" i="2" s="1"/>
  <c r="AE192" i="2" s="1" a="1"/>
  <c r="AE192" i="2" s="1"/>
  <c r="AF192" i="2" s="1" a="1"/>
  <c r="AF192" i="2" s="1"/>
  <c r="AD182" i="2" a="1"/>
  <c r="AD182" i="2" s="1"/>
  <c r="AE182" i="2" s="1" a="1"/>
  <c r="AE182" i="2" s="1"/>
  <c r="AF182" i="2" s="1" a="1"/>
  <c r="AF182" i="2" s="1"/>
  <c r="AD119" i="2" a="1"/>
  <c r="AD119" i="2" s="1"/>
  <c r="AE119" i="2" s="1" a="1"/>
  <c r="AE119" i="2" s="1"/>
  <c r="AF119" i="2" s="1" a="1"/>
  <c r="AF119" i="2" s="1"/>
  <c r="AD124" i="2" a="1"/>
  <c r="AD124" i="2" s="1"/>
  <c r="AE124" i="2" s="1" a="1"/>
  <c r="AE124" i="2" s="1"/>
  <c r="AF124" i="2" s="1" a="1"/>
  <c r="AF124" i="2" s="1"/>
  <c r="AD105" i="2" a="1"/>
  <c r="AD105" i="2" s="1"/>
  <c r="AE105" i="2" s="1" a="1"/>
  <c r="AE105" i="2" s="1"/>
  <c r="AF105" i="2" s="1" a="1"/>
  <c r="AF105" i="2" s="1"/>
  <c r="AD216" i="2" a="1"/>
  <c r="AD216" i="2" s="1"/>
  <c r="AE216" i="2" s="1" a="1"/>
  <c r="AE216" i="2" s="1"/>
  <c r="AF216" i="2" s="1" a="1"/>
  <c r="AF216" i="2" s="1"/>
  <c r="AD172" i="2" a="1"/>
  <c r="AD172" i="2" s="1"/>
  <c r="AE172" i="2" s="1" a="1"/>
  <c r="AE172" i="2" s="1"/>
  <c r="AF172" i="2" s="1" a="1"/>
  <c r="AF172" i="2" s="1"/>
  <c r="AD173" i="2" a="1"/>
  <c r="AD173" i="2" s="1"/>
  <c r="AE173" i="2" s="1" a="1"/>
  <c r="AE173" i="2" s="1"/>
  <c r="AF173" i="2" s="1" a="1"/>
  <c r="AF173" i="2" s="1"/>
  <c r="AD142" i="2" a="1"/>
  <c r="AD142" i="2" s="1"/>
  <c r="AE142" i="2" s="1" a="1"/>
  <c r="AE142" i="2" s="1"/>
  <c r="AF142" i="2" s="1" a="1"/>
  <c r="AF142" i="2" s="1"/>
  <c r="AD122" i="2" a="1"/>
  <c r="AD122" i="2" s="1"/>
  <c r="AE122" i="2" s="1" a="1"/>
  <c r="AE122" i="2" s="1"/>
  <c r="AF122" i="2" s="1" a="1"/>
  <c r="AF122" i="2" s="1"/>
  <c r="AD113" i="2" a="1"/>
  <c r="AD113" i="2" s="1"/>
  <c r="AE113" i="2" s="1" a="1"/>
  <c r="AE113" i="2" s="1"/>
  <c r="AF113" i="2" s="1" a="1"/>
  <c r="AF113" i="2" s="1"/>
  <c r="AD186" i="2" a="1"/>
  <c r="AD186" i="2" s="1"/>
  <c r="AE186" i="2" s="1" a="1"/>
  <c r="AE186" i="2" s="1"/>
  <c r="AF186" i="2" s="1" a="1"/>
  <c r="AF186" i="2" s="1"/>
  <c r="AD151" i="2" a="1"/>
  <c r="AD151" i="2" s="1"/>
  <c r="AE151" i="2" s="1" a="1"/>
  <c r="AE151" i="2" s="1"/>
  <c r="AF151" i="2" s="1" a="1"/>
  <c r="AF151" i="2" s="1"/>
  <c r="AD123" i="2" a="1"/>
  <c r="AD123" i="2" s="1"/>
  <c r="AE123" i="2" s="1" a="1"/>
  <c r="AE123" i="2" s="1"/>
  <c r="AF123" i="2" s="1" a="1"/>
  <c r="AF123" i="2" s="1"/>
  <c r="AD191" i="2" a="1"/>
  <c r="AD191" i="2" s="1"/>
  <c r="AE191" i="2" s="1" a="1"/>
  <c r="AE191" i="2" s="1"/>
  <c r="AF191" i="2" s="1" a="1"/>
  <c r="AF191" i="2" s="1"/>
  <c r="AD63" i="2" a="1"/>
  <c r="AD63" i="2" s="1"/>
  <c r="AE63" i="2" s="1" a="1"/>
  <c r="AE63" i="2" s="1"/>
  <c r="AF63" i="2" s="1" a="1"/>
  <c r="AF63" i="2" s="1"/>
  <c r="AD115" i="2" a="1"/>
  <c r="AD115" i="2" s="1"/>
  <c r="AE115" i="2" s="1" a="1"/>
  <c r="AE115" i="2" s="1"/>
  <c r="AF115" i="2" s="1" a="1"/>
  <c r="AF115" i="2" s="1"/>
  <c r="AD133" i="2" a="1"/>
  <c r="AD133" i="2" s="1"/>
  <c r="AE133" i="2" s="1" a="1"/>
  <c r="AE133" i="2" s="1"/>
  <c r="AF133" i="2" s="1" a="1"/>
  <c r="AF133" i="2" s="1"/>
  <c r="AD138" i="2" a="1"/>
  <c r="AD138" i="2" s="1"/>
  <c r="AE138" i="2" s="1" a="1"/>
  <c r="AE138" i="2" s="1"/>
  <c r="AF138" i="2" s="1" a="1"/>
  <c r="AF138" i="2" s="1"/>
  <c r="AD131" i="2" a="1"/>
  <c r="AD131" i="2" s="1"/>
  <c r="AE131" i="2" s="1" a="1"/>
  <c r="AE131" i="2" s="1"/>
  <c r="AF131" i="2" s="1" a="1"/>
  <c r="AF131" i="2" s="1"/>
  <c r="AD213" i="2" a="1"/>
  <c r="AD213" i="2" s="1"/>
  <c r="AE213" i="2" s="1" a="1"/>
  <c r="AE213" i="2" s="1"/>
  <c r="AF213" i="2" s="1" a="1"/>
  <c r="AF213" i="2" s="1"/>
  <c r="AD126" i="2" a="1"/>
  <c r="AD126" i="2" s="1"/>
  <c r="AE126" i="2" s="1" a="1"/>
  <c r="AE126" i="2" s="1"/>
  <c r="AF126" i="2" s="1" a="1"/>
  <c r="AF126" i="2" s="1"/>
  <c r="AD108" i="2" a="1"/>
  <c r="AD108" i="2" s="1"/>
  <c r="AE108" i="2" s="1" a="1"/>
  <c r="AE108" i="2" s="1"/>
  <c r="AF108" i="2" s="1" a="1"/>
  <c r="AF108" i="2" s="1"/>
  <c r="AD128" i="2" a="1"/>
  <c r="AD128" i="2" s="1"/>
  <c r="AE128" i="2" s="1" a="1"/>
  <c r="AE128" i="2" s="1"/>
  <c r="AF128" i="2" s="1" a="1"/>
  <c r="AF128" i="2" s="1"/>
  <c r="AD23" i="2" a="1"/>
  <c r="AD23" i="2" s="1"/>
  <c r="AE23" i="2" s="1" a="1"/>
  <c r="AE23" i="2" s="1"/>
  <c r="AF23" i="2" s="1" a="1"/>
  <c r="AF23" i="2" s="1"/>
  <c r="AD15" i="2" a="1"/>
  <c r="AD15" i="2" s="1"/>
  <c r="AE15" i="2" s="1" a="1"/>
  <c r="AE15" i="2" s="1"/>
  <c r="AF15" i="2" s="1" a="1"/>
  <c r="AF15" i="2" s="1"/>
  <c r="AD19" i="2" a="1"/>
  <c r="AD19" i="2" s="1"/>
  <c r="AE19" i="2" s="1" a="1"/>
  <c r="AE19" i="2" s="1"/>
  <c r="AF19" i="2" s="1" a="1"/>
  <c r="AF19" i="2" s="1"/>
  <c r="AD26" i="2" a="1"/>
  <c r="AD26" i="2" s="1"/>
  <c r="AE26" i="2" s="1" a="1"/>
  <c r="AE26" i="2" s="1"/>
  <c r="AF26" i="2" s="1" a="1"/>
  <c r="AF26" i="2" s="1"/>
  <c r="AD30" i="2" a="1"/>
  <c r="AD30" i="2" s="1"/>
  <c r="AE30" i="2" s="1" a="1"/>
  <c r="AE30" i="2" s="1"/>
  <c r="AF30" i="2" s="1" a="1"/>
  <c r="AF30" i="2" s="1"/>
  <c r="AD11" i="2" a="1"/>
  <c r="AD11" i="2" s="1"/>
  <c r="AE11" i="2" s="1" a="1"/>
  <c r="AE11" i="2" s="1"/>
  <c r="AF11" i="2" s="1" a="1"/>
  <c r="AF11" i="2" s="1"/>
  <c r="AD16" i="2" a="1"/>
  <c r="AD16" i="2" s="1"/>
  <c r="AE16" i="2" s="1" a="1"/>
  <c r="AE16" i="2" s="1"/>
  <c r="AF16" i="2" s="1" a="1"/>
  <c r="AF16" i="2" s="1"/>
  <c r="AD17" i="2" a="1"/>
  <c r="AD17" i="2" s="1"/>
  <c r="AE17" i="2" s="1" a="1"/>
  <c r="AE17" i="2" s="1"/>
  <c r="AF17" i="2" s="1" a="1"/>
  <c r="AF17" i="2" s="1"/>
  <c r="AD24" i="2" a="1"/>
  <c r="AD24" i="2" s="1"/>
  <c r="AE24" i="2" s="1" a="1"/>
  <c r="AE24" i="2" s="1"/>
  <c r="AF24" i="2" s="1" a="1"/>
  <c r="AF24" i="2" s="1"/>
  <c r="AD21" i="2" a="1"/>
  <c r="AD21" i="2" s="1"/>
  <c r="AE21" i="2" s="1" a="1"/>
  <c r="AE21" i="2" s="1"/>
  <c r="AF21" i="2" s="1" a="1"/>
  <c r="AF21" i="2" s="1"/>
  <c r="AD20" i="2" a="1"/>
  <c r="AD20" i="2" s="1"/>
  <c r="AE20" i="2" s="1" a="1"/>
  <c r="AE20" i="2" s="1"/>
  <c r="AF20" i="2" s="1" a="1"/>
  <c r="AF20" i="2" s="1"/>
  <c r="AD25" i="2" a="1"/>
  <c r="AD25" i="2" s="1"/>
  <c r="AE25" i="2" s="1" a="1"/>
  <c r="AE25" i="2" s="1"/>
  <c r="AF25" i="2" s="1" a="1"/>
  <c r="AF25" i="2" s="1"/>
  <c r="AD13" i="2" a="1"/>
  <c r="AD13" i="2" s="1"/>
  <c r="AE13" i="2" s="1" a="1"/>
  <c r="AE13" i="2" s="1"/>
  <c r="AF13" i="2" s="1" a="1"/>
  <c r="AF13" i="2" s="1"/>
  <c r="AD12" i="2" a="1"/>
  <c r="AD12" i="2" s="1"/>
  <c r="AE12" i="2" s="1" a="1"/>
  <c r="AE12" i="2" s="1"/>
  <c r="AF12" i="2" s="1" a="1"/>
  <c r="AF12" i="2" s="1"/>
  <c r="AD28" i="2" a="1"/>
  <c r="AD28" i="2" s="1"/>
  <c r="AE28" i="2" s="1" a="1"/>
  <c r="AE28" i="2" s="1"/>
  <c r="AF28" i="2" s="1" a="1"/>
  <c r="AF28" i="2" s="1"/>
  <c r="AD22" i="2" a="1"/>
  <c r="AD22" i="2" s="1"/>
  <c r="AE22" i="2" s="1" a="1"/>
  <c r="AE22" i="2" s="1"/>
  <c r="AF22" i="2" s="1" a="1"/>
  <c r="AF22" i="2" s="1"/>
  <c r="AD14" i="2" a="1"/>
  <c r="AD14" i="2" s="1"/>
  <c r="AE14" i="2" s="1" a="1"/>
  <c r="AE14" i="2" s="1"/>
  <c r="AF14" i="2" s="1" a="1"/>
  <c r="AF14" i="2" s="1"/>
  <c r="AD8" i="2" a="1"/>
  <c r="AD8" i="2" s="1"/>
  <c r="AE8" i="2" s="1" a="1"/>
  <c r="AE8" i="2" s="1"/>
  <c r="AF8" i="2" s="1" a="1"/>
  <c r="AF8" i="2" s="1"/>
  <c r="AD7" i="2" a="1"/>
  <c r="AD7" i="2" s="1"/>
  <c r="AE7" i="2" s="1" a="1"/>
  <c r="AE7" i="2" s="1"/>
  <c r="AF7" i="2" s="1" a="1"/>
  <c r="AF7" i="2" s="1"/>
  <c r="AE476" i="2" a="1"/>
  <c r="AE476" i="2" s="1"/>
  <c r="AF476" i="2" s="1" a="1"/>
  <c r="AF476" i="2" s="1"/>
  <c r="AG476" i="2" s="1"/>
  <c r="AE404" i="2" a="1"/>
  <c r="AE404" i="2" s="1"/>
  <c r="AF404" i="2" s="1" a="1"/>
  <c r="AF404" i="2" s="1"/>
  <c r="AG404" i="2" s="1"/>
  <c r="AE511" i="2" a="1"/>
  <c r="AE511" i="2" s="1"/>
  <c r="AF511" i="2" s="1" a="1"/>
  <c r="AF511" i="2" s="1"/>
  <c r="AG511" i="2" s="1"/>
  <c r="AE338" i="2" a="1"/>
  <c r="AE338" i="2" s="1"/>
  <c r="AF338" i="2" s="1" a="1"/>
  <c r="AF338" i="2" s="1"/>
  <c r="AG338" i="2" s="1"/>
  <c r="AE468" i="2" a="1"/>
  <c r="AE468" i="2" s="1"/>
  <c r="AF468" i="2" s="1" a="1"/>
  <c r="AF468" i="2" s="1"/>
  <c r="AG468" i="2" s="1"/>
  <c r="AE433" i="2" a="1"/>
  <c r="AE433" i="2" s="1"/>
  <c r="AF433" i="2" s="1" a="1"/>
  <c r="AF433" i="2" s="1"/>
  <c r="AG433" i="2" s="1"/>
  <c r="AE400" i="2" a="1"/>
  <c r="AE400" i="2" s="1"/>
  <c r="AF400" i="2" s="1" a="1"/>
  <c r="AF400" i="2" s="1"/>
  <c r="AG400" i="2" s="1"/>
  <c r="AE485" i="2" a="1"/>
  <c r="AE485" i="2" s="1"/>
  <c r="AF485" i="2" s="1" a="1"/>
  <c r="AF485" i="2" s="1"/>
  <c r="AG485" i="2" s="1"/>
  <c r="AE463" i="2" a="1"/>
  <c r="AE463" i="2" s="1"/>
  <c r="AF463" i="2" s="1" a="1"/>
  <c r="AF463" i="2" s="1"/>
  <c r="AG463" i="2" s="1"/>
  <c r="AE389" i="2" a="1"/>
  <c r="AE389" i="2" s="1"/>
  <c r="AF389" i="2" s="1" a="1"/>
  <c r="AF389" i="2" s="1"/>
  <c r="AG389" i="2" s="1"/>
  <c r="AE461" i="2" a="1"/>
  <c r="AE461" i="2" s="1"/>
  <c r="AF461" i="2" s="1" a="1"/>
  <c r="AF461" i="2" s="1"/>
  <c r="AG461" i="2" s="1"/>
  <c r="AE494" i="2" a="1"/>
  <c r="AE494" i="2" s="1"/>
  <c r="AF494" i="2" s="1" a="1"/>
  <c r="AF494" i="2" s="1"/>
  <c r="AG494" i="2" s="1"/>
  <c r="AE443" i="2" a="1"/>
  <c r="AE443" i="2" s="1"/>
  <c r="AF443" i="2" s="1" a="1"/>
  <c r="AF443" i="2" s="1"/>
  <c r="AG443" i="2" s="1"/>
  <c r="AE414" i="2" a="1"/>
  <c r="AE414" i="2" s="1"/>
  <c r="AF414" i="2" s="1" a="1"/>
  <c r="AF414" i="2" s="1"/>
  <c r="AG414" i="2" s="1"/>
  <c r="AE401" i="2" a="1"/>
  <c r="AE401" i="2" s="1"/>
  <c r="AF401" i="2" s="1" a="1"/>
  <c r="AF401" i="2" s="1"/>
  <c r="AG401" i="2" s="1"/>
  <c r="AE489" i="2" a="1"/>
  <c r="AE489" i="2" s="1"/>
  <c r="AF489" i="2" s="1" a="1"/>
  <c r="AF489" i="2" s="1"/>
  <c r="AG489" i="2" s="1"/>
  <c r="AE334" i="2" a="1"/>
  <c r="AE334" i="2" s="1"/>
  <c r="AF334" i="2" s="1" a="1"/>
  <c r="AF334" i="2" s="1"/>
  <c r="AG334" i="2" s="1"/>
  <c r="AE317" i="2" a="1"/>
  <c r="AE317" i="2" s="1"/>
  <c r="AF317" i="2" s="1" a="1"/>
  <c r="AF317" i="2" s="1"/>
  <c r="AG317" i="2" s="1"/>
  <c r="AE366" i="2" a="1"/>
  <c r="AE366" i="2" s="1"/>
  <c r="AF366" i="2" s="1" a="1"/>
  <c r="AF366" i="2" s="1"/>
  <c r="AG366" i="2" s="1"/>
  <c r="AE310" i="2" a="1"/>
  <c r="AE310" i="2" s="1"/>
  <c r="AF310" i="2" s="1" a="1"/>
  <c r="AF310" i="2" s="1"/>
  <c r="AG310" i="2" s="1"/>
  <c r="AE354" i="2" a="1"/>
  <c r="AE354" i="2" s="1"/>
  <c r="AF354" i="2" s="1" a="1"/>
  <c r="AF354" i="2" s="1"/>
  <c r="AG354" i="2" s="1"/>
  <c r="AE247" i="2" a="1"/>
  <c r="AE247" i="2" s="1"/>
  <c r="AE251" i="2" a="1"/>
  <c r="AE251" i="2" s="1"/>
  <c r="AF251" i="2" s="1" a="1"/>
  <c r="AF251" i="2" s="1"/>
  <c r="AG251" i="2" s="1"/>
  <c r="AE250" i="2" a="1"/>
  <c r="AE250" i="2" s="1"/>
  <c r="AF250" i="2" s="1" a="1"/>
  <c r="AF250" i="2" s="1"/>
  <c r="AG250" i="2" s="1"/>
  <c r="AE290" i="2" a="1"/>
  <c r="AE290" i="2" s="1"/>
  <c r="AF290" i="2" s="1" a="1"/>
  <c r="AF290" i="2" s="1"/>
  <c r="AG290" i="2" s="1"/>
  <c r="AE223" i="2" a="1"/>
  <c r="AE223" i="2" s="1"/>
  <c r="AF223" i="2" s="1" a="1"/>
  <c r="AF223" i="2" s="1"/>
  <c r="AG223" i="2" s="1"/>
  <c r="D280" i="8"/>
  <c r="C281" i="8"/>
  <c r="AD5" i="2" a="1"/>
  <c r="AD5" i="2" s="1"/>
  <c r="AE217" i="2" a="1"/>
  <c r="AE217" i="2" s="1"/>
  <c r="AF217" i="2" s="1" a="1"/>
  <c r="AF217" i="2" s="1"/>
  <c r="AG4" i="8"/>
  <c r="C40" i="8"/>
  <c r="D39" i="8"/>
  <c r="X4" i="8"/>
  <c r="AA4" i="8" s="1"/>
  <c r="AD4" i="8" s="1"/>
  <c r="Z4" i="8"/>
  <c r="AC4" i="8" s="1"/>
  <c r="AF4" i="8" s="1"/>
  <c r="Y4" i="8"/>
  <c r="AB4" i="8" s="1"/>
  <c r="AE4" i="8" s="1"/>
  <c r="AF380" i="2" l="1" a="1"/>
  <c r="AF380" i="2" s="1"/>
  <c r="AG380" i="2" s="1"/>
  <c r="AF244" i="2" a="1"/>
  <c r="AF244" i="2" s="1"/>
  <c r="AG244" i="2" s="1"/>
  <c r="AF255" i="2" a="1"/>
  <c r="AF255" i="2" s="1"/>
  <c r="AG255" i="2" s="1"/>
  <c r="AF281" i="2" a="1"/>
  <c r="AF281" i="2" s="1"/>
  <c r="AG281" i="2" s="1"/>
  <c r="AF247" i="2" a="1"/>
  <c r="AF247" i="2" s="1"/>
  <c r="AG247" i="2" s="1"/>
  <c r="AF243" i="2" a="1"/>
  <c r="AF243" i="2" s="1"/>
  <c r="AG243" i="2" s="1"/>
  <c r="AF275" i="2" a="1"/>
  <c r="AF275" i="2" s="1"/>
  <c r="AG275" i="2" s="1"/>
  <c r="AF297" i="2" a="1"/>
  <c r="AF297" i="2" s="1"/>
  <c r="AG297" i="2" s="1"/>
  <c r="AF276" i="2" a="1"/>
  <c r="AF276" i="2" s="1"/>
  <c r="AG276" i="2" s="1"/>
  <c r="AF294" i="2" a="1"/>
  <c r="AF294" i="2" s="1"/>
  <c r="AG294" i="2" s="1"/>
  <c r="AF261" i="2" a="1"/>
  <c r="AF261" i="2" s="1"/>
  <c r="AG261" i="2" s="1"/>
  <c r="AF269" i="2" a="1"/>
  <c r="AF269" i="2" s="1"/>
  <c r="AG269" i="2" s="1"/>
  <c r="AF254" i="2" a="1"/>
  <c r="AF254" i="2" s="1"/>
  <c r="AG254" i="2" s="1"/>
  <c r="C282" i="8"/>
  <c r="D281" i="8"/>
  <c r="AF286" i="2" a="1"/>
  <c r="AF286" i="2" s="1"/>
  <c r="AG286" i="2" s="1"/>
  <c r="AF268" i="2" a="1"/>
  <c r="AF268" i="2" s="1"/>
  <c r="AG268" i="2" s="1"/>
  <c r="AF280" i="2" a="1"/>
  <c r="AF280" i="2" s="1"/>
  <c r="AG280" i="2" s="1"/>
  <c r="AF272" i="2" a="1"/>
  <c r="AF272" i="2" s="1"/>
  <c r="AG272" i="2" s="1"/>
  <c r="AF224" i="2" a="1"/>
  <c r="AF224" i="2" s="1"/>
  <c r="AG224" i="2" s="1"/>
  <c r="AF273" i="2" a="1"/>
  <c r="AF273" i="2" s="1"/>
  <c r="AG273" i="2" s="1"/>
  <c r="AF241" i="2" a="1"/>
  <c r="AF241" i="2" s="1"/>
  <c r="AG241" i="2" s="1"/>
  <c r="AF230" i="2" a="1"/>
  <c r="AF230" i="2" s="1"/>
  <c r="AG230" i="2" s="1"/>
  <c r="AE5" i="2" a="1"/>
  <c r="AE5" i="2" s="1"/>
  <c r="AF5" i="2" s="1" a="1"/>
  <c r="AF5" i="2" s="1"/>
  <c r="AF4" i="2" a="1"/>
  <c r="AF4" i="2" s="1"/>
  <c r="AG4" i="2" s="1"/>
  <c r="AH4" i="2" s="1"/>
  <c r="D215" i="8"/>
  <c r="C41" i="8"/>
  <c r="D40" i="8"/>
  <c r="AG8" i="2"/>
  <c r="AG29" i="2"/>
  <c r="AG58" i="2"/>
  <c r="AH58" i="2" s="1"/>
  <c r="AM58" i="2" s="1"/>
  <c r="BC58" i="2" s="1"/>
  <c r="AG83" i="2"/>
  <c r="AG108" i="2"/>
  <c r="AG17" i="2"/>
  <c r="AG12" i="2"/>
  <c r="AG94" i="2"/>
  <c r="AG11" i="2"/>
  <c r="AG173" i="2"/>
  <c r="AG137" i="2"/>
  <c r="AG65" i="2"/>
  <c r="AH65" i="2" s="1"/>
  <c r="AM65" i="2" s="1"/>
  <c r="BC65" i="2" s="1"/>
  <c r="AG82" i="2"/>
  <c r="AG96" i="2"/>
  <c r="AG44" i="2"/>
  <c r="AG215" i="2"/>
  <c r="AG121" i="2"/>
  <c r="AG214" i="2"/>
  <c r="AG43" i="2"/>
  <c r="AG33" i="2"/>
  <c r="AG88" i="2"/>
  <c r="AG192" i="2"/>
  <c r="AG74" i="2"/>
  <c r="AG91" i="2"/>
  <c r="AG140" i="2"/>
  <c r="AG98" i="2"/>
  <c r="AG187" i="2"/>
  <c r="AG70" i="2"/>
  <c r="AG85" i="2"/>
  <c r="AG211" i="2"/>
  <c r="AG106" i="2"/>
  <c r="AG176" i="2"/>
  <c r="AG199" i="2"/>
  <c r="AG135" i="2"/>
  <c r="AG182" i="2"/>
  <c r="AG198" i="2"/>
  <c r="AG80" i="2"/>
  <c r="AG213" i="2"/>
  <c r="AG31" i="2"/>
  <c r="AG27" i="2"/>
  <c r="AG189" i="2"/>
  <c r="AG129" i="2"/>
  <c r="AG99" i="2"/>
  <c r="AG7" i="2"/>
  <c r="AG116" i="2"/>
  <c r="AG39" i="2"/>
  <c r="AG217" i="2"/>
  <c r="AG169" i="2"/>
  <c r="AG178" i="2"/>
  <c r="AG103" i="2"/>
  <c r="AG64" i="2"/>
  <c r="AH64" i="2" s="1"/>
  <c r="AM64" i="2" s="1"/>
  <c r="BC64" i="2" s="1"/>
  <c r="AG87" i="2"/>
  <c r="AG21" i="2"/>
  <c r="AG32" i="2"/>
  <c r="AG67" i="2"/>
  <c r="AH67" i="2" s="1"/>
  <c r="AM67" i="2" s="1"/>
  <c r="BC67" i="2" s="1"/>
  <c r="AG126" i="2"/>
  <c r="AG123" i="2"/>
  <c r="AG109" i="2"/>
  <c r="AG150" i="2"/>
  <c r="AG69" i="2"/>
  <c r="AG41" i="2"/>
  <c r="AG50" i="2"/>
  <c r="AH50" i="2" s="1"/>
  <c r="AM50" i="2" s="1"/>
  <c r="BC50" i="2" s="1"/>
  <c r="AG159" i="2"/>
  <c r="AG157" i="2"/>
  <c r="AG42" i="2"/>
  <c r="AG92" i="2"/>
  <c r="AG130" i="2"/>
  <c r="AG133" i="2"/>
  <c r="AG145" i="2"/>
  <c r="AG191" i="2"/>
  <c r="AG155" i="2"/>
  <c r="AG55" i="2"/>
  <c r="AH55" i="2" s="1"/>
  <c r="AM55" i="2" s="1"/>
  <c r="BC55" i="2" s="1"/>
  <c r="AG112" i="2"/>
  <c r="AG113" i="2"/>
  <c r="AG62" i="2"/>
  <c r="AH62" i="2" s="1"/>
  <c r="AM62" i="2" s="1"/>
  <c r="BC62" i="2" s="1"/>
  <c r="AG148" i="2"/>
  <c r="AG36" i="2"/>
  <c r="AG153" i="2"/>
  <c r="AG134" i="2"/>
  <c r="AG37" i="2"/>
  <c r="AG141" i="2"/>
  <c r="AG16" i="2"/>
  <c r="AG209" i="2"/>
  <c r="AG53" i="2"/>
  <c r="AH53" i="2" s="1"/>
  <c r="AM53" i="2" s="1"/>
  <c r="BC53" i="2" s="1"/>
  <c r="AG71" i="2"/>
  <c r="AG183" i="2"/>
  <c r="AG81" i="2"/>
  <c r="AG22" i="2"/>
  <c r="AG203" i="2"/>
  <c r="AG28" i="2"/>
  <c r="AG52" i="2"/>
  <c r="AH52" i="2" s="1"/>
  <c r="AM52" i="2" s="1"/>
  <c r="BC52" i="2" s="1"/>
  <c r="AG204" i="2"/>
  <c r="AG179" i="2"/>
  <c r="AG160" i="2"/>
  <c r="AG161" i="2"/>
  <c r="AG190" i="2"/>
  <c r="AG122" i="2"/>
  <c r="AG186" i="2"/>
  <c r="AG63" i="2"/>
  <c r="AH63" i="2" s="1"/>
  <c r="AM63" i="2" s="1"/>
  <c r="BC63" i="2" s="1"/>
  <c r="AG212" i="2"/>
  <c r="AG120" i="2"/>
  <c r="AG181" i="2"/>
  <c r="AG86" i="2"/>
  <c r="AG110" i="2"/>
  <c r="AG84" i="2"/>
  <c r="AG117" i="2"/>
  <c r="AG51" i="2"/>
  <c r="AH51" i="2" s="1"/>
  <c r="AM51" i="2" s="1"/>
  <c r="BC51" i="2" s="1"/>
  <c r="AG60" i="2"/>
  <c r="AH60" i="2" s="1"/>
  <c r="AM60" i="2" s="1"/>
  <c r="BC60" i="2" s="1"/>
  <c r="AG15" i="2"/>
  <c r="AG93" i="2"/>
  <c r="AG57" i="2"/>
  <c r="AH57" i="2" s="1"/>
  <c r="AM57" i="2" s="1"/>
  <c r="BC57" i="2" s="1"/>
  <c r="AG136" i="2"/>
  <c r="AG10" i="2"/>
  <c r="AG156" i="2"/>
  <c r="AG206" i="2"/>
  <c r="AG139" i="2"/>
  <c r="AG56" i="2"/>
  <c r="AH56" i="2" s="1"/>
  <c r="AM56" i="2" s="1"/>
  <c r="BC56" i="2" s="1"/>
  <c r="AG9" i="2"/>
  <c r="AG163" i="2"/>
  <c r="AG46" i="2"/>
  <c r="AG180" i="2"/>
  <c r="AG174" i="2"/>
  <c r="AG66" i="2"/>
  <c r="AH66" i="2" s="1"/>
  <c r="AM66" i="2" s="1"/>
  <c r="BC66" i="2" s="1"/>
  <c r="AG167" i="2"/>
  <c r="AG205" i="2"/>
  <c r="AG216" i="2"/>
  <c r="AG143" i="2"/>
  <c r="AG200" i="2"/>
  <c r="AG18" i="2"/>
  <c r="AG207" i="2"/>
  <c r="AG25" i="2"/>
  <c r="AG194" i="2"/>
  <c r="AG147" i="2"/>
  <c r="AG144" i="2"/>
  <c r="AG76" i="2"/>
  <c r="AG131" i="2"/>
  <c r="AG47" i="2"/>
  <c r="AH47" i="2" s="1"/>
  <c r="AM47" i="2" s="1"/>
  <c r="BC47" i="2" s="1"/>
  <c r="AG162" i="2"/>
  <c r="AG185" i="2"/>
  <c r="AG164" i="2"/>
  <c r="AG24" i="2"/>
  <c r="AG119" i="2"/>
  <c r="AG35" i="2"/>
  <c r="AG30" i="2"/>
  <c r="AG78" i="2"/>
  <c r="AG151" i="2"/>
  <c r="AG142" i="2"/>
  <c r="AG54" i="2"/>
  <c r="AH54" i="2" s="1"/>
  <c r="AM54" i="2" s="1"/>
  <c r="BC54" i="2" s="1"/>
  <c r="AG95" i="2"/>
  <c r="AG166" i="2"/>
  <c r="AG89" i="2"/>
  <c r="AG201" i="2"/>
  <c r="AG48" i="2"/>
  <c r="AH48" i="2" s="1"/>
  <c r="AM48" i="2" s="1"/>
  <c r="BC48" i="2" s="1"/>
  <c r="AG132" i="2"/>
  <c r="AG115" i="2"/>
  <c r="AG49" i="2"/>
  <c r="AH49" i="2" s="1"/>
  <c r="AM49" i="2" s="1"/>
  <c r="BC49" i="2" s="1"/>
  <c r="AG104" i="2"/>
  <c r="AG118" i="2"/>
  <c r="AG107" i="2"/>
  <c r="AG172" i="2"/>
  <c r="AG45" i="2"/>
  <c r="AG188" i="2"/>
  <c r="AG196" i="2"/>
  <c r="AG79" i="2"/>
  <c r="AG111" i="2"/>
  <c r="AG72" i="2"/>
  <c r="AG14" i="2"/>
  <c r="AG75" i="2"/>
  <c r="AG19" i="2"/>
  <c r="AG184" i="2"/>
  <c r="AG193" i="2"/>
  <c r="AG152" i="2"/>
  <c r="AG177" i="2"/>
  <c r="AG34" i="2"/>
  <c r="AG90" i="2"/>
  <c r="AG6" i="2"/>
  <c r="AG20" i="2"/>
  <c r="AG171" i="2"/>
  <c r="AG149" i="2"/>
  <c r="AG102" i="2"/>
  <c r="AG128" i="2"/>
  <c r="AG175" i="2"/>
  <c r="AG68" i="2"/>
  <c r="AG13" i="2"/>
  <c r="AG208" i="2"/>
  <c r="AG127" i="2"/>
  <c r="AG73" i="2"/>
  <c r="AG100" i="2"/>
  <c r="AG114" i="2"/>
  <c r="AG59" i="2"/>
  <c r="AH59" i="2" s="1"/>
  <c r="AM59" i="2" s="1"/>
  <c r="BC59" i="2" s="1"/>
  <c r="AG154" i="2"/>
  <c r="AG105" i="2"/>
  <c r="AG146" i="2"/>
  <c r="AG101" i="2"/>
  <c r="AG23" i="2"/>
  <c r="AG38" i="2"/>
  <c r="AG197" i="2"/>
  <c r="AG195" i="2"/>
  <c r="AG158" i="2"/>
  <c r="AG138" i="2"/>
  <c r="AG40" i="2"/>
  <c r="AG170" i="2"/>
  <c r="AG26" i="2"/>
  <c r="AG97" i="2"/>
  <c r="AG61" i="2"/>
  <c r="AH61" i="2" s="1"/>
  <c r="AM61" i="2" s="1"/>
  <c r="BC61" i="2" s="1"/>
  <c r="AG210" i="2"/>
  <c r="AG168" i="2"/>
  <c r="AG165" i="2"/>
  <c r="AG202" i="2"/>
  <c r="AG124" i="2"/>
  <c r="AG77" i="2"/>
  <c r="AH77" i="2" s="1"/>
  <c r="AM77" i="2" s="1"/>
  <c r="BC77" i="2" s="1"/>
  <c r="C283" i="8" l="1"/>
  <c r="D282" i="8"/>
  <c r="AG5" i="2"/>
  <c r="AH5" i="2" s="1"/>
  <c r="AM5" i="2" s="1"/>
  <c r="BC5" i="2" s="1"/>
  <c r="AM4" i="2"/>
  <c r="BC4" i="2" s="1"/>
  <c r="AH180" i="2"/>
  <c r="AM180" i="2" s="1"/>
  <c r="BC180" i="2" s="1"/>
  <c r="AH84" i="2"/>
  <c r="AM84" i="2" s="1"/>
  <c r="BC84" i="2" s="1"/>
  <c r="AH203" i="2"/>
  <c r="AM203" i="2" s="1"/>
  <c r="BC203" i="2" s="1"/>
  <c r="AH112" i="2"/>
  <c r="AM112" i="2" s="1"/>
  <c r="BC112" i="2" s="1"/>
  <c r="AH123" i="2"/>
  <c r="AM123" i="2" s="1"/>
  <c r="BC123" i="2" s="1"/>
  <c r="AH189" i="2"/>
  <c r="AM189" i="2" s="1"/>
  <c r="BC189" i="2" s="1"/>
  <c r="AH140" i="2"/>
  <c r="AM140" i="2" s="1"/>
  <c r="BC140" i="2" s="1"/>
  <c r="AH11" i="2"/>
  <c r="AM11" i="2" s="1"/>
  <c r="BC11" i="2" s="1"/>
  <c r="AH22" i="2"/>
  <c r="AM22" i="2" s="1"/>
  <c r="BC22" i="2" s="1"/>
  <c r="AH91" i="2"/>
  <c r="AM91" i="2" s="1"/>
  <c r="BC91" i="2" s="1"/>
  <c r="AH94" i="2"/>
  <c r="AM94" i="2" s="1"/>
  <c r="BC94" i="2" s="1"/>
  <c r="AH128" i="2"/>
  <c r="AM128" i="2" s="1"/>
  <c r="BC128" i="2" s="1"/>
  <c r="AH111" i="2"/>
  <c r="AM111" i="2" s="1"/>
  <c r="BC111" i="2" s="1"/>
  <c r="AH76" i="2"/>
  <c r="AM76" i="2" s="1"/>
  <c r="BC76" i="2" s="1"/>
  <c r="AH163" i="2"/>
  <c r="AM163" i="2" s="1"/>
  <c r="BC163" i="2" s="1"/>
  <c r="AH86" i="2"/>
  <c r="AM86" i="2" s="1"/>
  <c r="BC86" i="2" s="1"/>
  <c r="AH81" i="2"/>
  <c r="AM81" i="2" s="1"/>
  <c r="BC81" i="2" s="1"/>
  <c r="AH155" i="2"/>
  <c r="AM155" i="2" s="1"/>
  <c r="BC155" i="2" s="1"/>
  <c r="AH31" i="2"/>
  <c r="AM31" i="2" s="1"/>
  <c r="BC31" i="2" s="1"/>
  <c r="AH74" i="2"/>
  <c r="AM74" i="2" s="1"/>
  <c r="BC74" i="2" s="1"/>
  <c r="AH12" i="2"/>
  <c r="AH14" i="2"/>
  <c r="AM14" i="2" s="1"/>
  <c r="BC14" i="2" s="1"/>
  <c r="AH197" i="2"/>
  <c r="AM197" i="2" s="1"/>
  <c r="BC197" i="2" s="1"/>
  <c r="AH89" i="2"/>
  <c r="AM89" i="2" s="1"/>
  <c r="BC89" i="2" s="1"/>
  <c r="AH38" i="2"/>
  <c r="AM38" i="2" s="1"/>
  <c r="BC38" i="2" s="1"/>
  <c r="AH102" i="2"/>
  <c r="AM102" i="2" s="1"/>
  <c r="BC102" i="2" s="1"/>
  <c r="AH79" i="2"/>
  <c r="AM79" i="2" s="1"/>
  <c r="BC79" i="2" s="1"/>
  <c r="AH166" i="2"/>
  <c r="AM166" i="2" s="1"/>
  <c r="BC166" i="2" s="1"/>
  <c r="AH144" i="2"/>
  <c r="AM144" i="2" s="1"/>
  <c r="BC144" i="2" s="1"/>
  <c r="AH9" i="2"/>
  <c r="AM9" i="2" s="1"/>
  <c r="BC9" i="2" s="1"/>
  <c r="AH181" i="2"/>
  <c r="AM181" i="2" s="1"/>
  <c r="BC181" i="2" s="1"/>
  <c r="AH183" i="2"/>
  <c r="AM183" i="2" s="1"/>
  <c r="BC183" i="2" s="1"/>
  <c r="AH191" i="2"/>
  <c r="AM191" i="2" s="1"/>
  <c r="BC191" i="2" s="1"/>
  <c r="AH32" i="2"/>
  <c r="AM32" i="2" s="1"/>
  <c r="BC32" i="2" s="1"/>
  <c r="AH213" i="2"/>
  <c r="AM213" i="2" s="1"/>
  <c r="BC213" i="2" s="1"/>
  <c r="AH192" i="2"/>
  <c r="AM192" i="2" s="1"/>
  <c r="BC192" i="2" s="1"/>
  <c r="AH17" i="2"/>
  <c r="AM17" i="2" s="1"/>
  <c r="BC17" i="2" s="1"/>
  <c r="AH72" i="2"/>
  <c r="AM72" i="2" s="1"/>
  <c r="BC72" i="2" s="1"/>
  <c r="AH95" i="2"/>
  <c r="AM95" i="2" s="1"/>
  <c r="BC95" i="2" s="1"/>
  <c r="AH120" i="2"/>
  <c r="AM120" i="2" s="1"/>
  <c r="BC120" i="2" s="1"/>
  <c r="AH71" i="2"/>
  <c r="AM71" i="2" s="1"/>
  <c r="BC71" i="2" s="1"/>
  <c r="AH145" i="2"/>
  <c r="AM145" i="2" s="1"/>
  <c r="BC145" i="2" s="1"/>
  <c r="AH21" i="2"/>
  <c r="AM21" i="2" s="1"/>
  <c r="BC21" i="2" s="1"/>
  <c r="AH80" i="2"/>
  <c r="AM80" i="2" s="1"/>
  <c r="BC80" i="2" s="1"/>
  <c r="AH88" i="2"/>
  <c r="AM88" i="2" s="1"/>
  <c r="BC88" i="2" s="1"/>
  <c r="AH108" i="2"/>
  <c r="AM108" i="2" s="1"/>
  <c r="BC108" i="2" s="1"/>
  <c r="AH68" i="2"/>
  <c r="AM68" i="2" s="1"/>
  <c r="BC68" i="2" s="1"/>
  <c r="AH196" i="2"/>
  <c r="AM196" i="2" s="1"/>
  <c r="BC196" i="2" s="1"/>
  <c r="AH101" i="2"/>
  <c r="AM101" i="2" s="1"/>
  <c r="BC101" i="2" s="1"/>
  <c r="AH171" i="2"/>
  <c r="AM171" i="2" s="1"/>
  <c r="BC171" i="2" s="1"/>
  <c r="AH194" i="2"/>
  <c r="AM194" i="2" s="1"/>
  <c r="BC194" i="2" s="1"/>
  <c r="AH139" i="2"/>
  <c r="AM139" i="2" s="1"/>
  <c r="BC139" i="2" s="1"/>
  <c r="AH212" i="2"/>
  <c r="AM212" i="2" s="1"/>
  <c r="BC212" i="2" s="1"/>
  <c r="AH133" i="2"/>
  <c r="AM133" i="2" s="1"/>
  <c r="BC133" i="2" s="1"/>
  <c r="AH87" i="2"/>
  <c r="AM87" i="2" s="1"/>
  <c r="BC87" i="2" s="1"/>
  <c r="AH198" i="2"/>
  <c r="AM198" i="2" s="1"/>
  <c r="BC198" i="2" s="1"/>
  <c r="AH33" i="2"/>
  <c r="AM33" i="2" s="1"/>
  <c r="BC33" i="2" s="1"/>
  <c r="AH83" i="2"/>
  <c r="AM83" i="2" s="1"/>
  <c r="BC83" i="2" s="1"/>
  <c r="AH110" i="2"/>
  <c r="AM110" i="2" s="1"/>
  <c r="BC110" i="2" s="1"/>
  <c r="AH149" i="2"/>
  <c r="AM149" i="2" s="1"/>
  <c r="BC149" i="2" s="1"/>
  <c r="AH124" i="2"/>
  <c r="AM124" i="2" s="1"/>
  <c r="BC124" i="2" s="1"/>
  <c r="AH146" i="2"/>
  <c r="AM146" i="2" s="1"/>
  <c r="BC146" i="2" s="1"/>
  <c r="AH20" i="2"/>
  <c r="AM20" i="2" s="1"/>
  <c r="BC20" i="2" s="1"/>
  <c r="AH188" i="2"/>
  <c r="AM188" i="2" s="1"/>
  <c r="BC188" i="2" s="1"/>
  <c r="AH142" i="2"/>
  <c r="AM142" i="2" s="1"/>
  <c r="BC142" i="2" s="1"/>
  <c r="AH25" i="2"/>
  <c r="AM25" i="2" s="1"/>
  <c r="BC25" i="2" s="1"/>
  <c r="AH206" i="2"/>
  <c r="AM206" i="2" s="1"/>
  <c r="BC206" i="2" s="1"/>
  <c r="AH209" i="2"/>
  <c r="AM209" i="2" s="1"/>
  <c r="BC209" i="2" s="1"/>
  <c r="AH130" i="2"/>
  <c r="AM130" i="2" s="1"/>
  <c r="BC130" i="2" s="1"/>
  <c r="AH182" i="2"/>
  <c r="AM182" i="2" s="1"/>
  <c r="BC182" i="2" s="1"/>
  <c r="AH43" i="2"/>
  <c r="AM43" i="2" s="1"/>
  <c r="BC43" i="2" s="1"/>
  <c r="AH158" i="2"/>
  <c r="AM158" i="2" s="1"/>
  <c r="BC158" i="2" s="1"/>
  <c r="AH201" i="2"/>
  <c r="AM201" i="2" s="1"/>
  <c r="BC201" i="2" s="1"/>
  <c r="AH147" i="2"/>
  <c r="AM147" i="2" s="1"/>
  <c r="BC147" i="2" s="1"/>
  <c r="AH202" i="2"/>
  <c r="AM202" i="2" s="1"/>
  <c r="BC202" i="2" s="1"/>
  <c r="AH165" i="2"/>
  <c r="AM165" i="2" s="1"/>
  <c r="BC165" i="2" s="1"/>
  <c r="AH105" i="2"/>
  <c r="AM105" i="2" s="1"/>
  <c r="BC105" i="2" s="1"/>
  <c r="AH6" i="2"/>
  <c r="AM6" i="2" s="1"/>
  <c r="BC6" i="2" s="1"/>
  <c r="AH45" i="2"/>
  <c r="AM45" i="2" s="1"/>
  <c r="BC45" i="2" s="1"/>
  <c r="AH151" i="2"/>
  <c r="AM151" i="2" s="1"/>
  <c r="BC151" i="2" s="1"/>
  <c r="AH207" i="2"/>
  <c r="AM207" i="2" s="1"/>
  <c r="BC207" i="2" s="1"/>
  <c r="AH156" i="2"/>
  <c r="AM156" i="2" s="1"/>
  <c r="BC156" i="2" s="1"/>
  <c r="AH186" i="2"/>
  <c r="AM186" i="2" s="1"/>
  <c r="BC186" i="2" s="1"/>
  <c r="AH16" i="2"/>
  <c r="AM16" i="2" s="1"/>
  <c r="BC16" i="2" s="1"/>
  <c r="AH92" i="2"/>
  <c r="AM92" i="2" s="1"/>
  <c r="BC92" i="2" s="1"/>
  <c r="AH103" i="2"/>
  <c r="AM103" i="2" s="1"/>
  <c r="BC103" i="2" s="1"/>
  <c r="AH135" i="2"/>
  <c r="AM135" i="2" s="1"/>
  <c r="BC135" i="2" s="1"/>
  <c r="AH214" i="2"/>
  <c r="AM214" i="2" s="1"/>
  <c r="BC214" i="2" s="1"/>
  <c r="AH175" i="2"/>
  <c r="AM175" i="2" s="1"/>
  <c r="BC175" i="2" s="1"/>
  <c r="AH154" i="2"/>
  <c r="AM154" i="2" s="1"/>
  <c r="BC154" i="2" s="1"/>
  <c r="AH172" i="2"/>
  <c r="AM172" i="2" s="1"/>
  <c r="BC172" i="2" s="1"/>
  <c r="AH78" i="2"/>
  <c r="AM78" i="2" s="1"/>
  <c r="BC78" i="2" s="1"/>
  <c r="AH18" i="2"/>
  <c r="AM18" i="2" s="1"/>
  <c r="BC18" i="2" s="1"/>
  <c r="AH10" i="2"/>
  <c r="AM10" i="2" s="1"/>
  <c r="BC10" i="2" s="1"/>
  <c r="AH122" i="2"/>
  <c r="AM122" i="2" s="1"/>
  <c r="BC122" i="2" s="1"/>
  <c r="AH141" i="2"/>
  <c r="AM141" i="2" s="1"/>
  <c r="BC141" i="2" s="1"/>
  <c r="AH42" i="2"/>
  <c r="AM42" i="2" s="1"/>
  <c r="BC42" i="2" s="1"/>
  <c r="AH178" i="2"/>
  <c r="AM178" i="2" s="1"/>
  <c r="BC178" i="2" s="1"/>
  <c r="AH199" i="2"/>
  <c r="AM199" i="2" s="1"/>
  <c r="BC199" i="2" s="1"/>
  <c r="AH121" i="2"/>
  <c r="AM121" i="2" s="1"/>
  <c r="BC121" i="2" s="1"/>
  <c r="AH29" i="2"/>
  <c r="AM29" i="2" s="1"/>
  <c r="BC29" i="2" s="1"/>
  <c r="AH195" i="2"/>
  <c r="AM195" i="2" s="1"/>
  <c r="BC195" i="2" s="1"/>
  <c r="AH210" i="2"/>
  <c r="AM210" i="2" s="1"/>
  <c r="BC210" i="2" s="1"/>
  <c r="AH30" i="2"/>
  <c r="AM30" i="2" s="1"/>
  <c r="BC30" i="2" s="1"/>
  <c r="AH200" i="2"/>
  <c r="AM200" i="2" s="1"/>
  <c r="BC200" i="2" s="1"/>
  <c r="AH136" i="2"/>
  <c r="AM136" i="2" s="1"/>
  <c r="BC136" i="2" s="1"/>
  <c r="AH190" i="2"/>
  <c r="AM190" i="2" s="1"/>
  <c r="BC190" i="2" s="1"/>
  <c r="AH37" i="2"/>
  <c r="AM37" i="2" s="1"/>
  <c r="BC37" i="2" s="1"/>
  <c r="AH157" i="2"/>
  <c r="AM157" i="2" s="1"/>
  <c r="BC157" i="2" s="1"/>
  <c r="AH169" i="2"/>
  <c r="AM169" i="2" s="1"/>
  <c r="BC169" i="2" s="1"/>
  <c r="AH176" i="2"/>
  <c r="AM176" i="2" s="1"/>
  <c r="BC176" i="2" s="1"/>
  <c r="AH215" i="2"/>
  <c r="AM215" i="2" s="1"/>
  <c r="BC215" i="2" s="1"/>
  <c r="AH8" i="2"/>
  <c r="AM8" i="2" s="1"/>
  <c r="BC8" i="2" s="1"/>
  <c r="AH161" i="2"/>
  <c r="AM161" i="2" s="1"/>
  <c r="BC161" i="2" s="1"/>
  <c r="AH134" i="2"/>
  <c r="AM134" i="2" s="1"/>
  <c r="BC134" i="2" s="1"/>
  <c r="AH159" i="2"/>
  <c r="AM159" i="2" s="1"/>
  <c r="BC159" i="2" s="1"/>
  <c r="AH217" i="2"/>
  <c r="AM217" i="2" s="1"/>
  <c r="BC217" i="2" s="1"/>
  <c r="AH106" i="2"/>
  <c r="AM106" i="2" s="1"/>
  <c r="BC106" i="2" s="1"/>
  <c r="AH44" i="2"/>
  <c r="AM44" i="2" s="1"/>
  <c r="BC44" i="2" s="1"/>
  <c r="AH46" i="2"/>
  <c r="AM46" i="2" s="1"/>
  <c r="BC46" i="2" s="1"/>
  <c r="AH23" i="2"/>
  <c r="AM23" i="2" s="1"/>
  <c r="BC23" i="2" s="1"/>
  <c r="AH107" i="2"/>
  <c r="AM107" i="2" s="1"/>
  <c r="BC107" i="2" s="1"/>
  <c r="AH177" i="2"/>
  <c r="AM177" i="2" s="1"/>
  <c r="BC177" i="2" s="1"/>
  <c r="AH118" i="2"/>
  <c r="AM118" i="2" s="1"/>
  <c r="BC118" i="2" s="1"/>
  <c r="AH97" i="2"/>
  <c r="AM97" i="2" s="1"/>
  <c r="BC97" i="2" s="1"/>
  <c r="AH100" i="2"/>
  <c r="AM100" i="2" s="1"/>
  <c r="BC100" i="2" s="1"/>
  <c r="AH152" i="2"/>
  <c r="AM152" i="2" s="1"/>
  <c r="BC152" i="2" s="1"/>
  <c r="AH104" i="2"/>
  <c r="AM104" i="2" s="1"/>
  <c r="BC104" i="2" s="1"/>
  <c r="AH119" i="2"/>
  <c r="AM119" i="2" s="1"/>
  <c r="BC119" i="2" s="1"/>
  <c r="AH216" i="2"/>
  <c r="AM216" i="2" s="1"/>
  <c r="BC216" i="2" s="1"/>
  <c r="AH93" i="2"/>
  <c r="AM93" i="2" s="1"/>
  <c r="BC93" i="2" s="1"/>
  <c r="AH160" i="2"/>
  <c r="AM160" i="2" s="1"/>
  <c r="BC160" i="2" s="1"/>
  <c r="AH153" i="2"/>
  <c r="AM153" i="2" s="1"/>
  <c r="BC153" i="2" s="1"/>
  <c r="AH39" i="2"/>
  <c r="AM39" i="2" s="1"/>
  <c r="BC39" i="2" s="1"/>
  <c r="AH211" i="2"/>
  <c r="AM211" i="2" s="1"/>
  <c r="BC211" i="2" s="1"/>
  <c r="AH96" i="2"/>
  <c r="AM96" i="2" s="1"/>
  <c r="BC96" i="2" s="1"/>
  <c r="AH131" i="2"/>
  <c r="AM131" i="2" s="1"/>
  <c r="BC131" i="2" s="1"/>
  <c r="AH35" i="2"/>
  <c r="AM35" i="2" s="1"/>
  <c r="BC35" i="2" s="1"/>
  <c r="AH26" i="2"/>
  <c r="AM26" i="2" s="1"/>
  <c r="BC26" i="2" s="1"/>
  <c r="AH73" i="2"/>
  <c r="AM73" i="2" s="1"/>
  <c r="BC73" i="2" s="1"/>
  <c r="AH193" i="2"/>
  <c r="AM193" i="2" s="1"/>
  <c r="BC193" i="2" s="1"/>
  <c r="AH24" i="2"/>
  <c r="AM24" i="2" s="1"/>
  <c r="BC24" i="2" s="1"/>
  <c r="AH205" i="2"/>
  <c r="AM205" i="2" s="1"/>
  <c r="BC205" i="2" s="1"/>
  <c r="AH15" i="2"/>
  <c r="AM15" i="2" s="1"/>
  <c r="BC15" i="2" s="1"/>
  <c r="AH179" i="2"/>
  <c r="AM179" i="2" s="1"/>
  <c r="BC179" i="2" s="1"/>
  <c r="AH36" i="2"/>
  <c r="AM36" i="2" s="1"/>
  <c r="BC36" i="2" s="1"/>
  <c r="AH41" i="2"/>
  <c r="AM41" i="2" s="1"/>
  <c r="BC41" i="2" s="1"/>
  <c r="AH116" i="2"/>
  <c r="AM116" i="2" s="1"/>
  <c r="BC116" i="2" s="1"/>
  <c r="AH85" i="2"/>
  <c r="AM85" i="2" s="1"/>
  <c r="BC85" i="2" s="1"/>
  <c r="AH82" i="2"/>
  <c r="AM82" i="2" s="1"/>
  <c r="BC82" i="2" s="1"/>
  <c r="AH168" i="2"/>
  <c r="AM168" i="2" s="1"/>
  <c r="BC168" i="2" s="1"/>
  <c r="AH114" i="2"/>
  <c r="AM114" i="2" s="1"/>
  <c r="BC114" i="2" s="1"/>
  <c r="AH143" i="2"/>
  <c r="AM143" i="2" s="1"/>
  <c r="BC143" i="2" s="1"/>
  <c r="AH170" i="2"/>
  <c r="AM170" i="2" s="1"/>
  <c r="BC170" i="2" s="1"/>
  <c r="AH127" i="2"/>
  <c r="AM127" i="2" s="1"/>
  <c r="BC127" i="2" s="1"/>
  <c r="AH184" i="2"/>
  <c r="AM184" i="2" s="1"/>
  <c r="BC184" i="2" s="1"/>
  <c r="AH164" i="2"/>
  <c r="AM164" i="2" s="1"/>
  <c r="BC164" i="2" s="1"/>
  <c r="AH167" i="2"/>
  <c r="AM167" i="2" s="1"/>
  <c r="BC167" i="2" s="1"/>
  <c r="AH204" i="2"/>
  <c r="AM204" i="2" s="1"/>
  <c r="BC204" i="2" s="1"/>
  <c r="AH148" i="2"/>
  <c r="AM148" i="2" s="1"/>
  <c r="BC148" i="2" s="1"/>
  <c r="AH69" i="2"/>
  <c r="AM69" i="2" s="1"/>
  <c r="BC69" i="2" s="1"/>
  <c r="AH7" i="2"/>
  <c r="AM7" i="2" s="1"/>
  <c r="BC7" i="2" s="1"/>
  <c r="AH70" i="2"/>
  <c r="AM70" i="2" s="1"/>
  <c r="BC70" i="2" s="1"/>
  <c r="AH126" i="2"/>
  <c r="AM126" i="2" s="1"/>
  <c r="BC126" i="2" s="1"/>
  <c r="AH90" i="2"/>
  <c r="AM90" i="2" s="1"/>
  <c r="BC90" i="2" s="1"/>
  <c r="AH208" i="2"/>
  <c r="AM208" i="2" s="1"/>
  <c r="BC208" i="2" s="1"/>
  <c r="AH115" i="2"/>
  <c r="AM115" i="2" s="1"/>
  <c r="BC115" i="2" s="1"/>
  <c r="AH185" i="2"/>
  <c r="AM185" i="2" s="1"/>
  <c r="BC185" i="2" s="1"/>
  <c r="AH150" i="2"/>
  <c r="AM150" i="2" s="1"/>
  <c r="BC150" i="2" s="1"/>
  <c r="AH99" i="2"/>
  <c r="AM99" i="2" s="1"/>
  <c r="BC99" i="2" s="1"/>
  <c r="AH187" i="2"/>
  <c r="AM187" i="2" s="1"/>
  <c r="BC187" i="2" s="1"/>
  <c r="AH137" i="2"/>
  <c r="AM137" i="2" s="1"/>
  <c r="BC137" i="2" s="1"/>
  <c r="AH27" i="2"/>
  <c r="AM27" i="2" s="1"/>
  <c r="BC27" i="2" s="1"/>
  <c r="AH34" i="2"/>
  <c r="AM34" i="2" s="1"/>
  <c r="BC34" i="2" s="1"/>
  <c r="AH40" i="2"/>
  <c r="AM40" i="2" s="1"/>
  <c r="BC40" i="2" s="1"/>
  <c r="AH19" i="2"/>
  <c r="AM19" i="2" s="1"/>
  <c r="BC19" i="2" s="1"/>
  <c r="AH138" i="2"/>
  <c r="AM138" i="2" s="1"/>
  <c r="BC138" i="2" s="1"/>
  <c r="AH13" i="2"/>
  <c r="AM13" i="2" s="1"/>
  <c r="BC13" i="2" s="1"/>
  <c r="AH75" i="2"/>
  <c r="AM75" i="2" s="1"/>
  <c r="BC75" i="2" s="1"/>
  <c r="AH132" i="2"/>
  <c r="AM132" i="2" s="1"/>
  <c r="BC132" i="2" s="1"/>
  <c r="AH162" i="2"/>
  <c r="AM162" i="2" s="1"/>
  <c r="BC162" i="2" s="1"/>
  <c r="AH174" i="2"/>
  <c r="AM174" i="2" s="1"/>
  <c r="BC174" i="2" s="1"/>
  <c r="AH117" i="2"/>
  <c r="AM117" i="2" s="1"/>
  <c r="BC117" i="2" s="1"/>
  <c r="AH28" i="2"/>
  <c r="AM28" i="2" s="1"/>
  <c r="BC28" i="2" s="1"/>
  <c r="AH113" i="2"/>
  <c r="AM113" i="2" s="1"/>
  <c r="BC113" i="2" s="1"/>
  <c r="AH109" i="2"/>
  <c r="AM109" i="2" s="1"/>
  <c r="BC109" i="2" s="1"/>
  <c r="AH129" i="2"/>
  <c r="AM129" i="2" s="1"/>
  <c r="BC129" i="2" s="1"/>
  <c r="AH98" i="2"/>
  <c r="AM98" i="2" s="1"/>
  <c r="BC98" i="2" s="1"/>
  <c r="AH173" i="2"/>
  <c r="AM173" i="2" s="1"/>
  <c r="BC173" i="2" s="1"/>
  <c r="D216" i="8"/>
  <c r="C42" i="8"/>
  <c r="D41" i="8"/>
  <c r="C284" i="8" l="1"/>
  <c r="D283" i="8"/>
  <c r="AM12" i="2"/>
  <c r="BC12" i="2" s="1"/>
  <c r="D217" i="8"/>
  <c r="C43" i="8"/>
  <c r="D42" i="8"/>
  <c r="C285" i="8" l="1"/>
  <c r="D284" i="8"/>
  <c r="D218" i="8"/>
  <c r="C44" i="8"/>
  <c r="D43" i="8"/>
  <c r="C286" i="8" l="1"/>
  <c r="D285" i="8"/>
  <c r="D221" i="8"/>
  <c r="D219" i="8"/>
  <c r="D220" i="8"/>
  <c r="C45" i="8"/>
  <c r="D44" i="8"/>
  <c r="C287" i="8" l="1"/>
  <c r="D286" i="8"/>
  <c r="D222" i="8"/>
  <c r="C46" i="8"/>
  <c r="D45" i="8"/>
  <c r="C288" i="8" l="1"/>
  <c r="D287" i="8"/>
  <c r="D223" i="8"/>
  <c r="C47" i="8"/>
  <c r="D46" i="8"/>
  <c r="D288" i="8" l="1"/>
  <c r="C289" i="8"/>
  <c r="D224" i="8"/>
  <c r="C48" i="8"/>
  <c r="D47" i="8"/>
  <c r="D289" i="8" l="1"/>
  <c r="C290" i="8"/>
  <c r="D225" i="8"/>
  <c r="C49" i="8"/>
  <c r="D48" i="8"/>
  <c r="D290" i="8" l="1"/>
  <c r="C291" i="8"/>
  <c r="D226" i="8"/>
  <c r="C50" i="8"/>
  <c r="D49" i="8"/>
  <c r="D291" i="8" l="1"/>
  <c r="C292" i="8"/>
  <c r="D227" i="8"/>
  <c r="C51" i="8"/>
  <c r="D50" i="8"/>
  <c r="D292" i="8" l="1"/>
  <c r="C293" i="8"/>
  <c r="C52" i="8"/>
  <c r="D51" i="8"/>
  <c r="C294" i="8" l="1"/>
  <c r="D293" i="8"/>
  <c r="C53" i="8"/>
  <c r="D52" i="8"/>
  <c r="C295" i="8" l="1"/>
  <c r="D294" i="8"/>
  <c r="C54" i="8"/>
  <c r="D53" i="8"/>
  <c r="D295" i="8" l="1"/>
  <c r="C296" i="8"/>
  <c r="C55" i="8"/>
  <c r="D54" i="8"/>
  <c r="D296" i="8" l="1"/>
  <c r="C297" i="8"/>
  <c r="C56" i="8"/>
  <c r="D55" i="8"/>
  <c r="C298" i="8" l="1"/>
  <c r="D297" i="8"/>
  <c r="C57" i="8"/>
  <c r="D56" i="8"/>
  <c r="C299" i="8" l="1"/>
  <c r="D298" i="8"/>
  <c r="C58" i="8"/>
  <c r="D57" i="8"/>
  <c r="C300" i="8" l="1"/>
  <c r="C301" i="8" s="1"/>
  <c r="D299" i="8"/>
  <c r="C59" i="8"/>
  <c r="D58" i="8"/>
  <c r="D301" i="8" l="1"/>
  <c r="D300" i="8"/>
  <c r="C60" i="8"/>
  <c r="D59" i="8"/>
  <c r="C61" i="8" l="1"/>
  <c r="D60" i="8"/>
  <c r="C62" i="8" l="1"/>
  <c r="D61" i="8"/>
  <c r="C63" i="8" l="1"/>
  <c r="D62" i="8"/>
  <c r="C64" i="8" l="1"/>
  <c r="D63" i="8"/>
  <c r="C65" i="8" l="1"/>
  <c r="D64" i="8"/>
  <c r="C66" i="8" l="1"/>
  <c r="D65" i="8"/>
  <c r="C67" i="8" l="1"/>
  <c r="D66" i="8"/>
  <c r="C68" i="8" l="1"/>
  <c r="D67" i="8"/>
  <c r="C69" i="8" l="1"/>
  <c r="D68" i="8"/>
  <c r="C70" i="8" l="1"/>
  <c r="D69" i="8"/>
  <c r="C71" i="8" l="1"/>
  <c r="D70" i="8"/>
  <c r="C72" i="8" l="1"/>
  <c r="D71" i="8"/>
  <c r="C73" i="8" l="1"/>
  <c r="D72" i="8"/>
  <c r="C74" i="8" l="1"/>
  <c r="D73" i="8"/>
  <c r="C75" i="8" l="1"/>
  <c r="D74" i="8"/>
  <c r="C76" i="8" l="1"/>
  <c r="D75" i="8"/>
  <c r="C77" i="8" l="1"/>
  <c r="D76" i="8"/>
  <c r="C78" i="8" l="1"/>
  <c r="D77" i="8"/>
  <c r="C79" i="8" l="1"/>
  <c r="D78" i="8"/>
  <c r="C80" i="8" l="1"/>
  <c r="D79" i="8"/>
  <c r="D80" i="8" l="1"/>
  <c r="C81" i="8"/>
  <c r="D81" i="8" l="1"/>
  <c r="C82" i="8"/>
  <c r="D82" i="8" l="1"/>
  <c r="C83" i="8"/>
  <c r="D83" i="8" l="1"/>
  <c r="C84" i="8"/>
  <c r="C85" i="8" l="1"/>
  <c r="D84" i="8"/>
  <c r="C86" i="8" l="1"/>
  <c r="D85" i="8"/>
  <c r="C87" i="8" l="1"/>
  <c r="D86" i="8"/>
  <c r="D87" i="8" l="1"/>
  <c r="C88" i="8"/>
  <c r="C89" i="8" l="1"/>
  <c r="D88" i="8"/>
  <c r="C90" i="8" l="1"/>
  <c r="D89" i="8"/>
  <c r="C91" i="8" l="1"/>
  <c r="D90" i="8"/>
  <c r="C92" i="8" l="1"/>
  <c r="D91" i="8"/>
  <c r="D92" i="8" l="1"/>
  <c r="C93" i="8"/>
  <c r="C94" i="8" l="1"/>
  <c r="D93" i="8"/>
  <c r="C95" i="8" l="1"/>
  <c r="D94" i="8"/>
  <c r="C96" i="8" l="1"/>
  <c r="D95" i="8"/>
  <c r="C97" i="8" l="1"/>
  <c r="D96" i="8"/>
  <c r="C98" i="8" l="1"/>
  <c r="D97" i="8"/>
  <c r="C99" i="8" l="1"/>
  <c r="D98" i="8"/>
  <c r="C100" i="8" l="1"/>
  <c r="D99" i="8"/>
  <c r="C101" i="8" l="1"/>
  <c r="D100" i="8"/>
  <c r="C102" i="8" l="1"/>
  <c r="D101" i="8"/>
  <c r="D102" i="8" l="1"/>
  <c r="C103" i="8"/>
  <c r="C104" i="8" l="1"/>
  <c r="D103" i="8"/>
  <c r="C105" i="8" l="1"/>
  <c r="D104" i="8"/>
  <c r="C106" i="8" l="1"/>
  <c r="D105" i="8"/>
  <c r="C107" i="8" l="1"/>
  <c r="D106" i="8"/>
  <c r="C108" i="8" l="1"/>
  <c r="D107" i="8"/>
  <c r="C109" i="8" l="1"/>
  <c r="D108" i="8"/>
  <c r="C110" i="8" l="1"/>
  <c r="D109" i="8"/>
  <c r="D110" i="8" l="1"/>
  <c r="C111" i="8"/>
  <c r="C112" i="8" l="1"/>
  <c r="D111" i="8"/>
  <c r="D112" i="8" l="1"/>
  <c r="C113" i="8"/>
  <c r="C114" i="8" l="1"/>
  <c r="D113" i="8"/>
  <c r="D114" i="8" l="1"/>
  <c r="C115" i="8"/>
  <c r="C116" i="8" l="1"/>
  <c r="D115" i="8"/>
  <c r="D116" i="8" l="1"/>
  <c r="C117" i="8"/>
  <c r="D117" i="8" l="1"/>
  <c r="C118" i="8"/>
  <c r="C119" i="8" l="1"/>
  <c r="D118" i="8"/>
  <c r="C120" i="8" l="1"/>
  <c r="D119" i="8"/>
  <c r="C121" i="8" l="1"/>
  <c r="D120" i="8"/>
  <c r="C122" i="8" l="1"/>
  <c r="D121" i="8"/>
  <c r="C123" i="8" l="1"/>
  <c r="D122" i="8"/>
  <c r="C124" i="8" l="1"/>
  <c r="D123" i="8"/>
  <c r="C125" i="8" l="1"/>
  <c r="D124" i="8"/>
  <c r="C126" i="8" l="1"/>
  <c r="D125" i="8"/>
  <c r="C127" i="8" l="1"/>
  <c r="D126" i="8"/>
  <c r="C128" i="8" l="1"/>
  <c r="D127" i="8"/>
  <c r="C129" i="8" l="1"/>
  <c r="D128" i="8"/>
  <c r="C130" i="8" l="1"/>
  <c r="D129" i="8"/>
  <c r="C131" i="8" l="1"/>
  <c r="D130" i="8"/>
  <c r="C132" i="8" l="1"/>
  <c r="D131" i="8"/>
  <c r="C133" i="8" l="1"/>
  <c r="D132" i="8"/>
  <c r="C134" i="8" l="1"/>
  <c r="D133" i="8"/>
  <c r="C135" i="8" l="1"/>
  <c r="D134" i="8"/>
  <c r="C136" i="8" l="1"/>
  <c r="D135" i="8"/>
  <c r="C137" i="8" l="1"/>
  <c r="D136" i="8"/>
  <c r="C138" i="8" l="1"/>
  <c r="D137" i="8"/>
  <c r="C139" i="8" l="1"/>
  <c r="D138" i="8"/>
  <c r="C140" i="8" l="1"/>
  <c r="D139" i="8"/>
  <c r="C141" i="8" l="1"/>
  <c r="D140" i="8"/>
  <c r="C142" i="8" l="1"/>
  <c r="D141" i="8"/>
  <c r="C143" i="8" l="1"/>
  <c r="D142" i="8"/>
  <c r="C144" i="8" l="1"/>
  <c r="D143" i="8"/>
  <c r="C145" i="8" l="1"/>
  <c r="D144" i="8"/>
  <c r="C146" i="8" l="1"/>
  <c r="D145" i="8"/>
  <c r="C147" i="8" l="1"/>
  <c r="D146" i="8"/>
  <c r="C148" i="8" l="1"/>
  <c r="D147" i="8"/>
  <c r="C149" i="8" l="1"/>
  <c r="D148" i="8"/>
  <c r="C150" i="8" l="1"/>
  <c r="D149" i="8"/>
  <c r="C151" i="8" l="1"/>
  <c r="D150" i="8"/>
  <c r="C152" i="8" l="1"/>
  <c r="D151" i="8"/>
  <c r="C153" i="8" l="1"/>
  <c r="D152" i="8"/>
  <c r="C154" i="8" l="1"/>
  <c r="D153" i="8"/>
  <c r="C155" i="8" l="1"/>
  <c r="D154" i="8"/>
  <c r="C156" i="8" l="1"/>
  <c r="D155" i="8"/>
  <c r="D156" i="8" l="1"/>
  <c r="C157" i="8"/>
  <c r="C158" i="8" l="1"/>
  <c r="D157" i="8"/>
  <c r="C159" i="8" l="1"/>
  <c r="D158" i="8"/>
  <c r="C160" i="8" l="1"/>
  <c r="D159" i="8"/>
  <c r="C161" i="8" l="1"/>
  <c r="D160" i="8"/>
  <c r="C162" i="8" l="1"/>
  <c r="D161" i="8"/>
  <c r="C163" i="8" l="1"/>
  <c r="D162" i="8"/>
  <c r="C164" i="8" l="1"/>
  <c r="D163" i="8"/>
  <c r="C165" i="8" l="1"/>
  <c r="D164" i="8"/>
  <c r="C166" i="8" l="1"/>
  <c r="D165" i="8"/>
  <c r="C167" i="8" l="1"/>
  <c r="D166" i="8"/>
  <c r="C168" i="8" l="1"/>
  <c r="D167" i="8"/>
  <c r="C169" i="8" l="1"/>
  <c r="D168" i="8"/>
  <c r="C170" i="8" l="1"/>
  <c r="D169" i="8"/>
  <c r="C171" i="8" l="1"/>
  <c r="D170" i="8"/>
  <c r="C172" i="8" l="1"/>
  <c r="D171" i="8"/>
  <c r="C173" i="8" l="1"/>
  <c r="D172" i="8"/>
  <c r="C174" i="8" l="1"/>
  <c r="D173" i="8"/>
  <c r="C175" i="8" l="1"/>
  <c r="D174" i="8"/>
  <c r="C176" i="8" l="1"/>
  <c r="D175" i="8"/>
  <c r="C177" i="8" l="1"/>
  <c r="D176" i="8"/>
  <c r="C178" i="8" l="1"/>
  <c r="D177" i="8"/>
  <c r="C179" i="8" l="1"/>
  <c r="D178" i="8"/>
  <c r="C180" i="8" l="1"/>
  <c r="D179" i="8"/>
  <c r="C181" i="8" l="1"/>
  <c r="D180" i="8"/>
  <c r="C182" i="8" l="1"/>
  <c r="D181" i="8"/>
  <c r="C183" i="8" l="1"/>
  <c r="D182" i="8"/>
  <c r="C184" i="8" l="1"/>
  <c r="D183" i="8"/>
  <c r="C185" i="8" l="1"/>
  <c r="D184" i="8"/>
  <c r="C186" i="8" l="1"/>
  <c r="D185" i="8"/>
  <c r="C187" i="8" l="1"/>
  <c r="D186" i="8"/>
  <c r="C188" i="8" l="1"/>
  <c r="D187" i="8"/>
  <c r="C189" i="8" l="1"/>
  <c r="D188" i="8"/>
  <c r="C190" i="8" l="1"/>
  <c r="D189" i="8"/>
  <c r="C191" i="8" l="1"/>
  <c r="D190" i="8"/>
  <c r="C192" i="8" l="1"/>
  <c r="D191" i="8"/>
  <c r="C193" i="8" l="1"/>
  <c r="D192" i="8"/>
  <c r="C194" i="8" l="1"/>
  <c r="D193" i="8"/>
  <c r="C195" i="8" l="1"/>
  <c r="D194" i="8"/>
  <c r="C196" i="8" l="1"/>
  <c r="D195" i="8"/>
  <c r="C197" i="8" l="1"/>
  <c r="D196" i="8"/>
  <c r="C198" i="8" l="1"/>
  <c r="D197" i="8"/>
  <c r="C199" i="8" l="1"/>
  <c r="D198" i="8"/>
  <c r="C200" i="8" l="1"/>
  <c r="D199" i="8"/>
  <c r="C201" i="8" l="1"/>
  <c r="D200" i="8"/>
  <c r="C202" i="8" l="1"/>
  <c r="D201" i="8"/>
  <c r="C203" i="8" l="1"/>
  <c r="D202" i="8"/>
  <c r="C204" i="8" l="1"/>
  <c r="D203" i="8"/>
  <c r="C205" i="8" l="1"/>
  <c r="D204" i="8"/>
  <c r="C206" i="8" l="1"/>
  <c r="D205" i="8"/>
  <c r="C207" i="8" l="1"/>
  <c r="D206" i="8"/>
  <c r="C208" i="8" l="1"/>
  <c r="D207" i="8"/>
  <c r="C209" i="8" l="1"/>
  <c r="D208" i="8"/>
  <c r="C210" i="8" l="1"/>
  <c r="D209" i="8"/>
  <c r="C211" i="8" l="1"/>
  <c r="D210" i="8"/>
  <c r="C212" i="8" l="1"/>
  <c r="D211" i="8"/>
  <c r="C213" i="8" l="1"/>
  <c r="D212" i="8"/>
  <c r="C214" i="8" l="1"/>
  <c r="D213" i="8"/>
  <c r="C215" i="8" l="1"/>
  <c r="C216" i="8" s="1"/>
  <c r="C217" i="8" s="1"/>
  <c r="C218" i="8" s="1"/>
  <c r="C219" i="8" s="1"/>
  <c r="C220" i="8" s="1"/>
  <c r="C221" i="8" s="1"/>
  <c r="C222" i="8" s="1"/>
  <c r="C223" i="8" s="1"/>
  <c r="C224" i="8" s="1"/>
  <c r="C225" i="8" s="1"/>
  <c r="C226" i="8" s="1"/>
  <c r="C227" i="8" s="1"/>
  <c r="D21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tc={5305091C-CE3C-4E8A-9FCB-DE12879F35E7}</author>
    <author>tc={86227B6B-B1F0-40C9-A511-AB434C6111AA}</author>
    <author>tc={8674F207-32DA-43B1-A136-FCDAB3B13D4F}</author>
  </authors>
  <commentList>
    <comment ref="AB3" authorId="0" shapeId="0" xr:uid="{5305091C-CE3C-4E8A-9FCB-DE12879F35E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x30 représente un minimum de 50mm de spacing pour une run de 1,5m (RMR76)</t>
      </text>
    </comment>
    <comment ref="AD3" authorId="1" shapeId="0" xr:uid="{86227B6B-B1F0-40C9-A511-AB434C6111A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Il reste à régler la question du Axial ou Diamétral</t>
      </text>
    </comment>
    <comment ref="D129" authorId="2" shapeId="0" xr:uid="{8674F207-32DA-43B1-A136-FCDAB3B13D4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Run partielle, l’autre partie sera sur la prochaine série de boîte.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Sebastien Guido</author>
  </authors>
  <commentList>
    <comment ref="Z3" authorId="0" shapeId="0" xr:uid="{666BA851-74FF-40F4-8BE5-A1E10FA94D82}">
      <text>
        <r>
          <rPr>
            <b/>
            <sz val="9"/>
            <color indexed="81"/>
            <rFont val="Tahoma"/>
            <family val="2"/>
          </rPr>
          <t>Sebastien Guido:</t>
        </r>
        <r>
          <rPr>
            <sz val="9"/>
            <color indexed="81"/>
            <rFont val="Tahoma"/>
            <family val="2"/>
          </rPr>
          <t xml:space="preserve">
Generally 25, although can reach 50 (ISRM)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Sebastien Guido</author>
  </authors>
  <commentList>
    <comment ref="CW7" authorId="0" shapeId="0" xr:uid="{CE896924-5C7E-4364-A34D-E52A02510666}">
      <text>
        <r>
          <rPr>
            <b/>
            <sz val="9"/>
            <color indexed="81"/>
            <rFont val="Tahoma"/>
            <family val="2"/>
          </rPr>
          <t>Sebastien Guido:</t>
        </r>
        <r>
          <rPr>
            <sz val="9"/>
            <color indexed="81"/>
            <rFont val="Tahoma"/>
            <family val="2"/>
          </rPr>
          <t xml:space="preserve">
Empirical Cumulative Distrubution Function</t>
        </r>
      </text>
    </comment>
    <comment ref="CW11" authorId="0" shapeId="0" xr:uid="{39942A6C-A5CF-41B5-82E7-F1644987C39C}">
      <text>
        <r>
          <rPr>
            <b/>
            <sz val="9"/>
            <color indexed="81"/>
            <rFont val="Tahoma"/>
            <family val="2"/>
          </rPr>
          <t>Sebastien Guido:</t>
        </r>
        <r>
          <rPr>
            <sz val="9"/>
            <color indexed="81"/>
            <rFont val="Tahoma"/>
            <family val="2"/>
          </rPr>
          <t xml:space="preserve">
Kernel Density Estimation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Sebastien Guido</author>
  </authors>
  <commentList>
    <comment ref="L4" authorId="0" shapeId="0" xr:uid="{E7641674-31BA-467E-AF15-1324C92DC7EF}">
      <text>
        <r>
          <rPr>
            <b/>
            <sz val="9"/>
            <color indexed="81"/>
            <rFont val="Tahoma"/>
            <family val="2"/>
          </rPr>
          <t>Sebastien Guido:</t>
        </r>
        <r>
          <rPr>
            <sz val="9"/>
            <color indexed="81"/>
            <rFont val="Tahoma"/>
            <family val="2"/>
          </rPr>
          <t xml:space="preserve">
NOT USED YET.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<sst xmlns="http://schemas.openxmlformats.org/spreadsheetml/2006/main" count="6715" uniqueCount="606">
  <si>
    <t>Log</t>
  </si>
  <si>
    <t>Hole ID</t>
  </si>
  <si>
    <t>Planned Hole ID</t>
  </si>
  <si>
    <t>Pit</t>
  </si>
  <si>
    <t>Sub Pit</t>
  </si>
  <si>
    <t>Coordinate System</t>
  </si>
  <si>
    <t>Planned collar X
(m)</t>
  </si>
  <si>
    <t>Planned collar Y
(m)</t>
  </si>
  <si>
    <t>Planned collar Z
(m)</t>
  </si>
  <si>
    <t>Planned collar trend
(°)</t>
  </si>
  <si>
    <t>Planned collar plunge
(°)</t>
  </si>
  <si>
    <t>Planned length
(m)</t>
  </si>
  <si>
    <t>Surveyed collar X - East
(m)</t>
  </si>
  <si>
    <t>Surveyed collar Y - North
(m)</t>
  </si>
  <si>
    <t>Surveyed collar Z
(m)</t>
  </si>
  <si>
    <r>
      <t>Collar Trend (</t>
    </r>
    <r>
      <rPr>
        <b/>
        <sz val="11"/>
        <rFont val="Calibri"/>
        <family val="2"/>
      </rPr>
      <t>°)</t>
    </r>
  </si>
  <si>
    <t>Collar Plunge (°)</t>
  </si>
  <si>
    <t>Logged depth from (m)</t>
  </si>
  <si>
    <t>Logged depth to (m)</t>
  </si>
  <si>
    <t>Logged Length (m)</t>
  </si>
  <si>
    <t>Core size</t>
  </si>
  <si>
    <t>Logged date</t>
  </si>
  <si>
    <t>Logged by</t>
  </si>
  <si>
    <t>Oriented core</t>
  </si>
  <si>
    <t>Orientation marker</t>
  </si>
  <si>
    <t>Comments</t>
  </si>
  <si>
    <t>COG-25-08</t>
  </si>
  <si>
    <t>CGF-01</t>
  </si>
  <si>
    <t>Courvan Nord Bussière</t>
  </si>
  <si>
    <t>HQ</t>
  </si>
  <si>
    <t>COG-25-10</t>
  </si>
  <si>
    <t>CGF-02</t>
  </si>
  <si>
    <t>COG-25-11</t>
  </si>
  <si>
    <t>CGF-03</t>
  </si>
  <si>
    <t>COG-25-09</t>
  </si>
  <si>
    <t>CGF-04</t>
  </si>
  <si>
    <t>COG-25-12</t>
  </si>
  <si>
    <t>CGF-05</t>
  </si>
  <si>
    <t>Courvan Nord Creek Zone</t>
  </si>
  <si>
    <t>CGF-06</t>
  </si>
  <si>
    <t>CGF-06 - Annulé</t>
  </si>
  <si>
    <t>COG-25-07</t>
  </si>
  <si>
    <t>CGF-07</t>
  </si>
  <si>
    <t>Courvan South</t>
  </si>
  <si>
    <t>COG-25-06</t>
  </si>
  <si>
    <t>CGF-08</t>
  </si>
  <si>
    <t>Survey</t>
  </si>
  <si>
    <t>Depth (m)</t>
  </si>
  <si>
    <t>Dip
(deg)</t>
  </si>
  <si>
    <t>Azimuth
(deg)</t>
  </si>
  <si>
    <t>QA/QC Dip Planned</t>
  </si>
  <si>
    <t>QA/QC Azimut Planned</t>
  </si>
  <si>
    <t>Dip Planned - Surveyed</t>
  </si>
  <si>
    <t>Azimut Planned - Surveyed2</t>
  </si>
  <si>
    <t>Geotech</t>
  </si>
  <si>
    <t>RMR</t>
  </si>
  <si>
    <t>GSI</t>
  </si>
  <si>
    <t>Q</t>
  </si>
  <si>
    <t>From (m)</t>
  </si>
  <si>
    <t>To (m)</t>
  </si>
  <si>
    <t>Mid Point (m)</t>
  </si>
  <si>
    <t>Run (m)</t>
  </si>
  <si>
    <t>TCR (m)</t>
  </si>
  <si>
    <t>TCR (%)</t>
  </si>
  <si>
    <t>TCR Reel (m)</t>
  </si>
  <si>
    <t>Run Reel (m)</t>
  </si>
  <si>
    <t>RQD (m)</t>
  </si>
  <si>
    <t>RQD (%)</t>
  </si>
  <si>
    <t>Lithology (when logging on site)</t>
  </si>
  <si>
    <t>Lithology</t>
  </si>
  <si>
    <t>Weathering/Alteration</t>
  </si>
  <si>
    <t>Field Intact Rock Strength</t>
  </si>
  <si>
    <t>Micro-Defects</t>
  </si>
  <si>
    <t>Fault (m)</t>
  </si>
  <si>
    <t>Broken Core (m)</t>
  </si>
  <si>
    <t>Lost Core (m)</t>
  </si>
  <si>
    <t>Disking (m)</t>
  </si>
  <si>
    <t>Fracture per interval</t>
  </si>
  <si>
    <t>Validation fracture per interval</t>
  </si>
  <si>
    <t>Joint Set Rating</t>
  </si>
  <si>
    <t>Gamma angle</t>
  </si>
  <si>
    <t>x</t>
  </si>
  <si>
    <t>Added fractures 
(BC, FLT, LC)</t>
  </si>
  <si>
    <t>Joint spacing (m)</t>
  </si>
  <si>
    <t>Is50_1</t>
  </si>
  <si>
    <t>Is50_2</t>
  </si>
  <si>
    <t>Is50_3</t>
  </si>
  <si>
    <t>Is50</t>
  </si>
  <si>
    <t>RMR76 - Strength rating</t>
  </si>
  <si>
    <t>RMR76 - RQD rating</t>
  </si>
  <si>
    <t>RMR76 - Joint spacing rating</t>
  </si>
  <si>
    <t>RMR76 - Joint condition rating</t>
  </si>
  <si>
    <t>RMR76 - Ground water rating</t>
  </si>
  <si>
    <t>RMR76</t>
  </si>
  <si>
    <t>Jn rating</t>
  </si>
  <si>
    <t>Jr/Ja</t>
  </si>
  <si>
    <t>Jw/SRF</t>
  </si>
  <si>
    <t>Q'</t>
  </si>
  <si>
    <t>x2</t>
  </si>
  <si>
    <t>Transformed RQD (%)</t>
  </si>
  <si>
    <t>Transformed TCR (%)</t>
  </si>
  <si>
    <t>Fracture Frequency (#/m)</t>
  </si>
  <si>
    <t>FIRS Code</t>
  </si>
  <si>
    <t>Transformed FIRS Code</t>
  </si>
  <si>
    <t>FIRS Min UCS (MPa)</t>
  </si>
  <si>
    <t>FIRS Avg UCS (MPa)</t>
  </si>
  <si>
    <t>FIRS Max UCS (MPa)</t>
  </si>
  <si>
    <t>Transformed RMR76</t>
  </si>
  <si>
    <t>Altered-Weathered Code</t>
  </si>
  <si>
    <t>R</t>
  </si>
  <si>
    <t>Discontinuities</t>
  </si>
  <si>
    <t>Nb of joints</t>
  </si>
  <si>
    <t>Feature type</t>
  </si>
  <si>
    <t xml:space="preserve"> </t>
  </si>
  <si>
    <t>Beta</t>
  </si>
  <si>
    <t>Orientation</t>
  </si>
  <si>
    <t>Shape</t>
  </si>
  <si>
    <t>Roughness</t>
  </si>
  <si>
    <t>Infill character</t>
  </si>
  <si>
    <t>Infill type</t>
  </si>
  <si>
    <t>Infill type 2</t>
  </si>
  <si>
    <t>Infill thickness
(mm) OR BC LC (m)</t>
  </si>
  <si>
    <t>Discontinuity ID</t>
  </si>
  <si>
    <t>Joint Set ID
(Dips)</t>
  </si>
  <si>
    <t>Joint Set Name
(Dips)</t>
  </si>
  <si>
    <t>Joint roughness</t>
  </si>
  <si>
    <t>Joint alteration</t>
  </si>
  <si>
    <t>JCR</t>
  </si>
  <si>
    <t>PLT</t>
  </si>
  <si>
    <t>ALL ROCK</t>
  </si>
  <si>
    <t>2 ROCK</t>
  </si>
  <si>
    <t>Sample ID</t>
  </si>
  <si>
    <t>Test ID</t>
  </si>
  <si>
    <t>Référence UCS</t>
  </si>
  <si>
    <t>Test type</t>
  </si>
  <si>
    <t>Core Size</t>
  </si>
  <si>
    <t>Diameter (mm)</t>
  </si>
  <si>
    <t>Length or width (mm)</t>
  </si>
  <si>
    <t>Machine</t>
  </si>
  <si>
    <t>Load (Bar)</t>
  </si>
  <si>
    <t>Load (kN)</t>
  </si>
  <si>
    <t>Failure type</t>
  </si>
  <si>
    <t>Failure Validity</t>
  </si>
  <si>
    <t>Equiv. Diam. (mm)</t>
  </si>
  <si>
    <t>Is (MPa)</t>
  </si>
  <si>
    <t>F</t>
  </si>
  <si>
    <t>Is50 (MPa)</t>
  </si>
  <si>
    <t>Test code</t>
  </si>
  <si>
    <t>UCS min (MPa)</t>
  </si>
  <si>
    <t>UCS avg (MPa)</t>
  </si>
  <si>
    <t>UCS max (MPa)</t>
  </si>
  <si>
    <t>UCS min code</t>
  </si>
  <si>
    <t>UCS avg code</t>
  </si>
  <si>
    <t>UCS max code</t>
  </si>
  <si>
    <t>Validity-Test-UCSmin code</t>
  </si>
  <si>
    <t>Validity-Test-UCSavg code</t>
  </si>
  <si>
    <t>Validity-Test-UCSmax code</t>
  </si>
  <si>
    <t>PLT - Strater Scheme</t>
  </si>
  <si>
    <t>Type de rupture</t>
  </si>
  <si>
    <t>Nombre total par type de rupture</t>
  </si>
  <si>
    <t>% par type de rupture</t>
  </si>
  <si>
    <t>Valid</t>
  </si>
  <si>
    <t>Penetrate</t>
  </si>
  <si>
    <t>Broke along MD</t>
  </si>
  <si>
    <t>Along bedding/Foliation</t>
  </si>
  <si>
    <t>Chipped</t>
  </si>
  <si>
    <t>Invalid</t>
  </si>
  <si>
    <t>1 ROCK</t>
  </si>
  <si>
    <t>3 ROCK</t>
  </si>
  <si>
    <t>4 ROCK</t>
  </si>
  <si>
    <t>TABLE LISTS</t>
  </si>
  <si>
    <t>Lithologies</t>
  </si>
  <si>
    <t>Column Title / Field</t>
  </si>
  <si>
    <t>Table List</t>
  </si>
  <si>
    <t>Table_Lithology</t>
  </si>
  <si>
    <t>Table_CoreSize</t>
  </si>
  <si>
    <t>Table_Weathering</t>
  </si>
  <si>
    <t>Field Strength</t>
  </si>
  <si>
    <t>Table_FieldStrength</t>
  </si>
  <si>
    <t>Table_JointSetRating</t>
  </si>
  <si>
    <t>Table_FeatureType</t>
  </si>
  <si>
    <t>Table_Orientation</t>
  </si>
  <si>
    <t>Lab Tests</t>
  </si>
  <si>
    <t>Location</t>
  </si>
  <si>
    <t>Sample #</t>
  </si>
  <si>
    <t>Initial Test type</t>
  </si>
  <si>
    <t>Final test type</t>
  </si>
  <si>
    <t>Depth from (m)</t>
  </si>
  <si>
    <t>Depth to (m)</t>
  </si>
  <si>
    <t>Length (m)</t>
  </si>
  <si>
    <t>Size</t>
  </si>
  <si>
    <t>Photo</t>
  </si>
  <si>
    <t>Actual state</t>
  </si>
  <si>
    <t>Shipped?</t>
  </si>
  <si>
    <t># Sceau</t>
  </si>
  <si>
    <t>LOG</t>
  </si>
  <si>
    <t>GEOTECH</t>
  </si>
  <si>
    <t>DISCONTINUITIES</t>
  </si>
  <si>
    <t>Python Charts</t>
  </si>
  <si>
    <t>Core Orientation</t>
  </si>
  <si>
    <t>Core Marker</t>
  </si>
  <si>
    <t>.</t>
  </si>
  <si>
    <t>Micro-defects</t>
  </si>
  <si>
    <t>Feature Type</t>
  </si>
  <si>
    <t>Orientation Reliability</t>
  </si>
  <si>
    <t>Joint Alteration</t>
  </si>
  <si>
    <t>Joint Roughness</t>
  </si>
  <si>
    <t>Joint Condition Rating</t>
  </si>
  <si>
    <t>Strength Rating</t>
  </si>
  <si>
    <t>RQD Rating</t>
  </si>
  <si>
    <t>Spacing Rating</t>
  </si>
  <si>
    <t>Test Type</t>
  </si>
  <si>
    <t>Failure Type</t>
  </si>
  <si>
    <t>Picture</t>
  </si>
  <si>
    <t>Shipped</t>
  </si>
  <si>
    <t>ON/OFF</t>
  </si>
  <si>
    <t>Charts</t>
  </si>
  <si>
    <t>Sheets</t>
  </si>
  <si>
    <t>TRUE/FALSE</t>
  </si>
  <si>
    <t>Description</t>
  </si>
  <si>
    <t>Diameter</t>
  </si>
  <si>
    <t>Min UCS</t>
  </si>
  <si>
    <t>Avg UCS</t>
  </si>
  <si>
    <t>Max UCS</t>
  </si>
  <si>
    <t>Comment</t>
  </si>
  <si>
    <t>Code</t>
  </si>
  <si>
    <t>Rougnhess</t>
  </si>
  <si>
    <t>Jr</t>
  </si>
  <si>
    <t>Infilled</t>
  </si>
  <si>
    <t>Surface</t>
  </si>
  <si>
    <t>Surface 2</t>
  </si>
  <si>
    <t>Coating</t>
  </si>
  <si>
    <t>Rating</t>
  </si>
  <si>
    <t>Min</t>
  </si>
  <si>
    <t>Max</t>
  </si>
  <si>
    <t>Details</t>
  </si>
  <si>
    <t>Sheet</t>
  </si>
  <si>
    <t>Python Code</t>
  </si>
  <si>
    <t>Data Table</t>
  </si>
  <si>
    <t>Mine local</t>
  </si>
  <si>
    <t>Yes</t>
  </si>
  <si>
    <t>Bottom</t>
  </si>
  <si>
    <t>R0 - Extremely weak</t>
  </si>
  <si>
    <t>W1/A1 - Fresh</t>
  </si>
  <si>
    <t>No visible sign of rock material weathering.</t>
  </si>
  <si>
    <t>0.5 - Massive</t>
  </si>
  <si>
    <t>0 - None</t>
  </si>
  <si>
    <t>BC - Broken Core</t>
  </si>
  <si>
    <t>BC</t>
  </si>
  <si>
    <t>1 - Reliable (difference in orientation lines is &lt; 20 degrees)</t>
  </si>
  <si>
    <t>PL - Planar</t>
  </si>
  <si>
    <t>PL</t>
  </si>
  <si>
    <t>SK - Slickensided</t>
  </si>
  <si>
    <t>SK</t>
  </si>
  <si>
    <t>CON, BED, SCH, VN</t>
  </si>
  <si>
    <t>Remplie</t>
  </si>
  <si>
    <t>--</t>
  </si>
  <si>
    <t>HL - Healed</t>
  </si>
  <si>
    <t>HL</t>
  </si>
  <si>
    <t>AC - Actinolite</t>
  </si>
  <si>
    <t>AC</t>
  </si>
  <si>
    <t>0,75 - Tightly healed; hard; non-softening (Apply this value for massive/solid core runs with no natural breaks)</t>
  </si>
  <si>
    <t>0,5 - Planar and Polished OR Planar and Slickensided</t>
  </si>
  <si>
    <t>Soft gouge infill OR Open joint &gt;= 5mm</t>
  </si>
  <si>
    <t>&lt; 25%</t>
  </si>
  <si>
    <t>&lt; 50 mm</t>
  </si>
  <si>
    <t>Soft gouge &gt; 5mm thick OR Joint open &gt; 5mm, Continuous joints</t>
  </si>
  <si>
    <t>Axial</t>
  </si>
  <si>
    <t>UCS</t>
  </si>
  <si>
    <t>ON</t>
  </si>
  <si>
    <t>Boxplot</t>
  </si>
  <si>
    <t>log</t>
  </si>
  <si>
    <t>Data_Log</t>
  </si>
  <si>
    <t>UTM 11N</t>
  </si>
  <si>
    <t>HQ3</t>
  </si>
  <si>
    <t>No</t>
  </si>
  <si>
    <t>Top</t>
  </si>
  <si>
    <t>R1 - Very weak</t>
  </si>
  <si>
    <t>W2/A2 - Slightly Weathered or Altered</t>
  </si>
  <si>
    <t>Discolouration indicates weathering of rockmaterial on discontinuity surfaces. Less than 5% of rock mass altered.</t>
  </si>
  <si>
    <t>1 - Massive or few joints</t>
  </si>
  <si>
    <t>1 - Weak</t>
  </si>
  <si>
    <t>BD - Bedding</t>
  </si>
  <si>
    <t>BD</t>
  </si>
  <si>
    <t>2 - Reliable (but gamma angle cannot be measured)</t>
  </si>
  <si>
    <t>CU - Curved</t>
  </si>
  <si>
    <t>CU</t>
  </si>
  <si>
    <t>PO - Polished</t>
  </si>
  <si>
    <t>PO</t>
  </si>
  <si>
    <t>CN - Clean</t>
  </si>
  <si>
    <t>CN</t>
  </si>
  <si>
    <t>AK - Ankerite</t>
  </si>
  <si>
    <t>AK</t>
  </si>
  <si>
    <t>1 - Staining only; no alteration</t>
  </si>
  <si>
    <t>1 - Infilled or opening &gt; 1mm, preventing wall rock contact</t>
  </si>
  <si>
    <t>Infill &gt; 1mm and &lt; 5mm OR Slikensided OR Open joint</t>
  </si>
  <si>
    <t>25-50%</t>
  </si>
  <si>
    <t>50-300 mm</t>
  </si>
  <si>
    <t>Slickensided surfaces OR Gouge &lt; 5mm thick, Joints open 1-5 mm, Continuous joints</t>
  </si>
  <si>
    <t>Diametral</t>
  </si>
  <si>
    <t>Intact</t>
  </si>
  <si>
    <t>TX</t>
  </si>
  <si>
    <t>OFF</t>
  </si>
  <si>
    <t>Boxplot+P</t>
  </si>
  <si>
    <t xml:space="preserve">Boxplot + </t>
  </si>
  <si>
    <t>geo</t>
  </si>
  <si>
    <t>Data_Geotech</t>
  </si>
  <si>
    <t>UTM 17N</t>
  </si>
  <si>
    <t>NQ</t>
  </si>
  <si>
    <t>R2 - Weak</t>
  </si>
  <si>
    <t>W3/A3 - Moderately Weathered or Altered</t>
  </si>
  <si>
    <t>Less than 50% of the rock material is decomposed and/or disintegrated to a soil, or altered. 
Fresh or discoloured rock is present either as a discontinuous framework or as core stones.</t>
  </si>
  <si>
    <t>2 - One joint set</t>
  </si>
  <si>
    <t>2 - Moderate</t>
  </si>
  <si>
    <t>CL - Cleavage</t>
  </si>
  <si>
    <t>CL</t>
  </si>
  <si>
    <t>3 - Semi-reliable (difference in orientation lines is between more than 20 degrees)</t>
  </si>
  <si>
    <t>UN - Undulating</t>
  </si>
  <si>
    <t>UN</t>
  </si>
  <si>
    <t>SM - Smooth</t>
  </si>
  <si>
    <t>SM</t>
  </si>
  <si>
    <t>ST - Stained</t>
  </si>
  <si>
    <t>ST</t>
  </si>
  <si>
    <t>AL - Albite</t>
  </si>
  <si>
    <t>AL</t>
  </si>
  <si>
    <t>2 - Clean and Slightly altered, scratched with pocket knife)</t>
  </si>
  <si>
    <t>1 - Planar and Smooth</t>
  </si>
  <si>
    <t>Not infilled</t>
  </si>
  <si>
    <t>Planar Surface</t>
  </si>
  <si>
    <t>Smooth</t>
  </si>
  <si>
    <t>Soft PC or CC</t>
  </si>
  <si>
    <t>50-75%</t>
  </si>
  <si>
    <t>0.3-1.0 m</t>
  </si>
  <si>
    <t>Slightly rough surfaces, Separation &lt; 1 mm, Soft joint wall contact</t>
  </si>
  <si>
    <t>Along bedding/foliation</t>
  </si>
  <si>
    <t>BX/ITS</t>
  </si>
  <si>
    <t>ECDF-%</t>
  </si>
  <si>
    <t>Empirical cumulative (with steps). Y axis is count %</t>
  </si>
  <si>
    <t>dis</t>
  </si>
  <si>
    <t>Data_Discontinuities</t>
  </si>
  <si>
    <t>UTM 18N</t>
  </si>
  <si>
    <t>NQ3</t>
  </si>
  <si>
    <t>R3 - Moderately strong</t>
  </si>
  <si>
    <t>W4/A4 - Highly Weathered or Altered</t>
  </si>
  <si>
    <t>More than 50% of the rock material is decomposed and/or disintegrated to a soil or is altered. 
Fresh or discoloured rock is present either as a discontinuous framework or as core stones.</t>
  </si>
  <si>
    <t>3 - One joint set plus random joint (s)</t>
  </si>
  <si>
    <t>3 - Intense</t>
  </si>
  <si>
    <t>CON - Contact (Closed)</t>
  </si>
  <si>
    <t>CON</t>
  </si>
  <si>
    <t>4 - Unreliable (large gamma angles; difference in orientation lines is &gt; 60 degrees)</t>
  </si>
  <si>
    <t>ST - Stepped</t>
  </si>
  <si>
    <t>SR - Slightly Rough</t>
  </si>
  <si>
    <t>SR</t>
  </si>
  <si>
    <t>SA - Slightly Altered</t>
  </si>
  <si>
    <t>SA</t>
  </si>
  <si>
    <t>AM - Amphibole</t>
  </si>
  <si>
    <t>AM</t>
  </si>
  <si>
    <t>3 - Coating &lt; 1mm and Silt or sand-clay &lt;1mm;no sliding HC (calcite)</t>
  </si>
  <si>
    <t>1,5 - Not Planar (Cur, Und, Step, Irr), Polished or slickenslided</t>
  </si>
  <si>
    <t>Clean, Stained, Slightly Altered, Hard PC or CC</t>
  </si>
  <si>
    <t>75-90%</t>
  </si>
  <si>
    <t>1-3 m</t>
  </si>
  <si>
    <t>Slightly rough surfaces, Separation &lt; 1 mm, Hard joint wall contact</t>
  </si>
  <si>
    <t>Perp. bedding</t>
  </si>
  <si>
    <t>DST</t>
  </si>
  <si>
    <t>ECDF-Count</t>
  </si>
  <si>
    <t>Empirical cumulative (with steps). Y axis is count</t>
  </si>
  <si>
    <t>plt</t>
  </si>
  <si>
    <t>Data_PLT</t>
  </si>
  <si>
    <t>PQ</t>
  </si>
  <si>
    <t>R4 - Strong</t>
  </si>
  <si>
    <t>W5/A5 - Completely Weathered or Altered</t>
  </si>
  <si>
    <t>100% of rock material is decomposed and/or disintegrated to soil or 100% of minerals have been replaced with alteration minerals. 
The original mass structure is still largely intact.</t>
  </si>
  <si>
    <t>4 - Two joint sets</t>
  </si>
  <si>
    <t>CONO - Contact (Open)</t>
  </si>
  <si>
    <t>CONO</t>
  </si>
  <si>
    <t>5 - No orientation possible</t>
  </si>
  <si>
    <t>IR - Irregular</t>
  </si>
  <si>
    <t>IR</t>
  </si>
  <si>
    <t>RO - Rough</t>
  </si>
  <si>
    <t>RO</t>
  </si>
  <si>
    <t>PC - Partially Coated</t>
  </si>
  <si>
    <t>PC</t>
  </si>
  <si>
    <t>AS - Arsenopyrite</t>
  </si>
  <si>
    <t>AS</t>
  </si>
  <si>
    <t>4 - Coating &lt; 1mm and Silt or sand-clay &lt;1mm; allows sliding SC (clay, mica, graphite, chlorite...)</t>
  </si>
  <si>
    <t>1,5 - Planar and Rough or very rough</t>
  </si>
  <si>
    <t>Rough or Very rough</t>
  </si>
  <si>
    <t>90-100%</t>
  </si>
  <si>
    <t>&gt; 3m</t>
  </si>
  <si>
    <t>Very rough surfaces, Not continuous, No separation, Hard joint wall contact</t>
  </si>
  <si>
    <t>TCS</t>
  </si>
  <si>
    <t>Histo-%</t>
  </si>
  <si>
    <t>Y axis is count %</t>
  </si>
  <si>
    <t>lab</t>
  </si>
  <si>
    <t>Data_LabTests</t>
  </si>
  <si>
    <t>PQ3</t>
  </si>
  <si>
    <t>R5 - Very strong</t>
  </si>
  <si>
    <t>W6 - Residual Soil (applies to weathering only)</t>
  </si>
  <si>
    <t>All rock material is converted to soil. The mass structure and material fabric are destroyed. 
There is a large change in volume, but the soil has not been significantly transported.</t>
  </si>
  <si>
    <t>6 - Two joint sets plus random joint (s)</t>
  </si>
  <si>
    <t>FLT - Fault</t>
  </si>
  <si>
    <t>FLT</t>
  </si>
  <si>
    <t>VR - Very Rough</t>
  </si>
  <si>
    <t>VR</t>
  </si>
  <si>
    <t>CC - Completely Coated</t>
  </si>
  <si>
    <t>CC</t>
  </si>
  <si>
    <t>BR - Broken Rock</t>
  </si>
  <si>
    <t>BR</t>
  </si>
  <si>
    <t>4 - Non-cohesive filling &lt; 5 mm thick (Sand; silt; and clay-free crushed or broken rock)</t>
  </si>
  <si>
    <t>2 - Not Planar (Cur, Und, Step, Irr), Smooth</t>
  </si>
  <si>
    <t>PLT-axial</t>
  </si>
  <si>
    <t>Histo-Count</t>
  </si>
  <si>
    <t>Y axis is count</t>
  </si>
  <si>
    <t>PQ3/HQ3</t>
  </si>
  <si>
    <t>mix</t>
  </si>
  <si>
    <t>R6 - Extremely strong</t>
  </si>
  <si>
    <t>9 - Three joint sets</t>
  </si>
  <si>
    <t>None</t>
  </si>
  <si>
    <t>FOL - Foliation</t>
  </si>
  <si>
    <t>FOL</t>
  </si>
  <si>
    <t>IN - Infilled (&gt;1 mm)</t>
  </si>
  <si>
    <t>IN</t>
  </si>
  <si>
    <t>BT - Biotite</t>
  </si>
  <si>
    <t>BT</t>
  </si>
  <si>
    <t>5 - Non-cohesive filling &gt;= 5 mm thick (Sand; silt; and clay-free crushed or broken rock)</t>
  </si>
  <si>
    <t>3 - Not Planar (Cur, Und, Step, Irr), Rough or very rough</t>
  </si>
  <si>
    <t>Wavy Surface</t>
  </si>
  <si>
    <t>Did not break</t>
  </si>
  <si>
    <t>PLT-diam</t>
  </si>
  <si>
    <t>KDE</t>
  </si>
  <si>
    <t>Distribution estimation</t>
  </si>
  <si>
    <t>12 - Three joint sets plus random joint (s)</t>
  </si>
  <si>
    <t>Weak</t>
  </si>
  <si>
    <t>GG - Gouge</t>
  </si>
  <si>
    <t>GG</t>
  </si>
  <si>
    <t>C - Chlorite</t>
  </si>
  <si>
    <t>C</t>
  </si>
  <si>
    <t>6 - Hard or stiff clay filling &lt; 5 mm thick (Graphite; chlorite...; stiff clay)</t>
  </si>
  <si>
    <t>4 - Discontinuous joints</t>
  </si>
  <si>
    <t>BTS</t>
  </si>
  <si>
    <t>Scatter</t>
  </si>
  <si>
    <t>15 - Four or more joint sets, random, heavily jointed</t>
  </si>
  <si>
    <t>Moderate</t>
  </si>
  <si>
    <t>JN - Joint</t>
  </si>
  <si>
    <t>JN</t>
  </si>
  <si>
    <t>CA - Calcite</t>
  </si>
  <si>
    <t>CA</t>
  </si>
  <si>
    <t>8 - Soft clay filling &lt; 5 mm thick (Soft clay)</t>
  </si>
  <si>
    <t>PLT-a-d</t>
  </si>
  <si>
    <t>Scatter-F</t>
  </si>
  <si>
    <t>20 - Crushed rock, earth-like</t>
  </si>
  <si>
    <t>Intense</t>
  </si>
  <si>
    <t>LC - Lost Core</t>
  </si>
  <si>
    <t>LC</t>
  </si>
  <si>
    <t>CB - Carbonate</t>
  </si>
  <si>
    <t>CB</t>
  </si>
  <si>
    <t>10 - Hard or stiff clay filling &gt;= 5 mm thick (Graphite; chlorite...; stiff clay)</t>
  </si>
  <si>
    <t>UCS+PLTa</t>
  </si>
  <si>
    <t>Scatter-G</t>
  </si>
  <si>
    <t>Scatter with groups</t>
  </si>
  <si>
    <t>OTH - Other</t>
  </si>
  <si>
    <t>OTH</t>
  </si>
  <si>
    <t>CLY - Clay</t>
  </si>
  <si>
    <t>CLY</t>
  </si>
  <si>
    <t>12 - Swelling clay filling &lt; 5 mm thick</t>
  </si>
  <si>
    <t>Healed OR Close discontinuities</t>
  </si>
  <si>
    <t>Strength Rating (Is50)</t>
  </si>
  <si>
    <t>UCS+PLTa-d</t>
  </si>
  <si>
    <t>SCH - Schistosity</t>
  </si>
  <si>
    <t>SCH</t>
  </si>
  <si>
    <t>CP - Chalcopyrite</t>
  </si>
  <si>
    <t>CP</t>
  </si>
  <si>
    <t>15 - Soft clay filling &gt;= 5 mm thick (Soft clay)</t>
  </si>
  <si>
    <t>UCS+PLTd</t>
  </si>
  <si>
    <t>VN - Vein (Closed)</t>
  </si>
  <si>
    <t>VN</t>
  </si>
  <si>
    <t>EP - Epidote</t>
  </si>
  <si>
    <t>EP</t>
  </si>
  <si>
    <t>20 - Swelling clay filling &gt; 5 mm thick</t>
  </si>
  <si>
    <t>VNO - Vein (Open)</t>
  </si>
  <si>
    <t>VNO</t>
  </si>
  <si>
    <t>FE - Iron</t>
  </si>
  <si>
    <t>FE</t>
  </si>
  <si>
    <t>CEMENTED DISCON</t>
  </si>
  <si>
    <t>CEM</t>
  </si>
  <si>
    <t>FG - Gouge</t>
  </si>
  <si>
    <t>FG</t>
  </si>
  <si>
    <t>SHEAR</t>
  </si>
  <si>
    <t>SHR</t>
  </si>
  <si>
    <t>FP - Feldspar</t>
  </si>
  <si>
    <t>FP</t>
  </si>
  <si>
    <t>FU - Fuchsite</t>
  </si>
  <si>
    <t>FU</t>
  </si>
  <si>
    <t>FX - Fault Breccia</t>
  </si>
  <si>
    <t>FX</t>
  </si>
  <si>
    <t>G - Graphite</t>
  </si>
  <si>
    <t>G</t>
  </si>
  <si>
    <t>GN - Galena</t>
  </si>
  <si>
    <t>GN</t>
  </si>
  <si>
    <t>GR - Grunerite</t>
  </si>
  <si>
    <t>GR</t>
  </si>
  <si>
    <t>GROUT - Grout</t>
  </si>
  <si>
    <t>GROUT</t>
  </si>
  <si>
    <t>GT - Garnet</t>
  </si>
  <si>
    <t>GT</t>
  </si>
  <si>
    <t>GV - Gravel</t>
  </si>
  <si>
    <t>GV</t>
  </si>
  <si>
    <t>GYP - Gypsum</t>
  </si>
  <si>
    <t>GYP</t>
  </si>
  <si>
    <t>HB - Hornblende</t>
  </si>
  <si>
    <t>HB</t>
  </si>
  <si>
    <t>Roche massive ou sans discontinuité ouverte</t>
  </si>
  <si>
    <t>HEM - Hematite</t>
  </si>
  <si>
    <t>HEM</t>
  </si>
  <si>
    <t>K - Alkali Feldspar</t>
  </si>
  <si>
    <t>K</t>
  </si>
  <si>
    <t>KA - Kaolinite</t>
  </si>
  <si>
    <t>KA</t>
  </si>
  <si>
    <t>LC - Lost core (Unknown)</t>
  </si>
  <si>
    <t>M - Silt</t>
  </si>
  <si>
    <t>M</t>
  </si>
  <si>
    <t>MN - Manganese</t>
  </si>
  <si>
    <t>MN</t>
  </si>
  <si>
    <t>MO - Molybdenite</t>
  </si>
  <si>
    <t>MO</t>
  </si>
  <si>
    <t>MT - Magnetite</t>
  </si>
  <si>
    <t>MT</t>
  </si>
  <si>
    <t>MU - Muscovite</t>
  </si>
  <si>
    <t>MU</t>
  </si>
  <si>
    <t>OTH - Other (See comments)</t>
  </si>
  <si>
    <t>OXI - Oxide</t>
  </si>
  <si>
    <t>OXI</t>
  </si>
  <si>
    <t>PG - Plagioclase</t>
  </si>
  <si>
    <t>PG</t>
  </si>
  <si>
    <t>PH - Phlogopite</t>
  </si>
  <si>
    <t>PH</t>
  </si>
  <si>
    <t>PO - Pyrrhotite</t>
  </si>
  <si>
    <t>PX - Pyroxene</t>
  </si>
  <si>
    <t>PX</t>
  </si>
  <si>
    <t>PY - Pyrite</t>
  </si>
  <si>
    <t>PY</t>
  </si>
  <si>
    <t>Q - Quartz</t>
  </si>
  <si>
    <t>SAND - Sand</t>
  </si>
  <si>
    <t>SAND</t>
  </si>
  <si>
    <t>SER - Sericite</t>
  </si>
  <si>
    <t>SER</t>
  </si>
  <si>
    <t>SERP - Serpentine</t>
  </si>
  <si>
    <t>SERP</t>
  </si>
  <si>
    <t>SLK - Slickenslides</t>
  </si>
  <si>
    <t>SLK</t>
  </si>
  <si>
    <t>SP - Sphalerite</t>
  </si>
  <si>
    <t>SP</t>
  </si>
  <si>
    <t>SUL - Sulphide</t>
  </si>
  <si>
    <t>SUL</t>
  </si>
  <si>
    <t>TC - Talc</t>
  </si>
  <si>
    <t>TC</t>
  </si>
  <si>
    <t>TM - Tourmaline</t>
  </si>
  <si>
    <t>TM</t>
  </si>
  <si>
    <t>SITE SPECIFIC LISTS</t>
  </si>
  <si>
    <t>PLT Model</t>
  </si>
  <si>
    <t>PLT Conversion Factors</t>
  </si>
  <si>
    <t xml:space="preserve">Pit </t>
  </si>
  <si>
    <t>Code2</t>
  </si>
  <si>
    <t>Cylinder Area (in2)</t>
  </si>
  <si>
    <t>Conversion Factor</t>
  </si>
  <si>
    <t>UCS (Literature)</t>
  </si>
  <si>
    <t>UCS (from lab tests)</t>
  </si>
  <si>
    <t>Tensile</t>
  </si>
  <si>
    <t>Basalt</t>
  </si>
  <si>
    <t>V3</t>
  </si>
  <si>
    <t>-</t>
  </si>
  <si>
    <t>TBP Agglomerate</t>
  </si>
  <si>
    <t>BP</t>
  </si>
  <si>
    <t>PIL-7 (Novador)</t>
  </si>
  <si>
    <t>FP Feldspar Porphyr Dyke</t>
  </si>
  <si>
    <t>PIL-10 (Alius)</t>
  </si>
  <si>
    <t>Avg</t>
  </si>
  <si>
    <t>Ultramafic Intrusion (Pyroxénite)</t>
  </si>
  <si>
    <t>I4</t>
  </si>
  <si>
    <t>Diorite</t>
  </si>
  <si>
    <t>I2J</t>
  </si>
  <si>
    <t>Mafic Intrusion</t>
  </si>
  <si>
    <t>I3</t>
  </si>
  <si>
    <t>Boulamarque granodiorite</t>
  </si>
  <si>
    <t>I1C</t>
  </si>
  <si>
    <t>Overburden</t>
  </si>
  <si>
    <t>57.5-63 weak shear</t>
  </si>
  <si>
    <t>CHL</t>
  </si>
  <si>
    <t>Q vein in I1C</t>
  </si>
  <si>
    <t>VT-TI Vein</t>
  </si>
  <si>
    <t>VT-TI</t>
  </si>
  <si>
    <t>Q vein in I2J</t>
  </si>
  <si>
    <t>possible small FLT</t>
  </si>
  <si>
    <t>Q vein in V3B</t>
  </si>
  <si>
    <t>CHL 66.81-67.05</t>
  </si>
  <si>
    <t>CHL 102.45-102.87</t>
  </si>
  <si>
    <t>I1C in V3B</t>
  </si>
  <si>
    <t>contact I2J -&gt; I1C</t>
  </si>
  <si>
    <t>contact I1C -&gt; V3B</t>
  </si>
  <si>
    <t>Felsic Dyke MAS</t>
  </si>
  <si>
    <t>I1</t>
  </si>
  <si>
    <t>V3B</t>
  </si>
  <si>
    <t>Tourmaline ?</t>
  </si>
  <si>
    <t>VCLT - QZ CI  TI Vein</t>
  </si>
  <si>
    <t>UCS + PLTa seulement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</si>
</sst>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_ ;_ * \(#,##0.00\)_ ;_ * &quot;-&quot;??_)_ ;_ @_ "/>
    <numFmt numFmtId="164" formatCode="0.0"/>
    <numFmt numFmtId="165" formatCode="0.000"/>
    <numFmt numFmtId="166" formatCode="0.0%"/>
  </numFmts>
  <fonts count="19" x14ac:knownFonts="1">
    <font>
      <sz val="11"/>
      <color theme="1"/>
      <name val="Calibri"/>
      <family val="2"/>
      <scheme val="minor"/>
    </font>
    <font>
      <b/>
      <sz val="11"/>
      <color theme="1"/>
      <name val="Calibri"/>
      <family val="2"/>
      <scheme val="minor"/>
    </font>
    <font>
      <b/>
      <sz val="14"/>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6"/>
      <color rgb="FFD7A95A"/>
      <name val="Calibri"/>
      <family val="2"/>
      <scheme val="minor"/>
    </font>
    <font>
      <b/>
      <sz val="11"/>
      <name val="Calibri"/>
      <family val="2"/>
      <scheme val="minor"/>
    </font>
    <font>
      <sz val="16"/>
      <color theme="1"/>
      <name val="Calibri"/>
      <family val="2"/>
      <scheme val="minor"/>
    </font>
    <font>
      <sz val="9"/>
      <color indexed="81"/>
      <name val="Tahoma"/>
      <family val="2"/>
    </font>
    <font>
      <b/>
      <sz val="14"/>
      <color rgb="FFD7A95A"/>
      <name val="Calibri"/>
      <family val="2"/>
      <scheme val="minor"/>
    </font>
    <font>
      <b/>
      <sz val="16"/>
      <color theme="1"/>
      <name val="Calibri"/>
      <family val="2"/>
      <scheme val="minor"/>
    </font>
    <font>
      <b/>
      <sz val="16"/>
      <name val="Calibri"/>
      <family val="2"/>
      <scheme val="minor"/>
    </font>
    <font>
      <b/>
      <sz val="9"/>
      <color indexed="81"/>
      <name val="Tahoma"/>
      <family val="2"/>
    </font>
    <font>
      <b/>
      <sz val="10"/>
      <color theme="1"/>
      <name val="Calibri"/>
      <family val="2"/>
      <scheme val="minor"/>
    </font>
    <font>
      <sz val="10"/>
      <color theme="1"/>
      <name val="Calibri"/>
      <family val="2"/>
      <scheme val="minor"/>
    </font>
    <font>
      <b/>
      <sz val="11"/>
      <name val="Calibri"/>
      <family val="2"/>
    </font>
    <font>
      <sz val="11"/>
      <color rgb="FF000000"/>
      <name val="Calibri"/>
      <family val="2"/>
    </font>
  </fonts>
  <fills count="14">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theme="0" tint="-4.9989318521683403E-2"/>
        <bgColor indexed="64"/>
      </patternFill>
    </fill>
    <fill>
      <patternFill patternType="solid">
        <fgColor rgb="FF003A5D"/>
        <bgColor indexed="64"/>
      </patternFill>
    </fill>
    <fill>
      <patternFill patternType="solid">
        <fgColor rgb="FFD7A95A"/>
        <bgColor indexed="64"/>
      </patternFill>
    </fill>
    <fill>
      <patternFill patternType="solid">
        <fgColor rgb="FFD9E1F2"/>
        <bgColor indexed="64"/>
      </patternFill>
    </fill>
    <fill>
      <patternFill patternType="solid">
        <fgColor rgb="FFFFFFCC"/>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2"/>
        <bgColor indexed="64"/>
      </patternFill>
    </fill>
  </fills>
  <borders count="28">
    <border>
      <left/>
      <right/>
      <top/>
      <bottom/>
      <diagonal/>
    </border>
    <border>
      <left/>
      <right/>
      <top/>
      <bottom style="medium">
        <color indexed="64"/>
      </bottom>
      <diagonal/>
    </border>
    <border>
      <left style="thin">
        <color theme="9"/>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thin">
        <color theme="9"/>
      </left>
      <right/>
      <top style="thin">
        <color theme="9"/>
      </top>
      <bottom/>
      <diagonal/>
    </border>
    <border>
      <left style="thin">
        <color theme="9"/>
      </left>
      <right style="thin">
        <color theme="9"/>
      </right>
      <top style="thin">
        <color theme="9"/>
      </top>
      <bottom/>
      <diagonal/>
    </border>
    <border>
      <left style="thin">
        <color theme="9"/>
      </left>
      <right/>
      <top style="medium">
        <color theme="9"/>
      </top>
      <bottom/>
      <diagonal/>
    </border>
    <border>
      <left style="thin">
        <color theme="9"/>
      </left>
      <right style="thin">
        <color theme="9"/>
      </right>
      <top style="medium">
        <color theme="9"/>
      </top>
      <bottom/>
      <diagonal/>
    </border>
    <border>
      <left style="thin">
        <color indexed="64"/>
      </left>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tint="0.499984740745262"/>
      </left>
      <right style="thin">
        <color theme="1" tint="0.499984740745262"/>
      </right>
      <top/>
      <bottom style="thick">
        <color theme="1" tint="0.499984740745262"/>
      </bottom>
      <diagonal/>
    </border>
    <border>
      <left style="thin">
        <color theme="0" tint="-0.499984740745262"/>
      </left>
      <right style="thin">
        <color theme="0" tint="-0.499984740745262"/>
      </right>
      <top style="thin">
        <color theme="0" tint="-0.499984740745262"/>
      </top>
      <bottom/>
      <diagonal/>
    </border>
    <border>
      <left style="thin">
        <color theme="4"/>
      </left>
      <right style="thin">
        <color theme="4"/>
      </right>
      <top style="thin">
        <color theme="4"/>
      </top>
      <bottom style="medium">
        <color theme="4"/>
      </bottom>
      <diagonal/>
    </border>
    <border>
      <left/>
      <right/>
      <top style="medium">
        <color theme="9"/>
      </top>
      <bottom/>
      <diagonal/>
    </border>
    <border>
      <left/>
      <right/>
      <top style="thin">
        <color theme="9"/>
      </top>
      <bottom/>
      <diagonal/>
    </border>
    <border>
      <left/>
      <right style="thin">
        <color theme="9"/>
      </right>
      <top/>
      <bottom/>
      <diagonal/>
    </border>
    <border>
      <left/>
      <right style="thin">
        <color theme="9"/>
      </right>
      <top style="thin">
        <color theme="9"/>
      </top>
      <bottom/>
      <diagonal/>
    </border>
    <border>
      <left style="thin">
        <color theme="9"/>
      </left>
      <right style="thin">
        <color theme="9"/>
      </right>
      <top/>
      <bottom/>
      <diagonal/>
    </border>
    <border>
      <left style="thin">
        <color rgb="FFED7D31"/>
      </left>
      <right style="thin">
        <color rgb="FFED7D31"/>
      </right>
      <top style="thin">
        <color rgb="FFED7D31"/>
      </top>
      <bottom style="thin">
        <color rgb="FFED7D31"/>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183">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quotePrefix="1"/>
    <xf numFmtId="2" fontId="0" fillId="0" borderId="0" xfId="0" applyNumberFormat="1" applyAlignment="1">
      <alignment horizontal="center"/>
    </xf>
    <xf numFmtId="0" fontId="0" fillId="0" borderId="0" xfId="0" applyAlignment="1">
      <alignment horizontal="center"/>
    </xf>
    <xf numFmtId="0" fontId="0" fillId="0" borderId="0" xfId="0" applyAlignment="1">
      <alignment horizontal="center" vertical="center"/>
    </xf>
    <xf numFmtId="2" fontId="0" fillId="0" borderId="0" xfId="0" applyNumberFormat="1" applyAlignment="1">
      <alignment horizontal="center" vertical="center"/>
    </xf>
    <xf numFmtId="0" fontId="5" fillId="0" borderId="0" xfId="0" applyFont="1"/>
    <xf numFmtId="0" fontId="6" fillId="0" borderId="0" xfId="0" applyFont="1"/>
    <xf numFmtId="0" fontId="0" fillId="2" borderId="0" xfId="0" applyFill="1" applyAlignment="1">
      <alignment horizontal="center"/>
    </xf>
    <xf numFmtId="0" fontId="0" fillId="3" borderId="0" xfId="0" applyFill="1"/>
    <xf numFmtId="2" fontId="0" fillId="4" borderId="0" xfId="0" applyNumberFormat="1" applyFill="1" applyAlignment="1">
      <alignment horizontal="center"/>
    </xf>
    <xf numFmtId="0" fontId="0" fillId="0" borderId="0" xfId="0" applyAlignment="1">
      <alignment horizontal="left"/>
    </xf>
    <xf numFmtId="1" fontId="1" fillId="4" borderId="2" xfId="0" applyNumberFormat="1" applyFont="1" applyFill="1" applyBorder="1" applyAlignment="1">
      <alignment horizontal="center" vertical="center"/>
    </xf>
    <xf numFmtId="0" fontId="0" fillId="4" borderId="0" xfId="0" quotePrefix="1" applyFill="1" applyAlignment="1">
      <alignment horizontal="left"/>
    </xf>
    <xf numFmtId="0" fontId="0" fillId="4" borderId="0" xfId="0" applyFill="1" applyAlignment="1">
      <alignment horizontal="left" vertical="center"/>
    </xf>
    <xf numFmtId="0" fontId="7" fillId="5" borderId="0" xfId="0" applyFont="1" applyFill="1" applyAlignment="1">
      <alignment vertical="center"/>
    </xf>
    <xf numFmtId="1" fontId="0" fillId="0" borderId="0" xfId="0" applyNumberFormat="1" applyAlignment="1">
      <alignment horizontal="center"/>
    </xf>
    <xf numFmtId="0" fontId="0" fillId="0" borderId="0" xfId="0" applyAlignment="1">
      <alignment vertical="top"/>
    </xf>
    <xf numFmtId="0" fontId="8" fillId="0" borderId="0" xfId="0" applyFont="1" applyAlignment="1">
      <alignment vertical="center"/>
    </xf>
    <xf numFmtId="0" fontId="9" fillId="5" borderId="0" xfId="0" applyFont="1" applyFill="1" applyAlignment="1">
      <alignment vertical="center"/>
    </xf>
    <xf numFmtId="0" fontId="9" fillId="0" borderId="0" xfId="0" applyFont="1" applyAlignment="1">
      <alignment vertical="center"/>
    </xf>
    <xf numFmtId="0" fontId="2" fillId="0" borderId="0" xfId="0" applyFont="1" applyAlignment="1">
      <alignment horizontal="center"/>
    </xf>
    <xf numFmtId="0" fontId="0" fillId="5" borderId="0" xfId="0" applyFill="1"/>
    <xf numFmtId="0" fontId="11" fillId="5" borderId="0" xfId="0" applyFont="1" applyFill="1" applyAlignment="1">
      <alignment vertical="center"/>
    </xf>
    <xf numFmtId="0" fontId="13" fillId="6" borderId="1" xfId="0" applyFont="1" applyFill="1" applyBorder="1" applyAlignment="1">
      <alignment horizontal="center" vertical="center"/>
    </xf>
    <xf numFmtId="0" fontId="6" fillId="0" borderId="0" xfId="0" applyFont="1" applyAlignment="1">
      <alignment horizontal="center" vertical="center"/>
    </xf>
    <xf numFmtId="0" fontId="12" fillId="6" borderId="1" xfId="0" applyFont="1" applyFill="1" applyBorder="1" applyAlignment="1">
      <alignment vertical="center"/>
    </xf>
    <xf numFmtId="0" fontId="13" fillId="6" borderId="0" xfId="0" applyFont="1" applyFill="1" applyAlignment="1">
      <alignment vertical="center"/>
    </xf>
    <xf numFmtId="0" fontId="13" fillId="6" borderId="0" xfId="0" applyFont="1" applyFill="1" applyAlignment="1">
      <alignment horizontal="center" vertical="center"/>
    </xf>
    <xf numFmtId="0" fontId="11" fillId="5" borderId="0" xfId="0" applyFont="1" applyFill="1" applyAlignment="1">
      <alignment horizontal="center" vertical="center"/>
    </xf>
    <xf numFmtId="0" fontId="0" fillId="0" borderId="17" xfId="0" applyBorder="1" applyAlignment="1">
      <alignment vertical="center"/>
    </xf>
    <xf numFmtId="0" fontId="0" fillId="0" borderId="7" xfId="0" applyBorder="1" applyAlignment="1">
      <alignment horizontal="center"/>
    </xf>
    <xf numFmtId="0" fontId="6" fillId="0" borderId="0" xfId="0" applyFont="1" applyAlignment="1">
      <alignment horizontal="center"/>
    </xf>
    <xf numFmtId="0" fontId="0" fillId="0" borderId="0" xfId="0" applyAlignment="1">
      <alignment horizontal="right"/>
    </xf>
    <xf numFmtId="0" fontId="7" fillId="5" borderId="0" xfId="0" applyFont="1" applyFill="1" applyAlignment="1">
      <alignment horizontal="center" vertical="center"/>
    </xf>
    <xf numFmtId="1" fontId="0" fillId="4" borderId="15" xfId="0" applyNumberFormat="1" applyFill="1" applyBorder="1" applyAlignment="1">
      <alignment horizontal="center"/>
    </xf>
    <xf numFmtId="1" fontId="0" fillId="4" borderId="13" xfId="0" applyNumberFormat="1" applyFill="1" applyBorder="1" applyAlignment="1">
      <alignment horizontal="center"/>
    </xf>
    <xf numFmtId="0" fontId="0" fillId="4" borderId="15" xfId="0" applyFill="1" applyBorder="1" applyAlignment="1">
      <alignment horizontal="center"/>
    </xf>
    <xf numFmtId="2" fontId="0" fillId="4" borderId="15" xfId="0" applyNumberFormat="1" applyFill="1" applyBorder="1" applyAlignment="1">
      <alignment horizontal="center"/>
    </xf>
    <xf numFmtId="164" fontId="0" fillId="4" borderId="16" xfId="0" applyNumberFormat="1" applyFill="1" applyBorder="1" applyAlignment="1">
      <alignment horizontal="center"/>
    </xf>
    <xf numFmtId="0" fontId="0" fillId="4" borderId="13" xfId="0" applyFill="1" applyBorder="1" applyAlignment="1">
      <alignment horizontal="center"/>
    </xf>
    <xf numFmtId="2" fontId="0" fillId="4" borderId="13" xfId="0" applyNumberFormat="1" applyFill="1" applyBorder="1" applyAlignment="1">
      <alignment horizontal="center"/>
    </xf>
    <xf numFmtId="164" fontId="0" fillId="4" borderId="14" xfId="0" applyNumberFormat="1" applyFill="1" applyBorder="1" applyAlignment="1">
      <alignment horizontal="center"/>
    </xf>
    <xf numFmtId="165" fontId="0" fillId="0" borderId="0" xfId="0" applyNumberFormat="1" applyAlignment="1">
      <alignment horizontal="center"/>
    </xf>
    <xf numFmtId="2" fontId="0" fillId="0" borderId="0" xfId="0" applyNumberFormat="1" applyAlignment="1">
      <alignment horizontal="center" vertical="top"/>
    </xf>
    <xf numFmtId="164" fontId="0" fillId="4" borderId="15" xfId="0" applyNumberFormat="1" applyFill="1" applyBorder="1" applyAlignment="1">
      <alignment horizontal="center"/>
    </xf>
    <xf numFmtId="164" fontId="0" fillId="4" borderId="13" xfId="0" applyNumberFormat="1" applyFill="1" applyBorder="1" applyAlignment="1">
      <alignment horizont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vertical="center" wrapText="1"/>
    </xf>
    <xf numFmtId="0" fontId="1" fillId="4" borderId="0" xfId="0" applyFont="1" applyFill="1" applyAlignment="1">
      <alignment horizontal="left" vertical="center" wrapText="1"/>
    </xf>
    <xf numFmtId="0" fontId="1" fillId="4" borderId="0" xfId="0" applyFont="1" applyFill="1"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horizontal="center" vertical="center" wrapText="1"/>
    </xf>
    <xf numFmtId="0" fontId="1" fillId="3" borderId="0" xfId="0" applyFont="1" applyFill="1" applyAlignment="1">
      <alignment horizontal="center" vertical="center" wrapText="1"/>
    </xf>
    <xf numFmtId="0" fontId="1" fillId="4" borderId="13" xfId="0" applyFont="1" applyFill="1" applyBorder="1" applyAlignment="1">
      <alignment horizontal="center" vertical="center" wrapText="1"/>
    </xf>
    <xf numFmtId="0" fontId="15" fillId="4" borderId="13" xfId="0" applyFont="1" applyFill="1" applyBorder="1" applyAlignment="1">
      <alignment horizontal="center" vertical="center" wrapText="1"/>
    </xf>
    <xf numFmtId="2" fontId="0" fillId="4" borderId="0" xfId="1" applyNumberFormat="1" applyFont="1" applyFill="1" applyAlignment="1">
      <alignment horizontal="center"/>
    </xf>
    <xf numFmtId="1" fontId="0" fillId="4" borderId="0" xfId="0" applyNumberFormat="1" applyFill="1" applyAlignment="1">
      <alignment horizontal="center"/>
    </xf>
    <xf numFmtId="0" fontId="0" fillId="4" borderId="0" xfId="0" applyFill="1" applyAlignment="1">
      <alignment horizontal="center"/>
    </xf>
    <xf numFmtId="0" fontId="1" fillId="0" borderId="0" xfId="0" applyFont="1" applyAlignment="1">
      <alignment vertical="center"/>
    </xf>
    <xf numFmtId="0" fontId="0" fillId="0" borderId="0" xfId="0" applyAlignment="1">
      <alignment horizontal="center" vertical="top"/>
    </xf>
    <xf numFmtId="0" fontId="7" fillId="5" borderId="0" xfId="0" applyFont="1" applyFill="1" applyAlignment="1">
      <alignment horizontal="left" vertical="center"/>
    </xf>
    <xf numFmtId="2" fontId="0" fillId="4" borderId="0" xfId="0" applyNumberFormat="1" applyFill="1" applyAlignment="1">
      <alignment horizontal="left"/>
    </xf>
    <xf numFmtId="1" fontId="0" fillId="4" borderId="0" xfId="0" applyNumberFormat="1" applyFill="1" applyAlignment="1">
      <alignment horizontal="left"/>
    </xf>
    <xf numFmtId="0" fontId="8" fillId="0" borderId="0" xfId="0" applyFont="1" applyAlignment="1">
      <alignment horizontal="center" vertical="center"/>
    </xf>
    <xf numFmtId="164" fontId="0" fillId="4" borderId="0" xfId="0" quotePrefix="1" applyNumberFormat="1" applyFill="1" applyAlignment="1">
      <alignment horizontal="center"/>
    </xf>
    <xf numFmtId="164" fontId="0" fillId="4" borderId="0" xfId="0" applyNumberFormat="1" applyFill="1" applyAlignment="1">
      <alignment horizontal="center" vertical="center"/>
    </xf>
    <xf numFmtId="0" fontId="6" fillId="8" borderId="18" xfId="0" applyFont="1" applyFill="1" applyBorder="1"/>
    <xf numFmtId="0" fontId="8" fillId="7" borderId="19" xfId="0" applyFont="1" applyFill="1" applyBorder="1" applyAlignment="1">
      <alignment vertical="center"/>
    </xf>
    <xf numFmtId="0" fontId="6" fillId="8" borderId="20" xfId="0" applyFont="1" applyFill="1" applyBorder="1"/>
    <xf numFmtId="0" fontId="8" fillId="4" borderId="13" xfId="0" applyFont="1" applyFill="1" applyBorder="1" applyAlignment="1">
      <alignment horizontal="center" vertical="center" wrapText="1"/>
    </xf>
    <xf numFmtId="0" fontId="6" fillId="8" borderId="18" xfId="0" applyFont="1" applyFill="1" applyBorder="1" applyAlignment="1">
      <alignment horizontal="left"/>
    </xf>
    <xf numFmtId="0" fontId="6" fillId="8" borderId="20" xfId="0" applyFont="1" applyFill="1" applyBorder="1" applyAlignment="1">
      <alignment horizontal="left"/>
    </xf>
    <xf numFmtId="164" fontId="0" fillId="0" borderId="0" xfId="0" applyNumberFormat="1" applyAlignment="1">
      <alignment horizontal="center" vertical="top"/>
    </xf>
    <xf numFmtId="0" fontId="1" fillId="0" borderId="0" xfId="0" applyFont="1" applyAlignment="1">
      <alignment horizontal="center"/>
    </xf>
    <xf numFmtId="3" fontId="6" fillId="0" borderId="0" xfId="0" applyNumberFormat="1" applyFont="1" applyAlignment="1">
      <alignment horizontal="center"/>
    </xf>
    <xf numFmtId="43" fontId="3" fillId="0" borderId="0" xfId="2" applyFont="1" applyFill="1" applyAlignment="1">
      <alignment horizontal="center"/>
    </xf>
    <xf numFmtId="43" fontId="0" fillId="0" borderId="0" xfId="2" applyFont="1" applyFill="1" applyAlignment="1">
      <alignment horizontal="center"/>
    </xf>
    <xf numFmtId="0" fontId="1" fillId="9" borderId="0" xfId="0" applyFont="1" applyFill="1" applyAlignment="1">
      <alignment horizontal="center" vertical="center" wrapText="1"/>
    </xf>
    <xf numFmtId="0" fontId="0" fillId="4" borderId="0" xfId="0" applyFill="1" applyAlignment="1">
      <alignment horizontal="center" vertical="center"/>
    </xf>
    <xf numFmtId="0" fontId="0" fillId="4" borderId="0" xfId="0" quotePrefix="1" applyFill="1" applyAlignment="1">
      <alignment horizontal="center"/>
    </xf>
    <xf numFmtId="0" fontId="1" fillId="4" borderId="21" xfId="0" applyFont="1" applyFill="1" applyBorder="1" applyAlignment="1">
      <alignment horizontal="center" vertical="center" wrapText="1"/>
    </xf>
    <xf numFmtId="0" fontId="0" fillId="0" borderId="0" xfId="0" applyAlignment="1">
      <alignment vertical="center"/>
    </xf>
    <xf numFmtId="0" fontId="0" fillId="4" borderId="0" xfId="0" applyFill="1"/>
    <xf numFmtId="0" fontId="16" fillId="0" borderId="0" xfId="0" applyFont="1" applyAlignment="1">
      <alignment vertical="top"/>
    </xf>
    <xf numFmtId="0" fontId="0" fillId="0" borderId="0" xfId="0" applyAlignment="1">
      <alignment horizontal="left" vertical="center"/>
    </xf>
    <xf numFmtId="0" fontId="0" fillId="10" borderId="0" xfId="0" applyFill="1"/>
    <xf numFmtId="1" fontId="0" fillId="9" borderId="0" xfId="0" applyNumberFormat="1" applyFill="1" applyAlignment="1">
      <alignment horizontal="center"/>
    </xf>
    <xf numFmtId="0" fontId="0" fillId="8" borderId="18" xfId="0" applyFill="1" applyBorder="1"/>
    <xf numFmtId="2" fontId="3" fillId="0" borderId="0" xfId="2" applyNumberFormat="1" applyFont="1" applyFill="1" applyAlignment="1">
      <alignment horizontal="center"/>
    </xf>
    <xf numFmtId="0" fontId="0" fillId="8" borderId="20" xfId="0" applyFill="1" applyBorder="1"/>
    <xf numFmtId="0" fontId="8" fillId="7" borderId="19" xfId="0" applyFont="1" applyFill="1" applyBorder="1"/>
    <xf numFmtId="0" fontId="6" fillId="0" borderId="7" xfId="0" applyFont="1" applyBorder="1" applyAlignment="1">
      <alignment vertical="center"/>
    </xf>
    <xf numFmtId="0" fontId="6" fillId="0" borderId="4" xfId="0" applyFont="1" applyBorder="1"/>
    <xf numFmtId="0" fontId="6" fillId="0" borderId="5" xfId="0" applyFont="1" applyBorder="1"/>
    <xf numFmtId="0" fontId="6" fillId="0" borderId="6" xfId="0" applyFont="1" applyBorder="1"/>
    <xf numFmtId="0" fontId="6" fillId="0" borderId="3" xfId="0" applyFont="1" applyBorder="1" applyAlignment="1">
      <alignment horizontal="center"/>
    </xf>
    <xf numFmtId="0" fontId="6" fillId="0" borderId="9" xfId="0" applyFont="1" applyBorder="1" applyAlignment="1">
      <alignment vertical="center"/>
    </xf>
    <xf numFmtId="0" fontId="6" fillId="0" borderId="7" xfId="0" applyFont="1" applyBorder="1" applyAlignment="1">
      <alignment vertical="center" wrapText="1"/>
    </xf>
    <xf numFmtId="0" fontId="6" fillId="0" borderId="3" xfId="0" applyFont="1" applyBorder="1" applyAlignment="1">
      <alignment horizontal="left"/>
    </xf>
    <xf numFmtId="0" fontId="6" fillId="0" borderId="8" xfId="0" applyFont="1" applyBorder="1" applyAlignment="1">
      <alignment vertical="center"/>
    </xf>
    <xf numFmtId="0" fontId="6" fillId="0" borderId="9" xfId="0" applyFont="1" applyBorder="1" applyAlignment="1">
      <alignment horizontal="left" vertical="center"/>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7" xfId="0" applyFont="1" applyBorder="1" applyAlignment="1">
      <alignment vertical="distributed"/>
    </xf>
    <xf numFmtId="0" fontId="6" fillId="0" borderId="8" xfId="0" applyFont="1" applyBorder="1" applyAlignment="1">
      <alignment vertical="distributed"/>
    </xf>
    <xf numFmtId="0" fontId="6" fillId="0" borderId="9" xfId="0" applyFont="1" applyBorder="1" applyAlignment="1">
      <alignment vertical="distributed"/>
    </xf>
    <xf numFmtId="0" fontId="1" fillId="4" borderId="10" xfId="0" applyFont="1" applyFill="1" applyBorder="1"/>
    <xf numFmtId="0" fontId="1" fillId="4" borderId="11" xfId="0" applyFont="1" applyFill="1" applyBorder="1"/>
    <xf numFmtId="0" fontId="1" fillId="4" borderId="12" xfId="0" applyFont="1" applyFill="1" applyBorder="1"/>
    <xf numFmtId="1" fontId="0" fillId="0" borderId="0" xfId="0" applyNumberFormat="1"/>
    <xf numFmtId="1" fontId="0" fillId="4" borderId="22" xfId="0" applyNumberFormat="1" applyFill="1" applyBorder="1" applyAlignment="1">
      <alignment horizontal="center"/>
    </xf>
    <xf numFmtId="1" fontId="0" fillId="4" borderId="23" xfId="0" applyNumberFormat="1" applyFill="1" applyBorder="1" applyAlignment="1">
      <alignment horizontal="center"/>
    </xf>
    <xf numFmtId="1" fontId="0" fillId="0" borderId="0" xfId="0" applyNumberFormat="1" applyAlignment="1">
      <alignment horizontal="center" vertical="center"/>
    </xf>
    <xf numFmtId="0" fontId="0" fillId="12" borderId="0" xfId="0" applyFill="1"/>
    <xf numFmtId="0" fontId="13" fillId="5" borderId="0" xfId="0" applyFont="1" applyFill="1" applyAlignment="1">
      <alignment vertical="center"/>
    </xf>
    <xf numFmtId="0" fontId="8" fillId="0" borderId="0" xfId="0" applyFont="1" applyAlignment="1">
      <alignment horizontal="center" vertical="center" wrapText="1"/>
    </xf>
    <xf numFmtId="0" fontId="6" fillId="0" borderId="0" xfId="0" applyFont="1" applyAlignment="1">
      <alignment horizontal="left"/>
    </xf>
    <xf numFmtId="2" fontId="0" fillId="0" borderId="0" xfId="0" applyNumberFormat="1"/>
    <xf numFmtId="0" fontId="0" fillId="4" borderId="0" xfId="0" applyFill="1" applyAlignment="1">
      <alignment horizontal="left" vertical="center" wrapText="1"/>
    </xf>
    <xf numFmtId="1" fontId="6" fillId="0" borderId="0" xfId="0" applyNumberFormat="1" applyFont="1" applyAlignment="1">
      <alignment horizontal="center"/>
    </xf>
    <xf numFmtId="0" fontId="0" fillId="0" borderId="0" xfId="2" applyNumberFormat="1" applyFont="1" applyFill="1" applyAlignment="1">
      <alignment horizontal="center"/>
    </xf>
    <xf numFmtId="0" fontId="1" fillId="11" borderId="0" xfId="0" applyFont="1" applyFill="1" applyAlignment="1">
      <alignment horizontal="center" vertical="center" wrapText="1"/>
    </xf>
    <xf numFmtId="14" fontId="0" fillId="0" borderId="0" xfId="0" applyNumberFormat="1" applyAlignment="1">
      <alignment horizontal="center"/>
    </xf>
    <xf numFmtId="0" fontId="0" fillId="0" borderId="0" xfId="0" applyAlignment="1">
      <alignment horizontal="right" vertical="center"/>
    </xf>
    <xf numFmtId="2" fontId="0" fillId="0" borderId="0" xfId="0" applyNumberFormat="1" applyAlignment="1">
      <alignment horizontal="right" vertical="center"/>
    </xf>
    <xf numFmtId="0" fontId="1" fillId="13" borderId="0" xfId="0" applyFont="1" applyFill="1" applyAlignment="1">
      <alignment horizontal="center" vertical="center" wrapText="1"/>
    </xf>
    <xf numFmtId="0" fontId="0" fillId="3" borderId="24" xfId="0" applyFill="1" applyBorder="1"/>
    <xf numFmtId="0" fontId="0" fillId="4" borderId="25" xfId="0" applyFill="1" applyBorder="1" applyAlignment="1">
      <alignment horizontal="center"/>
    </xf>
    <xf numFmtId="2" fontId="0" fillId="4" borderId="14" xfId="0" applyNumberFormat="1" applyFill="1" applyBorder="1" applyAlignment="1">
      <alignment horizontal="center"/>
    </xf>
    <xf numFmtId="2" fontId="0" fillId="4" borderId="26" xfId="0" applyNumberFormat="1" applyFill="1" applyBorder="1" applyAlignment="1">
      <alignment horizontal="center"/>
    </xf>
    <xf numFmtId="0" fontId="0" fillId="4" borderId="14" xfId="0" applyFill="1" applyBorder="1" applyAlignment="1">
      <alignment horizontal="center"/>
    </xf>
    <xf numFmtId="1" fontId="0" fillId="4" borderId="25" xfId="0" applyNumberFormat="1" applyFill="1" applyBorder="1" applyAlignment="1">
      <alignment horizontal="center"/>
    </xf>
    <xf numFmtId="164" fontId="0" fillId="4" borderId="23" xfId="0" applyNumberFormat="1" applyFill="1" applyBorder="1" applyAlignment="1">
      <alignment horizontal="center"/>
    </xf>
    <xf numFmtId="164" fontId="0" fillId="4" borderId="25" xfId="0" applyNumberFormat="1" applyFill="1" applyBorder="1" applyAlignment="1">
      <alignment horizontal="center"/>
    </xf>
    <xf numFmtId="0" fontId="15" fillId="0" borderId="13" xfId="0" applyFont="1" applyBorder="1" applyAlignment="1">
      <alignment horizontal="center" vertical="center" wrapText="1"/>
    </xf>
    <xf numFmtId="2" fontId="0" fillId="0" borderId="15" xfId="0" applyNumberFormat="1" applyBorder="1" applyAlignment="1">
      <alignment horizontal="center"/>
    </xf>
    <xf numFmtId="2" fontId="0" fillId="0" borderId="13" xfId="0" applyNumberFormat="1" applyBorder="1" applyAlignment="1">
      <alignment horizontal="center"/>
    </xf>
    <xf numFmtId="2" fontId="0" fillId="0" borderId="25" xfId="0" applyNumberFormat="1" applyBorder="1" applyAlignment="1">
      <alignment horizontal="center"/>
    </xf>
    <xf numFmtId="164" fontId="0" fillId="0" borderId="15" xfId="0" applyNumberFormat="1" applyBorder="1" applyAlignment="1">
      <alignment horizontal="center"/>
    </xf>
    <xf numFmtId="164" fontId="0" fillId="0" borderId="13" xfId="0" applyNumberFormat="1" applyBorder="1" applyAlignment="1">
      <alignment horizontal="center"/>
    </xf>
    <xf numFmtId="166" fontId="0" fillId="0" borderId="0" xfId="1" applyNumberFormat="1" applyFont="1" applyAlignment="1">
      <alignment vertical="center"/>
    </xf>
    <xf numFmtId="0" fontId="1" fillId="10" borderId="13" xfId="0" applyFont="1" applyFill="1" applyBorder="1" applyAlignment="1">
      <alignment horizontal="center" vertical="center" wrapText="1"/>
    </xf>
    <xf numFmtId="0" fontId="0" fillId="10" borderId="0" xfId="0" applyFill="1" applyAlignment="1">
      <alignment horizontal="center"/>
    </xf>
    <xf numFmtId="0" fontId="0" fillId="0" borderId="0" xfId="0" applyAlignment="1">
      <alignment vertical="top" wrapText="1"/>
    </xf>
    <xf numFmtId="0" fontId="0" fillId="0" borderId="3" xfId="0" applyBorder="1"/>
    <xf numFmtId="2" fontId="0" fillId="0" borderId="0" xfId="1" applyNumberFormat="1" applyFont="1" applyFill="1" applyAlignment="1">
      <alignment horizontal="center"/>
    </xf>
    <xf numFmtId="0" fontId="7" fillId="10" borderId="0" xfId="0" applyFont="1" applyFill="1" applyAlignment="1">
      <alignment vertical="center"/>
    </xf>
    <xf numFmtId="0" fontId="1" fillId="10" borderId="11" xfId="0" applyFont="1" applyFill="1" applyBorder="1"/>
    <xf numFmtId="0" fontId="15" fillId="10" borderId="13" xfId="0" applyFont="1" applyFill="1" applyBorder="1" applyAlignment="1">
      <alignment horizontal="center" vertical="center" wrapText="1"/>
    </xf>
    <xf numFmtId="2" fontId="0" fillId="10" borderId="0" xfId="0" applyNumberFormat="1" applyFill="1" applyAlignment="1">
      <alignment horizontal="center"/>
    </xf>
    <xf numFmtId="2" fontId="0" fillId="10" borderId="15" xfId="0" applyNumberFormat="1" applyFill="1" applyBorder="1" applyAlignment="1">
      <alignment horizontal="center"/>
    </xf>
    <xf numFmtId="0" fontId="18" fillId="0" borderId="27" xfId="0" applyFont="1" applyBorder="1" applyAlignment="1">
      <alignment horizontal="center" vertical="center"/>
    </xf>
    <xf numFmtId="0" fontId="18" fillId="0" borderId="27" xfId="0" applyFont="1" applyBorder="1" applyAlignment="1">
      <alignment horizontal="center"/>
    </xf>
    <xf numFmtId="0" fontId="0" fillId="4" borderId="24" xfId="0" applyFill="1" applyBorder="1" applyAlignment="1">
      <alignment horizontal="center"/>
    </xf>
    <xf numFmtId="2" fontId="0" fillId="10" borderId="26" xfId="0" applyNumberFormat="1" applyFill="1" applyBorder="1" applyAlignment="1">
      <alignment horizontal="center"/>
    </xf>
    <xf numFmtId="2" fontId="0" fillId="10" borderId="24" xfId="0" applyNumberFormat="1" applyFill="1" applyBorder="1" applyAlignment="1">
      <alignment horizontal="center"/>
    </xf>
    <xf numFmtId="2" fontId="0" fillId="4" borderId="24" xfId="0" applyNumberFormat="1" applyFill="1" applyBorder="1" applyAlignment="1">
      <alignment horizontal="center"/>
    </xf>
    <xf numFmtId="0" fontId="0" fillId="4" borderId="26" xfId="0" applyFill="1" applyBorder="1" applyAlignment="1">
      <alignment horizontal="center"/>
    </xf>
    <xf numFmtId="1" fontId="0" fillId="4" borderId="24" xfId="0" applyNumberFormat="1" applyFill="1" applyBorder="1" applyAlignment="1">
      <alignment horizontal="center"/>
    </xf>
    <xf numFmtId="164" fontId="0" fillId="4" borderId="0" xfId="0" applyNumberFormat="1" applyFill="1" applyAlignment="1">
      <alignment horizontal="center"/>
    </xf>
    <xf numFmtId="0" fontId="0" fillId="4" borderId="0" xfId="0" applyFill="1" applyAlignment="1">
      <alignment horizontal="left"/>
    </xf>
    <xf numFmtId="0" fontId="0" fillId="10" borderId="0" xfId="0" quotePrefix="1" applyFill="1" applyAlignment="1">
      <alignment horizontal="left"/>
    </xf>
    <xf numFmtId="2" fontId="0" fillId="10" borderId="0" xfId="1" applyNumberFormat="1" applyFont="1" applyFill="1" applyAlignment="1">
      <alignment horizontal="center"/>
    </xf>
    <xf numFmtId="1" fontId="0" fillId="10" borderId="0" xfId="0" applyNumberFormat="1" applyFill="1"/>
    <xf numFmtId="1" fontId="0" fillId="10" borderId="0" xfId="0" applyNumberFormat="1" applyFill="1" applyAlignment="1">
      <alignment horizontal="center"/>
    </xf>
    <xf numFmtId="0" fontId="0" fillId="10" borderId="13" xfId="0" applyFill="1" applyBorder="1" applyAlignment="1">
      <alignment horizontal="center"/>
    </xf>
    <xf numFmtId="2" fontId="0" fillId="10" borderId="13" xfId="0" applyNumberFormat="1" applyFill="1" applyBorder="1" applyAlignment="1">
      <alignment horizontal="center"/>
    </xf>
    <xf numFmtId="1" fontId="0" fillId="10" borderId="23" xfId="0" applyNumberFormat="1" applyFill="1" applyBorder="1" applyAlignment="1">
      <alignment horizontal="center"/>
    </xf>
    <xf numFmtId="1" fontId="0" fillId="10" borderId="13" xfId="0" applyNumberFormat="1" applyFill="1" applyBorder="1" applyAlignment="1">
      <alignment horizontal="center"/>
    </xf>
    <xf numFmtId="164" fontId="0" fillId="10" borderId="13" xfId="0" applyNumberFormat="1" applyFill="1" applyBorder="1" applyAlignment="1">
      <alignment horizontal="center"/>
    </xf>
    <xf numFmtId="164" fontId="0" fillId="10" borderId="14" xfId="0" applyNumberFormat="1" applyFill="1" applyBorder="1" applyAlignment="1">
      <alignment horizontal="center"/>
    </xf>
    <xf numFmtId="2" fontId="0" fillId="10" borderId="0" xfId="0" applyNumberFormat="1" applyFill="1" applyAlignment="1">
      <alignment horizontal="center" vertical="center"/>
    </xf>
    <xf numFmtId="0" fontId="0" fillId="10" borderId="0" xfId="0" applyFill="1" applyAlignment="1">
      <alignment horizontal="center" vertical="center"/>
    </xf>
    <xf numFmtId="1" fontId="0" fillId="10" borderId="0" xfId="0" applyNumberFormat="1" applyFill="1" applyAlignment="1">
      <alignment horizontal="center" vertical="center"/>
    </xf>
    <xf numFmtId="0" fontId="1" fillId="4" borderId="10" xfId="0" applyFont="1" applyFill="1" applyBorder="1" applyAlignment="1">
      <alignment horizontal="center"/>
    </xf>
    <xf numFmtId="0" fontId="1" fillId="4" borderId="11" xfId="0" applyFont="1" applyFill="1" applyBorder="1" applyAlignment="1">
      <alignment horizontal="center"/>
    </xf>
    <xf numFmtId="0" fontId="1" fillId="4" borderId="12" xfId="0" applyFont="1" applyFill="1" applyBorder="1" applyAlignment="1">
      <alignment horizontal="center"/>
    </xf>
  </cellXfs>
  <cellStyles count="3">
    <cellStyle name="Milliers" xfId="2" builtinId="3"/>
    <cellStyle name="Normal" xfId="0" builtinId="0"/>
    <cellStyle name="Pourcentage" xfId="1" builtinId="5"/>
  </cellStyles>
  <dxfs count="273">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4" formatCode="0.0"/>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alignment horizontal="center" vertical="bottom" textRotation="0" wrapText="0" indent="0" justifyLastLine="0" shrinkToFit="0" readingOrder="0"/>
    </dxf>
    <dxf>
      <fill>
        <patternFill patternType="solid">
          <fgColor indexed="64"/>
          <bgColor rgb="FFFFFFCC"/>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outline="0">
        <top style="thin">
          <color theme="0" tint="-0.499984740745262"/>
        </top>
      </border>
    </dxf>
    <dxf>
      <border outline="0">
        <top style="thick">
          <color theme="1" tint="0.499984740745262"/>
        </top>
        <bottom style="thin">
          <color theme="0" tint="-0.499984740745262"/>
        </bottom>
      </border>
    </dxf>
    <dxf>
      <fill>
        <patternFill patternType="solid">
          <fgColor indexed="64"/>
          <bgColor rgb="FFFFFFCC"/>
        </patternFill>
      </fill>
    </dxf>
    <dxf>
      <border outline="0">
        <bottom style="thick">
          <color theme="1" tint="0.499984740745262"/>
        </bottom>
      </border>
    </dxf>
    <dxf>
      <font>
        <b/>
        <i val="0"/>
        <strike val="0"/>
        <condense val="0"/>
        <extend val="0"/>
        <outline val="0"/>
        <shadow val="0"/>
        <u val="none"/>
        <vertAlign val="baseline"/>
        <sz val="11"/>
        <color auto="1"/>
        <name val="Calibri"/>
        <family val="2"/>
        <scheme val="minor"/>
      </font>
      <fill>
        <patternFill patternType="solid">
          <fgColor indexed="64"/>
          <bgColor rgb="FFD9E1F2"/>
        </patternFill>
      </fill>
    </dxf>
    <dxf>
      <font>
        <b val="0"/>
        <i val="0"/>
        <strike val="0"/>
        <condense val="0"/>
        <extend val="0"/>
        <outline val="0"/>
        <shadow val="0"/>
        <u val="none"/>
        <vertAlign val="baseline"/>
        <sz val="11"/>
        <color auto="1"/>
        <name val="Calibri"/>
        <family val="2"/>
        <scheme val="minor"/>
      </font>
      <fill>
        <patternFill patternType="solid">
          <fgColor indexed="64"/>
          <bgColor rgb="FFFFFFCC"/>
        </patternFill>
      </fill>
      <alignment horizontal="left" vertical="bottom"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border outline="0">
        <top style="thin">
          <color theme="0" tint="-0.499984740745262"/>
        </top>
      </border>
    </dxf>
    <dxf>
      <border outline="0">
        <top style="thick">
          <color theme="1" tint="0.499984740745262"/>
        </top>
        <bottom style="thin">
          <color theme="0" tint="-0.499984740745262"/>
        </bottom>
      </border>
    </dxf>
    <dxf>
      <font>
        <b val="0"/>
        <i val="0"/>
        <strike val="0"/>
        <condense val="0"/>
        <extend val="0"/>
        <outline val="0"/>
        <shadow val="0"/>
        <u val="none"/>
        <vertAlign val="baseline"/>
        <sz val="11"/>
        <color auto="1"/>
        <name val="Calibri"/>
        <family val="2"/>
        <scheme val="minor"/>
      </font>
      <fill>
        <patternFill patternType="solid">
          <fgColor indexed="64"/>
          <bgColor rgb="FFFFFFCC"/>
        </patternFill>
      </fill>
      <alignment horizontal="left" vertical="bottom" textRotation="0" wrapText="0" indent="0" justifyLastLine="0" shrinkToFit="0" readingOrder="0"/>
    </dxf>
    <dxf>
      <border outline="0">
        <bottom style="thick">
          <color theme="1" tint="0.499984740745262"/>
        </bottom>
      </border>
    </dxf>
    <dxf>
      <font>
        <b/>
        <i val="0"/>
        <strike val="0"/>
        <condense val="0"/>
        <extend val="0"/>
        <outline val="0"/>
        <shadow val="0"/>
        <u val="none"/>
        <vertAlign val="baseline"/>
        <sz val="11"/>
        <color auto="1"/>
        <name val="Calibri"/>
        <family val="2"/>
        <scheme val="minor"/>
      </font>
      <fill>
        <patternFill patternType="solid">
          <fgColor indexed="64"/>
          <bgColor rgb="FFD9E1F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FFCC"/>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border outline="0">
        <top style="thin">
          <color theme="0" tint="-0.499984740745262"/>
        </top>
      </border>
    </dxf>
    <dxf>
      <border outline="0">
        <top style="thick">
          <color theme="1" tint="0.499984740745262"/>
        </top>
        <bottom style="thin">
          <color theme="0" tint="-0.499984740745262"/>
        </bottom>
      </border>
    </dxf>
    <dxf>
      <font>
        <b val="0"/>
        <i val="0"/>
        <strike val="0"/>
        <condense val="0"/>
        <extend val="0"/>
        <outline val="0"/>
        <shadow val="0"/>
        <u val="none"/>
        <vertAlign val="baseline"/>
        <sz val="11"/>
        <color auto="1"/>
        <name val="Calibri"/>
        <family val="2"/>
        <scheme val="minor"/>
      </font>
      <fill>
        <patternFill patternType="solid">
          <fgColor indexed="64"/>
          <bgColor rgb="FFFFFFCC"/>
        </patternFill>
      </fill>
    </dxf>
    <dxf>
      <border outline="0">
        <bottom style="thick">
          <color theme="1" tint="0.499984740745262"/>
        </bottom>
      </border>
    </dxf>
    <dxf>
      <font>
        <b/>
        <i val="0"/>
        <strike val="0"/>
        <condense val="0"/>
        <extend val="0"/>
        <outline val="0"/>
        <shadow val="0"/>
        <u val="none"/>
        <vertAlign val="baseline"/>
        <sz val="11"/>
        <color auto="1"/>
        <name val="Calibri"/>
        <family val="2"/>
        <scheme val="minor"/>
      </font>
      <fill>
        <patternFill patternType="solid">
          <fgColor indexed="64"/>
          <bgColor rgb="FFD9E1F2"/>
        </patternFill>
      </fill>
      <alignment horizontal="general" vertic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font>
        <strike val="0"/>
        <outline val="0"/>
        <shadow val="0"/>
        <u val="none"/>
        <vertAlign val="baseline"/>
        <sz val="11"/>
        <color rgb="FFFF0000"/>
        <name val="Calibri"/>
        <family val="2"/>
        <scheme val="minor"/>
      </font>
    </dxf>
    <dxf>
      <font>
        <strike val="0"/>
        <outline val="0"/>
        <shadow val="0"/>
        <u val="none"/>
        <vertAlign val="baseline"/>
        <sz val="11"/>
        <color rgb="FFFF0000"/>
        <name val="Calibri"/>
        <family val="2"/>
        <scheme val="minor"/>
      </font>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0"/>
    </dxf>
    <dxf>
      <numFmt numFmtId="165" formatCode="0.000"/>
      <alignment horizontal="center" vertical="bottom" textRotation="0" wrapText="0" indent="0" justifyLastLine="0" shrinkToFit="0" readingOrder="0"/>
    </dxf>
    <dxf>
      <numFmt numFmtId="165" formatCode="0.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distributed" textRotation="0" wrapText="0" indent="0" justifyLastLine="0" shrinkToFit="0" readingOrder="0"/>
      <border diagonalUp="0" diagonalDown="0">
        <left style="thin">
          <color indexed="64"/>
        </left>
        <right style="thin">
          <color indexed="64"/>
        </right>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bottom style="thin">
          <color indexed="64"/>
        </bottom>
        <vertical/>
        <horizontal/>
      </border>
    </dxf>
    <dxf>
      <border outline="0">
        <bottom style="thin">
          <color indexed="64"/>
        </bottom>
      </border>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0" formatCode="General"/>
      <alignment horizontal="center" vertical="top" textRotation="0" wrapText="0" indent="0" justifyLastLine="0" shrinkToFit="0" readingOrder="0"/>
    </dxf>
    <dxf>
      <alignment horizontal="center" vertical="top" textRotation="0" wrapText="0" indent="0" justifyLastLine="0" shrinkToFit="0" readingOrder="0"/>
    </dxf>
    <dxf>
      <alignment horizontal="center"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1" formatCode="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left" vertical="bottom" textRotation="0" wrapText="0" indent="0" justifyLastLine="0" shrinkToFit="0" readingOrder="0"/>
    </dxf>
    <dxf>
      <numFmt numFmtId="2" formatCode="0.00"/>
      <fill>
        <patternFill patternType="solid">
          <fgColor indexed="64"/>
          <bgColor theme="0" tint="-4.9989318521683403E-2"/>
        </patternFill>
      </fill>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2" formatCode="0.00"/>
      <fill>
        <patternFill patternType="solid">
          <fgColor indexed="64"/>
          <bgColor theme="0" tint="-4.9989318521683403E-2"/>
        </patternFill>
      </fill>
      <alignment horizontal="left" vertical="bottom" textRotation="0" wrapText="0" indent="0" justifyLastLine="0" shrinkToFit="0" readingOrder="0"/>
    </dxf>
    <dxf>
      <numFmt numFmtId="2" formatCode="0.00"/>
      <fill>
        <patternFill patternType="solid">
          <fgColor indexed="64"/>
          <bgColor theme="0" tint="-4.9989318521683403E-2"/>
        </patternFill>
      </fill>
      <alignment horizontal="left" vertical="bottom" textRotation="0" wrapText="0" indent="0" justifyLastLine="0" shrinkToFit="0" readingOrder="0"/>
    </dxf>
    <dxf>
      <numFmt numFmtId="1" formatCode="0"/>
      <fill>
        <patternFill patternType="solid">
          <fgColor indexed="64"/>
          <bgColor theme="0" tint="-4.9989318521683403E-2"/>
        </patternFill>
      </fill>
      <alignment horizontal="left" vertical="bottom" textRotation="0" wrapText="0" indent="0" justifyLastLine="0" shrinkToFit="0" readingOrder="0"/>
    </dxf>
    <dxf>
      <numFmt numFmtId="1" formatCode="0"/>
      <fill>
        <patternFill patternType="solid">
          <fgColor indexed="64"/>
          <bgColor theme="0" tint="-4.9989318521683403E-2"/>
        </patternFill>
      </fill>
      <alignment horizontal="left" vertical="bottom" textRotation="0" wrapText="0" indent="0" justifyLastLine="0" shrinkToFit="0" readingOrder="0"/>
    </dxf>
    <dxf>
      <numFmt numFmtId="1" formatCode="0"/>
      <fill>
        <patternFill patternType="solid">
          <fgColor indexed="64"/>
          <bgColor theme="0" tint="-4.9989318521683403E-2"/>
        </patternFill>
      </fill>
      <alignment horizontal="center" vertical="bottom" textRotation="0" wrapText="0" indent="0" justifyLastLine="0" shrinkToFit="0" readingOrder="0"/>
    </dxf>
    <dxf>
      <numFmt numFmtId="1" formatCode="0"/>
      <fill>
        <patternFill patternType="solid">
          <fgColor indexed="64"/>
          <bgColor theme="0" tint="-4.9989318521683403E-2"/>
        </patternFill>
      </fill>
      <alignment horizontal="center" vertical="bottom" textRotation="0" wrapText="0" indent="0" justifyLastLine="0" shrinkToFit="0" readingOrder="0"/>
    </dxf>
    <dxf>
      <numFmt numFmtId="1" formatCode="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5"/>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solid">
          <fgColor indexed="64"/>
          <bgColor rgb="FFFFFF00"/>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0" tint="-4.9989318521683403E-2"/>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0" indent="0" justifyLastLine="0" shrinkToFit="0" readingOrder="0"/>
    </dxf>
    <dxf>
      <numFmt numFmtId="0" formatCode="General"/>
      <fill>
        <patternFill>
          <fgColor indexed="64"/>
          <bgColor theme="0" tint="-4.9989318521683403E-2"/>
        </patternFill>
      </fill>
      <alignment horizontal="center" vertical="center" textRotation="0" wrapText="0" indent="0" justifyLastLine="0" shrinkToFit="0" readingOrder="0"/>
    </dxf>
    <dxf>
      <numFmt numFmtId="164" formatCode="0.0"/>
      <fill>
        <patternFill patternType="solid">
          <fgColor indexed="64"/>
          <bgColor theme="0" tint="-4.9989318521683403E-2"/>
        </patternFill>
      </fill>
      <alignment horizontal="center" vertical="center" textRotation="0" wrapText="0" indent="0" justifyLastLine="0" shrinkToFit="0" readingOrder="0"/>
    </dxf>
    <dxf>
      <numFmt numFmtId="0" formatCode="General"/>
      <fill>
        <patternFill patternType="solid">
          <fgColor indexed="64"/>
          <bgColor theme="0" tint="-4.9989318521683403E-2"/>
        </patternFill>
      </fill>
      <alignment horizontal="center" vertical="center" textRotation="0" wrapText="0" indent="0" justifyLastLine="0" shrinkToFit="0" readingOrder="0"/>
    </dxf>
    <dxf>
      <numFmt numFmtId="0" formatCode="General"/>
      <fill>
        <patternFill>
          <fgColor indexed="64"/>
          <bgColor theme="0" tint="-4.9989318521683403E-2"/>
        </patternFill>
      </fill>
      <alignment horizontal="center" vertical="center" textRotation="0" wrapText="0" indent="0" justifyLastLine="0" shrinkToFit="0" readingOrder="0"/>
    </dxf>
    <dxf>
      <fill>
        <patternFill>
          <fgColor indexed="64"/>
          <bgColor theme="0" tint="-4.9989318521683403E-2"/>
        </patternFill>
      </fill>
      <alignment horizontal="center" vertical="center" textRotation="0" wrapText="0" indent="0" justifyLastLine="0" shrinkToFit="0" readingOrder="0"/>
    </dxf>
    <dxf>
      <fill>
        <patternFill>
          <fgColor indexed="64"/>
          <bgColor theme="0" tint="-4.9989318521683403E-2"/>
        </patternFill>
      </fill>
      <alignment horizontal="center" vertical="center" textRotation="0" wrapText="0" indent="0" justifyLastLine="0" shrinkToFit="0" readingOrder="0"/>
    </dxf>
    <dxf>
      <fill>
        <patternFill>
          <fgColor indexed="64"/>
          <bgColor theme="0" tint="-4.9989318521683403E-2"/>
        </patternFill>
      </fill>
      <alignment horizontal="center" vertical="center" textRotation="0" wrapText="0" indent="0" justifyLastLine="0" shrinkToFit="0" readingOrder="0"/>
    </dxf>
    <dxf>
      <numFmt numFmtId="0" formatCode="General"/>
      <fill>
        <patternFill patternType="solid">
          <fgColor indexed="64"/>
          <bgColor theme="0" tint="-4.9989318521683403E-2"/>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fill>
        <patternFill patternType="none">
          <fgColor indexed="64"/>
          <bgColor auto="1"/>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0" formatCode="General"/>
      <fill>
        <patternFill>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0" tint="-4.9989318521683403E-2"/>
        </patternFill>
      </fill>
      <alignment horizontal="center" textRotation="0" indent="0" justifyLastLine="0" shrinkToFit="0" readingOrder="0"/>
    </dxf>
    <dxf>
      <numFmt numFmtId="1" formatCode="0"/>
      <fill>
        <patternFill patternType="solid">
          <fgColor indexed="64"/>
          <bgColor theme="0" tint="-4.9989318521683403E-2"/>
        </patternFill>
      </fill>
      <alignment horizontal="center" vertical="bottom" textRotation="0" wrapText="0" indent="0" justifyLastLine="0" shrinkToFit="0" readingOrder="0"/>
    </dxf>
    <dxf>
      <numFmt numFmtId="1" formatCode="0"/>
      <fill>
        <patternFill patternType="solid">
          <fgColor indexed="64"/>
          <bgColor theme="0" tint="-4.9989318521683403E-2"/>
        </patternFill>
      </fill>
      <alignment horizontal="center" textRotation="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fill>
        <patternFill patternType="solid">
          <fgColor indexed="64"/>
          <bgColor theme="9"/>
        </patternFill>
      </fill>
    </dxf>
    <dxf>
      <font>
        <b val="0"/>
        <i val="0"/>
        <strike val="0"/>
        <condense val="0"/>
        <extend val="0"/>
        <outline val="0"/>
        <shadow val="0"/>
        <u val="none"/>
        <vertAlign val="baseline"/>
        <sz val="11"/>
        <color theme="1"/>
        <name val="Calibri"/>
        <family val="2"/>
        <scheme val="minor"/>
      </font>
      <numFmt numFmtId="164" formatCode="0.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top style="thin">
          <color theme="9"/>
        </top>
        <bottom/>
      </border>
    </dxf>
    <dxf>
      <font>
        <b val="0"/>
        <i val="0"/>
        <strike val="0"/>
        <condense val="0"/>
        <extend val="0"/>
        <outline val="0"/>
        <shadow val="0"/>
        <u val="none"/>
        <vertAlign val="baseline"/>
        <sz val="11"/>
        <color theme="1"/>
        <name val="Calibri"/>
        <family val="2"/>
        <scheme val="minor"/>
      </font>
      <numFmt numFmtId="164" formatCode="0.0"/>
      <fill>
        <patternFill patternType="solid">
          <fgColor indexed="64"/>
          <bgColor theme="0" tint="-4.9989318521683403E-2"/>
        </patternFill>
      </fill>
      <alignment horizontal="center" vertical="bottom" textRotation="0" wrapText="0" indent="0" justifyLastLine="0" shrinkToFit="0" readingOrder="0"/>
      <border diagonalUp="0" diagonalDown="0">
        <left/>
        <right/>
        <top style="thin">
          <color theme="9"/>
        </top>
        <bottom/>
      </border>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outline="0">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auto="1"/>
        </patternFill>
      </fill>
      <alignment horizontal="center" vertical="bottom" textRotation="0" wrapText="0" indent="0" justifyLastLine="0" shrinkToFit="0" readingOrder="0"/>
      <border diagonalUp="0" diagonalDown="0" outline="0">
        <left style="thin">
          <color theme="9"/>
        </left>
        <right/>
        <top style="thin">
          <color theme="9"/>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outline="0">
        <left style="thin">
          <color theme="9"/>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style="thin">
          <color theme="9"/>
        </right>
        <top style="thin">
          <color theme="9"/>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border diagonalUp="0" diagonalDown="0" outline="0">
        <left style="thin">
          <color theme="9"/>
        </left>
        <right/>
        <top style="thin">
          <color theme="9"/>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outline="0">
        <left style="thin">
          <color theme="9"/>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9"/>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9"/>
        </left>
        <right style="thin">
          <color theme="9"/>
        </right>
        <top style="thin">
          <color theme="9"/>
        </top>
        <bottom/>
      </border>
    </dxf>
    <dxf>
      <numFmt numFmtId="2" formatCode="0.0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style="thin">
          <color theme="9"/>
        </right>
        <top/>
        <bottom/>
      </border>
    </dxf>
    <dxf>
      <numFmt numFmtId="2" formatCode="0.00"/>
      <fill>
        <patternFill patternType="solid">
          <fgColor indexed="64"/>
          <bgColor rgb="FFFFFF00"/>
        </patternFill>
      </fill>
      <alignment horizontal="center" vertical="bottom" textRotation="0" wrapText="0" indent="0" justifyLastLine="0" shrinkToFit="0" readingOrder="0"/>
      <border diagonalUp="0" diagonalDown="0" outline="0">
        <left/>
        <right style="thin">
          <color theme="9"/>
        </right>
        <top/>
        <bottom/>
      </border>
    </dxf>
    <dxf>
      <numFmt numFmtId="2" formatCode="0.00"/>
      <fill>
        <patternFill patternType="solid">
          <fgColor indexed="64"/>
          <bgColor rgb="FFFFFF00"/>
        </patternFill>
      </fill>
      <alignment horizontal="center" vertical="bottom" textRotation="0" wrapText="0" indent="0" justifyLastLine="0" shrinkToFit="0" readingOrder="0"/>
      <border diagonalUp="0" diagonalDown="0" outline="0">
        <left/>
        <right style="thin">
          <color theme="9"/>
        </right>
        <top/>
        <bottom/>
      </border>
    </dxf>
    <dxf>
      <numFmt numFmtId="2" formatCode="0.00"/>
      <fill>
        <patternFill patternType="solid">
          <fgColor indexed="64"/>
          <bgColor rgb="FFFFFF00"/>
        </patternFill>
      </fill>
      <alignment horizontal="center" vertical="bottom" textRotation="0" wrapText="0" indent="0" justifyLastLine="0" shrinkToFit="0" readingOrder="0"/>
      <border diagonalUp="0" diagonalDown="0" outline="0">
        <left style="thin">
          <color theme="9"/>
        </left>
        <right style="thin">
          <color theme="9"/>
        </right>
        <top/>
        <bottom/>
      </border>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9"/>
        </left>
        <right style="thin">
          <color theme="9"/>
        </right>
        <top style="thin">
          <color theme="9"/>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center" vertical="bottom" textRotation="0" wrapText="0" indent="0" justifyLastLine="0" shrinkToFit="0" readingOrder="0"/>
      <border diagonalUp="0" diagonalDown="0">
        <left/>
        <right style="thin">
          <color theme="9"/>
        </right>
        <top style="thin">
          <color theme="9"/>
        </top>
        <bottom/>
      </border>
    </dxf>
    <dxf>
      <fill>
        <patternFill patternType="solid">
          <fgColor indexed="64"/>
          <bgColor theme="9"/>
        </patternFill>
      </fill>
      <border outline="0">
        <right style="thin">
          <color theme="9"/>
        </right>
      </border>
    </dxf>
    <dxf>
      <alignment horizontal="center" textRotation="0" indent="0" justifyLastLine="0" shrinkToFit="0" readingOrder="0"/>
    </dxf>
    <dxf>
      <fill>
        <patternFill patternType="none">
          <fgColor indexed="64"/>
          <bgColor auto="1"/>
        </patternFill>
      </fill>
    </dxf>
    <dxf>
      <numFmt numFmtId="0" formatCode="General"/>
      <fill>
        <patternFill patternType="solid">
          <fgColor indexed="64"/>
          <bgColor theme="0" tint="-0.1499984740745262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dxf>
    <dxf>
      <numFmt numFmtId="2" formatCode="0.00"/>
      <fill>
        <patternFill>
          <fgColor indexed="64"/>
          <bgColor theme="0" tint="-4.9989318521683403E-2"/>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fgColor indexed="64"/>
          <bgColor theme="0" tint="-4.9989318521683403E-2"/>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0" formatCode="General"/>
      <fill>
        <patternFill patternType="solid">
          <fgColor indexed="64"/>
          <bgColor theme="0" tint="-4.9989318521683403E-2"/>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2" formatCode="0.0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fill>
        <patternFill patternType="none">
          <fgColor indexed="64"/>
          <bgColor auto="1"/>
        </patternFill>
      </fill>
    </dxf>
    <dxf>
      <fill>
        <patternFill patternType="none">
          <fgColor indexed="64"/>
          <bgColor auto="1"/>
        </patternFill>
      </fill>
    </dxf>
    <dxf>
      <numFmt numFmtId="2" formatCode="0.00"/>
      <fill>
        <patternFill patternType="none">
          <fgColor indexed="64"/>
          <bgColor auto="1"/>
        </patternFill>
      </fill>
    </dxf>
    <dxf>
      <fill>
        <patternFill patternType="none">
          <fgColor indexed="64"/>
          <bgColor auto="1"/>
        </patternFill>
      </fill>
    </dxf>
    <dxf>
      <font>
        <b val="0"/>
      </font>
      <numFmt numFmtId="0" formatCode="General"/>
      <fill>
        <patternFill patternType="solid">
          <fgColor indexed="64"/>
          <bgColor theme="0" tint="-4.9989318521683403E-2"/>
        </patternFill>
      </fill>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2" formatCode="0.00"/>
      <fill>
        <patternFill patternType="solid">
          <fgColor indexed="64"/>
          <bgColor theme="0" tint="-4.9989318521683403E-2"/>
        </patternFill>
      </fil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font>
      <fill>
        <patternFill patternType="solid">
          <bgColor rgb="FFD9E1F2"/>
        </patternFill>
      </fill>
      <border>
        <left style="thin">
          <color theme="1" tint="0.499984740745262"/>
        </left>
        <right style="thin">
          <color theme="1" tint="0.499984740745262"/>
        </right>
        <top style="thick">
          <color theme="1" tint="0.499984740745262"/>
        </top>
        <bottom style="thick">
          <color theme="1" tint="0.499984740745262"/>
        </bottom>
        <vertical style="thin">
          <color theme="1" tint="0.499984740745262"/>
        </vertical>
      </border>
    </dxf>
    <dxf>
      <font>
        <strike val="0"/>
      </font>
      <fill>
        <patternFill>
          <bgColor rgb="FFFFFFCC"/>
        </patternFill>
      </fill>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s>
  <tableStyles count="2" defaultTableStyle="TableStyleMedium2" defaultPivotStyle="PivotStyleLight16">
    <tableStyle name="Inputs Table" pivot="0" count="2" xr9:uid="{D0E81658-FC0A-45DA-8B5B-494E60586B92}">
      <tableStyleElement type="wholeTable" dxfId="272"/>
      <tableStyleElement type="headerRow" dxfId="271"/>
    </tableStyle>
    <tableStyle name="Table Style 1" pivot="0" count="0" xr9:uid="{CB60FA1C-8508-4C28-870B-DE28D22FEDF0}"/>
  </tableStyles>
  <colors>
    <mruColors>
      <color rgb="FF003A5D"/>
      <color rgb="FFCC00FF"/>
      <color rgb="FFD7A9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PLT!$AR$4:$AR$9</c:f>
              <c:strCache>
                <c:ptCount val="6"/>
                <c:pt idx="0">
                  <c:v>Valid</c:v>
                </c:pt>
                <c:pt idx="1">
                  <c:v>Penetrate</c:v>
                </c:pt>
                <c:pt idx="2">
                  <c:v>Broke along MD</c:v>
                </c:pt>
                <c:pt idx="3">
                  <c:v>Along bedding/Foliation</c:v>
                </c:pt>
                <c:pt idx="4">
                  <c:v>Chipped</c:v>
                </c:pt>
                <c:pt idx="5">
                  <c:v>Invalid</c:v>
                </c:pt>
              </c:strCache>
            </c:strRef>
          </c:cat>
          <c:val>
            <c:numRef>
              <c:f>PLT!$AS$4:$AS$9</c:f>
              <c:numCache>
                <c:formatCode>General</c:formatCode>
                <c:ptCount val="6"/>
                <c:pt idx="0">
                  <c:v>0</c:v>
                </c:pt>
                <c:pt idx="1">
                  <c:v>0</c:v>
                </c:pt>
                <c:pt idx="2">
                  <c:v>44</c:v>
                </c:pt>
                <c:pt idx="3">
                  <c:v>0</c:v>
                </c:pt>
                <c:pt idx="4">
                  <c:v>29</c:v>
                </c:pt>
                <c:pt idx="5">
                  <c:v>0</c:v>
                </c:pt>
              </c:numCache>
            </c:numRef>
          </c:val>
          <c:extLst>
            <c:ext xmlns:c16="http://schemas.microsoft.com/office/drawing/2014/chart" uri="{C3380CC4-5D6E-409C-BE32-E72D297353CC}">
              <c16:uniqueId val="{00000000-C41D-4A2C-A470-E3FDC835E731}"/>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PLT!$AR$4:$AR$9</c:f>
              <c:strCache>
                <c:ptCount val="6"/>
                <c:pt idx="0">
                  <c:v>Valid</c:v>
                </c:pt>
                <c:pt idx="1">
                  <c:v>Penetrate</c:v>
                </c:pt>
                <c:pt idx="2">
                  <c:v>Broke along MD</c:v>
                </c:pt>
                <c:pt idx="3">
                  <c:v>Along bedding/Foliation</c:v>
                </c:pt>
                <c:pt idx="4">
                  <c:v>Chipped</c:v>
                </c:pt>
                <c:pt idx="5">
                  <c:v>Invalid</c:v>
                </c:pt>
              </c:strCache>
            </c:strRef>
          </c:cat>
          <c:val>
            <c:numRef>
              <c:f>PLT!$AT$4:$AT$9</c:f>
              <c:numCache>
                <c:formatCode>0.0%</c:formatCode>
                <c:ptCount val="6"/>
                <c:pt idx="0">
                  <c:v>0</c:v>
                </c:pt>
                <c:pt idx="1">
                  <c:v>0</c:v>
                </c:pt>
                <c:pt idx="2">
                  <c:v>0.60273972602739723</c:v>
                </c:pt>
                <c:pt idx="3">
                  <c:v>0</c:v>
                </c:pt>
                <c:pt idx="4">
                  <c:v>0.39726027397260272</c:v>
                </c:pt>
                <c:pt idx="5">
                  <c:v>0</c:v>
                </c:pt>
              </c:numCache>
            </c:numRef>
          </c:val>
          <c:extLst>
            <c:ext xmlns:c16="http://schemas.microsoft.com/office/drawing/2014/chart" uri="{C3380CC4-5D6E-409C-BE32-E72D297353CC}">
              <c16:uniqueId val="{00000000-D933-4C9E-93E4-1E593815E982}"/>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PLT!$AR$27:$AR$32</c:f>
              <c:strCache>
                <c:ptCount val="6"/>
                <c:pt idx="0">
                  <c:v>Valid</c:v>
                </c:pt>
                <c:pt idx="1">
                  <c:v>Penetrate</c:v>
                </c:pt>
                <c:pt idx="2">
                  <c:v>Broke along MD</c:v>
                </c:pt>
                <c:pt idx="3">
                  <c:v>Along bedding/Foliation</c:v>
                </c:pt>
                <c:pt idx="4">
                  <c:v>Chipped</c:v>
                </c:pt>
                <c:pt idx="5">
                  <c:v>Invalid</c:v>
                </c:pt>
              </c:strCache>
            </c:strRef>
          </c:cat>
          <c:val>
            <c:numRef>
              <c:f>PLT!$AS$27:$AS$32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FDB3-4CBC-B953-71748BFF0686}"/>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PLT!$AR$27:$AR$32</c:f>
              <c:strCache>
                <c:ptCount val="6"/>
                <c:pt idx="0">
                  <c:v>Valid</c:v>
                </c:pt>
                <c:pt idx="1">
                  <c:v>Penetrate</c:v>
                </c:pt>
                <c:pt idx="2">
                  <c:v>Broke along MD</c:v>
                </c:pt>
                <c:pt idx="3">
                  <c:v>Along bedding/Foliation</c:v>
                </c:pt>
                <c:pt idx="4">
                  <c:v>Chipped</c:v>
                </c:pt>
                <c:pt idx="5">
                  <c:v>Invalid</c:v>
                </c:pt>
              </c:strCache>
            </c:strRef>
          </c:cat>
          <c:val>
            <c:numRef>
              <c:f>PLT!$AT$27:$AT$32</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627-479F-819F-7D9B458A9368}"/>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PLT!$BG$4:$BG$9</c:f>
              <c:strCache>
                <c:ptCount val="6"/>
                <c:pt idx="0">
                  <c:v>Valid</c:v>
                </c:pt>
                <c:pt idx="1">
                  <c:v>Penetrate</c:v>
                </c:pt>
                <c:pt idx="2">
                  <c:v>Broke along MD</c:v>
                </c:pt>
                <c:pt idx="3">
                  <c:v>Along bedding/Foliation</c:v>
                </c:pt>
                <c:pt idx="4">
                  <c:v>Chipped</c:v>
                </c:pt>
                <c:pt idx="5">
                  <c:v>Invalid</c:v>
                </c:pt>
              </c:strCache>
            </c:strRef>
          </c:cat>
          <c:val>
            <c:numRef>
              <c:f>PLT!$BH$4:$BH$9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503D-432D-8B8E-BDF9226998E2}"/>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CA"/>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Failure Type</c:v>
          </c:tx>
          <c:spPr>
            <a:solidFill>
              <a:srgbClr val="003A5D"/>
            </a:solidFill>
            <a:ln>
              <a:noFill/>
            </a:ln>
            <a:effectLst/>
          </c:spPr>
          <c:invertIfNegative val="0"/>
          <c:cat>
            <c:strRef>
              <c:f>PLT!$BG$4:$BG$9</c:f>
              <c:strCache>
                <c:ptCount val="6"/>
                <c:pt idx="0">
                  <c:v>Valid</c:v>
                </c:pt>
                <c:pt idx="1">
                  <c:v>Penetrate</c:v>
                </c:pt>
                <c:pt idx="2">
                  <c:v>Broke along MD</c:v>
                </c:pt>
                <c:pt idx="3">
                  <c:v>Along bedding/Foliation</c:v>
                </c:pt>
                <c:pt idx="4">
                  <c:v>Chipped</c:v>
                </c:pt>
                <c:pt idx="5">
                  <c:v>Invalid</c:v>
                </c:pt>
              </c:strCache>
            </c:strRef>
          </c:cat>
          <c:val>
            <c:numRef>
              <c:f>PLT!$BI$4:$BI$9</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11A-48BD-B16E-1C595D9781DE}"/>
            </c:ext>
          </c:extLst>
        </c:ser>
        <c:dLbls>
          <c:showLegendKey val="0"/>
          <c:showVal val="0"/>
          <c:showCatName val="0"/>
          <c:showSerName val="0"/>
          <c:showPercent val="0"/>
          <c:showBubbleSize val="0"/>
        </c:dLbls>
        <c:gapWidth val="219"/>
        <c:overlap val="-27"/>
        <c:axId val="735799727"/>
        <c:axId val="735810287"/>
      </c:barChart>
      <c:catAx>
        <c:axId val="73579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Failure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fr-FR"/>
          </a:p>
        </c:txPr>
        <c:crossAx val="735810287"/>
        <c:crosses val="autoZero"/>
        <c:auto val="1"/>
        <c:lblAlgn val="ctr"/>
        <c:lblOffset val="100"/>
        <c:noMultiLvlLbl val="0"/>
      </c:catAx>
      <c:valAx>
        <c:axId val="735810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CA"/>
                  <a:t>Total Number of Failure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79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33</xdr:col>
      <xdr:colOff>204535</xdr:colOff>
      <xdr:row>0</xdr:row>
      <xdr:rowOff>250934</xdr:rowOff>
    </xdr:from>
    <xdr:to>
      <xdr:col>38</xdr:col>
      <xdr:colOff>259976</xdr:colOff>
      <xdr:row>12</xdr:row>
      <xdr:rowOff>179293</xdr:rowOff>
    </xdr:to>
    <xdr:grpSp>
      <xdr:nvGrpSpPr>
        <xdr:cNvPr id="4" name="Group 25">
          <a:extLst>
            <a:ext uri="{FF2B5EF4-FFF2-40B4-BE49-F238E27FC236}">
              <a16:creationId xmlns:a16="http://schemas.microsoft.com/office/drawing/2014/main" id="{A6CF2D22-A45A-4CFC-AC5C-C32A69A9D927}"/>
            </a:ext>
          </a:extLst>
        </xdr:cNvPr>
        <xdr:cNvGrpSpPr/>
      </xdr:nvGrpSpPr>
      <xdr:grpSpPr>
        <a:xfrm>
          <a:off x="34953976" y="250934"/>
          <a:ext cx="3809412" cy="2864300"/>
          <a:chOff x="13749618" y="112059"/>
          <a:chExt cx="4191000" cy="3238566"/>
        </a:xfrm>
      </xdr:grpSpPr>
      <xdr:pic>
        <xdr:nvPicPr>
          <xdr:cNvPr id="5" name="Picture 26">
            <a:extLst>
              <a:ext uri="{FF2B5EF4-FFF2-40B4-BE49-F238E27FC236}">
                <a16:creationId xmlns:a16="http://schemas.microsoft.com/office/drawing/2014/main" id="{8B853115-A52D-489D-A1B1-5EE8EAB86313}"/>
              </a:ext>
            </a:extLst>
          </xdr:cNvPr>
          <xdr:cNvPicPr>
            <a:picLocks noChangeAspect="1"/>
          </xdr:cNvPicPr>
        </xdr:nvPicPr>
        <xdr:blipFill>
          <a:blip xmlns:r="http://schemas.openxmlformats.org/officeDocument/2006/relationships" r:embed="rId1" cstate="print"/>
          <a:stretch>
            <a:fillRect/>
          </a:stretch>
        </xdr:blipFill>
        <xdr:spPr>
          <a:xfrm>
            <a:off x="13749618" y="123264"/>
            <a:ext cx="4191000" cy="3227361"/>
          </a:xfrm>
          <a:prstGeom prst="rect">
            <a:avLst/>
          </a:prstGeom>
        </xdr:spPr>
      </xdr:pic>
      <xdr:sp macro="" textlink="">
        <xdr:nvSpPr>
          <xdr:cNvPr id="6" name="Rectangle 5">
            <a:extLst>
              <a:ext uri="{FF2B5EF4-FFF2-40B4-BE49-F238E27FC236}">
                <a16:creationId xmlns:a16="http://schemas.microsoft.com/office/drawing/2014/main" id="{2CADE6EE-033E-422E-BC0F-3259BA356431}"/>
              </a:ext>
            </a:extLst>
          </xdr:cNvPr>
          <xdr:cNvSpPr/>
        </xdr:nvSpPr>
        <xdr:spPr>
          <a:xfrm>
            <a:off x="14265089" y="112059"/>
            <a:ext cx="3384175" cy="2129118"/>
          </a:xfrm>
          <a:prstGeom prst="rect">
            <a:avLst/>
          </a:prstGeom>
          <a:no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sp macro="" textlink="">
        <xdr:nvSpPr>
          <xdr:cNvPr id="7" name="Rectangle 6">
            <a:extLst>
              <a:ext uri="{FF2B5EF4-FFF2-40B4-BE49-F238E27FC236}">
                <a16:creationId xmlns:a16="http://schemas.microsoft.com/office/drawing/2014/main" id="{239081B8-774A-4002-8985-20E7EB5868C0}"/>
              </a:ext>
            </a:extLst>
          </xdr:cNvPr>
          <xdr:cNvSpPr/>
        </xdr:nvSpPr>
        <xdr:spPr>
          <a:xfrm>
            <a:off x="14238195" y="2442881"/>
            <a:ext cx="2548216" cy="6835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clientData/>
  </xdr:twoCellAnchor>
  <xdr:oneCellAnchor>
    <xdr:from>
      <xdr:col>36</xdr:col>
      <xdr:colOff>200025</xdr:colOff>
      <xdr:row>13</xdr:row>
      <xdr:rowOff>53787</xdr:rowOff>
    </xdr:from>
    <xdr:ext cx="2233872" cy="1658470"/>
    <xdr:pic>
      <xdr:nvPicPr>
        <xdr:cNvPr id="10" name="Picture 9">
          <a:extLst>
            <a:ext uri="{FF2B5EF4-FFF2-40B4-BE49-F238E27FC236}">
              <a16:creationId xmlns:a16="http://schemas.microsoft.com/office/drawing/2014/main" id="{66890052-0AB5-4F4A-9A5B-42FEF0503D7F}"/>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5216166" y="2850775"/>
          <a:ext cx="2233872" cy="1658470"/>
        </a:xfrm>
        <a:prstGeom prst="rect">
          <a:avLst/>
        </a:prstGeom>
        <a:noFill/>
        <a:ln w="1">
          <a:noFill/>
          <a:miter lim="800000"/>
          <a:headEnd/>
          <a:tailEnd type="none" w="med" len="med"/>
        </a:ln>
        <a:effectLst/>
      </xdr:spPr>
    </xdr:pic>
    <xdr:clientData/>
  </xdr:oneCellAnchor>
  <xdr:twoCellAnchor>
    <xdr:from>
      <xdr:col>33</xdr:col>
      <xdr:colOff>558613</xdr:colOff>
      <xdr:row>13</xdr:row>
      <xdr:rowOff>152400</xdr:rowOff>
    </xdr:from>
    <xdr:to>
      <xdr:col>36</xdr:col>
      <xdr:colOff>116541</xdr:colOff>
      <xdr:row>23</xdr:row>
      <xdr:rowOff>0</xdr:rowOff>
    </xdr:to>
    <xdr:grpSp>
      <xdr:nvGrpSpPr>
        <xdr:cNvPr id="2" name="Group 1">
          <a:extLst>
            <a:ext uri="{FF2B5EF4-FFF2-40B4-BE49-F238E27FC236}">
              <a16:creationId xmlns:a16="http://schemas.microsoft.com/office/drawing/2014/main" id="{5F37FCEE-8C4B-8BFB-D49C-C01A12A60A60}"/>
            </a:ext>
          </a:extLst>
        </xdr:cNvPr>
        <xdr:cNvGrpSpPr/>
      </xdr:nvGrpSpPr>
      <xdr:grpSpPr>
        <a:xfrm>
          <a:off x="35308054" y="3278841"/>
          <a:ext cx="1877546" cy="1752600"/>
          <a:chOff x="33306683" y="2662518"/>
          <a:chExt cx="2041380" cy="1640541"/>
        </a:xfrm>
      </xdr:grpSpPr>
      <xdr:pic>
        <xdr:nvPicPr>
          <xdr:cNvPr id="9" name="Picture 8">
            <a:extLst>
              <a:ext uri="{FF2B5EF4-FFF2-40B4-BE49-F238E27FC236}">
                <a16:creationId xmlns:a16="http://schemas.microsoft.com/office/drawing/2014/main" id="{3D0A8CE1-6088-4AF8-8228-8F8952097E6C}"/>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3306683" y="2662518"/>
            <a:ext cx="2041380" cy="1640541"/>
          </a:xfrm>
          <a:prstGeom prst="rect">
            <a:avLst/>
          </a:prstGeom>
          <a:noFill/>
          <a:ln w="1">
            <a:noFill/>
            <a:miter lim="800000"/>
            <a:headEnd/>
            <a:tailEnd type="none" w="med" len="med"/>
          </a:ln>
          <a:effectLst/>
        </xdr:spPr>
      </xdr:pic>
      <xdr:sp macro="" textlink="">
        <xdr:nvSpPr>
          <xdr:cNvPr id="11" name="ZoneTexte 7">
            <a:extLst>
              <a:ext uri="{FF2B5EF4-FFF2-40B4-BE49-F238E27FC236}">
                <a16:creationId xmlns:a16="http://schemas.microsoft.com/office/drawing/2014/main" id="{1B90EE43-7AA0-497D-8210-4E69184C34BF}"/>
              </a:ext>
            </a:extLst>
          </xdr:cNvPr>
          <xdr:cNvSpPr txBox="1"/>
        </xdr:nvSpPr>
        <xdr:spPr>
          <a:xfrm>
            <a:off x="33348986" y="2770094"/>
            <a:ext cx="951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CA" sz="1100"/>
              <a:t>H=0.3D</a:t>
            </a:r>
            <a:r>
              <a:rPr lang="fr-CA" sz="1100" baseline="0"/>
              <a:t> to 1D</a:t>
            </a:r>
            <a:endParaRPr lang="fr-CA" sz="1100"/>
          </a:p>
        </xdr:txBody>
      </xdr:sp>
    </xdr:grpSp>
    <xdr:clientData/>
  </xdr:twoCellAnchor>
  <xdr:twoCellAnchor>
    <xdr:from>
      <xdr:col>46</xdr:col>
      <xdr:colOff>457200</xdr:colOff>
      <xdr:row>2</xdr:row>
      <xdr:rowOff>9525</xdr:rowOff>
    </xdr:from>
    <xdr:to>
      <xdr:col>50</xdr:col>
      <xdr:colOff>695325</xdr:colOff>
      <xdr:row>24</xdr:row>
      <xdr:rowOff>28575</xdr:rowOff>
    </xdr:to>
    <xdr:graphicFrame macro="">
      <xdr:nvGraphicFramePr>
        <xdr:cNvPr id="14" name="Graphique 7">
          <a:extLst>
            <a:ext uri="{FF2B5EF4-FFF2-40B4-BE49-F238E27FC236}">
              <a16:creationId xmlns:a16="http://schemas.microsoft.com/office/drawing/2014/main" id="{FC55B787-4E88-4F4F-9129-F974E14D2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51</xdr:col>
      <xdr:colOff>47625</xdr:colOff>
      <xdr:row>2</xdr:row>
      <xdr:rowOff>0</xdr:rowOff>
    </xdr:from>
    <xdr:to>
      <xdr:col>55</xdr:col>
      <xdr:colOff>438150</xdr:colOff>
      <xdr:row>24</xdr:row>
      <xdr:rowOff>19050</xdr:rowOff>
    </xdr:to>
    <xdr:graphicFrame macro="">
      <xdr:nvGraphicFramePr>
        <xdr:cNvPr id="15" name="Graphique 7">
          <a:extLst>
            <a:ext uri="{FF2B5EF4-FFF2-40B4-BE49-F238E27FC236}">
              <a16:creationId xmlns:a16="http://schemas.microsoft.com/office/drawing/2014/main" id="{AB038464-5635-4025-827B-AFE50B37F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425824</xdr:colOff>
      <xdr:row>24</xdr:row>
      <xdr:rowOff>177614</xdr:rowOff>
    </xdr:from>
    <xdr:to>
      <xdr:col>50</xdr:col>
      <xdr:colOff>663949</xdr:colOff>
      <xdr:row>47</xdr:row>
      <xdr:rowOff>6164</xdr:rowOff>
    </xdr:to>
    <xdr:graphicFrame macro="">
      <xdr:nvGraphicFramePr>
        <xdr:cNvPr id="17" name="Graphique 7">
          <a:extLst>
            <a:ext uri="{FF2B5EF4-FFF2-40B4-BE49-F238E27FC236}">
              <a16:creationId xmlns:a16="http://schemas.microsoft.com/office/drawing/2014/main" id="{4CC93CA2-9673-4C33-B414-88770215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51</xdr:col>
      <xdr:colOff>94689</xdr:colOff>
      <xdr:row>25</xdr:row>
      <xdr:rowOff>0</xdr:rowOff>
    </xdr:from>
    <xdr:to>
      <xdr:col>55</xdr:col>
      <xdr:colOff>485214</xdr:colOff>
      <xdr:row>47</xdr:row>
      <xdr:rowOff>19050</xdr:rowOff>
    </xdr:to>
    <xdr:graphicFrame macro="">
      <xdr:nvGraphicFramePr>
        <xdr:cNvPr id="18" name="Graphique 7">
          <a:extLst>
            <a:ext uri="{FF2B5EF4-FFF2-40B4-BE49-F238E27FC236}">
              <a16:creationId xmlns:a16="http://schemas.microsoft.com/office/drawing/2014/main" id="{CC46EFA9-20DA-458C-8705-1B410F0E3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61</xdr:col>
      <xdr:colOff>136071</xdr:colOff>
      <xdr:row>2</xdr:row>
      <xdr:rowOff>54429</xdr:rowOff>
    </xdr:from>
    <xdr:to>
      <xdr:col>65</xdr:col>
      <xdr:colOff>374196</xdr:colOff>
      <xdr:row>23</xdr:row>
      <xdr:rowOff>73479</xdr:rowOff>
    </xdr:to>
    <xdr:graphicFrame macro="">
      <xdr:nvGraphicFramePr>
        <xdr:cNvPr id="19" name="Graphique 7">
          <a:extLst>
            <a:ext uri="{FF2B5EF4-FFF2-40B4-BE49-F238E27FC236}">
              <a16:creationId xmlns:a16="http://schemas.microsoft.com/office/drawing/2014/main" id="{251098AB-054E-467F-A74B-0D8A8CCC6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65</xdr:col>
      <xdr:colOff>421821</xdr:colOff>
      <xdr:row>2</xdr:row>
      <xdr:rowOff>40821</xdr:rowOff>
    </xdr:from>
    <xdr:to>
      <xdr:col>70</xdr:col>
      <xdr:colOff>91167</xdr:colOff>
      <xdr:row>23</xdr:row>
      <xdr:rowOff>59871</xdr:rowOff>
    </xdr:to>
    <xdr:graphicFrame macro="">
      <xdr:nvGraphicFramePr>
        <xdr:cNvPr id="20" name="Graphique 7">
          <a:extLst>
            <a:ext uri="{FF2B5EF4-FFF2-40B4-BE49-F238E27FC236}">
              <a16:creationId xmlns:a16="http://schemas.microsoft.com/office/drawing/2014/main" id="{A1A16E06-24A0-4C2F-A556-44D6630C0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69</xdr:col>
      <xdr:colOff>1291441</xdr:colOff>
      <xdr:row>10</xdr:row>
      <xdr:rowOff>42742</xdr:rowOff>
    </xdr:from>
    <xdr:to>
      <xdr:col>79</xdr:col>
      <xdr:colOff>2229697</xdr:colOff>
      <xdr:row>28</xdr:row>
      <xdr:rowOff>95537</xdr:rowOff>
    </xdr:to>
    <xdr:pic>
      <xdr:nvPicPr>
        <xdr:cNvPr id="3" name="Image 2">
          <a:extLst>
            <a:ext uri="{FF2B5EF4-FFF2-40B4-BE49-F238E27FC236}">
              <a16:creationId xmlns:a16="http://schemas.microsoft.com/office/drawing/2014/main" id="{2A19E277-9F3B-4A95-B84F-AA3023F8B926}"/>
            </a:ext>
          </a:extLst>
        </xdr:cNvPr>
        <xdr:cNvPicPr>
          <a:picLocks noChangeAspect="1"/>
        </xdr:cNvPicPr>
      </xdr:nvPicPr>
      <xdr:blipFill rotWithShape="1">
        <a:blip xmlns:r="http://schemas.openxmlformats.org/officeDocument/2006/relationships" r:embed="rId1"/>
        <a:srcRect t="1" b="-82"/>
        <a:stretch/>
      </xdr:blipFill>
      <xdr:spPr>
        <a:xfrm>
          <a:off x="55993516" y="2095380"/>
          <a:ext cx="7581098" cy="3344852"/>
        </a:xfrm>
        <a:prstGeom prst="rect">
          <a:avLst/>
        </a:prstGeom>
      </xdr:spPr>
    </xdr:pic>
    <xdr:clientData/>
  </xdr:twoCellAnchor>
  <xdr:twoCellAnchor editAs="oneCell">
    <xdr:from>
      <xdr:col>38</xdr:col>
      <xdr:colOff>63594</xdr:colOff>
      <xdr:row>31</xdr:row>
      <xdr:rowOff>119276</xdr:rowOff>
    </xdr:from>
    <xdr:to>
      <xdr:col>40</xdr:col>
      <xdr:colOff>358203</xdr:colOff>
      <xdr:row>44</xdr:row>
      <xdr:rowOff>93296</xdr:rowOff>
    </xdr:to>
    <xdr:pic>
      <xdr:nvPicPr>
        <xdr:cNvPr id="4" name="Picture 3">
          <a:extLst>
            <a:ext uri="{FF2B5EF4-FFF2-40B4-BE49-F238E27FC236}">
              <a16:creationId xmlns:a16="http://schemas.microsoft.com/office/drawing/2014/main" id="{EFD11EA8-C9B1-880D-BD35-BDCFE3FFE020}"/>
            </a:ext>
          </a:extLst>
        </xdr:cNvPr>
        <xdr:cNvPicPr>
          <a:picLocks noChangeAspect="1"/>
        </xdr:cNvPicPr>
      </xdr:nvPicPr>
      <xdr:blipFill>
        <a:blip xmlns:r="http://schemas.openxmlformats.org/officeDocument/2006/relationships" r:embed="rId2"/>
        <a:stretch>
          <a:fillRect/>
        </a:stretch>
      </xdr:blipFill>
      <xdr:spPr>
        <a:xfrm>
          <a:off x="28347241" y="6024776"/>
          <a:ext cx="3674130" cy="2350614"/>
        </a:xfrm>
        <a:prstGeom prst="rect">
          <a:avLst/>
        </a:prstGeom>
      </xdr:spPr>
    </xdr:pic>
    <xdr:clientData/>
  </xdr:twoCellAnchor>
  <xdr:twoCellAnchor editAs="oneCell">
    <xdr:from>
      <xdr:col>12</xdr:col>
      <xdr:colOff>134470</xdr:colOff>
      <xdr:row>11</xdr:row>
      <xdr:rowOff>112059</xdr:rowOff>
    </xdr:from>
    <xdr:to>
      <xdr:col>18</xdr:col>
      <xdr:colOff>153168</xdr:colOff>
      <xdr:row>53</xdr:row>
      <xdr:rowOff>113380</xdr:rowOff>
    </xdr:to>
    <xdr:pic>
      <xdr:nvPicPr>
        <xdr:cNvPr id="6" name="Picture 5">
          <a:extLst>
            <a:ext uri="{FF2B5EF4-FFF2-40B4-BE49-F238E27FC236}">
              <a16:creationId xmlns:a16="http://schemas.microsoft.com/office/drawing/2014/main" id="{D41A2CCC-9C24-C08B-45A9-F8BE4BE75BD3}"/>
            </a:ext>
          </a:extLst>
        </xdr:cNvPr>
        <xdr:cNvPicPr>
          <a:picLocks noChangeAspect="1"/>
        </xdr:cNvPicPr>
      </xdr:nvPicPr>
      <xdr:blipFill>
        <a:blip xmlns:r="http://schemas.openxmlformats.org/officeDocument/2006/relationships" r:embed="rId3"/>
        <a:stretch>
          <a:fillRect/>
        </a:stretch>
      </xdr:blipFill>
      <xdr:spPr>
        <a:xfrm>
          <a:off x="7496735" y="2353235"/>
          <a:ext cx="6843080" cy="76210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314637</xdr:colOff>
      <xdr:row>19</xdr:row>
      <xdr:rowOff>6229</xdr:rowOff>
    </xdr:from>
    <xdr:to>
      <xdr:col>11</xdr:col>
      <xdr:colOff>715084</xdr:colOff>
      <xdr:row>37</xdr:row>
      <xdr:rowOff>141845</xdr:rowOff>
    </xdr:to>
    <xdr:pic>
      <xdr:nvPicPr>
        <xdr:cNvPr id="2" name="Picture 1">
          <a:extLst>
            <a:ext uri="{FF2B5EF4-FFF2-40B4-BE49-F238E27FC236}">
              <a16:creationId xmlns:a16="http://schemas.microsoft.com/office/drawing/2014/main" id="{C11F5595-08FA-4EEA-0F11-FC175CC20064}"/>
            </a:ext>
          </a:extLst>
        </xdr:cNvPr>
        <xdr:cNvPicPr>
          <a:picLocks noChangeAspect="1"/>
        </xdr:cNvPicPr>
      </xdr:nvPicPr>
      <xdr:blipFill>
        <a:blip xmlns:r="http://schemas.openxmlformats.org/officeDocument/2006/relationships" r:embed="rId1"/>
        <a:stretch>
          <a:fillRect/>
        </a:stretch>
      </xdr:blipFill>
      <xdr:spPr>
        <a:xfrm>
          <a:off x="8067987" y="3844804"/>
          <a:ext cx="2857897" cy="3564616"/>
        </a:xfrm>
        <a:prstGeom prst="rect">
          <a:avLst/>
        </a:prstGeom>
        <a:ln>
          <a:solidFill>
            <a:schemeClr val="accent1"/>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Sabrina" id="{575E7675-B4FA-4DC0-8D3B-0088B71D51E9}" userId="Sabrina" providerId="None"/>
  <person displayName="Stéphanie Robert" id="{3DB070A9-6035-4D61-8685-C4013D5CAAE8}" userId="3625b7ef0c2a2425" providerId="Windows Live"/>
  <person displayName="Maxime Lamothe" id="{F2C9C5F4-CA95-441B-AC5F-B8B295AF6246}" userId="S::maxime@aliusmining.com::75970ea1-bd02-4693-a751-6cc56b3422f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16EE55-6025-4B42-9E89-1DEF07B3BE4C}" name="Data_Log" displayName="Data_Log" ref="A2:Y38" totalsRowShown="0" headerRowDxfId="270">
  <autoFilter ref="A2:Y38" xr:uid="{A9E607FA-78BF-4232-8364-66E1F491CE42}"/>
  <tableColumns count="25">
    <tableColumn id="1" xr3:uid="{56A171AD-7D24-4F89-9EDB-438C9F0B8283}" name="Hole ID" dataDxfId="269"/>
    <tableColumn id="9" xr3:uid="{A3803AA9-DD0F-4A3D-8A9C-84FD90516C64}" name="Planned Hole ID" dataDxfId="268"/>
    <tableColumn id="25" xr3:uid="{B95BC89E-89F2-4762-9178-61EB0A98F33C}" name="Pit" dataDxfId="267"/>
    <tableColumn id="18" xr3:uid="{9CCF5889-294B-4180-9238-24A7F4A30197}" name="Sub Pit" dataDxfId="266"/>
    <tableColumn id="14" xr3:uid="{F12D9D82-9810-46D1-ABAC-C22851D94545}" name="Coordinate System" dataDxfId="265"/>
    <tableColumn id="21" xr3:uid="{BFE3239F-F564-449F-B3A4-2CCE1E207CDF}" name="Planned collar X_x000a_(m)" dataDxfId="264"/>
    <tableColumn id="20" xr3:uid="{BE64854D-BAE0-40CD-A366-CC20689A4201}" name="Planned collar Y_x000a_(m)" dataDxfId="263"/>
    <tableColumn id="19" xr3:uid="{219F9A9E-3ACE-4337-B55F-4CECBD38951A}" name="Planned collar Z_x000a_(m)" dataDxfId="262"/>
    <tableColumn id="24" xr3:uid="{6F942EFA-A724-4EA8-BB16-29780A9232B0}" name="Planned collar trend_x000a_(°)" dataDxfId="261"/>
    <tableColumn id="23" xr3:uid="{B08A3922-9FEB-440B-846E-85F533A17E98}" name="Planned collar plunge_x000a_(°)" dataDxfId="260"/>
    <tableColumn id="22" xr3:uid="{942209DF-075F-4660-A11C-3B7927E5F5DC}" name="Planned length_x000a_(m)" dataDxfId="259"/>
    <tableColumn id="10" xr3:uid="{D4744E55-DCA7-4AE6-95B8-6B3DA41D941D}" name="Surveyed collar X - East_x000a_(m)" dataDxfId="258"/>
    <tableColumn id="11" xr3:uid="{6B3C6236-769F-410D-9CD2-0730E0B928AC}" name="Surveyed collar Y - North_x000a_(m)" dataDxfId="257"/>
    <tableColumn id="12" xr3:uid="{5298B426-EFB5-446D-9623-7F86C4AB1B18}" name="Surveyed collar Z_x000a_(m)" dataDxfId="256"/>
    <tableColumn id="15" xr3:uid="{12B92B38-2FBA-4F4F-A3EF-137CEF4FF26E}" name="Collar Trend (°)" dataDxfId="255"/>
    <tableColumn id="16" xr3:uid="{7489B741-7D6D-44A4-8FA8-F6FEDB254116}" name="Collar Plunge (°)" dataDxfId="254"/>
    <tableColumn id="2" xr3:uid="{095CD8B0-8961-4724-AA5B-1E70BA43AD15}" name="Logged depth from (m)" dataDxfId="253"/>
    <tableColumn id="3" xr3:uid="{A255C3E1-0BB7-40BF-9AF2-6B2001973615}" name="Logged depth to (m)" dataDxfId="252"/>
    <tableColumn id="4" xr3:uid="{AE13886E-3D1D-4788-8EA9-65BA3028749B}" name="Logged Length (m)" dataDxfId="251">
      <calculatedColumnFormula>Data_Log[[#This Row],[Logged depth to (m)]]-Data_Log[[#This Row],[Logged depth from (m)]]</calculatedColumnFormula>
    </tableColumn>
    <tableColumn id="8" xr3:uid="{F321154B-8F64-457D-BEDA-BCBC66EA8187}" name="Core size" dataDxfId="250"/>
    <tableColumn id="5" xr3:uid="{A2523071-4E8A-454F-8D6B-7993926EB1CC}" name="Logged date" dataDxfId="249"/>
    <tableColumn id="6" xr3:uid="{27AC17F8-FE20-4B22-9017-EE2A1FBAF204}" name="Logged by" dataDxfId="248"/>
    <tableColumn id="13" xr3:uid="{A8D441B8-852B-4A7E-BC2B-9B190FBE85B2}" name="Oriented core" dataDxfId="247"/>
    <tableColumn id="17" xr3:uid="{3ADB1A5B-11D2-464A-9898-3A8D4758929D}" name="Orientation marker" dataDxfId="246"/>
    <tableColumn id="7" xr3:uid="{023FD145-4526-40BD-B2E9-4F5E36138552}" name="Comments"/>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6626061-2AF1-478F-B397-170BC891EA18}" name="Tableau26" displayName="Tableau26" ref="A3:J346" totalsRowShown="0" headerRowDxfId="245">
  <autoFilter ref="A3:J346" xr:uid="{56626061-2AF1-478F-B397-170BC891EA18}"/>
  <tableColumns count="10">
    <tableColumn id="1" xr3:uid="{467FA7C3-5367-432D-8977-6239732E138C}" name="Hole ID"/>
    <tableColumn id="2" xr3:uid="{A9E952C1-E881-47C6-819F-54EDC4B98B8C}" name="Planned Hole ID" dataDxfId="244">
      <calculatedColumnFormula>VLOOKUP(Tableau26[[#This Row],[Hole ID]],Data_Log[],2,FALSE)</calculatedColumnFormula>
    </tableColumn>
    <tableColumn id="3" xr3:uid="{A5A46D4D-143A-4B2D-8F7D-E34E3A5928D4}" name="Depth (m)" dataDxfId="243"/>
    <tableColumn id="4" xr3:uid="{5290821B-F66F-44FF-9E8E-4C17B6552729}" name="Dip_x000a_(deg)" dataDxfId="242"/>
    <tableColumn id="5" xr3:uid="{9BF4507D-E296-41A1-BD47-B9FE1B0F2949}" name="Azimuth_x000a_(deg)" dataDxfId="241"/>
    <tableColumn id="7" xr3:uid="{83BF8EC3-851E-4556-A64D-2FBCF577AC78}" name="Comments" dataDxfId="240"/>
    <tableColumn id="10" xr3:uid="{DEF88AE0-F84B-4A67-A831-C6E5D170CD5E}" name="QA/QC Dip Planned" dataDxfId="239">
      <calculatedColumnFormula>_xlfn.XLOOKUP(Tableau26[[#This Row],[Hole ID]],Data_Log[Hole ID],Data_Log[Planned collar plunge
(°)])</calculatedColumnFormula>
    </tableColumn>
    <tableColumn id="9" xr3:uid="{7EC5EA36-8ACB-4091-8951-D4CC2E9A676E}" name="QA/QC Azimut Planned" dataDxfId="238">
      <calculatedColumnFormula>_xlfn.XLOOKUP(Tableau26[[#This Row],[Hole ID]],Data_Log[Hole ID],Data_Log[Planned collar trend
(°)])</calculatedColumnFormula>
    </tableColumn>
    <tableColumn id="11" xr3:uid="{D76BF078-A9F2-4927-86CD-96056EA0C737}" name="Dip Planned - Surveyed" dataDxfId="237">
      <calculatedColumnFormula>Tableau26[[#This Row],[Dip
(deg)]]-Tableau26[[#This Row],[QA/QC Dip Planned]]</calculatedColumnFormula>
    </tableColumn>
    <tableColumn id="12" xr3:uid="{1A28CAD1-F500-49AB-ACB2-738189F893DF}" name="Azimut Planned - Surveyed2" dataDxfId="236">
      <calculatedColumnFormula>Tableau26[[#This Row],[Azimuth
(deg)]]-Tableau26[[#This Row],[QA/QC Azimut Planned]]</calculatedColumnFormula>
    </tableColum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32346F-7256-4263-BA1E-721AD37895E2}" name="Data_Geotech" displayName="Data_Geotech" ref="A3:BD517" totalsRowShown="0" headerRowDxfId="235">
  <autoFilter ref="A3:BD517" xr:uid="{8032346F-7256-4263-BA1E-721AD37895E2}">
    <filterColumn colId="0">
      <filters>
        <filter val="COG-25-10"/>
      </filters>
    </filterColumn>
  </autoFilter>
  <tableColumns count="56">
    <tableColumn id="1" xr3:uid="{DD33420B-0DD5-40D2-BE4D-48ED19B9A102}" name="Hole ID" dataDxfId="234"/>
    <tableColumn id="32" xr3:uid="{6767F9CE-F8DD-4BC9-B6F7-FB60E07AB243}" name="Planned Hole ID" dataDxfId="233">
      <calculatedColumnFormula>VLOOKUP(Data_Geotech[[#This Row],[Hole ID]],Data_Log[],2,FALSE)</calculatedColumnFormula>
    </tableColumn>
    <tableColumn id="2" xr3:uid="{6C936D9E-C313-40F1-BBCA-E947D0D9A8C4}" name="From (m)" dataDxfId="232"/>
    <tableColumn id="3" xr3:uid="{3785D2EE-92F7-48C4-9309-D313DF6C2DF9}" name="To (m)" dataDxfId="231"/>
    <tableColumn id="54" xr3:uid="{E1E1D9C0-2CC3-4E5C-8045-E8843ED0F7B2}" name="Mid Point (m)" dataDxfId="230">
      <calculatedColumnFormula>(Data_Geotech[[#This Row],[To (m)]]-Data_Geotech[[#This Row],[From (m)]])/2+Data_Geotech[[#This Row],[From (m)]]</calculatedColumnFormula>
    </tableColumn>
    <tableColumn id="4" xr3:uid="{A69261E0-5A94-422F-AA8F-A3E85694B236}" name="Run (m)" dataDxfId="229">
      <calculatedColumnFormula>Data_Geotech[[#This Row],[To (m)]]-Data_Geotech[[#This Row],[From (m)]]</calculatedColumnFormula>
    </tableColumn>
    <tableColumn id="5" xr3:uid="{E9EEE0A7-23AD-421E-AA05-775C723BE1EC}" name="TCR (m)" dataDxfId="228"/>
    <tableColumn id="33" xr3:uid="{5A52CFE7-83E8-4CE5-A944-C48E5B5D4442}" name="TCR (%)" dataDxfId="227">
      <calculatedColumnFormula>Data_Geotech[[#This Row],[TCR (m)]]/Data_Geotech[[#This Row],[Run (m)]]*100</calculatedColumnFormula>
    </tableColumn>
    <tableColumn id="44" xr3:uid="{A0A3FA97-1F1B-4452-B762-B96B5CACE4CF}" name="TCR Reel (m)" dataDxfId="226"/>
    <tableColumn id="56" xr3:uid="{B24E1840-848A-43FD-885D-F8D791668E4A}" name="Run Reel (m)" dataDxfId="225"/>
    <tableColumn id="6" xr3:uid="{3F12D49A-9570-4CC2-8873-A52DCE284D45}" name="RQD (m)" dataDxfId="224"/>
    <tableColumn id="13" xr3:uid="{CE743890-F1E9-4585-80F8-9C0625DDE8A4}" name="RQD (%)" dataDxfId="223">
      <calculatedColumnFormula>Data_Geotech[[#This Row],[RQD (m)]]/Data_Geotech[[#This Row],[Run Reel (m)]]*100</calculatedColumnFormula>
    </tableColumn>
    <tableColumn id="7" xr3:uid="{4EB2894D-7706-4E09-A9D4-E98F8783B7CE}" name="Lithology (when logging on site)"/>
    <tableColumn id="55" xr3:uid="{80660D54-B8D2-4CD0-AECD-C1654F4682E3}" name="Lithology"/>
    <tableColumn id="8" xr3:uid="{28DA034B-23DE-4811-A2F9-B710008667F6}" name="Weathering/Alteration"/>
    <tableColumn id="9" xr3:uid="{F8110135-C1A4-40A3-AE50-1F7DCBA34FD2}" name="Field Intact Rock Strength" dataDxfId="222"/>
    <tableColumn id="51" xr3:uid="{44E3ED4C-EDD6-4CC9-AC8F-8CD25C17E2F9}" name="Micro-Defects" dataDxfId="221"/>
    <tableColumn id="16" xr3:uid="{2E7317DE-B0F5-4C02-B4F6-A1CC6C914C81}" name="Fault (m)" dataDxfId="220"/>
    <tableColumn id="15" xr3:uid="{99850160-4C95-44B7-B148-0BFF0C677BCF}" name="Broken Core (m)" dataDxfId="219"/>
    <tableColumn id="14" xr3:uid="{8E395124-4DC7-482B-AEA5-BDC762B05AD0}" name="Lost Core (m)" dataDxfId="218"/>
    <tableColumn id="23" xr3:uid="{51C12727-6E5E-4FF1-8A29-01CB08821F6F}" name="Disking (m)" dataDxfId="217"/>
    <tableColumn id="10" xr3:uid="{C5EA7C56-D29E-4B80-8DC5-A8C590F0687D}" name="Fracture per interval" dataDxfId="216"/>
    <tableColumn id="48" xr3:uid="{6E44B93B-89F4-4214-973B-3FDB8C6B30A4}" name="Validation fracture per interval" dataDxfId="215">
      <calculatedColumnFormula>SUMIFS(Discontinuities!$D$4:$D$9664,Discontinuities!$A$4:$A$9664,A4,Discontinuities!$C$4:$C$9664,"&gt;="&amp;C4,Discontinuities!$C$4:$C$9664,"&lt;"&amp;D4)
-SUMIFS(Discontinuities!$D$4:$D$9664,Discontinuities!$A$4:$A$9664,A4,Discontinuities!$C$4:$C$9664,"&gt;="&amp;C4,Discontinuities!$C$4:$C$9664,"&lt;"&amp;D4,Discontinuities!$E$4:$E$9664,"=BC")
-SUMIFS(Discontinuities!$D$4:$D$9664,Discontinuities!$A$4:$A$9664,A4,Discontinuities!$C$4:$C$9664,"&gt;="&amp;C4,Discontinuities!$C$4:$C$9664,"&lt;"&amp;D4,Discontinuities!$E$4:$E$9664,"=LC")
-SUMIFS(Discontinuities!$D$4:$D$9664,Discontinuities!$A$4:$A$9664,A4,Discontinuities!$C$4:$C$9664,"&gt;="&amp;C4,Discontinuities!$C$4:$C$9664,"&lt;"&amp;D4,Discontinuities!$E$4:$E$9664,"=FLT")</calculatedColumnFormula>
    </tableColumn>
    <tableColumn id="11" xr3:uid="{EBC549B2-B134-4668-86CC-BBCD78A465B4}" name="Joint Set Rating" dataDxfId="214"/>
    <tableColumn id="47" xr3:uid="{63BCA87F-EF4F-4EB1-992B-77514DCF5893}" name="Gamma angle" dataDxfId="213"/>
    <tableColumn id="12" xr3:uid="{E3AC40F2-4334-4974-BD2A-857DB59694A3}" name="Comments"/>
    <tableColumn id="31" xr3:uid="{D0E4BCB3-184E-4DB9-B744-2DCA6111838B}" name="x" dataDxfId="212"/>
    <tableColumn id="18" xr3:uid="{AADDC440-DB37-46B2-BE54-AB99C5C4C881}" name="Added fractures _x000a_(BC, FLT, LC)" dataDxfId="211">
      <calculatedColumnFormula>IFERROR(ROUND((Data_Geotech[[#This Row],[Fault (m)]]+Data_Geotech[[#This Row],[Broken Core (m)]]+Data_Geotech[[#This Row],[Lost Core (m)]])*30,0),0)</calculatedColumnFormula>
    </tableColumn>
    <tableColumn id="19" xr3:uid="{DD7AA5A7-70E8-45C6-9633-026231F83509}" name="Joint spacing (m)" dataDxfId="210">
      <calculatedColumnFormula>IF(Data_Geotech[[#This Row],[Added fractures 
(BC, FLT, LC)]]+Data_Geotech[[#This Row],[Fracture per interval]]=0,99,1/((Data_Geotech[[#This Row],[Fracture per interval]]+Data_Geotech[[#This Row],[Added fractures 
(BC, FLT, LC)]])/Data_Geotech[[#This Row],[Run (m)]]))</calculatedColumnFormula>
    </tableColumn>
    <tableColumn id="52" xr3:uid="{52C415A1-AC56-4E66-B352-E0F5BD90AC4B}" name="Is50_1" dataDxfId="209">
      <calculatedColumnFormula array="1">IFERROR(_xlfn.XLOOKUP(1,(A4=PLT!$A$4:$A$8886)*(Geotech!C4&lt;=PLT!$F$4:$F$8886)*(Geotech!D4&gt;=PLT!$F$4:$F$8886)*("Valid"=PLT!$P$4:$P$8886),PLT!$V$4:$V$8886),"")</calculatedColumnFormula>
    </tableColumn>
    <tableColumn id="50" xr3:uid="{DB3E8631-6210-4AEB-ACEB-ECB7FCBAE442}" name="Is50_2" dataDxfId="208">
      <calculatedColumnFormula array="1">IFERROR(_xlfn.XLOOKUP(1,(A4=PLT!$A$4:$A$8886)*(Geotech!C4&lt;=PLT!$F$4:$F$8886)*(Geotech!D4&gt;=PLT!$F$4:$F$8886)*(PLT!$V$4:$V$8886&lt;&gt;AD4)*("Valid"=PLT!$P$4:$P$7190),PLT!$V$4:$V$8886),"")</calculatedColumnFormula>
    </tableColumn>
    <tableColumn id="53" xr3:uid="{8F1E02BD-F4AB-41F4-863E-A5D195732782}" name="Is50_3" dataDxfId="207">
      <calculatedColumnFormula array="1">IFERROR(_xlfn.XLOOKUP(1,(A4=PLT!$A$4:$A$8886)*(Geotech!C4&lt;=PLT!$F$4:$F$8886)*(Geotech!D4&gt;=PLT!$F$4:$F$8886)*(PLT!$V$4:$V$8886&lt;&gt;AD4)*(PLT!$V$4:$V$8886&lt;&gt;AE4)*("Valid"=PLT!$P$4:$P$7190),PLT!$V$4:$V$8886),"")</calculatedColumnFormula>
    </tableColumn>
    <tableColumn id="49" xr3:uid="{E780C1C0-C15D-48F6-A540-6E98E8D5B504}" name="Is50" dataDxfId="206">
      <calculatedColumnFormula>IFERROR(IF(AVERAGE(AD4:AF4)&gt;References!$BO$23,References!$BP$23,
IF(AVERAGE(AD4:AF4)&gt;References!$BO$22,References!$BP$22,
IF(AVERAGE(AD4:AF4)&gt;References!$BO$21,References!$BP$21,
IF(AVERAGE(AD4:AF4)&gt;References!$BO$20,References!$BP$20,
IF(AVERAGE(AD4:AF4)&gt;References!$BO$19,References!$BP$19,
IF(AVERAGE(AD4:AF4)&gt;References!$BO$18,References!$BP$18,
0)))))),"")</calculatedColumnFormula>
    </tableColumn>
    <tableColumn id="20" xr3:uid="{D18DE3B6-BD7C-406F-8149-AA02A4990B03}" name="RMR76 - Strength rating" dataDxfId="205">
      <calculatedColumnFormula>VLOOKUP(Data_Geotech[[#This Row],[Field Intact Rock Strength]],Table_RMR76_Strength[],2,FALSE)</calculatedColumnFormula>
    </tableColumn>
    <tableColumn id="21" xr3:uid="{C6A72E96-E085-4F7A-812C-411A77C4593F}" name="RMR76 - RQD rating" dataDxfId="204">
      <calculatedColumnFormula>IF(Data_Geotech[[#This Row],[RQD (%)]]&lt;=25,3,IF(Data_Geotech[[#This Row],[RQD (%)]]&lt;=50,8,IF(Data_Geotech[[#This Row],[RQD (%)]]&lt;=75,13,IF(Data_Geotech[[#This Row],[RQD (%)]]&lt;=90,17,20))))</calculatedColumnFormula>
    </tableColumn>
    <tableColumn id="22" xr3:uid="{B84CA1F9-2034-4822-AAD3-C404BE508857}" name="RMR76 - Joint spacing rating" dataDxfId="203">
      <calculatedColumnFormula>IF(Data_Geotech[[#This Row],[Joint spacing (m)]]&lt;=0.05,5,IF(Data_Geotech[[#This Row],[Joint spacing (m)]]&lt;=0.3,10,IF(Data_Geotech[[#This Row],[Joint spacing (m)]]&lt;=1,20,IF(Data_Geotech[[#This Row],[Joint spacing (m)]]&lt;=3,25,30))))</calculatedColumnFormula>
    </tableColumn>
    <tableColumn id="45" xr3:uid="{08C6FA3C-925F-459E-8B6B-B2C4D9EE159A}" name="RMR76 - Joint condition rating" dataDxfId="202">
      <calculatedColumnFormula>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calculatedColumnFormula>
    </tableColumn>
    <tableColumn id="24" xr3:uid="{09DBC736-57ED-45A2-8B54-04A50E456AA9}" name="RMR76 - Ground water rating" dataDxfId="201"/>
    <tableColumn id="25" xr3:uid="{1C6AC1B5-DDF6-4623-9615-7F1989F50F37}" name="RMR76" dataDxfId="200">
      <calculatedColumnFormula>IF(Data_Geotech[[#This Row],[FIRS Code]]="R",IFERROR(SUM(Data_Geotech[[#This Row],[RMR76 - Strength rating]:[RMR76 - Ground water rating]]),""),"")</calculatedColumnFormula>
    </tableColumn>
    <tableColumn id="26" xr3:uid="{7AC27963-4DA0-4EB6-89CB-8E9CBE22086C}" name="GSI" dataDxfId="199">
      <calculatedColumnFormula>IF(Data_Geotech[[#This Row],[FIRS Code]]="R",(2*Data_Geotech[[#This Row],[RMR76 - Joint condition rating]])+(IF(Data_Geotech[[#This Row],[RQD (%)]]&gt;80,80/2,Data_Geotech[[#This Row],[RQD (%)]]/2)),"")</calculatedColumnFormula>
    </tableColumn>
    <tableColumn id="27" xr3:uid="{69B80D3C-999D-4D40-A766-310EB622E828}" name="Jn rating" dataDxfId="198">
      <calculatedColumnFormula>LEFT(Data_Geotech[[#This Row],[Joint Set Rating]],FIND("-",Data_Geotech[[#This Row],[Joint Set Rating]],1)-2)</calculatedColumnFormula>
    </tableColumn>
    <tableColumn id="28" xr3:uid="{608165B9-6F34-40E2-89ED-3D9D4AAED042}" name="Jr/Ja" dataDxfId="197">
      <calculatedColumnFormula>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calculatedColumnFormula>
    </tableColumn>
    <tableColumn id="29" xr3:uid="{7F2192F0-3229-40E8-9D01-C2450B7B0E17}" name="Jw/SRF" dataDxfId="196">
      <calculatedColumnFormula>1/1</calculatedColumnFormula>
    </tableColumn>
    <tableColumn id="17" xr3:uid="{A3A4B773-0A90-431B-804F-1B1729849A5E}" name="Q'" dataDxfId="195">
      <calculatedColumnFormula>IF(Data_Geotech[[#This Row],[FIRS Code]]="R",IFERROR((IF(Data_Geotech[[#This Row],[RQD (%)]]&lt;10,10,Data_Geotech[[#This Row],[RQD (%)]])/Data_Geotech[[#This Row],[Jn rating]])*Data_Geotech[[#This Row],[Jr/Ja]],""),"")</calculatedColumnFormula>
    </tableColumn>
    <tableColumn id="30" xr3:uid="{F2C146F8-F2B8-46E4-A7A9-1A7117A858A1}" name="Q" dataDxfId="194">
      <calculatedColumnFormula>IF(Data_Geotech[[#This Row],[FIRS Code]]="R",IFERROR((IF(Data_Geotech[[#This Row],[RQD (%)]]&lt;10,10,Data_Geotech[[#This Row],[RQD (%)]])/Data_Geotech[[#This Row],[Jn rating]])*Data_Geotech[[#This Row],[Jr/Ja]]*Data_Geotech[[#This Row],[Jw/SRF]],""),"")</calculatedColumnFormula>
    </tableColumn>
    <tableColumn id="34" xr3:uid="{8817BE49-68E4-49C9-902B-0FB0BFDCB3A0}" name="x2" dataDxfId="193"/>
    <tableColumn id="35" xr3:uid="{1DC23BB1-8D76-4BDF-B967-6F403A163CA8}" name="Transformed RQD (%)" dataDxfId="192">
      <calculatedColumnFormula>100-Data_Geotech[[#This Row],[RQD (%)]]</calculatedColumnFormula>
    </tableColumn>
    <tableColumn id="36" xr3:uid="{AD66760E-ADDC-4B26-8B61-349860F6F4AB}" name="Transformed TCR (%)" dataDxfId="191">
      <calculatedColumnFormula>100-Data_Geotech[[#This Row],[TCR (%)]]</calculatedColumnFormula>
    </tableColumn>
    <tableColumn id="37" xr3:uid="{8B8F174A-28D7-436A-8F54-99111E41D07E}" name="Fracture Frequency (#/m)" dataDxfId="190">
      <calculatedColumnFormula>(Data_Geotech[[#This Row],[Fracture per interval]]+Data_Geotech[[#This Row],[Added fractures 
(BC, FLT, LC)]])/Data_Geotech[[#This Row],[TCR (m)]]</calculatedColumnFormula>
    </tableColumn>
    <tableColumn id="43" xr3:uid="{D1728480-BFC2-46B0-BA21-2262C5E2418D}" name="FIRS Code" dataDxfId="189">
      <calculatedColumnFormula>MID(Data_Geotech[[#This Row],[Field Intact Rock Strength]],2,1)</calculatedColumnFormula>
    </tableColumn>
    <tableColumn id="38" xr3:uid="{A490DCE6-9582-48B0-A079-B1607793D4EE}" name="Transformed FIRS Code" dataDxfId="188">
      <calculatedColumnFormula>7-MID(Data_Geotech[[#This Row],[Field Intact Rock Strength]],2,1)</calculatedColumnFormula>
    </tableColumn>
    <tableColumn id="39" xr3:uid="{7563E588-80DF-44C4-AAE1-A8837A318E12}" name="FIRS Min UCS (MPa)" dataDxfId="187">
      <calculatedColumnFormula>VLOOKUP(Data_Geotech[[#This Row],[Field Intact Rock Strength]],Table_FieldStrength[],2,FALSE)</calculatedColumnFormula>
    </tableColumn>
    <tableColumn id="40" xr3:uid="{7CBBDB0F-E67C-4003-92F4-78357250AE4F}" name="FIRS Avg UCS (MPa)" dataDxfId="186">
      <calculatedColumnFormula>VLOOKUP(Data_Geotech[[#This Row],[Field Intact Rock Strength]],Table_FieldStrength[],3,FALSE)</calculatedColumnFormula>
    </tableColumn>
    <tableColumn id="41" xr3:uid="{3224D672-E39A-4050-A3C6-25FB6FA85122}" name="FIRS Max UCS (MPa)" dataDxfId="185">
      <calculatedColumnFormula>VLOOKUP(Data_Geotech[[#This Row],[Field Intact Rock Strength]],Table_FieldStrength[],4,FALSE)</calculatedColumnFormula>
    </tableColumn>
    <tableColumn id="42" xr3:uid="{CC8FBD80-B8F5-4F40-96F1-5059C3E1F5C8}" name="Transformed RMR76" dataDxfId="184">
      <calculatedColumnFormula>100-Data_Geotech[[#This Row],[RMR76]]</calculatedColumnFormula>
    </tableColumn>
    <tableColumn id="46" xr3:uid="{775EBC9D-BDD5-4381-8288-70A645DC73FF}" name="Altered-Weathered Code" dataDxfId="183">
      <calculatedColumnFormula>LEFT(Data_Geotech[[#This Row],[Weathering/Alteration]],FIND("-",Data_Geotech[[#This Row],[Weathering/Alteration]])-2)</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3CCF83-CE0C-45BA-9F24-9DF958FC1FBB}" name="Data_Discontinuities" displayName="Data_Discontinuities" ref="A3:W1614" totalsRowShown="0" headerRowDxfId="182" dataDxfId="181">
  <autoFilter ref="A3:W1614" xr:uid="{A9E607FA-78BF-4232-8364-66E1F491CE42}"/>
  <tableColumns count="23">
    <tableColumn id="1" xr3:uid="{D606AD43-6EDA-45DF-9FB6-60B9FE06E5A4}" name="Hole ID" dataDxfId="180"/>
    <tableColumn id="17" xr3:uid="{1A910311-D6D0-4BC4-B0EB-675500159E9C}" name="Planned Hole ID" dataDxfId="179">
      <calculatedColumnFormula>VLOOKUP(Data_Discontinuities[[#This Row],[Hole ID]],Data_Log[],2,FALSE)</calculatedColumnFormula>
    </tableColumn>
    <tableColumn id="2" xr3:uid="{3F7EB886-533C-433E-B22E-A02F6452F060}" name="Depth (m)" dataDxfId="178"/>
    <tableColumn id="24" xr3:uid="{A9B68432-DFD2-456B-854E-29F282EE33B3}" name="Nb of joints" dataDxfId="177"/>
    <tableColumn id="3" xr3:uid="{4D4EDA57-3F98-4E98-9A30-26C46490FC97}" name="Feature type" dataDxfId="176"/>
    <tableColumn id="4" xr3:uid="{EC4D8270-1FE5-4660-AB0D-88AB5402A41C}" name=" " dataDxfId="175"/>
    <tableColumn id="5" xr3:uid="{FF3A4F62-40D5-4A15-A0FF-A7D808C59011}" name="Beta" dataDxfId="174"/>
    <tableColumn id="6" xr3:uid="{F17B7FF9-E9B8-47F7-AD81-596F9C53DBD5}" name="Orientation" dataDxfId="173"/>
    <tableColumn id="7" xr3:uid="{82C8AE07-D42B-4673-BBB9-57EFAB5D634F}" name="Shape" dataDxfId="172"/>
    <tableColumn id="8" xr3:uid="{5E5BE8D4-37C5-4526-B49D-F4F8EE6DBD5E}" name="Roughness" dataDxfId="171"/>
    <tableColumn id="9" xr3:uid="{5522CB33-6DF2-4C35-AED9-D80ACC63D314}" name="Infill character" dataDxfId="170"/>
    <tableColumn id="10" xr3:uid="{3AB0CD86-9187-45CF-91F9-EA9E3D40C751}" name="Infill type" dataDxfId="169"/>
    <tableColumn id="11" xr3:uid="{D82C01D4-942D-4A36-825C-57F83DFD02B5}" name="Infill type 2" dataDxfId="168"/>
    <tableColumn id="22" xr3:uid="{3771C499-7FD4-41D8-B99E-DEF2811B1BC3}" name="Infill thickness_x000a_(mm) OR BC LC (m)" dataDxfId="167"/>
    <tableColumn id="21" xr3:uid="{B33219A2-482D-48E1-AC61-EFACEF507893}" name="Lithology" dataDxfId="166">
      <calculatedColumnFormula array="1">_xlfn.XLOOKUP(1,(A4=Geotech!$A$4:$A$10094)*(Data_Discontinuities[[#This Row],[Depth (m)]]&gt;=Geotech!$C$4:$C$10094)*(Data_Discontinuities[[#This Row],[Depth (m)]]&lt;Geotech!$D$4:$D$10094),Geotech!$M$4:$M$10094)</calculatedColumnFormula>
    </tableColumn>
    <tableColumn id="30" xr3:uid="{10AC175C-1A99-4A40-8EA8-516D33503DA1}" name="Discontinuity ID" dataDxfId="165"/>
    <tableColumn id="29" xr3:uid="{EAA91C6E-8AB1-4F8E-AFA0-D0DBC052E4AD}" name="Joint Set ID_x000a_(Dips)" dataDxfId="164"/>
    <tableColumn id="28" xr3:uid="{C9728C62-9F5B-4534-8791-06B9E4EF3A55}" name="Joint Set Name_x000a_(Dips)" dataDxfId="163"/>
    <tableColumn id="13" xr3:uid="{1A85CFE4-75A8-4227-9908-1FED568751F8}" name="Joint roughness" dataDxfId="162">
      <calculatedColumnFormula>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calculatedColumnFormula>
    </tableColumn>
    <tableColumn id="14" xr3:uid="{8321103C-9F40-457E-A868-79B916008FA8}" name="Joint alteration" dataDxfId="161">
      <calculatedColumnFormula>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calculatedColumnFormula>
    </tableColumn>
    <tableColumn id="18" xr3:uid="{7416B3DD-414B-407C-B9EE-730830945578}" name="Jr/Ja" dataDxfId="160">
      <calculatedColumnFormula>IFERROR(Data_Discontinuities[[#This Row],[Joint roughness]]/Data_Discontinuities[[#This Row],[Joint alteration]],"")</calculatedColumnFormula>
    </tableColumn>
    <tableColumn id="15" xr3:uid="{D274E9A0-C2C3-4C6F-B424-16DB739A9333}" name="JCR" dataDxfId="159">
      <calculatedColumnFormula>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calculatedColumnFormula>
    </tableColumn>
    <tableColumn id="16" xr3:uid="{F27BBB88-C194-4577-B547-C2C7B2DA919B}" name="Comments" dataDxfId="158"/>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6BDD00-E3F1-47ED-A431-34FE8E0C2A3C}" name="Data_PLT" displayName="Data_PLT" ref="A3:AG525" totalsRowShown="0" headerRowDxfId="157">
  <autoFilter ref="A3:AG525" xr:uid="{A9E607FA-78BF-4232-8364-66E1F491CE42}"/>
  <tableColumns count="33">
    <tableColumn id="1" xr3:uid="{64D285A6-D276-4FF2-8BC3-C38A2A5DD49F}" name="Hole ID"/>
    <tableColumn id="22" xr3:uid="{3F0E15F0-CF64-4392-8E0F-7E38E7F5853A}" name="Planned Hole ID" dataDxfId="156">
      <calculatedColumnFormula>VLOOKUP(Data_PLT[[#This Row],[Hole ID]],Data_Log[],2,FALSE)</calculatedColumnFormula>
    </tableColumn>
    <tableColumn id="2" xr3:uid="{8D2D7067-9DF8-4758-8E3D-F88F86C61E24}" name="Sample ID" dataDxfId="155">
      <calculatedColumnFormula>IF(Data_PLT[[#This Row],[Hole ID]]="","",
IF(COUNTIF($A$4:A4,Data_PLT[[#This Row],[Hole ID]])=1,1,
IF(A4=A3,C3+1,
COUNTIF($A$4:A4,Data_PLT[[#This Row],[Hole ID]]))))</calculatedColumnFormula>
    </tableColumn>
    <tableColumn id="15" xr3:uid="{80F4353E-02DE-4D75-B166-880C532CE295}" name="Test ID" dataDxfId="154">
      <calculatedColumnFormula>IF(Data_PLT[[#This Row],[Hole ID]]="","",Data_PLT[[#This Row],[Hole ID]]&amp;"_"&amp;Data_PLT[[#This Row],[Sample ID]])</calculatedColumnFormula>
    </tableColumn>
    <tableColumn id="31" xr3:uid="{0BF2F93B-074A-4098-9A45-8F27D9482B01}" name="Référence UCS" dataDxfId="153"/>
    <tableColumn id="3" xr3:uid="{4AB6F42F-5ACD-47A2-974E-8721AD9505DB}" name="Depth (m)" dataDxfId="152"/>
    <tableColumn id="4" xr3:uid="{D6B002B3-BED5-4A61-9D54-9D9D36F016ED}" name="Lithology" dataDxfId="151">
      <calculatedColumnFormula array="1">_xlfn.XLOOKUP(1,(A4=Geotech!$A$4:$A$11100)*(Data_PLT[[#This Row],[Depth (m)]]&gt;=Geotech!$C$4:$C$11100)*(Data_PLT[[#This Row],[Depth (m)]]&lt;Geotech!$D$4:$D$11100),Geotech!$M$4:$M$11100)</calculatedColumnFormula>
    </tableColumn>
    <tableColumn id="5" xr3:uid="{1B134915-E621-43E8-8006-430D3B8B5665}" name="Test type" dataDxfId="150"/>
    <tableColumn id="8" xr3:uid="{3221E991-A595-47A2-BEDE-2CD89ED48B5C}" name="Core Size" dataDxfId="149">
      <calculatedColumnFormula>VLOOKUP(Data_PLT[[#This Row],[Hole ID]],Data_Log[[Hole ID]:[Core size]],20,FALSE)</calculatedColumnFormula>
    </tableColumn>
    <tableColumn id="6" xr3:uid="{AA2B01E2-9A8E-4E86-B08A-E5CC92EADA2C}" name="Diameter (mm)" dataDxfId="148">
      <calculatedColumnFormula>VLOOKUP(Data_PLT[[#This Row],[Core Size]],Table_CoreSize[],2,FALSE)</calculatedColumnFormula>
    </tableColumn>
    <tableColumn id="14" xr3:uid="{C6796D87-DE6D-4392-89DF-07374C34CC3B}" name="Length or width (mm)" dataDxfId="147"/>
    <tableColumn id="25" xr3:uid="{F48AD7A1-FE32-4514-B731-4AC27A25A8CD}" name="Machine" dataDxfId="146"/>
    <tableColumn id="16" xr3:uid="{F59A8B06-CDBD-4783-BE29-A923D934D3C3}" name="Load (Bar)" dataDxfId="145"/>
    <tableColumn id="7" xr3:uid="{6DAF18A0-5E25-4407-9621-796EC7B5978C}" name="Load (kN)" dataDxfId="144"/>
    <tableColumn id="17" xr3:uid="{E6A14BEF-7B56-40AB-B4E8-1753F6008238}" name="Failure type" dataDxfId="143"/>
    <tableColumn id="32" xr3:uid="{0B6B0A37-F266-4387-8026-8F049BFDB648}" name="Failure Validity" dataDxfId="142">
      <calculatedColumnFormula>IF(Data_PLT[[#This Row],[Failure type]]="","",IF(OR(Data_PLT[[#This Row],[Failure type]]="Invalid",Data_PLT[[#This Row],[Failure type]]="Chipped",Data_PLT[[#This Row],[Failure type]]="Penetrate",Data_PLT[[#This Row],[Failure type]]="Did not break"),"Invalid","Valid"))</calculatedColumnFormula>
    </tableColumn>
    <tableColumn id="11" xr3:uid="{B1281EB1-1685-4FF7-BFDA-F0961A86C5B1}" name="Comments" dataDxfId="141"/>
    <tableColumn id="21" xr3:uid="{C4D00E90-F136-4688-A915-8255F62B1A56}" name="x" dataDxfId="140"/>
    <tableColumn id="12" xr3:uid="{1B49DEE3-10D7-4F04-BB3E-32F7A2B427CD}" name="Equiv. Diam. (mm)" dataDxfId="139">
      <calculatedColumnFormula>IF(Data_PLT[[#This Row],[Test type]]="Diametral",Data_PLT[[#This Row],[Diameter (mm)]],IF(Data_PLT[[#This Row],[Test type]]="Axial",SQRT(4*Data_PLT[[#This Row],[Diameter (mm)]]*Data_PLT[[#This Row],[Length or width (mm)]]/PI()),"ERROR"))</calculatedColumnFormula>
    </tableColumn>
    <tableColumn id="13" xr3:uid="{2EC29D18-B799-4A95-89E0-327C53CB271A}" name="Is (MPa)" dataDxfId="138">
      <calculatedColumnFormula>(Data_PLT[[#This Row],[Load (kN)]]*1000)/Data_PLT[[#This Row],[Equiv. Diam. (mm)]]^2</calculatedColumnFormula>
    </tableColumn>
    <tableColumn id="19" xr3:uid="{0505F2E4-2374-4DDA-A209-C6D3EE67A9F2}" name="F" dataDxfId="137">
      <calculatedColumnFormula>(Data_PLT[[#This Row],[Equiv. Diam. (mm)]]/50)^0.45</calculatedColumnFormula>
    </tableColumn>
    <tableColumn id="10" xr3:uid="{8CE7B189-0FA5-42F3-8580-C3E1E9813416}" name="Is50 (MPa)" dataDxfId="136">
      <calculatedColumnFormula>Data_PLT[[#This Row],[Is (MPa)]]*Data_PLT[[#This Row],[F]]</calculatedColumnFormula>
    </tableColumn>
    <tableColumn id="23" xr3:uid="{1342C9BF-A074-4B0F-AF3C-97B0339945D7}" name="Test code" dataDxfId="135">
      <calculatedColumnFormula>Data_PLT[[#This Row],[Failure Validity]]&amp;"-"&amp;Data_PLT[[#This Row],[Test type]]</calculatedColumnFormula>
    </tableColumn>
    <tableColumn id="20" xr3:uid="{66E389FB-1967-4F0A-8654-2B85594BD88F}" name="UCS min (MPa)" dataDxfId="134">
      <calculatedColumnFormula>Data_PLT[[#This Row],[Is50 (MPa)]]*VLOOKUP("Min",Table_PLT_Conversion[],2,FALSE)</calculatedColumnFormula>
    </tableColumn>
    <tableColumn id="9" xr3:uid="{54839DB3-8224-43CC-AD5B-5AF8BBFD9C25}" name="UCS avg (MPa)" dataDxfId="133">
      <calculatedColumnFormula>Data_PLT[[#This Row],[Is50 (MPa)]]*VLOOKUP("Avg",Table_PLT_Conversion[],2,FALSE)</calculatedColumnFormula>
    </tableColumn>
    <tableColumn id="18" xr3:uid="{F70AA7C4-38B5-403D-96DE-8A787CEBEBBC}" name="UCS max (MPa)" dataDxfId="132">
      <calculatedColumnFormula>Data_PLT[[#This Row],[Is50 (MPa)]]*VLOOKUP("Max",Table_PLT_Conversion[],2,FALSE)</calculatedColumnFormula>
    </tableColumn>
    <tableColumn id="30" xr3:uid="{FE8BE8AB-B89E-4018-907F-5515A323DA23}" name="UCS min code" dataDxfId="131">
      <calculatedColumnFormula>MATCH(LOOKUP(Data_PLT[[#This Row],[UCS min (MPa)]],Table_FieldStrength[Min UCS]),Table_FieldStrength[Min UCS],0)-1</calculatedColumnFormula>
    </tableColumn>
    <tableColumn id="24" xr3:uid="{BD9A8078-D560-45B2-A852-8680DDB3AD8D}" name="UCS avg code" dataDxfId="130">
      <calculatedColumnFormula>MATCH(LOOKUP(Data_PLT[[#This Row],[UCS avg (MPa)]],Table_FieldStrength[Min UCS]),Table_FieldStrength[Min UCS],0)-1</calculatedColumnFormula>
    </tableColumn>
    <tableColumn id="27" xr3:uid="{2E9BC0C8-E6CD-4EB6-AF87-2A41DF1198EB}" name="UCS max code" dataDxfId="129">
      <calculatedColumnFormula>MATCH(LOOKUP(Data_PLT[[#This Row],[UCS max (MPa)]],Table_FieldStrength[Min UCS]),Table_FieldStrength[Min UCS],0)-1</calculatedColumnFormula>
    </tableColumn>
    <tableColumn id="28" xr3:uid="{282E0C76-1D5E-4E99-8176-C5CE44AF802E}" name="Validity-Test-UCSmin code" dataDxfId="128">
      <calculatedColumnFormula>Data_PLT[[#This Row],[Test code]]&amp;"-"&amp;Data_PLT[[#This Row],[UCS min code]]</calculatedColumnFormula>
    </tableColumn>
    <tableColumn id="29" xr3:uid="{819A7625-D0E3-4FC2-89EF-44FBC6D602B6}" name="Validity-Test-UCSavg code" dataDxfId="127">
      <calculatedColumnFormula>Data_PLT[[#This Row],[Test code]]&amp;"-"&amp;Data_PLT[[#This Row],[UCS avg code]]</calculatedColumnFormula>
    </tableColumn>
    <tableColumn id="26" xr3:uid="{0331EDB5-73CA-4018-A205-ADE3B8673EDB}" name="Validity-Test-UCSmax code" dataDxfId="126">
      <calculatedColumnFormula>Data_PLT[[#This Row],[Test code]]&amp;"-"&amp;Data_PLT[[#This Row],[UCS max code]]</calculatedColumnFormula>
    </tableColumn>
    <tableColumn id="33" xr3:uid="{77F29C20-0F1D-4166-9314-960F5A624DEA}" name="PLT - Strater Scheme" dataDxfId="125">
      <calculatedColumnFormula>Data_PLT[[#This Row],[Failure type]]&amp;"-"&amp;Data_PLT[[#This Row],[Test type]]&amp;"-"&amp;(IF(Data_PLT[[#This Row],[Is50 (MPa)]]&lt;1,1,IF(Data_PLT[[#This Row],[Is50 (MPa)]]&lt;2,2,IF(Data_PLT[[#This Row],[Is50 (MPa)]]&lt;4,3,IF(Data_PLT[[#This Row],[Is50 (MPa)]]&lt;8,4,5)))))</calculatedColumnFormula>
    </tableColumn>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93F9E6-1D0D-4DB7-881A-8C1BE2816E18}" name="Table_Lithology16" displayName="Table_Lithology16" ref="B4:C17" totalsRowShown="0" headerRowDxfId="124">
  <autoFilter ref="B4:C17" xr:uid="{DE93F9E6-1D0D-4DB7-881A-8C1BE2816E18}"/>
  <sortState xmlns:xlrd2="http://schemas.microsoft.com/office/spreadsheetml/2017/richdata2" ref="B5:C9">
    <sortCondition ref="B4:B9"/>
  </sortState>
  <tableColumns count="2">
    <tableColumn id="1" xr3:uid="{DB101CE7-AE56-4C1F-9FAF-C0449BDFE089}" name="Column Title / Field" dataDxfId="123"/>
    <tableColumn id="2" xr3:uid="{5DE5AC33-8885-48C4-AC69-EC955F1F9705}" name="Table List" dataDxfId="122"/>
  </tableColumns>
  <tableStyleInfo name="Inputs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48A05C-5906-460D-8C1D-1B325829AD68}" name="Data_LabTests" displayName="Data_LabTests" ref="A3:Q206" totalsRowShown="0" headerRowDxfId="121" dataDxfId="120">
  <autoFilter ref="A3:Q206" xr:uid="{A9E607FA-78BF-4232-8364-66E1F491CE42}"/>
  <tableColumns count="17">
    <tableColumn id="1" xr3:uid="{7F26A4C4-D693-41F2-A037-9D190401D60E}" name="Hole ID" dataDxfId="119"/>
    <tableColumn id="12" xr3:uid="{BFDF332C-627C-4046-9913-D42AEB9B8406}" name="Planned Hole ID" dataDxfId="118">
      <calculatedColumnFormula>VLOOKUP(Data_LabTests[[#This Row],[Hole ID]],Data_Log[],2,FALSE)</calculatedColumnFormula>
    </tableColumn>
    <tableColumn id="17" xr3:uid="{B77B7996-9610-4D85-9A1B-5363F70551CC}" name="Location" dataDxfId="117">
      <calculatedColumnFormula>_xlfn.XLOOKUP(Data_LabTests[[#This Row],[Hole ID]],Data_Log[Hole ID],Data_Log[Pit])</calculatedColumnFormula>
    </tableColumn>
    <tableColumn id="2" xr3:uid="{41D478BF-A859-48A4-AD56-98E266700DED}" name="Sample #" dataDxfId="116"/>
    <tableColumn id="10" xr3:uid="{4FC96838-2969-4AFE-B2F5-AFF311DA71BD}" name="Sample ID" dataDxfId="115">
      <calculatedColumnFormula>Data_LabTests[[#This Row],[Hole ID]]&amp;"_"&amp;Data_LabTests[[#This Row],[Sample '#]]</calculatedColumnFormula>
    </tableColumn>
    <tableColumn id="5" xr3:uid="{2BEDDA66-DE4C-4455-ACE9-ADC924538AEC}" name="Initial Test type" dataDxfId="114"/>
    <tableColumn id="7" xr3:uid="{10549DAF-8ABE-45CF-8A9E-05020E00DEDB}" name="Final test type" dataDxfId="113"/>
    <tableColumn id="3" xr3:uid="{59E47731-2816-4031-8425-BD5AD07F9FB3}" name="Depth from (m)" dataDxfId="112"/>
    <tableColumn id="4" xr3:uid="{F7E55E96-2641-40CF-991B-514CC9C8E6C8}" name="Depth to (m)" dataDxfId="111"/>
    <tableColumn id="9" xr3:uid="{258665B1-7041-49D4-BB26-01C58D7C104B}" name="Length (m)" dataDxfId="110">
      <calculatedColumnFormula>Data_LabTests[[#This Row],[Depth to (m)]]-Data_LabTests[[#This Row],[Depth from (m)]]</calculatedColumnFormula>
    </tableColumn>
    <tableColumn id="13" xr3:uid="{69C77B31-3073-4817-8588-B357A8A5D538}" name="Lithology" dataDxfId="109"/>
    <tableColumn id="8" xr3:uid="{19ECE94A-2C49-4EBC-9006-65C9B1B776EA}" name="Size" dataDxfId="108">
      <calculatedColumnFormula>VLOOKUP(Data_LabTests[[#This Row],[Hole ID]],Data_Log[[Hole ID]:[Core size]],20,FALSE)</calculatedColumnFormula>
    </tableColumn>
    <tableColumn id="6" xr3:uid="{DECB9C7D-331E-4F87-AE07-19D0FBFE674E}" name="Photo" dataDxfId="107"/>
    <tableColumn id="16" xr3:uid="{1477E312-707D-4C1E-A773-AC84BA42C4DD}" name="Actual state" dataDxfId="106"/>
    <tableColumn id="11" xr3:uid="{AF8D23A8-B235-420C-A68C-7FE225D185B9}" name="Shipped?" dataDxfId="105"/>
    <tableColumn id="15" xr3:uid="{A7B9B042-10E3-4869-B285-3AAA65CC25C6}" name="# Sceau" dataDxfId="104"/>
    <tableColumn id="14" xr3:uid="{2BB9E8D2-2C7E-4BD2-A68D-2E54CD54BD7F}" name="Comments" dataDxfId="103"/>
  </tableColumns>
  <tableStyleInfo name="TableStyleLight1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3B7AD15-CCE9-4A10-99C9-14283378A4A2}" name="Table_FieldStrength" displayName="Table_FieldStrength" ref="M4:P11" totalsRowShown="0" headerRowDxfId="102" dataDxfId="101">
  <autoFilter ref="M4:P11" xr:uid="{43B7AD15-CCE9-4A10-99C9-14283378A4A2}"/>
  <sortState xmlns:xlrd2="http://schemas.microsoft.com/office/spreadsheetml/2017/richdata2" ref="M5:M11">
    <sortCondition ref="M4:M11"/>
  </sortState>
  <tableColumns count="4">
    <tableColumn id="1" xr3:uid="{121842CB-4300-49AF-88DE-F6993D704F56}" name="Description" dataDxfId="100"/>
    <tableColumn id="3" xr3:uid="{0E4EF1FD-826B-475A-BA68-5DC945C5F51D}" name="Min UCS" dataDxfId="99"/>
    <tableColumn id="4" xr3:uid="{EE62AB09-ABCD-4496-B7C2-8122BAF1BBE4}" name="Avg UCS" dataDxfId="98"/>
    <tableColumn id="2" xr3:uid="{F528D03B-ADB6-4209-895F-720180EBD27A}" name="Max UCS" dataDxfId="97">
      <calculatedColumnFormula>1.25/2</calculatedColumnFormula>
    </tableColumn>
  </tableColumns>
  <tableStyleInfo name="Inputs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12B69F1-7167-46B5-A5B1-FE8561261FB3}" name="Table_Weathering" displayName="Table_Weathering" ref="R4:S10" totalsRowShown="0" headerRowDxfId="96">
  <autoFilter ref="R4:S10" xr:uid="{F12B69F1-7167-46B5-A5B1-FE8561261FB3}"/>
  <sortState xmlns:xlrd2="http://schemas.microsoft.com/office/spreadsheetml/2017/richdata2" ref="R5:S10">
    <sortCondition ref="R4:R10"/>
  </sortState>
  <tableColumns count="2">
    <tableColumn id="1" xr3:uid="{D1158481-BF96-423E-A365-108F3FAC4AC4}" name="Description" dataDxfId="95"/>
    <tableColumn id="2" xr3:uid="{033666F3-BA71-42AD-992A-71B35017D13B}" name="Comment" dataDxfId="94"/>
  </tableColumns>
  <tableStyleInfo name="Inputs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B23932F-4E4A-4A72-B855-F9FF995608EC}" name="Table_JointSetRating" displayName="Table_JointSetRating" ref="U4:U14" totalsRowShown="0">
  <autoFilter ref="U4:U14" xr:uid="{7B23932F-4E4A-4A72-B855-F9FF995608EC}"/>
  <tableColumns count="1">
    <tableColumn id="1" xr3:uid="{A1BE02E1-E486-48C9-A9D0-9673C78F6AC3}" name="Description"/>
  </tableColumns>
  <tableStyleInfo name="Inputs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22DDE19-901D-4F2B-95A5-E4B7A556EC03}" name="Table_FeatureType" displayName="Table_FeatureType" ref="AA4:AB20" totalsRowShown="0">
  <autoFilter ref="AA4:AB20" xr:uid="{822DDE19-901D-4F2B-95A5-E4B7A556EC03}"/>
  <tableColumns count="2">
    <tableColumn id="1" xr3:uid="{6A2714E5-3F43-4811-A76A-DC53B72B4D78}" name="Description"/>
    <tableColumn id="2" xr3:uid="{F8A86457-AB90-4DFD-A783-BCE7D8D17CCF}" name="Code"/>
  </tableColumns>
  <tableStyleInfo name="Inputs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80F95C3-1E32-4DFD-80E3-F209825BD635}" name="Table_Shape" displayName="Table_Shape" ref="AG4:AH9" totalsRowShown="0">
  <autoFilter ref="AG4:AH9" xr:uid="{B80F95C3-1E32-4DFD-80E3-F209825BD635}"/>
  <tableColumns count="2">
    <tableColumn id="1" xr3:uid="{96AC43DD-04A0-4825-80B7-2B2037443CF3}" name="Description"/>
    <tableColumn id="2" xr3:uid="{B1C83CE2-AD6B-481F-BECF-5DBC40350289}" name="Code"/>
  </tableColumns>
  <tableStyleInfo name="Inputs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DDB727D-498F-4A05-BF76-D883B5662140}" name="Table_Roughness" displayName="Table_Roughness" ref="AJ4:AK10" totalsRowShown="0">
  <autoFilter ref="AJ4:AK10" xr:uid="{DDDB727D-498F-4A05-BF76-D883B5662140}"/>
  <sortState xmlns:xlrd2="http://schemas.microsoft.com/office/spreadsheetml/2017/richdata2" ref="AJ5:AK10">
    <sortCondition ref="AJ4:AJ10"/>
  </sortState>
  <tableColumns count="2">
    <tableColumn id="1" xr3:uid="{F4E19A00-8328-4795-8205-ECD128C149C7}" name="Description"/>
    <tableColumn id="2" xr3:uid="{DD2B5597-0C4D-45F0-92A7-7E7183DB983D}" name="Code"/>
  </tableColumns>
  <tableStyleInfo name="Inputs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AC2AD9D-D941-4B82-9EF5-01A4ADEFF751}" name="Table_InfillCharacter" displayName="Table_InfillCharacter" ref="AU4:AV11" totalsRowShown="0">
  <autoFilter ref="AU4:AV11" xr:uid="{5AC2AD9D-D941-4B82-9EF5-01A4ADEFF751}"/>
  <sortState xmlns:xlrd2="http://schemas.microsoft.com/office/spreadsheetml/2017/richdata2" ref="AU5:AV10">
    <sortCondition ref="AU4:AU10"/>
  </sortState>
  <tableColumns count="2">
    <tableColumn id="1" xr3:uid="{3D7E7173-F516-47D7-A01C-5863B13DDD87}" name="Description"/>
    <tableColumn id="2" xr3:uid="{77C0B386-820A-439F-810D-90433B4DB381}" name="Code"/>
  </tableColumns>
  <tableStyleInfo name="Inputs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30AA2B4-A0D2-4989-8BB2-17417F1F51FD}" name="Table_InfillType" displayName="Table_InfillType" ref="AX4:AY55" totalsRowShown="0">
  <autoFilter ref="AX4:AY55" xr:uid="{930AA2B4-A0D2-4989-8BB2-17417F1F51FD}"/>
  <sortState xmlns:xlrd2="http://schemas.microsoft.com/office/spreadsheetml/2017/richdata2" ref="AX5:AY55">
    <sortCondition ref="AX4:AX55"/>
  </sortState>
  <tableColumns count="2">
    <tableColumn id="1" xr3:uid="{0817C352-D88B-4556-89AB-C2F0288CE683}" name="Description"/>
    <tableColumn id="2" xr3:uid="{85AFE9F6-B874-402C-8CFB-4AED2E046F9A}" name="Code"/>
  </tableColumns>
  <tableStyleInfo name="Inputs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81D1799-038D-4372-BFBF-7901F607DF03}" name="Table_OrientationReliability" displayName="Table_OrientationReliability" ref="AD4:AE9" totalsRowShown="0" headerRowDxfId="93" dataDxfId="92">
  <autoFilter ref="AD4:AE9" xr:uid="{681D1799-038D-4372-BFBF-7901F607DF03}"/>
  <tableColumns count="2">
    <tableColumn id="1" xr3:uid="{830EBEBE-CC0E-46FA-B451-626E5B302006}" name="Description" dataDxfId="91"/>
    <tableColumn id="2" xr3:uid="{18EC3548-95E0-4786-8605-F8EC6D2687DC}" name="Code" dataDxfId="90"/>
  </tableColumns>
  <tableStyleInfo name="Inputs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D9D559D-ED43-4542-8369-37423A1BA005}" name="Table_JointAlteration" displayName="Table_JointAlteration" ref="BA4:BB17" totalsRowShown="0">
  <autoFilter ref="BA4:BB17" xr:uid="{DD9D559D-ED43-4542-8369-37423A1BA005}"/>
  <tableColumns count="2">
    <tableColumn id="1" xr3:uid="{CE244900-B8AF-4E0B-AC1B-09B55B99AAA0}" name="Description"/>
    <tableColumn id="2" xr3:uid="{520FFD82-8B62-40B7-BBE2-8CB5126BC0BF}" name="Code" dataDxfId="89"/>
  </tableColumns>
  <tableStyleInfo name="Inputs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4D782EF-C1CA-4508-80EF-CA5B14FF67B0}" name="Table_JointRoughness" displayName="Table_JointRoughness" ref="BD4:BE12" totalsRowShown="0">
  <autoFilter ref="BD4:BE12" xr:uid="{34D782EF-C1CA-4508-80EF-CA5B14FF67B0}"/>
  <sortState xmlns:xlrd2="http://schemas.microsoft.com/office/spreadsheetml/2017/richdata2" ref="BD5:BD12">
    <sortCondition ref="BD4:BD12"/>
  </sortState>
  <tableColumns count="2">
    <tableColumn id="1" xr3:uid="{7232DAB9-260C-4A9D-9EF4-5FF1E4EB61D5}" name="Description"/>
    <tableColumn id="2" xr3:uid="{16180D65-6E48-434E-92A5-DE8C13BC41D6}" name="Code" dataDxfId="88"/>
  </tableColumns>
  <tableStyleInfo name="Inputs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B654FDB-C03E-4120-95F1-59426E6EB521}" name="Table_JCR" displayName="Table_JCR" ref="BG4:BK15" totalsRowShown="0" tableBorderDxfId="87">
  <autoFilter ref="BG4:BK15" xr:uid="{2B654FDB-C03E-4120-95F1-59426E6EB521}"/>
  <tableColumns count="5">
    <tableColumn id="1" xr3:uid="{00DAFB89-E556-40D0-8580-B58A33FB7B61}" name="Infilled" dataDxfId="86"/>
    <tableColumn id="2" xr3:uid="{625974AF-C2AC-4047-8FC0-867C0B449E67}" name="Surface" dataDxfId="85"/>
    <tableColumn id="3" xr3:uid="{A9F2F5D3-6150-4352-A8EC-9CA2C87D7F51}" name="Surface 2"/>
    <tableColumn id="4" xr3:uid="{A368CA82-21FD-4BFD-9ED2-96A0E460FF4F}" name="Coating" dataDxfId="84"/>
    <tableColumn id="5" xr3:uid="{96EE717E-1D5E-4A47-82D8-2A66CAB11319}" name="Code" dataDxfId="83"/>
  </tableColumns>
  <tableStyleInfo name="Inputs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08BB39A-7435-4598-BFDD-CB176002E527}" name="Table_RMR76_Strength" displayName="Table_RMR76_Strength" ref="BO4:BP11" totalsRowShown="0">
  <autoFilter ref="BO4:BP11" xr:uid="{C08BB39A-7435-4598-BFDD-CB176002E527}"/>
  <tableColumns count="2">
    <tableColumn id="1" xr3:uid="{49081C97-244E-45D8-834D-DE7D8DA91B90}" name="Description"/>
    <tableColumn id="2" xr3:uid="{B38FB6DA-67A3-4538-8E45-19B7F2EEAEF8}" name="Rating" dataDxfId="82"/>
  </tableColumns>
  <tableStyleInfo name="Inputs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DB34CF2-A20F-4657-B892-97C69A74045A}" name="Table_RMR76_RQD" displayName="Table_RMR76_RQD" ref="BR4:BU9" totalsRowShown="0">
  <autoFilter ref="BR4:BU9" xr:uid="{4DB34CF2-A20F-4657-B892-97C69A74045A}"/>
  <tableColumns count="4">
    <tableColumn id="1" xr3:uid="{651EC56D-8BB7-42C7-A0AD-BD9AE7CCEE02}" name="Description"/>
    <tableColumn id="4" xr3:uid="{8BC5DF47-4D88-4521-AE77-4BF256B27F5D}" name="Min" dataDxfId="81"/>
    <tableColumn id="3" xr3:uid="{300895FA-67F0-4A3E-B75E-190557281274}" name="Max" dataDxfId="80"/>
    <tableColumn id="2" xr3:uid="{4134961C-B889-4FC0-8F6C-D10F7CE5D841}" name="Rating"/>
  </tableColumns>
  <tableStyleInfo name="Inputs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D9F33F6-C159-4707-AD2A-2B4E16CA3318}" name="Table_RMR76_Spacing" displayName="Table_RMR76_Spacing" ref="BW4:BZ9" totalsRowShown="0">
  <autoFilter ref="BW4:BZ9" xr:uid="{FD9F33F6-C159-4707-AD2A-2B4E16CA3318}"/>
  <tableColumns count="4">
    <tableColumn id="1" xr3:uid="{5D33CD7E-1F11-45F5-A9C8-AD8D4EB8E434}" name="Description"/>
    <tableColumn id="3" xr3:uid="{553E8EEC-7F47-4D2F-B7CA-4A66A0C58E05}" name="Min" dataDxfId="79"/>
    <tableColumn id="4" xr3:uid="{22C07FAF-725E-447F-991E-79F19F4A8127}" name="Max" dataDxfId="78"/>
    <tableColumn id="2" xr3:uid="{CAF8B053-0F98-4E1B-8B06-8E96988B3905}" name="Rating"/>
  </tableColumns>
  <tableStyleInfo name="Inputs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84A1323-9641-4D1C-B921-1AF512A3DB16}" name="Table_RMR76_JCR" displayName="Table_RMR76_JCR" ref="CB4:CC9" totalsRowShown="0">
  <autoFilter ref="CB4:CC9" xr:uid="{A84A1323-9641-4D1C-B921-1AF512A3DB16}"/>
  <tableColumns count="2">
    <tableColumn id="1" xr3:uid="{89549737-BE69-4118-91F5-10DAE43D29DE}" name="Description"/>
    <tableColumn id="2" xr3:uid="{4E72C4E4-8DBE-44B9-BEB4-40EC0A431E2A}" name="Rating"/>
  </tableColumns>
  <tableStyleInfo name="Inputs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0D08D9E-D1BE-4E7D-962D-A8F0001678C2}" name="Table_PLT_TestType" displayName="Table_PLT_TestType" ref="CG4:CG6" totalsRowShown="0" headerRowDxfId="77">
  <autoFilter ref="CG4:CG6" xr:uid="{60D08D9E-D1BE-4E7D-962D-A8F0001678C2}"/>
  <tableColumns count="1">
    <tableColumn id="1" xr3:uid="{C5E50D13-4023-460F-BC4A-42E8C6A4CD58}" name="Description"/>
  </tableColumns>
  <tableStyleInfo name="Inputs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ED35AE4-89BA-40EE-ADF5-6EB942E561F8}" name="Table_PLT_FailureType" displayName="Table_PLT_FailureType" ref="CI4:CI12" totalsRowShown="0" headerRowDxfId="76">
  <autoFilter ref="CI4:CI12" xr:uid="{DED35AE4-89BA-40EE-ADF5-6EB942E561F8}"/>
  <tableColumns count="1">
    <tableColumn id="1" xr3:uid="{77A4CAFD-F39C-4D4B-BCB0-F3C6AEEC4946}" name="Description"/>
  </tableColumns>
  <tableStyleInfo name="Inputs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43B59C8-286D-4AFC-8ABB-4C6EFFD7CFC2}" name="Table_Lab_TestType" displayName="Table_Lab_TestType" ref="CM4:CM16" totalsRowShown="0" headerRowDxfId="75" dataDxfId="74">
  <autoFilter ref="CM4:CM16" xr:uid="{743B59C8-286D-4AFC-8ABB-4C6EFFD7CFC2}"/>
  <tableColumns count="1">
    <tableColumn id="1" xr3:uid="{E97F51AE-2EDB-42B9-8778-157E269B9BF0}" name="Description" dataDxfId="73"/>
  </tableColumns>
  <tableStyleInfo name="Inputs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D4F113-DC46-497D-8533-1B6FBB2D44C7}" name="Table_CoordSystem" displayName="Table_CoordSystem" ref="B4:B8" totalsRowShown="0" headerRowDxfId="72" dataDxfId="71">
  <autoFilter ref="B4:B8" xr:uid="{97D4F113-DC46-497D-8533-1B6FBB2D44C7}"/>
  <sortState xmlns:xlrd2="http://schemas.microsoft.com/office/spreadsheetml/2017/richdata2" ref="B5:B8">
    <sortCondition ref="B4:B8"/>
  </sortState>
  <tableColumns count="1">
    <tableColumn id="1" xr3:uid="{19C5A622-7385-42FE-BA51-E084364A02D8}" name="Description" dataDxfId="70"/>
  </tableColumns>
  <tableStyleInfo name="Inputs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312829-571E-4B28-9D46-DCA41B382E65}" name="Table_CoreSize" displayName="Table_CoreSize" ref="D4:E11" totalsRowShown="0" headerRowDxfId="69">
  <autoFilter ref="D4:E11" xr:uid="{C1312829-571E-4B28-9D46-DCA41B382E65}"/>
  <tableColumns count="2">
    <tableColumn id="1" xr3:uid="{146A3704-2C6B-4C58-9C6E-A627FF84E00E}" name="Description" dataDxfId="68"/>
    <tableColumn id="2" xr3:uid="{37E4592E-7470-4D8F-A4B3-E9DB02448378}" name="Diameter" dataDxfId="67"/>
  </tableColumns>
  <tableStyleInfo name="Inputs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876FDF-274A-49FF-A52C-BC156F1A1966}" name="Table_Lab_Picture" displayName="Table_Lab_Picture" ref="CO4:CO6" totalsRowShown="0" headerRowDxfId="66" dataDxfId="65">
  <autoFilter ref="CO4:CO6" xr:uid="{9D876FDF-274A-49FF-A52C-BC156F1A1966}"/>
  <tableColumns count="1">
    <tableColumn id="1" xr3:uid="{E6DFC7A4-0238-40E2-9CC1-CD59D396CF41}" name="Description" dataDxfId="64"/>
  </tableColumns>
  <tableStyleInfo name="Inputs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45189E8-4799-4592-B5EC-41A5280BACFE}" name="Table_Lab_Shipped" displayName="Table_Lab_Shipped" ref="CQ4:CQ6" totalsRowShown="0" headerRowDxfId="63" dataDxfId="62">
  <autoFilter ref="CQ4:CQ6" xr:uid="{345189E8-4799-4592-B5EC-41A5280BACFE}"/>
  <tableColumns count="1">
    <tableColumn id="1" xr3:uid="{9E139856-82C7-48B3-867E-46703BE3914E}" name="Description" dataDxfId="61"/>
  </tableColumns>
  <tableStyleInfo name="Inputs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1BED9AA-3BA3-49CE-A0E7-A5C853D5CD70}" name="Table_Python_Charts" displayName="Table_Python_Charts" ref="CW4:CX14" totalsRowShown="0" headerRowDxfId="60" dataDxfId="59">
  <autoFilter ref="CW4:CX14" xr:uid="{F1BED9AA-3BA3-49CE-A0E7-A5C853D5CD70}"/>
  <sortState xmlns:xlrd2="http://schemas.microsoft.com/office/spreadsheetml/2017/richdata2" ref="CW5:CX14">
    <sortCondition ref="CW4:CW14"/>
  </sortState>
  <tableColumns count="2">
    <tableColumn id="1" xr3:uid="{0AC25452-F733-4DC3-AEF9-4944BFBE1994}" name="Description" dataDxfId="58"/>
    <tableColumn id="2" xr3:uid="{D80537D4-2E5E-45C3-94A7-A55173BA0D06}" name="Details" dataDxfId="57"/>
  </tableColumns>
  <tableStyleInfo name="Inputs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978B657-C62E-46A6-AAEF-1E42DC66C409}" name="Table_Python_Sheets" displayName="Table_Python_Sheets" ref="CZ4:DB9" totalsRowShown="0" headerRowDxfId="56" dataDxfId="55">
  <autoFilter ref="CZ4:DB9" xr:uid="{6978B657-C62E-46A6-AAEF-1E42DC66C409}"/>
  <tableColumns count="3">
    <tableColumn id="1" xr3:uid="{EEDB5213-B7E8-45D3-8A5C-51CF531B3667}" name="Sheet" dataDxfId="54"/>
    <tableColumn id="2" xr3:uid="{8791E752-B052-4BCA-92D5-3A152150D4AF}" name="Python Code" dataDxfId="53"/>
    <tableColumn id="4" xr3:uid="{D821627F-7147-4552-83FC-65FF45CDBF4B}" name="Data Table" dataDxfId="52"/>
  </tableColumns>
  <tableStyleInfo name="Inputs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038C135-0284-41DB-9495-55B1C3787DDD}" name="Table_CoreOrientation" displayName="Table_CoreOrientation" ref="G4:G6" totalsRowShown="0" headerRowDxfId="51">
  <autoFilter ref="G4:G6" xr:uid="{B038C135-0284-41DB-9495-55B1C3787DDD}"/>
  <tableColumns count="1">
    <tableColumn id="1" xr3:uid="{975D1F33-1258-45E4-A1F0-9E33B3F9E7C2}" name="Description" dataDxfId="50"/>
  </tableColumns>
  <tableStyleInfo name="Inputs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42D80CF-5605-4D72-8B77-75657BC364D6}" name="Table_CoreMarker" displayName="Table_CoreMarker" ref="I4:I6" totalsRowShown="0" headerRowDxfId="49">
  <autoFilter ref="I4:I6" xr:uid="{242D80CF-5605-4D72-8B77-75657BC364D6}"/>
  <tableColumns count="1">
    <tableColumn id="1" xr3:uid="{B7EB2AD4-C10C-4FB6-9AB9-2DEC53EF2305}" name="Description" dataDxfId="48"/>
  </tableColumns>
  <tableStyleInfo name="Inputs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140BE0-69F3-4C69-9D65-80DC05EE72FD}" name="Table_Python_OnOff" displayName="Table_Python_OnOff" ref="CU4:CU6" totalsRowShown="0" headerRowDxfId="47" dataDxfId="45" headerRowBorderDxfId="46" tableBorderDxfId="44" totalsRowBorderDxfId="43">
  <autoFilter ref="CU4:CU6" xr:uid="{85140BE0-69F3-4C69-9D65-80DC05EE72FD}"/>
  <tableColumns count="1">
    <tableColumn id="1" xr3:uid="{1E7881FC-D4E8-44CD-9202-296D0836C3E6}" name="Description" dataDxfId="42"/>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8D02B20-4281-4790-B9B7-E14747FACF6C}" name="Table_Python_TrueFalse" displayName="Table_Python_TrueFalse" ref="DD4:DD6" totalsRowShown="0" headerRowDxfId="41" dataDxfId="39" headerRowBorderDxfId="40" tableBorderDxfId="38" totalsRowBorderDxfId="37">
  <autoFilter ref="DD4:DD6" xr:uid="{38D02B20-4281-4790-B9B7-E14747FACF6C}"/>
  <tableColumns count="1">
    <tableColumn id="1" xr3:uid="{A04FE4A1-C09F-41E6-AC7B-570DF24C555E}" name="Description" dataDxfId="36"/>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C5F3B72-64F0-4CE8-975F-6836AA306831}" name="Table_Roughness29" displayName="Table_Roughness29" ref="AM4:AP31" totalsRowShown="0">
  <autoFilter ref="AM4:AP31" xr:uid="{7C5F3B72-64F0-4CE8-975F-6836AA306831}"/>
  <sortState xmlns:xlrd2="http://schemas.microsoft.com/office/spreadsheetml/2017/richdata2" ref="AM5:AO10">
    <sortCondition ref="AM4:AM10"/>
  </sortState>
  <tableColumns count="4">
    <tableColumn id="1" xr3:uid="{55F04598-033C-4F5B-84CB-23313C693B93}" name="Feature Type"/>
    <tableColumn id="4" xr3:uid="{017C2DF8-AFB8-4005-B1AB-D11673A8C680}" name="Shape"/>
    <tableColumn id="2" xr3:uid="{1234FD07-C903-476E-ABED-0A74F3AC6783}" name="Rougnhess"/>
    <tableColumn id="3" xr3:uid="{78B05CDD-E05F-434B-97C6-C00150A77713}" name="Jr"/>
  </tableColumns>
  <tableStyleInfo name="Inputs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45666BC-BF88-465A-9DE2-AE220C4FAE77}" name="Table_Microdefects" displayName="Table_Microdefects" ref="W4:W8" totalsRowShown="0" headerRowDxfId="35" dataDxfId="33" headerRowBorderDxfId="34" tableBorderDxfId="32" totalsRowBorderDxfId="31">
  <autoFilter ref="W4:W8" xr:uid="{D6D2F444-FE0D-41B9-A1EA-D6966EDE9CE9}"/>
  <tableColumns count="1">
    <tableColumn id="1" xr3:uid="{A65D0F1D-9D09-4D5B-B4DB-F98D7F9AA5C1}" name="Description" dataDxfId="3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0CD7719-CC03-4A84-B4B2-44D51A7839F2}" name="Table_RMR76_Strength44" displayName="Table_RMR76_Strength44" ref="BO16:BP23" totalsRowShown="0">
  <autoFilter ref="BO16:BP23" xr:uid="{80CD7719-CC03-4A84-B4B2-44D51A7839F2}"/>
  <tableColumns count="2">
    <tableColumn id="1" xr3:uid="{6C05D076-6395-4316-AB06-1C8E1CE53EBB}" name="Description"/>
    <tableColumn id="2" xr3:uid="{A2C570FA-CCDE-4A15-9BF6-B65F7E39A79A}" name="Rating" dataDxfId="29"/>
  </tableColumns>
  <tableStyleInfo name="Inputs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7CFD23F-54E7-4C7B-98B7-F6EEA46699B8}" name="Table_PLT_FailureValidity" displayName="Table_PLT_FailureValidity" ref="CI15:CI23" totalsRowShown="0" headerRowDxfId="28">
  <autoFilter ref="CI15:CI23" xr:uid="{77CFD23F-54E7-4C7B-98B7-F6EEA46699B8}"/>
  <tableColumns count="1">
    <tableColumn id="1" xr3:uid="{30371EBF-5C21-42ED-9B56-F3D3673E3339}" name="Description"/>
  </tableColumns>
  <tableStyleInfo name="Inputs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7CED6B0-CDAB-4607-A9EF-6F08A040F5EE}" name="Table_Lithology" displayName="Table_Lithology" ref="B4:D27" totalsRowShown="0" headerRowDxfId="27">
  <autoFilter ref="B4:D27" xr:uid="{F12B69F1-7167-46B5-A5B1-FE8561261FB3}"/>
  <sortState xmlns:xlrd2="http://schemas.microsoft.com/office/spreadsheetml/2017/richdata2" ref="B5:D27">
    <sortCondition ref="B4:B27"/>
  </sortState>
  <tableColumns count="3">
    <tableColumn id="1" xr3:uid="{3E1CD9C7-0DBF-4CAA-B8CE-15932CBF16FF}" name="Description" dataDxfId="26"/>
    <tableColumn id="2" xr3:uid="{24C3F97F-7DEE-4BDB-8B84-9B1EA2B33EB6}" name="Code" dataDxfId="25"/>
    <tableColumn id="3" xr3:uid="{A46290E5-F5C8-4E5F-AFBC-E4C7B5F7E013}" name="Code2"/>
  </tableColumns>
  <tableStyleInfo name="Inputs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C431A09-3ECF-428F-B0E5-D92032A55EEE}" name="Table_PLT_Model" displayName="Table_PLT_Model" ref="F4:G7" totalsRowShown="0" headerRowDxfId="24" dataDxfId="23">
  <autoFilter ref="F4:G7" xr:uid="{CC431A09-3ECF-428F-B0E5-D92032A55EEE}"/>
  <tableColumns count="2">
    <tableColumn id="1" xr3:uid="{19FD3F64-0B54-4886-A152-DF41D16F2980}" name="Description" dataDxfId="22"/>
    <tableColumn id="2" xr3:uid="{719877B4-E73B-4B77-9437-B5E1DE867AA7}" name="Cylinder Area (in2)" dataDxfId="21">
      <calculatedColumnFormula>1/0.14375</calculatedColumnFormula>
    </tableColumn>
  </tableColumns>
  <tableStyleInfo name="Inputs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14019E9-CC7F-466D-9ADB-79643955FD20}" name="Table_PLT_Conversion" displayName="Table_PLT_Conversion" ref="I4:L8" totalsRowShown="0" headerRowDxfId="20" dataDxfId="19">
  <autoFilter ref="I4:L8" xr:uid="{A14019E9-CC7F-466D-9ADB-79643955FD20}"/>
  <tableColumns count="4">
    <tableColumn id="1" xr3:uid="{EFD859EF-5DD3-4885-9F45-7DF0CC516733}" name="Conversion Factor" dataDxfId="18"/>
    <tableColumn id="2" xr3:uid="{2E09C243-8D00-47AD-B666-27362BF2D55A}" name="UCS (Literature)" dataDxfId="17">
      <calculatedColumnFormula>1/0.14375</calculatedColumnFormula>
    </tableColumn>
    <tableColumn id="4" xr3:uid="{DC76813E-4EE6-400E-B6A4-8B4D775C74CB}" name="UCS (from lab tests)" dataDxfId="16"/>
    <tableColumn id="3" xr3:uid="{ADF17D02-95DA-4AFE-A260-3030885CCD44}" name="Tensile" dataDxfId="15"/>
  </tableColumns>
  <tableStyleInfo name="Inputs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7582BD2-D578-4FA1-B8E9-1F0CE00CD0DE}" name="Tableau44" displayName="Tableau44" ref="N4:N10" totalsRowShown="0">
  <autoFilter ref="N4:N10" xr:uid="{E7582BD2-D578-4FA1-B8E9-1F0CE00CD0DE}"/>
  <tableColumns count="1">
    <tableColumn id="1" xr3:uid="{31F63184-548D-49D5-BE49-22D9A84DB682}" name="Pit" dataDxfId="14"/>
  </tableColumns>
  <tableStyleInfo name="Inputs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E84C23A-E5EE-4A41-95BF-A85BCA89E4D5}" name="Tableau4446" displayName="Tableau4446" ref="P4:P8" totalsRowShown="0">
  <autoFilter ref="P4:P8" xr:uid="{7E84C23A-E5EE-4A41-95BF-A85BCA89E4D5}"/>
  <tableColumns count="1">
    <tableColumn id="1" xr3:uid="{6EFAC9CA-E0B5-43C4-ACA1-F0BDEFA0F443}" name="Sub Pit" dataDxfId="13"/>
  </tableColumns>
  <tableStyleInfo name="Inputs Table"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3" dT="2022-11-14T15:51:07.26" personId="{575E7675-B4FA-4DC0-8D3B-0088B71D51E9}" id="{5305091C-CE3C-4E8A-9FCB-DE12879F35E7}">
    <text>x30 représente un minimum de 50mm de spacing pour une run de 1,5m (RMR76)</text>
  </threadedComment>
  <threadedComment ref="AD3" dT="2023-09-18T03:54:37.42" personId="{F2C9C5F4-CA95-441B-AC5F-B8B295AF6246}" id="{86227B6B-B1F0-40C9-A511-AB434C6111AA}">
    <text>Il reste à régler la question du Axial ou Diamétral</text>
  </threadedComment>
  <threadedComment ref="D129" dT="2025-06-09T11:05:45.91" personId="{3DB070A9-6035-4D61-8685-C4013D5CAAE8}" id="{8674F207-32DA-43B1-A136-FCDAB3B13D4F}">
    <text>Run partielle, l’autre partie sera sur la prochaine série de boîte.</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21" Type="http://schemas.openxmlformats.org/officeDocument/2006/relationships/table" Target="../tables/table25.xml"/><Relationship Id="rId34" Type="http://schemas.openxmlformats.org/officeDocument/2006/relationships/table" Target="../tables/table38.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table" Target="../tables/table37.xml"/><Relationship Id="rId2" Type="http://schemas.openxmlformats.org/officeDocument/2006/relationships/drawing" Target="../drawings/drawing2.x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printerSettings" Target="../printerSettings/printerSettings6.bin"/><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37" Type="http://schemas.openxmlformats.org/officeDocument/2006/relationships/comments" Target="../comments3.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36" Type="http://schemas.openxmlformats.org/officeDocument/2006/relationships/table" Target="../tables/table40.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35" Type="http://schemas.openxmlformats.org/officeDocument/2006/relationships/table" Target="../tables/table39.xml"/><Relationship Id="rId8" Type="http://schemas.openxmlformats.org/officeDocument/2006/relationships/table" Target="../tables/table12.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8" Type="http://schemas.openxmlformats.org/officeDocument/2006/relationships/table" Target="../tables/table45.xml"/><Relationship Id="rId3" Type="http://schemas.openxmlformats.org/officeDocument/2006/relationships/vmlDrawing" Target="../drawings/vmlDrawing4.vml"/><Relationship Id="rId7" Type="http://schemas.openxmlformats.org/officeDocument/2006/relationships/table" Target="../tables/table44.xml"/><Relationship Id="rId2" Type="http://schemas.openxmlformats.org/officeDocument/2006/relationships/drawing" Target="../drawings/drawing3.xml"/><Relationship Id="rId1" Type="http://schemas.openxmlformats.org/officeDocument/2006/relationships/printerSettings" Target="../printerSettings/printerSettings7.bin"/><Relationship Id="rId6" Type="http://schemas.openxmlformats.org/officeDocument/2006/relationships/table" Target="../tables/table43.xml"/><Relationship Id="rId5" Type="http://schemas.openxmlformats.org/officeDocument/2006/relationships/table" Target="../tables/table42.xml"/><Relationship Id="rId4" Type="http://schemas.openxmlformats.org/officeDocument/2006/relationships/table" Target="../tables/table41.xml"/><Relationship Id="rId9"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9D178-C3F7-495B-B5E7-3152B9A6AD81}">
  <sheetPr codeName="Sheet1">
    <tabColor rgb="FFFF0000"/>
  </sheetPr>
  <dimension ref="A1:AD38"/>
  <sheetViews>
    <sheetView workbookViewId="0">
      <selection activeCell="L14" sqref="L14"/>
    </sheetView>
  </sheetViews>
  <sheetFormatPr baseColWidth="10" defaultColWidth="10.7109375" defaultRowHeight="15" x14ac:dyDescent="0.25"/>
  <cols>
    <col min="1" max="1" width="25.5703125" customWidth="1"/>
    <col min="2" max="2" width="27.7109375" style="14" customWidth="1"/>
    <col min="3" max="3" width="21.85546875" style="14" customWidth="1"/>
    <col min="4" max="4" width="15.85546875" style="14" customWidth="1"/>
    <col min="5" max="5" width="14.5703125" style="14" customWidth="1"/>
    <col min="6" max="8" width="10.42578125" style="14" customWidth="1"/>
    <col min="9" max="10" width="11.28515625" style="14" customWidth="1"/>
    <col min="11" max="11" width="9.5703125" style="14" customWidth="1"/>
    <col min="12" max="14" width="10.140625" style="14" customWidth="1"/>
    <col min="15" max="16" width="12.5703125" style="122" customWidth="1"/>
    <col min="17" max="18" width="13" customWidth="1"/>
    <col min="19" max="19" width="11.140625" customWidth="1"/>
    <col min="20" max="20" width="11.28515625" bestFit="1" customWidth="1"/>
    <col min="21" max="21" width="13" customWidth="1"/>
    <col min="22" max="22" width="12.140625" bestFit="1" customWidth="1"/>
    <col min="23" max="23" width="9.28515625" customWidth="1"/>
    <col min="24" max="24" width="11.28515625" customWidth="1"/>
    <col min="25" max="25" width="52.28515625" bestFit="1" customWidth="1"/>
    <col min="26" max="26" width="23.5703125" customWidth="1"/>
    <col min="27" max="27" width="15.5703125" customWidth="1"/>
    <col min="28" max="28" width="21.140625" customWidth="1"/>
    <col min="29" max="29" width="16.140625" customWidth="1"/>
    <col min="30" max="30" width="12.7109375" customWidth="1"/>
  </cols>
  <sheetData>
    <row r="1" spans="1:30" ht="21" x14ac:dyDescent="0.25">
      <c r="A1" s="18" t="s">
        <v>0</v>
      </c>
      <c r="B1" s="18"/>
      <c r="C1" s="18"/>
      <c r="D1" s="18"/>
      <c r="E1" s="18"/>
      <c r="F1" s="18"/>
      <c r="G1" s="18"/>
      <c r="H1" s="18"/>
      <c r="I1" s="18"/>
      <c r="J1" s="18"/>
      <c r="K1" s="18"/>
      <c r="L1" s="18"/>
      <c r="M1" s="18"/>
      <c r="N1" s="18"/>
      <c r="O1" s="120"/>
      <c r="P1" s="120"/>
      <c r="Q1" s="18"/>
      <c r="R1" s="18"/>
      <c r="S1" s="18"/>
      <c r="T1" s="18"/>
      <c r="U1" s="18"/>
      <c r="V1" s="18"/>
      <c r="W1" s="18"/>
      <c r="X1" s="18"/>
      <c r="Y1" s="18"/>
    </row>
    <row r="2" spans="1:30" s="57" customFormat="1" ht="60" x14ac:dyDescent="0.25">
      <c r="A2" s="50" t="s">
        <v>1</v>
      </c>
      <c r="B2" s="50" t="s">
        <v>2</v>
      </c>
      <c r="C2" s="50" t="s">
        <v>3</v>
      </c>
      <c r="D2" s="50" t="s">
        <v>4</v>
      </c>
      <c r="E2" s="50" t="s">
        <v>5</v>
      </c>
      <c r="F2" s="50" t="s">
        <v>6</v>
      </c>
      <c r="G2" s="50" t="s">
        <v>7</v>
      </c>
      <c r="H2" s="50" t="s">
        <v>8</v>
      </c>
      <c r="I2" s="50" t="s">
        <v>9</v>
      </c>
      <c r="J2" s="50" t="s">
        <v>10</v>
      </c>
      <c r="K2" s="50" t="s">
        <v>11</v>
      </c>
      <c r="L2" s="50" t="s">
        <v>12</v>
      </c>
      <c r="M2" s="50" t="s">
        <v>13</v>
      </c>
      <c r="N2" s="50" t="s">
        <v>14</v>
      </c>
      <c r="O2" s="121" t="s">
        <v>15</v>
      </c>
      <c r="P2" s="121" t="s">
        <v>16</v>
      </c>
      <c r="Q2" s="50" t="s">
        <v>17</v>
      </c>
      <c r="R2" s="50" t="s">
        <v>18</v>
      </c>
      <c r="S2" s="50" t="s">
        <v>19</v>
      </c>
      <c r="T2" s="50" t="s">
        <v>20</v>
      </c>
      <c r="U2" s="50" t="s">
        <v>21</v>
      </c>
      <c r="V2" s="50" t="s">
        <v>22</v>
      </c>
      <c r="W2" s="50" t="s">
        <v>23</v>
      </c>
      <c r="X2" s="50" t="s">
        <v>24</v>
      </c>
      <c r="Y2" s="50" t="s">
        <v>25</v>
      </c>
      <c r="Z2" s="50"/>
      <c r="AA2" s="50"/>
      <c r="AB2" s="50"/>
      <c r="AC2" s="50"/>
      <c r="AD2" s="50"/>
    </row>
    <row r="3" spans="1:30" x14ac:dyDescent="0.25">
      <c r="A3" s="14" t="s">
        <v>26</v>
      </c>
      <c r="B3" s="14" t="s">
        <v>27</v>
      </c>
      <c r="C3" s="6" t="s">
        <v>28</v>
      </c>
      <c r="D3" s="6"/>
      <c r="E3" s="35"/>
      <c r="F3" s="80">
        <v>311130</v>
      </c>
      <c r="G3" s="80">
        <v>5334390</v>
      </c>
      <c r="H3" s="80">
        <v>322.89999999999998</v>
      </c>
      <c r="I3" s="80">
        <v>169.9</v>
      </c>
      <c r="J3" s="80">
        <v>-56</v>
      </c>
      <c r="K3" s="80">
        <v>183</v>
      </c>
      <c r="L3" s="80"/>
      <c r="M3" s="80"/>
      <c r="N3" s="80"/>
      <c r="O3" s="80"/>
      <c r="P3" s="35"/>
      <c r="Q3" s="5"/>
      <c r="R3" s="5"/>
      <c r="S3" s="13">
        <f>Data_Log[[#This Row],[Logged depth to (m)]]-Data_Log[[#This Row],[Logged depth from (m)]]</f>
        <v>0</v>
      </c>
      <c r="T3" s="6" t="s">
        <v>29</v>
      </c>
      <c r="U3" s="128"/>
      <c r="V3" s="6"/>
      <c r="W3" s="6"/>
      <c r="X3" s="6"/>
    </row>
    <row r="4" spans="1:30" x14ac:dyDescent="0.25">
      <c r="A4" s="14" t="s">
        <v>30</v>
      </c>
      <c r="B4" s="14" t="s">
        <v>31</v>
      </c>
      <c r="C4" s="6" t="s">
        <v>28</v>
      </c>
      <c r="D4" s="6"/>
      <c r="E4" s="35"/>
      <c r="F4" s="80">
        <v>311005</v>
      </c>
      <c r="G4" s="80">
        <v>5334645</v>
      </c>
      <c r="H4" s="80">
        <v>316.10000000000002</v>
      </c>
      <c r="I4" s="80">
        <v>45</v>
      </c>
      <c r="J4" s="80">
        <v>-70</v>
      </c>
      <c r="K4" s="80">
        <v>150</v>
      </c>
      <c r="L4" s="80"/>
      <c r="M4" s="80"/>
      <c r="N4" s="80"/>
      <c r="O4" s="80"/>
      <c r="P4" s="35"/>
      <c r="Q4" s="5"/>
      <c r="R4" s="5"/>
      <c r="S4" s="13">
        <f>Data_Log[[#This Row],[Logged depth to (m)]]-Data_Log[[#This Row],[Logged depth from (m)]]</f>
        <v>0</v>
      </c>
      <c r="T4" s="6" t="s">
        <v>29</v>
      </c>
      <c r="U4" s="128"/>
      <c r="V4" s="6"/>
      <c r="W4" s="6"/>
      <c r="X4" s="6"/>
    </row>
    <row r="5" spans="1:30" x14ac:dyDescent="0.25">
      <c r="A5" s="14" t="s">
        <v>32</v>
      </c>
      <c r="B5" s="14" t="s">
        <v>33</v>
      </c>
      <c r="C5" s="6" t="s">
        <v>28</v>
      </c>
      <c r="D5" s="6"/>
      <c r="E5" s="35"/>
      <c r="F5" s="80">
        <v>310913</v>
      </c>
      <c r="G5" s="80">
        <v>5334584</v>
      </c>
      <c r="H5" s="80">
        <v>315.60000000000002</v>
      </c>
      <c r="I5" s="80">
        <v>225</v>
      </c>
      <c r="J5" s="80">
        <v>-70</v>
      </c>
      <c r="K5" s="80">
        <v>150</v>
      </c>
      <c r="L5" s="80"/>
      <c r="M5" s="80"/>
      <c r="N5" s="80"/>
      <c r="O5" s="80"/>
      <c r="P5" s="35"/>
      <c r="Q5" s="5"/>
      <c r="R5" s="5"/>
      <c r="S5" s="13">
        <f>Data_Log[[#This Row],[Logged depth to (m)]]-Data_Log[[#This Row],[Logged depth from (m)]]</f>
        <v>0</v>
      </c>
      <c r="T5" s="6" t="s">
        <v>29</v>
      </c>
      <c r="U5" s="128"/>
      <c r="V5" s="6"/>
      <c r="W5" s="6"/>
      <c r="X5" s="6"/>
    </row>
    <row r="6" spans="1:30" x14ac:dyDescent="0.25">
      <c r="A6" s="14" t="s">
        <v>34</v>
      </c>
      <c r="B6" s="14" t="s">
        <v>35</v>
      </c>
      <c r="C6" s="6" t="s">
        <v>28</v>
      </c>
      <c r="D6" s="6"/>
      <c r="E6" s="35"/>
      <c r="F6" s="80">
        <v>311203</v>
      </c>
      <c r="G6" s="80">
        <v>5334518</v>
      </c>
      <c r="H6" s="80">
        <v>321.60000000000002</v>
      </c>
      <c r="I6" s="80">
        <v>100</v>
      </c>
      <c r="J6" s="80">
        <v>-56</v>
      </c>
      <c r="K6" s="80">
        <v>115</v>
      </c>
      <c r="L6" s="80"/>
      <c r="M6" s="80"/>
      <c r="N6" s="80"/>
      <c r="O6" s="35"/>
      <c r="P6" s="35"/>
      <c r="Q6" s="5"/>
      <c r="R6" s="5"/>
      <c r="S6" s="13">
        <f>Data_Log[[#This Row],[Logged depth to (m)]]-Data_Log[[#This Row],[Logged depth from (m)]]</f>
        <v>0</v>
      </c>
      <c r="T6" s="6" t="s">
        <v>29</v>
      </c>
      <c r="U6" s="128"/>
      <c r="V6" s="6"/>
      <c r="W6" s="6"/>
      <c r="X6" s="6"/>
    </row>
    <row r="7" spans="1:30" x14ac:dyDescent="0.25">
      <c r="A7" s="14" t="s">
        <v>36</v>
      </c>
      <c r="B7" s="14" t="s">
        <v>37</v>
      </c>
      <c r="C7" s="6" t="s">
        <v>38</v>
      </c>
      <c r="D7" s="6"/>
      <c r="E7" s="35"/>
      <c r="F7" s="80">
        <v>310894</v>
      </c>
      <c r="G7" s="80">
        <v>5335177</v>
      </c>
      <c r="H7" s="80">
        <v>308.3</v>
      </c>
      <c r="I7" s="35">
        <v>11</v>
      </c>
      <c r="J7" s="35">
        <v>-60</v>
      </c>
      <c r="K7" s="35">
        <v>120</v>
      </c>
      <c r="L7" s="80"/>
      <c r="M7" s="80"/>
      <c r="N7" s="80"/>
      <c r="O7" s="35"/>
      <c r="P7" s="35"/>
      <c r="Q7" s="5"/>
      <c r="R7" s="5"/>
      <c r="S7" s="5">
        <f>Data_Log[[#This Row],[Logged depth to (m)]]-Data_Log[[#This Row],[Logged depth from (m)]]</f>
        <v>0</v>
      </c>
      <c r="T7" s="6" t="s">
        <v>29</v>
      </c>
      <c r="U7" s="128"/>
      <c r="V7" s="6"/>
      <c r="W7" s="6"/>
      <c r="X7" s="6"/>
    </row>
    <row r="8" spans="1:30" x14ac:dyDescent="0.25">
      <c r="A8" s="14" t="s">
        <v>39</v>
      </c>
      <c r="B8" s="14" t="s">
        <v>40</v>
      </c>
      <c r="C8" s="6"/>
      <c r="D8" s="6"/>
      <c r="E8" s="35"/>
      <c r="F8" s="80"/>
      <c r="G8" s="80"/>
      <c r="H8" s="80"/>
      <c r="I8" s="35"/>
      <c r="J8" s="35"/>
      <c r="K8" s="35"/>
      <c r="L8" s="80"/>
      <c r="M8" s="80"/>
      <c r="N8" s="80"/>
      <c r="O8" s="35"/>
      <c r="P8" s="35"/>
      <c r="Q8" s="5"/>
      <c r="R8" s="5"/>
      <c r="S8" s="5">
        <f>Data_Log[[#This Row],[Logged depth to (m)]]-Data_Log[[#This Row],[Logged depth from (m)]]</f>
        <v>0</v>
      </c>
      <c r="T8" s="6" t="s">
        <v>29</v>
      </c>
      <c r="U8" s="128"/>
      <c r="V8" s="6"/>
      <c r="W8" s="6"/>
      <c r="X8" s="6"/>
    </row>
    <row r="9" spans="1:30" x14ac:dyDescent="0.25">
      <c r="A9" s="14" t="s">
        <v>41</v>
      </c>
      <c r="B9" s="14" t="s">
        <v>42</v>
      </c>
      <c r="C9" s="6" t="s">
        <v>43</v>
      </c>
      <c r="D9" s="6"/>
      <c r="E9" s="35"/>
      <c r="F9" s="80">
        <v>310428</v>
      </c>
      <c r="G9" s="80">
        <v>5333627</v>
      </c>
      <c r="H9" s="80">
        <v>331.7</v>
      </c>
      <c r="I9" s="35">
        <v>355</v>
      </c>
      <c r="J9" s="35">
        <v>-75</v>
      </c>
      <c r="K9" s="35">
        <v>300</v>
      </c>
      <c r="L9" s="80"/>
      <c r="M9" s="80"/>
      <c r="N9" s="80"/>
      <c r="O9" s="35"/>
      <c r="P9" s="35"/>
      <c r="Q9" s="5"/>
      <c r="R9" s="5"/>
      <c r="S9" s="5">
        <f>Data_Log[[#This Row],[Logged depth to (m)]]-Data_Log[[#This Row],[Logged depth from (m)]]</f>
        <v>0</v>
      </c>
      <c r="T9" s="6" t="s">
        <v>29</v>
      </c>
      <c r="U9" s="128"/>
      <c r="V9" s="6"/>
      <c r="W9" s="6"/>
      <c r="X9" s="6"/>
    </row>
    <row r="10" spans="1:30" x14ac:dyDescent="0.25">
      <c r="A10" s="14" t="s">
        <v>44</v>
      </c>
      <c r="B10" s="14" t="s">
        <v>45</v>
      </c>
      <c r="C10" s="6" t="s">
        <v>43</v>
      </c>
      <c r="D10" s="6"/>
      <c r="E10" s="35"/>
      <c r="F10" s="80">
        <v>310438</v>
      </c>
      <c r="G10" s="80">
        <v>5333481</v>
      </c>
      <c r="H10" s="80">
        <v>333.8</v>
      </c>
      <c r="I10" s="35">
        <v>180</v>
      </c>
      <c r="J10" s="35">
        <v>-75</v>
      </c>
      <c r="K10" s="35">
        <v>135</v>
      </c>
      <c r="L10" s="80"/>
      <c r="M10" s="80"/>
      <c r="N10" s="80"/>
      <c r="O10" s="35"/>
      <c r="P10" s="35"/>
      <c r="Q10" s="5"/>
      <c r="R10" s="5"/>
      <c r="S10" s="5">
        <f>Data_Log[[#This Row],[Logged depth to (m)]]-Data_Log[[#This Row],[Logged depth from (m)]]</f>
        <v>0</v>
      </c>
      <c r="T10" s="6" t="s">
        <v>29</v>
      </c>
      <c r="U10" s="128"/>
      <c r="V10" s="6"/>
      <c r="W10" s="6"/>
      <c r="X10" s="6"/>
    </row>
    <row r="11" spans="1:30" x14ac:dyDescent="0.25">
      <c r="A11" s="14"/>
      <c r="B11" s="6"/>
      <c r="C11" s="6"/>
      <c r="D11" s="6"/>
      <c r="E11" s="35"/>
      <c r="F11" s="80"/>
      <c r="G11" s="80"/>
      <c r="H11" s="80"/>
      <c r="I11" s="35"/>
      <c r="J11" s="35"/>
      <c r="K11" s="35"/>
      <c r="L11" s="80"/>
      <c r="M11" s="80"/>
      <c r="N11" s="80"/>
      <c r="O11" s="35"/>
      <c r="P11" s="35"/>
      <c r="Q11" s="5"/>
      <c r="R11" s="5"/>
      <c r="S11" s="13">
        <f>Data_Log[[#This Row],[Logged depth to (m)]]-Data_Log[[#This Row],[Logged depth from (m)]]</f>
        <v>0</v>
      </c>
      <c r="T11" s="6"/>
      <c r="U11" s="128"/>
      <c r="V11" s="6"/>
      <c r="W11" s="6"/>
      <c r="X11" s="6"/>
    </row>
    <row r="12" spans="1:30" x14ac:dyDescent="0.25">
      <c r="A12" s="14"/>
      <c r="B12" s="6"/>
      <c r="C12" s="6"/>
      <c r="D12" s="6"/>
      <c r="E12" s="35"/>
      <c r="F12" s="80"/>
      <c r="G12" s="80"/>
      <c r="H12" s="80"/>
      <c r="I12" s="35"/>
      <c r="J12" s="35"/>
      <c r="K12" s="35"/>
      <c r="L12" s="80"/>
      <c r="M12" s="80"/>
      <c r="N12" s="80"/>
      <c r="O12" s="35"/>
      <c r="P12" s="35"/>
      <c r="Q12" s="5"/>
      <c r="R12" s="5"/>
      <c r="S12" s="13">
        <f>Data_Log[[#This Row],[Logged depth to (m)]]-Data_Log[[#This Row],[Logged depth from (m)]]</f>
        <v>0</v>
      </c>
      <c r="T12" s="6"/>
      <c r="U12" s="128"/>
      <c r="V12" s="6"/>
      <c r="W12" s="6"/>
      <c r="X12" s="6"/>
    </row>
    <row r="13" spans="1:30" x14ac:dyDescent="0.25">
      <c r="A13" s="14"/>
      <c r="B13" s="6"/>
      <c r="C13" s="6"/>
      <c r="D13" s="6"/>
      <c r="E13" s="35"/>
      <c r="F13" s="80"/>
      <c r="G13" s="80"/>
      <c r="H13" s="80"/>
      <c r="I13" s="35"/>
      <c r="J13" s="35"/>
      <c r="K13" s="35"/>
      <c r="L13" s="80"/>
      <c r="M13" s="80"/>
      <c r="N13" s="80"/>
      <c r="O13" s="35"/>
      <c r="P13" s="35"/>
      <c r="Q13" s="5"/>
      <c r="R13" s="5"/>
      <c r="S13" s="13">
        <f>Data_Log[[#This Row],[Logged depth to (m)]]-Data_Log[[#This Row],[Logged depth from (m)]]</f>
        <v>0</v>
      </c>
      <c r="T13" s="6"/>
      <c r="U13" s="128"/>
      <c r="V13" s="6"/>
      <c r="W13" s="6"/>
      <c r="X13" s="6"/>
    </row>
    <row r="14" spans="1:30" x14ac:dyDescent="0.25">
      <c r="A14" s="14"/>
      <c r="B14" s="6"/>
      <c r="C14" s="6"/>
      <c r="D14" s="6"/>
      <c r="E14" s="35"/>
      <c r="F14" s="80"/>
      <c r="G14" s="80"/>
      <c r="H14" s="80"/>
      <c r="I14" s="35"/>
      <c r="J14" s="35"/>
      <c r="K14" s="35"/>
      <c r="L14" s="80"/>
      <c r="M14" s="80"/>
      <c r="N14" s="80"/>
      <c r="O14" s="35"/>
      <c r="P14" s="35"/>
      <c r="Q14" s="5"/>
      <c r="R14" s="5"/>
      <c r="S14" s="13">
        <f>Data_Log[[#This Row],[Logged depth to (m)]]-Data_Log[[#This Row],[Logged depth from (m)]]</f>
        <v>0</v>
      </c>
      <c r="T14" s="6"/>
      <c r="U14" s="128"/>
      <c r="V14" s="6"/>
      <c r="W14" s="6"/>
      <c r="X14" s="6"/>
    </row>
    <row r="15" spans="1:30" x14ac:dyDescent="0.25">
      <c r="A15" s="14"/>
      <c r="B15" s="6"/>
      <c r="C15" s="6"/>
      <c r="D15" s="6"/>
      <c r="E15" s="35"/>
      <c r="F15" s="80"/>
      <c r="G15" s="80"/>
      <c r="H15" s="80"/>
      <c r="I15" s="80"/>
      <c r="J15" s="80"/>
      <c r="K15" s="80"/>
      <c r="L15" s="80"/>
      <c r="M15" s="80"/>
      <c r="N15" s="80"/>
      <c r="O15" s="80"/>
      <c r="P15" s="80"/>
      <c r="Q15" s="80"/>
      <c r="R15" s="5"/>
      <c r="S15" s="13">
        <f>Data_Log[[#This Row],[Logged depth to (m)]]-Data_Log[[#This Row],[Logged depth from (m)]]</f>
        <v>0</v>
      </c>
      <c r="T15" s="6"/>
      <c r="U15" s="128"/>
      <c r="V15" s="6"/>
      <c r="W15" s="6"/>
      <c r="X15" s="6"/>
    </row>
    <row r="16" spans="1:30" x14ac:dyDescent="0.25">
      <c r="A16" s="14"/>
      <c r="B16" s="6"/>
      <c r="C16" s="6"/>
      <c r="D16" s="6"/>
      <c r="E16" s="35"/>
      <c r="F16" s="80"/>
      <c r="G16" s="80"/>
      <c r="H16" s="80"/>
      <c r="I16" s="35"/>
      <c r="J16" s="35"/>
      <c r="K16" s="80"/>
      <c r="L16" s="80"/>
      <c r="M16" s="80"/>
      <c r="N16" s="80"/>
      <c r="O16" s="35"/>
      <c r="P16" s="35"/>
      <c r="Q16" s="5"/>
      <c r="R16" s="5"/>
      <c r="S16" s="13">
        <f>Data_Log[[#This Row],[Logged depth to (m)]]-Data_Log[[#This Row],[Logged depth from (m)]]</f>
        <v>0</v>
      </c>
      <c r="T16" s="6"/>
      <c r="U16" s="128"/>
      <c r="V16" s="6"/>
      <c r="W16" s="6"/>
      <c r="X16" s="6"/>
    </row>
    <row r="17" spans="1:25" x14ac:dyDescent="0.25">
      <c r="A17" s="14"/>
      <c r="B17" s="6"/>
      <c r="C17" s="6"/>
      <c r="D17" s="6"/>
      <c r="E17" s="35"/>
      <c r="F17" s="80"/>
      <c r="G17" s="80"/>
      <c r="H17" s="80"/>
      <c r="I17" s="80"/>
      <c r="J17" s="80"/>
      <c r="K17" s="80"/>
      <c r="L17" s="80"/>
      <c r="M17" s="80"/>
      <c r="N17" s="80"/>
      <c r="O17" s="80"/>
      <c r="P17" s="80"/>
      <c r="Q17" s="5"/>
      <c r="R17" s="5"/>
      <c r="S17" s="13">
        <f>Data_Log[[#This Row],[Logged depth to (m)]]-Data_Log[[#This Row],[Logged depth from (m)]]</f>
        <v>0</v>
      </c>
      <c r="T17" s="6"/>
      <c r="U17" s="128"/>
      <c r="V17" s="6"/>
      <c r="W17" s="6"/>
      <c r="X17" s="6"/>
    </row>
    <row r="18" spans="1:25" x14ac:dyDescent="0.25">
      <c r="A18" s="14"/>
      <c r="B18" s="6"/>
      <c r="C18" s="6"/>
      <c r="D18" s="6"/>
      <c r="E18" s="35"/>
      <c r="F18" s="80"/>
      <c r="G18" s="80"/>
      <c r="H18" s="80"/>
      <c r="I18" s="80"/>
      <c r="J18" s="80"/>
      <c r="K18" s="80"/>
      <c r="L18" s="80"/>
      <c r="M18" s="80"/>
      <c r="N18" s="80"/>
      <c r="O18" s="80"/>
      <c r="P18" s="80"/>
      <c r="Q18" s="5"/>
      <c r="R18" s="5"/>
      <c r="S18" s="13">
        <f>Data_Log[[#This Row],[Logged depth to (m)]]-Data_Log[[#This Row],[Logged depth from (m)]]</f>
        <v>0</v>
      </c>
      <c r="T18" s="6"/>
      <c r="U18" s="128"/>
      <c r="V18" s="6"/>
      <c r="W18" s="6"/>
      <c r="X18" s="6"/>
    </row>
    <row r="19" spans="1:25" x14ac:dyDescent="0.25">
      <c r="A19" s="14"/>
      <c r="B19" s="6"/>
      <c r="C19" s="6"/>
      <c r="D19" s="6"/>
      <c r="E19" s="35"/>
      <c r="F19" s="80"/>
      <c r="G19" s="80"/>
      <c r="H19" s="80"/>
      <c r="I19" s="80"/>
      <c r="J19" s="80"/>
      <c r="K19" s="80"/>
      <c r="L19" s="80"/>
      <c r="M19" s="80"/>
      <c r="N19" s="80"/>
      <c r="O19" s="80"/>
      <c r="P19" s="80"/>
      <c r="Q19" s="5"/>
      <c r="R19" s="5"/>
      <c r="S19" s="13">
        <f>Data_Log[[#This Row],[Logged depth to (m)]]-Data_Log[[#This Row],[Logged depth from (m)]]</f>
        <v>0</v>
      </c>
      <c r="T19" s="6"/>
      <c r="U19" s="128"/>
      <c r="V19" s="6"/>
      <c r="W19" s="6"/>
      <c r="X19" s="6"/>
    </row>
    <row r="20" spans="1:25" x14ac:dyDescent="0.25">
      <c r="A20" s="14"/>
      <c r="B20" s="6"/>
      <c r="C20" s="80"/>
      <c r="D20" s="6"/>
      <c r="E20" s="35"/>
      <c r="F20" s="80"/>
      <c r="G20" s="80"/>
      <c r="H20" s="80"/>
      <c r="I20" s="80"/>
      <c r="J20" s="80"/>
      <c r="K20" s="80"/>
      <c r="L20" s="80"/>
      <c r="M20" s="80"/>
      <c r="N20" s="80"/>
      <c r="O20" s="80"/>
      <c r="P20" s="80"/>
      <c r="Q20" s="5"/>
      <c r="R20" s="5"/>
      <c r="S20" s="13">
        <f>Data_Log[[#This Row],[Logged depth to (m)]]-Data_Log[[#This Row],[Logged depth from (m)]]</f>
        <v>0</v>
      </c>
      <c r="T20" s="6"/>
      <c r="U20" s="128"/>
      <c r="V20" s="6"/>
      <c r="W20" s="6"/>
      <c r="X20" s="6"/>
    </row>
    <row r="21" spans="1:25" x14ac:dyDescent="0.25">
      <c r="A21" s="14"/>
      <c r="B21" s="6"/>
      <c r="C21" s="6"/>
      <c r="D21" s="6"/>
      <c r="E21" s="35"/>
      <c r="F21" s="80"/>
      <c r="G21" s="80"/>
      <c r="H21" s="80"/>
      <c r="I21" s="80"/>
      <c r="J21" s="80"/>
      <c r="K21" s="80"/>
      <c r="L21" s="80"/>
      <c r="M21" s="80"/>
      <c r="N21" s="80"/>
      <c r="O21" s="80"/>
      <c r="P21" s="80"/>
      <c r="Q21" s="5"/>
      <c r="R21" s="5"/>
      <c r="S21" s="13">
        <f>Data_Log[[#This Row],[Logged depth to (m)]]-Data_Log[[#This Row],[Logged depth from (m)]]</f>
        <v>0</v>
      </c>
      <c r="T21" s="6"/>
      <c r="U21" s="128"/>
      <c r="V21" s="6"/>
      <c r="W21" s="6"/>
      <c r="X21" s="6"/>
    </row>
    <row r="22" spans="1:25" x14ac:dyDescent="0.25">
      <c r="A22" s="14"/>
      <c r="B22" s="6"/>
      <c r="C22" s="6"/>
      <c r="D22" s="6"/>
      <c r="E22" s="35"/>
      <c r="F22" s="80"/>
      <c r="G22" s="80"/>
      <c r="H22" s="80"/>
      <c r="I22" s="80"/>
      <c r="J22" s="80"/>
      <c r="K22" s="80"/>
      <c r="L22" s="80"/>
      <c r="M22" s="80"/>
      <c r="N22" s="80"/>
      <c r="O22" s="35"/>
      <c r="P22" s="35"/>
      <c r="Q22" s="5"/>
      <c r="R22" s="5"/>
      <c r="S22" s="13">
        <f>Data_Log[[#This Row],[Logged depth to (m)]]-Data_Log[[#This Row],[Logged depth from (m)]]</f>
        <v>0</v>
      </c>
      <c r="T22" s="6"/>
      <c r="U22" s="128"/>
      <c r="V22" s="6"/>
      <c r="W22" s="6"/>
      <c r="X22" s="6"/>
      <c r="Y22" s="6"/>
    </row>
    <row r="23" spans="1:25" x14ac:dyDescent="0.25">
      <c r="A23" s="14"/>
      <c r="B23" s="6"/>
      <c r="C23" s="6"/>
      <c r="D23" s="6"/>
      <c r="E23" s="35"/>
      <c r="F23" s="80"/>
      <c r="G23" s="80"/>
      <c r="H23" s="80"/>
      <c r="I23" s="80"/>
      <c r="J23" s="80"/>
      <c r="K23" s="80"/>
      <c r="L23" s="80"/>
      <c r="M23" s="80"/>
      <c r="N23" s="80"/>
      <c r="O23" s="35"/>
      <c r="P23" s="35"/>
      <c r="Q23" s="5"/>
      <c r="R23" s="5"/>
      <c r="S23" s="13">
        <f>Data_Log[[#This Row],[Logged depth to (m)]]-Data_Log[[#This Row],[Logged depth from (m)]]</f>
        <v>0</v>
      </c>
      <c r="T23" s="6"/>
      <c r="U23" s="128"/>
      <c r="V23" s="6"/>
      <c r="W23" s="6"/>
      <c r="X23" s="6"/>
    </row>
    <row r="24" spans="1:25" x14ac:dyDescent="0.25">
      <c r="A24" s="14"/>
      <c r="B24" s="6"/>
      <c r="C24" s="6"/>
      <c r="D24" s="6"/>
      <c r="E24" s="35"/>
      <c r="F24" s="80"/>
      <c r="G24" s="80"/>
      <c r="H24" s="80"/>
      <c r="I24" s="80"/>
      <c r="J24" s="80"/>
      <c r="K24" s="80"/>
      <c r="L24" s="80"/>
      <c r="M24" s="80"/>
      <c r="N24" s="80"/>
      <c r="O24" s="35"/>
      <c r="P24" s="35"/>
      <c r="Q24" s="5"/>
      <c r="R24" s="5"/>
      <c r="S24" s="13">
        <f>Data_Log[[#This Row],[Logged depth to (m)]]-Data_Log[[#This Row],[Logged depth from (m)]]</f>
        <v>0</v>
      </c>
      <c r="T24" s="6"/>
      <c r="U24" s="128"/>
      <c r="V24" s="6"/>
      <c r="W24" s="6"/>
      <c r="X24" s="6"/>
      <c r="Y24" s="6"/>
    </row>
    <row r="25" spans="1:25" x14ac:dyDescent="0.25">
      <c r="A25" s="14"/>
      <c r="B25" s="6"/>
      <c r="C25" s="80"/>
      <c r="D25" s="6"/>
      <c r="E25" s="35"/>
      <c r="F25" s="80"/>
      <c r="G25" s="80"/>
      <c r="H25" s="80"/>
      <c r="I25" s="80"/>
      <c r="J25" s="80"/>
      <c r="K25" s="80"/>
      <c r="L25" s="80"/>
      <c r="M25" s="80"/>
      <c r="N25" s="80"/>
      <c r="O25" s="80"/>
      <c r="P25" s="80"/>
      <c r="Q25" s="5"/>
      <c r="R25" s="5"/>
      <c r="S25" s="13">
        <f>Data_Log[[#This Row],[Logged depth to (m)]]-Data_Log[[#This Row],[Logged depth from (m)]]</f>
        <v>0</v>
      </c>
      <c r="T25" s="6"/>
      <c r="U25" s="128"/>
      <c r="V25" s="6"/>
      <c r="W25" s="6"/>
      <c r="X25" s="6"/>
      <c r="Y25" s="6"/>
    </row>
    <row r="26" spans="1:25" x14ac:dyDescent="0.25">
      <c r="A26" s="14"/>
      <c r="B26" s="6"/>
      <c r="C26" s="6"/>
      <c r="D26" s="6"/>
      <c r="E26" s="35"/>
      <c r="F26" s="80"/>
      <c r="G26" s="80"/>
      <c r="H26" s="80"/>
      <c r="I26" s="80"/>
      <c r="J26" s="80"/>
      <c r="K26" s="80"/>
      <c r="L26" s="80"/>
      <c r="M26" s="80"/>
      <c r="N26" s="80"/>
      <c r="O26" s="35"/>
      <c r="P26" s="35"/>
      <c r="Q26" s="5"/>
      <c r="R26" s="5"/>
      <c r="S26" s="13">
        <f>Data_Log[[#This Row],[Logged depth to (m)]]-Data_Log[[#This Row],[Logged depth from (m)]]</f>
        <v>0</v>
      </c>
      <c r="T26" s="5"/>
      <c r="U26" s="128"/>
      <c r="V26" s="6"/>
      <c r="W26" s="6"/>
      <c r="X26" s="6"/>
      <c r="Y26" s="6"/>
    </row>
    <row r="27" spans="1:25" x14ac:dyDescent="0.25">
      <c r="A27" s="14"/>
      <c r="B27" s="6"/>
      <c r="C27" s="80"/>
      <c r="D27" s="6"/>
      <c r="E27" s="35"/>
      <c r="F27" s="80"/>
      <c r="G27" s="80"/>
      <c r="H27" s="80"/>
      <c r="I27" s="80"/>
      <c r="J27" s="80"/>
      <c r="K27" s="80"/>
      <c r="L27" s="80"/>
      <c r="M27" s="80"/>
      <c r="N27" s="80"/>
      <c r="O27" s="35"/>
      <c r="P27" s="125"/>
      <c r="Q27" s="5"/>
      <c r="R27" s="5"/>
      <c r="S27" s="13">
        <f>Data_Log[[#This Row],[Logged depth to (m)]]-Data_Log[[#This Row],[Logged depth from (m)]]</f>
        <v>0</v>
      </c>
      <c r="T27" s="6"/>
      <c r="U27" s="128"/>
      <c r="V27" s="6"/>
      <c r="W27" s="6"/>
      <c r="X27" s="6"/>
      <c r="Y27" s="6"/>
    </row>
    <row r="28" spans="1:25" x14ac:dyDescent="0.25">
      <c r="A28" s="14"/>
      <c r="B28" s="6"/>
      <c r="C28" s="80"/>
      <c r="D28" s="6"/>
      <c r="E28" s="35"/>
      <c r="F28" s="80"/>
      <c r="G28" s="80"/>
      <c r="H28" s="80"/>
      <c r="I28" s="80"/>
      <c r="J28" s="80"/>
      <c r="K28" s="80"/>
      <c r="L28" s="80"/>
      <c r="M28" s="80"/>
      <c r="N28" s="80"/>
      <c r="O28" s="80"/>
      <c r="P28" s="80"/>
      <c r="Q28" s="5"/>
      <c r="R28" s="5"/>
      <c r="S28" s="13">
        <f>Data_Log[[#This Row],[Logged depth to (m)]]-Data_Log[[#This Row],[Logged depth from (m)]]</f>
        <v>0</v>
      </c>
      <c r="T28" s="6"/>
      <c r="U28" s="128"/>
      <c r="V28" s="6"/>
      <c r="W28" s="6"/>
      <c r="X28" s="6"/>
    </row>
    <row r="29" spans="1:25" x14ac:dyDescent="0.25">
      <c r="A29" s="14"/>
      <c r="B29" s="6"/>
      <c r="C29" s="6"/>
      <c r="D29" s="6"/>
      <c r="E29" s="35"/>
      <c r="F29" s="80"/>
      <c r="G29" s="80"/>
      <c r="H29" s="80"/>
      <c r="I29" s="80"/>
      <c r="J29" s="80"/>
      <c r="K29" s="80"/>
      <c r="L29" s="80"/>
      <c r="M29" s="80"/>
      <c r="N29" s="80"/>
      <c r="O29" s="35"/>
      <c r="P29" s="35"/>
      <c r="Q29" s="5"/>
      <c r="R29" s="5"/>
      <c r="S29" s="13">
        <f>Data_Log[[#This Row],[Logged depth to (m)]]-Data_Log[[#This Row],[Logged depth from (m)]]</f>
        <v>0</v>
      </c>
      <c r="T29" s="6"/>
      <c r="U29" s="128"/>
      <c r="V29" s="6"/>
      <c r="W29" s="6"/>
      <c r="X29" s="6"/>
      <c r="Y29" s="6"/>
    </row>
    <row r="30" spans="1:25" x14ac:dyDescent="0.25">
      <c r="A30" s="14"/>
      <c r="B30" s="6"/>
      <c r="C30" s="6"/>
      <c r="D30" s="6"/>
      <c r="E30" s="35"/>
      <c r="F30" s="80"/>
      <c r="G30" s="80"/>
      <c r="H30" s="80"/>
      <c r="I30" s="80"/>
      <c r="J30" s="80"/>
      <c r="K30" s="80"/>
      <c r="L30" s="80"/>
      <c r="M30" s="80"/>
      <c r="N30" s="80"/>
      <c r="O30" s="35"/>
      <c r="P30" s="35"/>
      <c r="Q30" s="5"/>
      <c r="R30" s="5"/>
      <c r="S30" s="13">
        <f>Data_Log[[#This Row],[Logged depth to (m)]]-Data_Log[[#This Row],[Logged depth from (m)]]</f>
        <v>0</v>
      </c>
      <c r="T30" s="6"/>
      <c r="U30" s="128"/>
      <c r="V30" s="6"/>
      <c r="W30" s="6"/>
      <c r="X30" s="6"/>
      <c r="Y30" s="6"/>
    </row>
    <row r="31" spans="1:25" x14ac:dyDescent="0.25">
      <c r="A31" s="14"/>
      <c r="B31" s="6"/>
      <c r="C31" s="6"/>
      <c r="D31" s="6"/>
      <c r="E31" s="35"/>
      <c r="F31" s="80"/>
      <c r="G31" s="80"/>
      <c r="H31" s="80"/>
      <c r="I31" s="80"/>
      <c r="J31" s="80"/>
      <c r="K31" s="80"/>
      <c r="L31" s="80"/>
      <c r="M31" s="80"/>
      <c r="N31" s="80"/>
      <c r="O31" s="35"/>
      <c r="P31" s="35"/>
      <c r="Q31" s="5"/>
      <c r="R31" s="5"/>
      <c r="S31" s="13">
        <f>Data_Log[[#This Row],[Logged depth to (m)]]-Data_Log[[#This Row],[Logged depth from (m)]]</f>
        <v>0</v>
      </c>
      <c r="T31" s="6"/>
      <c r="U31" s="128"/>
      <c r="V31" s="6"/>
      <c r="W31" s="6"/>
      <c r="X31" s="6"/>
      <c r="Y31" s="6"/>
    </row>
    <row r="32" spans="1:25" x14ac:dyDescent="0.25">
      <c r="A32" s="14"/>
      <c r="B32" s="6"/>
      <c r="C32" s="6"/>
      <c r="D32" s="6"/>
      <c r="E32" s="35"/>
      <c r="F32" s="80"/>
      <c r="G32" s="80"/>
      <c r="H32" s="80"/>
      <c r="I32" s="80"/>
      <c r="J32" s="80"/>
      <c r="K32" s="80"/>
      <c r="L32" s="80"/>
      <c r="M32" s="80"/>
      <c r="N32" s="80"/>
      <c r="O32" s="35"/>
      <c r="P32" s="35"/>
      <c r="Q32" s="5"/>
      <c r="R32" s="5"/>
      <c r="S32" s="13">
        <f>Data_Log[[#This Row],[Logged depth to (m)]]-Data_Log[[#This Row],[Logged depth from (m)]]</f>
        <v>0</v>
      </c>
      <c r="T32" s="6"/>
      <c r="U32" s="128"/>
      <c r="V32" s="6"/>
      <c r="W32" s="6"/>
      <c r="X32" s="6"/>
      <c r="Y32" s="6"/>
    </row>
    <row r="33" spans="1:24" x14ac:dyDescent="0.25">
      <c r="A33" s="14"/>
      <c r="B33" s="6"/>
      <c r="C33" s="80"/>
      <c r="D33" s="6"/>
      <c r="E33" s="35"/>
      <c r="F33" s="80"/>
      <c r="G33" s="80"/>
      <c r="H33" s="80"/>
      <c r="I33" s="80"/>
      <c r="J33" s="80"/>
      <c r="K33" s="80"/>
      <c r="L33" s="80"/>
      <c r="M33" s="80"/>
      <c r="N33" s="80"/>
      <c r="O33" s="35"/>
      <c r="P33" s="35"/>
      <c r="Q33" s="5"/>
      <c r="R33" s="5"/>
      <c r="S33" s="13">
        <f>Data_Log[[#This Row],[Logged depth to (m)]]-Data_Log[[#This Row],[Logged depth from (m)]]</f>
        <v>0</v>
      </c>
      <c r="T33" s="6"/>
      <c r="U33" s="128"/>
      <c r="V33" s="6"/>
      <c r="W33" s="6"/>
      <c r="X33" s="6"/>
    </row>
    <row r="34" spans="1:24" x14ac:dyDescent="0.25">
      <c r="A34" s="14"/>
      <c r="B34" s="6"/>
      <c r="C34" s="80"/>
      <c r="D34" s="6"/>
      <c r="E34" s="35"/>
      <c r="F34" s="80"/>
      <c r="G34" s="80"/>
      <c r="H34" s="80"/>
      <c r="I34" s="80"/>
      <c r="J34" s="80"/>
      <c r="K34" s="80"/>
      <c r="L34" s="80"/>
      <c r="M34" s="80"/>
      <c r="N34" s="80"/>
      <c r="O34" s="35"/>
      <c r="P34" s="35"/>
      <c r="Q34" s="5"/>
      <c r="R34" s="5"/>
      <c r="S34" s="13">
        <f>Data_Log[[#This Row],[Logged depth to (m)]]-Data_Log[[#This Row],[Logged depth from (m)]]</f>
        <v>0</v>
      </c>
      <c r="T34" s="6"/>
      <c r="U34" s="128"/>
      <c r="V34" s="6"/>
      <c r="W34" s="6"/>
      <c r="X34" s="6"/>
    </row>
    <row r="35" spans="1:24" x14ac:dyDescent="0.25">
      <c r="A35" s="14"/>
      <c r="B35" s="6"/>
      <c r="C35" s="80"/>
      <c r="D35" s="6"/>
      <c r="E35" s="35"/>
      <c r="F35" s="80"/>
      <c r="G35" s="80"/>
      <c r="H35" s="80"/>
      <c r="I35" s="80"/>
      <c r="J35" s="80"/>
      <c r="K35" s="80"/>
      <c r="L35" s="80"/>
      <c r="M35" s="80"/>
      <c r="N35" s="80"/>
      <c r="O35" s="35"/>
      <c r="P35" s="35"/>
      <c r="Q35" s="5"/>
      <c r="R35" s="5"/>
      <c r="S35" s="13">
        <f>Data_Log[[#This Row],[Logged depth to (m)]]-Data_Log[[#This Row],[Logged depth from (m)]]</f>
        <v>0</v>
      </c>
      <c r="T35" s="6"/>
      <c r="U35" s="128"/>
      <c r="V35" s="6"/>
      <c r="W35" s="6"/>
      <c r="X35" s="6"/>
    </row>
    <row r="36" spans="1:24" x14ac:dyDescent="0.25">
      <c r="A36" s="14"/>
      <c r="B36" s="6"/>
      <c r="C36" s="80"/>
      <c r="D36" s="6"/>
      <c r="E36" s="35"/>
      <c r="F36" s="80"/>
      <c r="G36" s="80"/>
      <c r="H36" s="80"/>
      <c r="I36" s="80"/>
      <c r="J36" s="80"/>
      <c r="K36" s="80"/>
      <c r="L36" s="80"/>
      <c r="M36" s="80"/>
      <c r="N36" s="80"/>
      <c r="O36" s="35"/>
      <c r="P36" s="35"/>
      <c r="Q36" s="5"/>
      <c r="R36" s="5"/>
      <c r="S36" s="13">
        <f>Data_Log[[#This Row],[Logged depth to (m)]]-Data_Log[[#This Row],[Logged depth from (m)]]</f>
        <v>0</v>
      </c>
      <c r="T36" s="6"/>
      <c r="U36" s="128"/>
      <c r="V36" s="6"/>
      <c r="W36" s="6"/>
      <c r="X36" s="6"/>
    </row>
    <row r="37" spans="1:24" x14ac:dyDescent="0.25">
      <c r="A37" s="14"/>
      <c r="B37" s="6"/>
      <c r="C37" s="80"/>
      <c r="D37" s="6"/>
      <c r="E37" s="35"/>
      <c r="F37" s="80"/>
      <c r="G37" s="80"/>
      <c r="H37" s="80"/>
      <c r="I37" s="80"/>
      <c r="J37" s="80"/>
      <c r="K37" s="80"/>
      <c r="L37" s="80"/>
      <c r="M37" s="80"/>
      <c r="N37" s="80"/>
      <c r="O37" s="35"/>
      <c r="P37" s="35"/>
      <c r="Q37" s="5"/>
      <c r="R37" s="5"/>
      <c r="S37" s="13">
        <f>Data_Log[[#This Row],[Logged depth to (m)]]-Data_Log[[#This Row],[Logged depth from (m)]]</f>
        <v>0</v>
      </c>
      <c r="T37" s="6"/>
      <c r="U37" s="128"/>
      <c r="V37" s="6"/>
      <c r="W37" s="6"/>
      <c r="X37" s="6"/>
    </row>
    <row r="38" spans="1:24" x14ac:dyDescent="0.25">
      <c r="A38" s="14"/>
      <c r="B38" s="6"/>
      <c r="C38" s="80"/>
      <c r="D38" s="6"/>
      <c r="E38" s="35"/>
      <c r="F38" s="80"/>
      <c r="G38" s="80"/>
      <c r="H38" s="80"/>
      <c r="I38" s="80"/>
      <c r="J38" s="80"/>
      <c r="K38" s="80"/>
      <c r="L38" s="80"/>
      <c r="M38" s="80"/>
      <c r="N38" s="80"/>
      <c r="O38" s="35"/>
      <c r="P38" s="35"/>
      <c r="Q38" s="5"/>
      <c r="R38" s="5"/>
      <c r="S38" s="13">
        <f>Data_Log[[#This Row],[Logged depth to (m)]]-Data_Log[[#This Row],[Logged depth from (m)]]</f>
        <v>0</v>
      </c>
      <c r="T38" s="6"/>
      <c r="U38" s="128"/>
      <c r="V38" s="6"/>
      <c r="W38" s="6"/>
      <c r="X38" s="6"/>
    </row>
  </sheetData>
  <phoneticPr fontId="4" type="noConversion"/>
  <dataValidations count="3">
    <dataValidation type="list" allowBlank="1" showInputMessage="1" showErrorMessage="1" sqref="T31:T36 T19:T26 T3:T17" xr:uid="{882705A1-2B6D-45BC-886F-7EC6E8FC5F35}">
      <formula1>INDIRECT("Table_CoreSize[Description]")</formula1>
    </dataValidation>
    <dataValidation type="list" allowBlank="1" showInputMessage="1" showErrorMessage="1" sqref="Y18:Y29 W3:W17 X3:X6" xr:uid="{49537DE4-00CC-4F67-B010-3CB8DB28494B}">
      <formula1>INDIRECT("Table_CoreOrientation[Description]")</formula1>
    </dataValidation>
    <dataValidation type="list" allowBlank="1" showInputMessage="1" showErrorMessage="1" sqref="X7:X38" xr:uid="{92CF97FD-6CA6-4461-A5FA-5ECA8C6EDD63}">
      <formula1>INDIRECT("Table_CoreMarker[Description]")</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2AFD3CD-046B-4736-A66A-2011C1EBCB6D}">
          <x14:formula1>
            <xm:f>'Site Specific Lists'!$N$5:$N$9</xm:f>
          </x14:formula1>
          <xm:sqref>C1:C2 C12:C1048576</xm:sqref>
        </x14:dataValidation>
        <x14:dataValidation type="list" allowBlank="1" showInputMessage="1" showErrorMessage="1" xr:uid="{5523B610-A342-430E-91FA-7C6C9AC2A26B}">
          <x14:formula1>
            <xm:f>'Site Specific Lists'!$P$5:$P$8</xm:f>
          </x14:formula1>
          <xm:sqref>D1:D2 D12:D1048576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C0261-2941-4026-AB75-CF9A02B0047D}">
  <sheetPr codeName="Sheet2"/>
  <dimension ref="A1:J346"/>
  <sheetViews>
    <sheetView workbookViewId="0">
      <selection activeCell="E20" sqref="E20"/>
    </sheetView>
  </sheetViews>
  <sheetFormatPr baseColWidth="10" defaultColWidth="11.42578125" defaultRowHeight="15" x14ac:dyDescent="0.25"/>
  <cols>
    <col min="1" max="1" width="13.28515625" customWidth="1"/>
    <col min="2" max="2" width="17.28515625" customWidth="1"/>
    <col min="3" max="3" width="12.140625" customWidth="1"/>
    <col min="6" max="6" width="23.5703125" customWidth="1"/>
    <col min="7" max="7" width="14.85546875" style="6" customWidth="1"/>
    <col min="8" max="8" width="11.42578125" style="6"/>
  </cols>
  <sheetData>
    <row r="1" spans="1:10" ht="21" x14ac:dyDescent="0.25">
      <c r="A1" s="18" t="s">
        <v>46</v>
      </c>
      <c r="B1" s="18"/>
      <c r="C1" s="18"/>
      <c r="D1" s="18"/>
      <c r="E1" s="18"/>
      <c r="F1" s="18"/>
      <c r="G1" s="37"/>
      <c r="H1" s="37"/>
      <c r="I1" s="37"/>
      <c r="J1" s="37"/>
    </row>
    <row r="2" spans="1:10" x14ac:dyDescent="0.25">
      <c r="B2" s="14"/>
    </row>
    <row r="3" spans="1:10" ht="45" x14ac:dyDescent="0.25">
      <c r="A3" s="51" t="s">
        <v>1</v>
      </c>
      <c r="B3" s="54" t="s">
        <v>2</v>
      </c>
      <c r="C3" s="50" t="s">
        <v>47</v>
      </c>
      <c r="D3" s="50" t="s">
        <v>48</v>
      </c>
      <c r="E3" s="55" t="s">
        <v>49</v>
      </c>
      <c r="F3" s="55" t="s">
        <v>25</v>
      </c>
      <c r="G3" s="127" t="s">
        <v>50</v>
      </c>
      <c r="H3" s="127" t="s">
        <v>51</v>
      </c>
      <c r="I3" s="127" t="s">
        <v>52</v>
      </c>
      <c r="J3" s="127" t="s">
        <v>53</v>
      </c>
    </row>
    <row r="4" spans="1:10" x14ac:dyDescent="0.25">
      <c r="B4" s="124" t="e">
        <f>VLOOKUP(Tableau26[[#This Row],[Hole ID]],Data_Log[],2,FALSE)</f>
        <v>#N/A</v>
      </c>
      <c r="C4" s="129"/>
      <c r="D4" s="130"/>
      <c r="E4" s="129"/>
      <c r="G4" s="6">
        <f>_xlfn.XLOOKUP(Tableau26[[#This Row],[Hole ID]],Data_Log[Hole ID],Data_Log[Planned collar plunge
(°)])</f>
        <v>0</v>
      </c>
      <c r="H4" s="6">
        <f>_xlfn.XLOOKUP(Tableau26[[#This Row],[Hole ID]],Data_Log[Hole ID],Data_Log[Planned collar trend
(°)])</f>
        <v>0</v>
      </c>
      <c r="I4" s="123">
        <f>Tableau26[[#This Row],[Dip
(deg)]]-Tableau26[[#This Row],[QA/QC Dip Planned]]</f>
        <v>0</v>
      </c>
      <c r="J4">
        <f>Tableau26[[#This Row],[Azimuth
(deg)]]-Tableau26[[#This Row],[QA/QC Azimut Planned]]</f>
        <v>0</v>
      </c>
    </row>
    <row r="5" spans="1:10" x14ac:dyDescent="0.25">
      <c r="B5" s="124" t="e">
        <f>VLOOKUP(Tableau26[[#This Row],[Hole ID]],Data_Log[],2,FALSE)</f>
        <v>#N/A</v>
      </c>
      <c r="C5" s="129"/>
      <c r="D5" s="130"/>
      <c r="E5" s="129"/>
      <c r="G5" s="6">
        <f>_xlfn.XLOOKUP(Tableau26[[#This Row],[Hole ID]],Data_Log[Hole ID],Data_Log[Planned collar plunge
(°)])</f>
        <v>0</v>
      </c>
      <c r="H5" s="6">
        <f>_xlfn.XLOOKUP(Tableau26[[#This Row],[Hole ID]],Data_Log[Hole ID],Data_Log[Planned collar trend
(°)])</f>
        <v>0</v>
      </c>
      <c r="I5" s="123">
        <f>Tableau26[[#This Row],[Dip
(deg)]]-Tableau26[[#This Row],[QA/QC Dip Planned]]</f>
        <v>0</v>
      </c>
      <c r="J5">
        <f>Tableau26[[#This Row],[Azimuth
(deg)]]-Tableau26[[#This Row],[QA/QC Azimut Planned]]</f>
        <v>0</v>
      </c>
    </row>
    <row r="6" spans="1:10" x14ac:dyDescent="0.25">
      <c r="B6" s="124" t="e">
        <f>VLOOKUP(Tableau26[[#This Row],[Hole ID]],Data_Log[],2,FALSE)</f>
        <v>#N/A</v>
      </c>
      <c r="C6" s="129"/>
      <c r="D6" s="130"/>
      <c r="E6" s="129"/>
      <c r="G6" s="6">
        <f>_xlfn.XLOOKUP(Tableau26[[#This Row],[Hole ID]],Data_Log[Hole ID],Data_Log[Planned collar plunge
(°)])</f>
        <v>0</v>
      </c>
      <c r="H6" s="6">
        <f>_xlfn.XLOOKUP(Tableau26[[#This Row],[Hole ID]],Data_Log[Hole ID],Data_Log[Planned collar trend
(°)])</f>
        <v>0</v>
      </c>
      <c r="I6" s="123">
        <f>Tableau26[[#This Row],[Dip
(deg)]]-Tableau26[[#This Row],[QA/QC Dip Planned]]</f>
        <v>0</v>
      </c>
      <c r="J6">
        <f>Tableau26[[#This Row],[Azimuth
(deg)]]-Tableau26[[#This Row],[QA/QC Azimut Planned]]</f>
        <v>0</v>
      </c>
    </row>
    <row r="7" spans="1:10" x14ac:dyDescent="0.25">
      <c r="B7" s="124" t="e">
        <f>VLOOKUP(Tableau26[[#This Row],[Hole ID]],Data_Log[],2,FALSE)</f>
        <v>#N/A</v>
      </c>
      <c r="C7" s="129"/>
      <c r="D7" s="130"/>
      <c r="E7" s="129"/>
      <c r="G7" s="6">
        <f>_xlfn.XLOOKUP(Tableau26[[#This Row],[Hole ID]],Data_Log[Hole ID],Data_Log[Planned collar plunge
(°)])</f>
        <v>0</v>
      </c>
      <c r="H7" s="6">
        <f>_xlfn.XLOOKUP(Tableau26[[#This Row],[Hole ID]],Data_Log[Hole ID],Data_Log[Planned collar trend
(°)])</f>
        <v>0</v>
      </c>
      <c r="I7" s="123">
        <f>Tableau26[[#This Row],[Dip
(deg)]]-Tableau26[[#This Row],[QA/QC Dip Planned]]</f>
        <v>0</v>
      </c>
      <c r="J7">
        <f>Tableau26[[#This Row],[Azimuth
(deg)]]-Tableau26[[#This Row],[QA/QC Azimut Planned]]</f>
        <v>0</v>
      </c>
    </row>
    <row r="8" spans="1:10" x14ac:dyDescent="0.25">
      <c r="B8" s="124" t="e">
        <f>VLOOKUP(Tableau26[[#This Row],[Hole ID]],Data_Log[],2,FALSE)</f>
        <v>#N/A</v>
      </c>
      <c r="C8" s="129"/>
      <c r="D8" s="130"/>
      <c r="E8" s="129"/>
      <c r="G8" s="6">
        <f>_xlfn.XLOOKUP(Tableau26[[#This Row],[Hole ID]],Data_Log[Hole ID],Data_Log[Planned collar plunge
(°)])</f>
        <v>0</v>
      </c>
      <c r="H8" s="6">
        <f>_xlfn.XLOOKUP(Tableau26[[#This Row],[Hole ID]],Data_Log[Hole ID],Data_Log[Planned collar trend
(°)])</f>
        <v>0</v>
      </c>
      <c r="I8" s="123">
        <f>Tableau26[[#This Row],[Dip
(deg)]]-Tableau26[[#This Row],[QA/QC Dip Planned]]</f>
        <v>0</v>
      </c>
      <c r="J8">
        <f>Tableau26[[#This Row],[Azimuth
(deg)]]-Tableau26[[#This Row],[QA/QC Azimut Planned]]</f>
        <v>0</v>
      </c>
    </row>
    <row r="9" spans="1:10" x14ac:dyDescent="0.25">
      <c r="B9" s="124" t="e">
        <f>VLOOKUP(Tableau26[[#This Row],[Hole ID]],Data_Log[],2,FALSE)</f>
        <v>#N/A</v>
      </c>
      <c r="C9" s="129"/>
      <c r="D9" s="130"/>
      <c r="E9" s="129"/>
      <c r="G9" s="6">
        <f>_xlfn.XLOOKUP(Tableau26[[#This Row],[Hole ID]],Data_Log[Hole ID],Data_Log[Planned collar plunge
(°)])</f>
        <v>0</v>
      </c>
      <c r="H9" s="6">
        <f>_xlfn.XLOOKUP(Tableau26[[#This Row],[Hole ID]],Data_Log[Hole ID],Data_Log[Planned collar trend
(°)])</f>
        <v>0</v>
      </c>
      <c r="I9" s="123">
        <f>Tableau26[[#This Row],[Dip
(deg)]]-Tableau26[[#This Row],[QA/QC Dip Planned]]</f>
        <v>0</v>
      </c>
      <c r="J9">
        <f>Tableau26[[#This Row],[Azimuth
(deg)]]-Tableau26[[#This Row],[QA/QC Azimut Planned]]</f>
        <v>0</v>
      </c>
    </row>
    <row r="10" spans="1:10" x14ac:dyDescent="0.25">
      <c r="B10" s="124" t="e">
        <f>VLOOKUP(Tableau26[[#This Row],[Hole ID]],Data_Log[],2,FALSE)</f>
        <v>#N/A</v>
      </c>
      <c r="C10" s="129"/>
      <c r="D10" s="130"/>
      <c r="E10" s="129"/>
      <c r="G10" s="6">
        <f>_xlfn.XLOOKUP(Tableau26[[#This Row],[Hole ID]],Data_Log[Hole ID],Data_Log[Planned collar plunge
(°)])</f>
        <v>0</v>
      </c>
      <c r="H10" s="6">
        <f>_xlfn.XLOOKUP(Tableau26[[#This Row],[Hole ID]],Data_Log[Hole ID],Data_Log[Planned collar trend
(°)])</f>
        <v>0</v>
      </c>
      <c r="I10" s="123">
        <f>Tableau26[[#This Row],[Dip
(deg)]]-Tableau26[[#This Row],[QA/QC Dip Planned]]</f>
        <v>0</v>
      </c>
      <c r="J10">
        <f>Tableau26[[#This Row],[Azimuth
(deg)]]-Tableau26[[#This Row],[QA/QC Azimut Planned]]</f>
        <v>0</v>
      </c>
    </row>
    <row r="11" spans="1:10" x14ac:dyDescent="0.25">
      <c r="B11" s="124" t="e">
        <f>VLOOKUP(Tableau26[[#This Row],[Hole ID]],Data_Log[],2,FALSE)</f>
        <v>#N/A</v>
      </c>
      <c r="C11" s="129"/>
      <c r="D11" s="130"/>
      <c r="E11" s="129"/>
      <c r="G11" s="6">
        <f>_xlfn.XLOOKUP(Tableau26[[#This Row],[Hole ID]],Data_Log[Hole ID],Data_Log[Planned collar plunge
(°)])</f>
        <v>0</v>
      </c>
      <c r="H11" s="6">
        <f>_xlfn.XLOOKUP(Tableau26[[#This Row],[Hole ID]],Data_Log[Hole ID],Data_Log[Planned collar trend
(°)])</f>
        <v>0</v>
      </c>
      <c r="I11" s="123">
        <f>Tableau26[[#This Row],[Dip
(deg)]]-Tableau26[[#This Row],[QA/QC Dip Planned]]</f>
        <v>0</v>
      </c>
      <c r="J11">
        <f>Tableau26[[#This Row],[Azimuth
(deg)]]-Tableau26[[#This Row],[QA/QC Azimut Planned]]</f>
        <v>0</v>
      </c>
    </row>
    <row r="12" spans="1:10" x14ac:dyDescent="0.25">
      <c r="B12" s="124" t="e">
        <f>VLOOKUP(Tableau26[[#This Row],[Hole ID]],Data_Log[],2,FALSE)</f>
        <v>#N/A</v>
      </c>
      <c r="C12" s="129"/>
      <c r="D12" s="130"/>
      <c r="E12" s="129"/>
      <c r="G12" s="6">
        <f>_xlfn.XLOOKUP(Tableau26[[#This Row],[Hole ID]],Data_Log[Hole ID],Data_Log[Planned collar plunge
(°)])</f>
        <v>0</v>
      </c>
      <c r="H12" s="6">
        <f>_xlfn.XLOOKUP(Tableau26[[#This Row],[Hole ID]],Data_Log[Hole ID],Data_Log[Planned collar trend
(°)])</f>
        <v>0</v>
      </c>
      <c r="I12" s="123">
        <f>Tableau26[[#This Row],[Dip
(deg)]]-Tableau26[[#This Row],[QA/QC Dip Planned]]</f>
        <v>0</v>
      </c>
      <c r="J12">
        <f>Tableau26[[#This Row],[Azimuth
(deg)]]-Tableau26[[#This Row],[QA/QC Azimut Planned]]</f>
        <v>0</v>
      </c>
    </row>
    <row r="13" spans="1:10" x14ac:dyDescent="0.25">
      <c r="B13" s="124" t="e">
        <f>VLOOKUP(Tableau26[[#This Row],[Hole ID]],Data_Log[],2,FALSE)</f>
        <v>#N/A</v>
      </c>
      <c r="C13" s="129"/>
      <c r="D13" s="130"/>
      <c r="E13" s="129"/>
      <c r="G13" s="6">
        <f>_xlfn.XLOOKUP(Tableau26[[#This Row],[Hole ID]],Data_Log[Hole ID],Data_Log[Planned collar plunge
(°)])</f>
        <v>0</v>
      </c>
      <c r="H13" s="6">
        <f>_xlfn.XLOOKUP(Tableau26[[#This Row],[Hole ID]],Data_Log[Hole ID],Data_Log[Planned collar trend
(°)])</f>
        <v>0</v>
      </c>
      <c r="I13" s="123">
        <f>Tableau26[[#This Row],[Dip
(deg)]]-Tableau26[[#This Row],[QA/QC Dip Planned]]</f>
        <v>0</v>
      </c>
      <c r="J13">
        <f>Tableau26[[#This Row],[Azimuth
(deg)]]-Tableau26[[#This Row],[QA/QC Azimut Planned]]</f>
        <v>0</v>
      </c>
    </row>
    <row r="14" spans="1:10" x14ac:dyDescent="0.25">
      <c r="B14" s="124" t="e">
        <f>VLOOKUP(Tableau26[[#This Row],[Hole ID]],Data_Log[],2,FALSE)</f>
        <v>#N/A</v>
      </c>
      <c r="C14" s="129"/>
      <c r="D14" s="130"/>
      <c r="E14" s="129"/>
      <c r="G14" s="6">
        <f>_xlfn.XLOOKUP(Tableau26[[#This Row],[Hole ID]],Data_Log[Hole ID],Data_Log[Planned collar plunge
(°)])</f>
        <v>0</v>
      </c>
      <c r="H14" s="6">
        <f>_xlfn.XLOOKUP(Tableau26[[#This Row],[Hole ID]],Data_Log[Hole ID],Data_Log[Planned collar trend
(°)])</f>
        <v>0</v>
      </c>
      <c r="I14" s="123">
        <f>Tableau26[[#This Row],[Dip
(deg)]]-Tableau26[[#This Row],[QA/QC Dip Planned]]</f>
        <v>0</v>
      </c>
      <c r="J14">
        <f>Tableau26[[#This Row],[Azimuth
(deg)]]-Tableau26[[#This Row],[QA/QC Azimut Planned]]</f>
        <v>0</v>
      </c>
    </row>
    <row r="15" spans="1:10" x14ac:dyDescent="0.25">
      <c r="B15" s="124" t="e">
        <f>VLOOKUP(Tableau26[[#This Row],[Hole ID]],Data_Log[],2,FALSE)</f>
        <v>#N/A</v>
      </c>
      <c r="C15" s="129"/>
      <c r="D15" s="130"/>
      <c r="E15" s="129"/>
      <c r="G15" s="6">
        <f>_xlfn.XLOOKUP(Tableau26[[#This Row],[Hole ID]],Data_Log[Hole ID],Data_Log[Planned collar plunge
(°)])</f>
        <v>0</v>
      </c>
      <c r="H15" s="6">
        <f>_xlfn.XLOOKUP(Tableau26[[#This Row],[Hole ID]],Data_Log[Hole ID],Data_Log[Planned collar trend
(°)])</f>
        <v>0</v>
      </c>
      <c r="I15" s="123">
        <f>Tableau26[[#This Row],[Dip
(deg)]]-Tableau26[[#This Row],[QA/QC Dip Planned]]</f>
        <v>0</v>
      </c>
      <c r="J15">
        <f>Tableau26[[#This Row],[Azimuth
(deg)]]-Tableau26[[#This Row],[QA/QC Azimut Planned]]</f>
        <v>0</v>
      </c>
    </row>
    <row r="16" spans="1:10" x14ac:dyDescent="0.25">
      <c r="B16" s="124" t="e">
        <f>VLOOKUP(Tableau26[[#This Row],[Hole ID]],Data_Log[],2,FALSE)</f>
        <v>#N/A</v>
      </c>
      <c r="C16" s="129"/>
      <c r="D16" s="130"/>
      <c r="E16" s="129"/>
      <c r="G16" s="6">
        <f>_xlfn.XLOOKUP(Tableau26[[#This Row],[Hole ID]],Data_Log[Hole ID],Data_Log[Planned collar plunge
(°)])</f>
        <v>0</v>
      </c>
      <c r="H16" s="6">
        <f>_xlfn.XLOOKUP(Tableau26[[#This Row],[Hole ID]],Data_Log[Hole ID],Data_Log[Planned collar trend
(°)])</f>
        <v>0</v>
      </c>
      <c r="I16" s="123">
        <f>Tableau26[[#This Row],[Dip
(deg)]]-Tableau26[[#This Row],[QA/QC Dip Planned]]</f>
        <v>0</v>
      </c>
      <c r="J16">
        <f>Tableau26[[#This Row],[Azimuth
(deg)]]-Tableau26[[#This Row],[QA/QC Azimut Planned]]</f>
        <v>0</v>
      </c>
    </row>
    <row r="17" spans="2:10" x14ac:dyDescent="0.25">
      <c r="B17" s="124" t="e">
        <f>VLOOKUP(Tableau26[[#This Row],[Hole ID]],Data_Log[],2,FALSE)</f>
        <v>#N/A</v>
      </c>
      <c r="C17" s="129"/>
      <c r="D17" s="130"/>
      <c r="E17" s="129"/>
      <c r="G17" s="6">
        <f>_xlfn.XLOOKUP(Tableau26[[#This Row],[Hole ID]],Data_Log[Hole ID],Data_Log[Planned collar plunge
(°)])</f>
        <v>0</v>
      </c>
      <c r="H17" s="6">
        <f>_xlfn.XLOOKUP(Tableau26[[#This Row],[Hole ID]],Data_Log[Hole ID],Data_Log[Planned collar trend
(°)])</f>
        <v>0</v>
      </c>
      <c r="I17" s="123">
        <f>Tableau26[[#This Row],[Dip
(deg)]]-Tableau26[[#This Row],[QA/QC Dip Planned]]</f>
        <v>0</v>
      </c>
      <c r="J17">
        <f>Tableau26[[#This Row],[Azimuth
(deg)]]-Tableau26[[#This Row],[QA/QC Azimut Planned]]</f>
        <v>0</v>
      </c>
    </row>
    <row r="18" spans="2:10" x14ac:dyDescent="0.25">
      <c r="B18" s="124" t="e">
        <f>VLOOKUP(Tableau26[[#This Row],[Hole ID]],Data_Log[],2,FALSE)</f>
        <v>#N/A</v>
      </c>
      <c r="C18" s="129"/>
      <c r="D18" s="130"/>
      <c r="E18" s="129"/>
      <c r="G18" s="6">
        <f>_xlfn.XLOOKUP(Tableau26[[#This Row],[Hole ID]],Data_Log[Hole ID],Data_Log[Planned collar plunge
(°)])</f>
        <v>0</v>
      </c>
      <c r="H18" s="6">
        <f>_xlfn.XLOOKUP(Tableau26[[#This Row],[Hole ID]],Data_Log[Hole ID],Data_Log[Planned collar trend
(°)])</f>
        <v>0</v>
      </c>
      <c r="I18" s="123">
        <f>Tableau26[[#This Row],[Dip
(deg)]]-Tableau26[[#This Row],[QA/QC Dip Planned]]</f>
        <v>0</v>
      </c>
      <c r="J18">
        <f>Tableau26[[#This Row],[Azimuth
(deg)]]-Tableau26[[#This Row],[QA/QC Azimut Planned]]</f>
        <v>0</v>
      </c>
    </row>
    <row r="19" spans="2:10" x14ac:dyDescent="0.25">
      <c r="B19" s="124" t="e">
        <f>VLOOKUP(Tableau26[[#This Row],[Hole ID]],Data_Log[],2,FALSE)</f>
        <v>#N/A</v>
      </c>
      <c r="C19" s="129"/>
      <c r="D19" s="130"/>
      <c r="E19" s="129"/>
      <c r="G19" s="6">
        <f>_xlfn.XLOOKUP(Tableau26[[#This Row],[Hole ID]],Data_Log[Hole ID],Data_Log[Planned collar plunge
(°)])</f>
        <v>0</v>
      </c>
      <c r="H19" s="6">
        <f>_xlfn.XLOOKUP(Tableau26[[#This Row],[Hole ID]],Data_Log[Hole ID],Data_Log[Planned collar trend
(°)])</f>
        <v>0</v>
      </c>
      <c r="I19" s="123">
        <f>Tableau26[[#This Row],[Dip
(deg)]]-Tableau26[[#This Row],[QA/QC Dip Planned]]</f>
        <v>0</v>
      </c>
      <c r="J19">
        <f>Tableau26[[#This Row],[Azimuth
(deg)]]-Tableau26[[#This Row],[QA/QC Azimut Planned]]</f>
        <v>0</v>
      </c>
    </row>
    <row r="20" spans="2:10" x14ac:dyDescent="0.25">
      <c r="B20" s="124" t="e">
        <f>VLOOKUP(Tableau26[[#This Row],[Hole ID]],Data_Log[],2,FALSE)</f>
        <v>#N/A</v>
      </c>
      <c r="C20" s="129"/>
      <c r="D20" s="130"/>
      <c r="E20" s="129"/>
      <c r="G20" s="6">
        <f>_xlfn.XLOOKUP(Tableau26[[#This Row],[Hole ID]],Data_Log[Hole ID],Data_Log[Planned collar plunge
(°)])</f>
        <v>0</v>
      </c>
      <c r="H20" s="6">
        <f>_xlfn.XLOOKUP(Tableau26[[#This Row],[Hole ID]],Data_Log[Hole ID],Data_Log[Planned collar trend
(°)])</f>
        <v>0</v>
      </c>
      <c r="I20" s="123">
        <f>Tableau26[[#This Row],[Dip
(deg)]]-Tableau26[[#This Row],[QA/QC Dip Planned]]</f>
        <v>0</v>
      </c>
      <c r="J20">
        <f>Tableau26[[#This Row],[Azimuth
(deg)]]-Tableau26[[#This Row],[QA/QC Azimut Planned]]</f>
        <v>0</v>
      </c>
    </row>
    <row r="21" spans="2:10" x14ac:dyDescent="0.25">
      <c r="B21" s="124" t="e">
        <f>VLOOKUP(Tableau26[[#This Row],[Hole ID]],Data_Log[],2,FALSE)</f>
        <v>#N/A</v>
      </c>
      <c r="C21" s="129"/>
      <c r="D21" s="130"/>
      <c r="E21" s="129"/>
      <c r="G21" s="6">
        <f>_xlfn.XLOOKUP(Tableau26[[#This Row],[Hole ID]],Data_Log[Hole ID],Data_Log[Planned collar plunge
(°)])</f>
        <v>0</v>
      </c>
      <c r="H21" s="6">
        <f>_xlfn.XLOOKUP(Tableau26[[#This Row],[Hole ID]],Data_Log[Hole ID],Data_Log[Planned collar trend
(°)])</f>
        <v>0</v>
      </c>
      <c r="I21" s="123">
        <f>Tableau26[[#This Row],[Dip
(deg)]]-Tableau26[[#This Row],[QA/QC Dip Planned]]</f>
        <v>0</v>
      </c>
      <c r="J21">
        <f>Tableau26[[#This Row],[Azimuth
(deg)]]-Tableau26[[#This Row],[QA/QC Azimut Planned]]</f>
        <v>0</v>
      </c>
    </row>
    <row r="22" spans="2:10" x14ac:dyDescent="0.25">
      <c r="B22" s="124" t="e">
        <f>VLOOKUP(Tableau26[[#This Row],[Hole ID]],Data_Log[],2,FALSE)</f>
        <v>#N/A</v>
      </c>
      <c r="C22" s="129"/>
      <c r="D22" s="130"/>
      <c r="E22" s="129"/>
      <c r="G22" s="6">
        <f>_xlfn.XLOOKUP(Tableau26[[#This Row],[Hole ID]],Data_Log[Hole ID],Data_Log[Planned collar plunge
(°)])</f>
        <v>0</v>
      </c>
      <c r="H22" s="6">
        <f>_xlfn.XLOOKUP(Tableau26[[#This Row],[Hole ID]],Data_Log[Hole ID],Data_Log[Planned collar trend
(°)])</f>
        <v>0</v>
      </c>
      <c r="I22" s="123">
        <f>Tableau26[[#This Row],[Dip
(deg)]]-Tableau26[[#This Row],[QA/QC Dip Planned]]</f>
        <v>0</v>
      </c>
      <c r="J22">
        <f>Tableau26[[#This Row],[Azimuth
(deg)]]-Tableau26[[#This Row],[QA/QC Azimut Planned]]</f>
        <v>0</v>
      </c>
    </row>
    <row r="23" spans="2:10" x14ac:dyDescent="0.25">
      <c r="B23" s="124" t="e">
        <f>VLOOKUP(Tableau26[[#This Row],[Hole ID]],Data_Log[],2,FALSE)</f>
        <v>#N/A</v>
      </c>
      <c r="C23" s="129"/>
      <c r="D23" s="130"/>
      <c r="E23" s="129"/>
      <c r="G23" s="6">
        <f>_xlfn.XLOOKUP(Tableau26[[#This Row],[Hole ID]],Data_Log[Hole ID],Data_Log[Planned collar plunge
(°)])</f>
        <v>0</v>
      </c>
      <c r="H23" s="6">
        <f>_xlfn.XLOOKUP(Tableau26[[#This Row],[Hole ID]],Data_Log[Hole ID],Data_Log[Planned collar trend
(°)])</f>
        <v>0</v>
      </c>
      <c r="I23" s="123">
        <f>Tableau26[[#This Row],[Dip
(deg)]]-Tableau26[[#This Row],[QA/QC Dip Planned]]</f>
        <v>0</v>
      </c>
      <c r="J23">
        <f>Tableau26[[#This Row],[Azimuth
(deg)]]-Tableau26[[#This Row],[QA/QC Azimut Planned]]</f>
        <v>0</v>
      </c>
    </row>
    <row r="24" spans="2:10" x14ac:dyDescent="0.25">
      <c r="B24" s="124" t="e">
        <f>VLOOKUP(Tableau26[[#This Row],[Hole ID]],Data_Log[],2,FALSE)</f>
        <v>#N/A</v>
      </c>
      <c r="C24" s="129"/>
      <c r="D24" s="130"/>
      <c r="E24" s="129"/>
      <c r="G24" s="6">
        <f>_xlfn.XLOOKUP(Tableau26[[#This Row],[Hole ID]],Data_Log[Hole ID],Data_Log[Planned collar plunge
(°)])</f>
        <v>0</v>
      </c>
      <c r="H24" s="6">
        <f>_xlfn.XLOOKUP(Tableau26[[#This Row],[Hole ID]],Data_Log[Hole ID],Data_Log[Planned collar trend
(°)])</f>
        <v>0</v>
      </c>
      <c r="I24" s="123">
        <f>Tableau26[[#This Row],[Dip
(deg)]]-Tableau26[[#This Row],[QA/QC Dip Planned]]</f>
        <v>0</v>
      </c>
      <c r="J24">
        <f>Tableau26[[#This Row],[Azimuth
(deg)]]-Tableau26[[#This Row],[QA/QC Azimut Planned]]</f>
        <v>0</v>
      </c>
    </row>
    <row r="25" spans="2:10" x14ac:dyDescent="0.25">
      <c r="B25" s="124" t="e">
        <f>VLOOKUP(Tableau26[[#This Row],[Hole ID]],Data_Log[],2,FALSE)</f>
        <v>#N/A</v>
      </c>
      <c r="C25" s="129"/>
      <c r="D25" s="130"/>
      <c r="E25" s="129"/>
      <c r="G25" s="6">
        <f>_xlfn.XLOOKUP(Tableau26[[#This Row],[Hole ID]],Data_Log[Hole ID],Data_Log[Planned collar plunge
(°)])</f>
        <v>0</v>
      </c>
      <c r="H25" s="6">
        <f>_xlfn.XLOOKUP(Tableau26[[#This Row],[Hole ID]],Data_Log[Hole ID],Data_Log[Planned collar trend
(°)])</f>
        <v>0</v>
      </c>
      <c r="I25" s="123">
        <f>Tableau26[[#This Row],[Dip
(deg)]]-Tableau26[[#This Row],[QA/QC Dip Planned]]</f>
        <v>0</v>
      </c>
      <c r="J25">
        <f>Tableau26[[#This Row],[Azimuth
(deg)]]-Tableau26[[#This Row],[QA/QC Azimut Planned]]</f>
        <v>0</v>
      </c>
    </row>
    <row r="26" spans="2:10" x14ac:dyDescent="0.25">
      <c r="B26" s="124" t="e">
        <f>VLOOKUP(Tableau26[[#This Row],[Hole ID]],Data_Log[],2,FALSE)</f>
        <v>#N/A</v>
      </c>
      <c r="C26" s="129"/>
      <c r="D26" s="130"/>
      <c r="E26" s="129"/>
      <c r="G26" s="6">
        <f>_xlfn.XLOOKUP(Tableau26[[#This Row],[Hole ID]],Data_Log[Hole ID],Data_Log[Planned collar plunge
(°)])</f>
        <v>0</v>
      </c>
      <c r="H26" s="6">
        <f>_xlfn.XLOOKUP(Tableau26[[#This Row],[Hole ID]],Data_Log[Hole ID],Data_Log[Planned collar trend
(°)])</f>
        <v>0</v>
      </c>
      <c r="I26" s="123">
        <f>Tableau26[[#This Row],[Dip
(deg)]]-Tableau26[[#This Row],[QA/QC Dip Planned]]</f>
        <v>0</v>
      </c>
      <c r="J26">
        <f>Tableau26[[#This Row],[Azimuth
(deg)]]-Tableau26[[#This Row],[QA/QC Azimut Planned]]</f>
        <v>0</v>
      </c>
    </row>
    <row r="27" spans="2:10" x14ac:dyDescent="0.25">
      <c r="B27" s="124" t="e">
        <f>VLOOKUP(Tableau26[[#This Row],[Hole ID]],Data_Log[],2,FALSE)</f>
        <v>#N/A</v>
      </c>
      <c r="C27" s="129"/>
      <c r="D27" s="130"/>
      <c r="E27" s="129"/>
      <c r="G27" s="6">
        <f>_xlfn.XLOOKUP(Tableau26[[#This Row],[Hole ID]],Data_Log[Hole ID],Data_Log[Planned collar plunge
(°)])</f>
        <v>0</v>
      </c>
      <c r="H27" s="6">
        <f>_xlfn.XLOOKUP(Tableau26[[#This Row],[Hole ID]],Data_Log[Hole ID],Data_Log[Planned collar trend
(°)])</f>
        <v>0</v>
      </c>
      <c r="I27" s="123">
        <f>Tableau26[[#This Row],[Dip
(deg)]]-Tableau26[[#This Row],[QA/QC Dip Planned]]</f>
        <v>0</v>
      </c>
      <c r="J27">
        <f>Tableau26[[#This Row],[Azimuth
(deg)]]-Tableau26[[#This Row],[QA/QC Azimut Planned]]</f>
        <v>0</v>
      </c>
    </row>
    <row r="28" spans="2:10" x14ac:dyDescent="0.25">
      <c r="B28" s="124" t="e">
        <f>VLOOKUP(Tableau26[[#This Row],[Hole ID]],Data_Log[],2,FALSE)</f>
        <v>#N/A</v>
      </c>
      <c r="C28" s="129"/>
      <c r="D28" s="130"/>
      <c r="E28" s="129"/>
      <c r="G28" s="6">
        <f>_xlfn.XLOOKUP(Tableau26[[#This Row],[Hole ID]],Data_Log[Hole ID],Data_Log[Planned collar plunge
(°)])</f>
        <v>0</v>
      </c>
      <c r="H28" s="6">
        <f>_xlfn.XLOOKUP(Tableau26[[#This Row],[Hole ID]],Data_Log[Hole ID],Data_Log[Planned collar trend
(°)])</f>
        <v>0</v>
      </c>
      <c r="I28" s="123">
        <f>Tableau26[[#This Row],[Dip
(deg)]]-Tableau26[[#This Row],[QA/QC Dip Planned]]</f>
        <v>0</v>
      </c>
      <c r="J28">
        <f>Tableau26[[#This Row],[Azimuth
(deg)]]-Tableau26[[#This Row],[QA/QC Azimut Planned]]</f>
        <v>0</v>
      </c>
    </row>
    <row r="29" spans="2:10" x14ac:dyDescent="0.25">
      <c r="B29" s="124" t="e">
        <f>VLOOKUP(Tableau26[[#This Row],[Hole ID]],Data_Log[],2,FALSE)</f>
        <v>#N/A</v>
      </c>
      <c r="C29" s="129"/>
      <c r="D29" s="130"/>
      <c r="E29" s="129"/>
      <c r="G29" s="6">
        <f>_xlfn.XLOOKUP(Tableau26[[#This Row],[Hole ID]],Data_Log[Hole ID],Data_Log[Planned collar plunge
(°)])</f>
        <v>0</v>
      </c>
      <c r="H29" s="6">
        <f>_xlfn.XLOOKUP(Tableau26[[#This Row],[Hole ID]],Data_Log[Hole ID],Data_Log[Planned collar trend
(°)])</f>
        <v>0</v>
      </c>
      <c r="I29" s="123">
        <f>Tableau26[[#This Row],[Dip
(deg)]]-Tableau26[[#This Row],[QA/QC Dip Planned]]</f>
        <v>0</v>
      </c>
      <c r="J29">
        <f>Tableau26[[#This Row],[Azimuth
(deg)]]-Tableau26[[#This Row],[QA/QC Azimut Planned]]</f>
        <v>0</v>
      </c>
    </row>
    <row r="30" spans="2:10" x14ac:dyDescent="0.25">
      <c r="B30" s="124" t="e">
        <f>VLOOKUP(Tableau26[[#This Row],[Hole ID]],Data_Log[],2,FALSE)</f>
        <v>#N/A</v>
      </c>
      <c r="C30" s="129"/>
      <c r="D30" s="130"/>
      <c r="E30" s="129"/>
      <c r="G30" s="6">
        <f>_xlfn.XLOOKUP(Tableau26[[#This Row],[Hole ID]],Data_Log[Hole ID],Data_Log[Planned collar plunge
(°)])</f>
        <v>0</v>
      </c>
      <c r="H30" s="6">
        <f>_xlfn.XLOOKUP(Tableau26[[#This Row],[Hole ID]],Data_Log[Hole ID],Data_Log[Planned collar trend
(°)])</f>
        <v>0</v>
      </c>
      <c r="I30" s="123">
        <f>Tableau26[[#This Row],[Dip
(deg)]]-Tableau26[[#This Row],[QA/QC Dip Planned]]</f>
        <v>0</v>
      </c>
      <c r="J30">
        <f>Tableau26[[#This Row],[Azimuth
(deg)]]-Tableau26[[#This Row],[QA/QC Azimut Planned]]</f>
        <v>0</v>
      </c>
    </row>
    <row r="31" spans="2:10" x14ac:dyDescent="0.25">
      <c r="B31" s="124" t="e">
        <f>VLOOKUP(Tableau26[[#This Row],[Hole ID]],Data_Log[],2,FALSE)</f>
        <v>#N/A</v>
      </c>
      <c r="C31" s="129"/>
      <c r="D31" s="130"/>
      <c r="E31" s="129"/>
      <c r="G31" s="6">
        <f>_xlfn.XLOOKUP(Tableau26[[#This Row],[Hole ID]],Data_Log[Hole ID],Data_Log[Planned collar plunge
(°)])</f>
        <v>0</v>
      </c>
      <c r="H31" s="6">
        <f>_xlfn.XLOOKUP(Tableau26[[#This Row],[Hole ID]],Data_Log[Hole ID],Data_Log[Planned collar trend
(°)])</f>
        <v>0</v>
      </c>
      <c r="I31" s="123">
        <f>Tableau26[[#This Row],[Dip
(deg)]]-Tableau26[[#This Row],[QA/QC Dip Planned]]</f>
        <v>0</v>
      </c>
      <c r="J31">
        <f>Tableau26[[#This Row],[Azimuth
(deg)]]-Tableau26[[#This Row],[QA/QC Azimut Planned]]</f>
        <v>0</v>
      </c>
    </row>
    <row r="32" spans="2:10" x14ac:dyDescent="0.25">
      <c r="B32" s="124" t="e">
        <f>VLOOKUP(Tableau26[[#This Row],[Hole ID]],Data_Log[],2,FALSE)</f>
        <v>#N/A</v>
      </c>
      <c r="C32" s="129"/>
      <c r="D32" s="130"/>
      <c r="E32" s="129"/>
      <c r="G32" s="6">
        <f>_xlfn.XLOOKUP(Tableau26[[#This Row],[Hole ID]],Data_Log[Hole ID],Data_Log[Planned collar plunge
(°)])</f>
        <v>0</v>
      </c>
      <c r="H32" s="6">
        <f>_xlfn.XLOOKUP(Tableau26[[#This Row],[Hole ID]],Data_Log[Hole ID],Data_Log[Planned collar trend
(°)])</f>
        <v>0</v>
      </c>
      <c r="I32" s="123">
        <f>Tableau26[[#This Row],[Dip
(deg)]]-Tableau26[[#This Row],[QA/QC Dip Planned]]</f>
        <v>0</v>
      </c>
      <c r="J32">
        <f>Tableau26[[#This Row],[Azimuth
(deg)]]-Tableau26[[#This Row],[QA/QC Azimut Planned]]</f>
        <v>0</v>
      </c>
    </row>
    <row r="33" spans="1:10" x14ac:dyDescent="0.25">
      <c r="B33" s="124" t="e">
        <f>VLOOKUP(Tableau26[[#This Row],[Hole ID]],Data_Log[],2,FALSE)</f>
        <v>#N/A</v>
      </c>
      <c r="C33" s="129"/>
      <c r="D33" s="130"/>
      <c r="E33" s="129"/>
      <c r="G33" s="6">
        <f>_xlfn.XLOOKUP(Tableau26[[#This Row],[Hole ID]],Data_Log[Hole ID],Data_Log[Planned collar plunge
(°)])</f>
        <v>0</v>
      </c>
      <c r="H33" s="6">
        <f>_xlfn.XLOOKUP(Tableau26[[#This Row],[Hole ID]],Data_Log[Hole ID],Data_Log[Planned collar trend
(°)])</f>
        <v>0</v>
      </c>
      <c r="I33" s="123">
        <f>Tableau26[[#This Row],[Dip
(deg)]]-Tableau26[[#This Row],[QA/QC Dip Planned]]</f>
        <v>0</v>
      </c>
      <c r="J33">
        <f>Tableau26[[#This Row],[Azimuth
(deg)]]-Tableau26[[#This Row],[QA/QC Azimut Planned]]</f>
        <v>0</v>
      </c>
    </row>
    <row r="34" spans="1:10" x14ac:dyDescent="0.25">
      <c r="A34" s="14"/>
      <c r="B34" s="124" t="e">
        <f>VLOOKUP(Tableau26[[#This Row],[Hole ID]],Data_Log[],2,FALSE)</f>
        <v>#N/A</v>
      </c>
      <c r="C34" s="81"/>
      <c r="D34" s="94"/>
      <c r="E34" s="81"/>
      <c r="F34" s="82"/>
      <c r="G34" s="126">
        <f>_xlfn.XLOOKUP(Tableau26[[#This Row],[Hole ID]],Data_Log[Hole ID],Data_Log[Planned collar plunge
(°)])</f>
        <v>0</v>
      </c>
      <c r="H34" s="6">
        <f>_xlfn.XLOOKUP(Tableau26[[#This Row],[Hole ID]],Data_Log[Hole ID],Data_Log[Planned collar trend
(°)])</f>
        <v>0</v>
      </c>
      <c r="I34" s="123">
        <f>Tableau26[[#This Row],[Dip
(deg)]]-Tableau26[[#This Row],[QA/QC Dip Planned]]</f>
        <v>0</v>
      </c>
      <c r="J34">
        <f>Tableau26[[#This Row],[Azimuth
(deg)]]-Tableau26[[#This Row],[QA/QC Azimut Planned]]</f>
        <v>0</v>
      </c>
    </row>
    <row r="35" spans="1:10" x14ac:dyDescent="0.25">
      <c r="A35" s="14"/>
      <c r="B35" s="124" t="e">
        <f>VLOOKUP(Tableau26[[#This Row],[Hole ID]],Data_Log[],2,FALSE)</f>
        <v>#N/A</v>
      </c>
      <c r="C35" s="81"/>
      <c r="D35" s="94"/>
      <c r="E35" s="81"/>
      <c r="F35" s="82"/>
      <c r="G35" s="126">
        <f>_xlfn.XLOOKUP(Tableau26[[#This Row],[Hole ID]],Data_Log[Hole ID],Data_Log[Planned collar plunge
(°)])</f>
        <v>0</v>
      </c>
      <c r="H35" s="6">
        <f>_xlfn.XLOOKUP(Tableau26[[#This Row],[Hole ID]],Data_Log[Hole ID],Data_Log[Planned collar trend
(°)])</f>
        <v>0</v>
      </c>
      <c r="I35" s="123">
        <f>Tableau26[[#This Row],[Dip
(deg)]]-Tableau26[[#This Row],[QA/QC Dip Planned]]</f>
        <v>0</v>
      </c>
      <c r="J35">
        <f>Tableau26[[#This Row],[Azimuth
(deg)]]-Tableau26[[#This Row],[QA/QC Azimut Planned]]</f>
        <v>0</v>
      </c>
    </row>
    <row r="36" spans="1:10" x14ac:dyDescent="0.25">
      <c r="A36" s="14"/>
      <c r="B36" s="124" t="e">
        <f>VLOOKUP(Tableau26[[#This Row],[Hole ID]],Data_Log[],2,FALSE)</f>
        <v>#N/A</v>
      </c>
      <c r="C36" s="81"/>
      <c r="D36" s="94"/>
      <c r="E36" s="81"/>
      <c r="F36" s="82"/>
      <c r="G36" s="126">
        <f>_xlfn.XLOOKUP(Tableau26[[#This Row],[Hole ID]],Data_Log[Hole ID],Data_Log[Planned collar plunge
(°)])</f>
        <v>0</v>
      </c>
      <c r="H36" s="6">
        <f>_xlfn.XLOOKUP(Tableau26[[#This Row],[Hole ID]],Data_Log[Hole ID],Data_Log[Planned collar trend
(°)])</f>
        <v>0</v>
      </c>
      <c r="I36" s="123">
        <f>Tableau26[[#This Row],[Dip
(deg)]]-Tableau26[[#This Row],[QA/QC Dip Planned]]</f>
        <v>0</v>
      </c>
      <c r="J36">
        <f>Tableau26[[#This Row],[Azimuth
(deg)]]-Tableau26[[#This Row],[QA/QC Azimut Planned]]</f>
        <v>0</v>
      </c>
    </row>
    <row r="37" spans="1:10" x14ac:dyDescent="0.25">
      <c r="A37" s="14"/>
      <c r="B37" s="124" t="e">
        <f>VLOOKUP(Tableau26[[#This Row],[Hole ID]],Data_Log[],2,FALSE)</f>
        <v>#N/A</v>
      </c>
      <c r="C37" s="81"/>
      <c r="D37" s="94"/>
      <c r="E37" s="81"/>
      <c r="F37" s="82"/>
      <c r="G37" s="126">
        <f>_xlfn.XLOOKUP(Tableau26[[#This Row],[Hole ID]],Data_Log[Hole ID],Data_Log[Planned collar plunge
(°)])</f>
        <v>0</v>
      </c>
      <c r="H37" s="6">
        <f>_xlfn.XLOOKUP(Tableau26[[#This Row],[Hole ID]],Data_Log[Hole ID],Data_Log[Planned collar trend
(°)])</f>
        <v>0</v>
      </c>
      <c r="I37" s="123">
        <f>Tableau26[[#This Row],[Dip
(deg)]]-Tableau26[[#This Row],[QA/QC Dip Planned]]</f>
        <v>0</v>
      </c>
      <c r="J37">
        <f>Tableau26[[#This Row],[Azimuth
(deg)]]-Tableau26[[#This Row],[QA/QC Azimut Planned]]</f>
        <v>0</v>
      </c>
    </row>
    <row r="38" spans="1:10" x14ac:dyDescent="0.25">
      <c r="A38" s="14"/>
      <c r="B38" s="124" t="e">
        <f>VLOOKUP(Tableau26[[#This Row],[Hole ID]],Data_Log[],2,FALSE)</f>
        <v>#N/A</v>
      </c>
      <c r="C38" s="81"/>
      <c r="D38" s="94"/>
      <c r="E38" s="81"/>
      <c r="F38" s="82"/>
      <c r="G38" s="126">
        <f>_xlfn.XLOOKUP(Tableau26[[#This Row],[Hole ID]],Data_Log[Hole ID],Data_Log[Planned collar plunge
(°)])</f>
        <v>0</v>
      </c>
      <c r="H38" s="6">
        <f>_xlfn.XLOOKUP(Tableau26[[#This Row],[Hole ID]],Data_Log[Hole ID],Data_Log[Planned collar trend
(°)])</f>
        <v>0</v>
      </c>
      <c r="I38" s="123">
        <f>Tableau26[[#This Row],[Dip
(deg)]]-Tableau26[[#This Row],[QA/QC Dip Planned]]</f>
        <v>0</v>
      </c>
      <c r="J38">
        <f>Tableau26[[#This Row],[Azimuth
(deg)]]-Tableau26[[#This Row],[QA/QC Azimut Planned]]</f>
        <v>0</v>
      </c>
    </row>
    <row r="39" spans="1:10" x14ac:dyDescent="0.25">
      <c r="A39" s="14"/>
      <c r="B39" s="124" t="e">
        <f>VLOOKUP(Tableau26[[#This Row],[Hole ID]],Data_Log[],2,FALSE)</f>
        <v>#N/A</v>
      </c>
      <c r="C39" s="81"/>
      <c r="D39" s="94"/>
      <c r="E39" s="81"/>
      <c r="F39" s="82"/>
      <c r="G39" s="126">
        <f>_xlfn.XLOOKUP(Tableau26[[#This Row],[Hole ID]],Data_Log[Hole ID],Data_Log[Planned collar plunge
(°)])</f>
        <v>0</v>
      </c>
      <c r="H39" s="6">
        <f>_xlfn.XLOOKUP(Tableau26[[#This Row],[Hole ID]],Data_Log[Hole ID],Data_Log[Planned collar trend
(°)])</f>
        <v>0</v>
      </c>
      <c r="I39" s="123">
        <f>Tableau26[[#This Row],[Dip
(deg)]]-Tableau26[[#This Row],[QA/QC Dip Planned]]</f>
        <v>0</v>
      </c>
      <c r="J39">
        <f>Tableau26[[#This Row],[Azimuth
(deg)]]-Tableau26[[#This Row],[QA/QC Azimut Planned]]</f>
        <v>0</v>
      </c>
    </row>
    <row r="40" spans="1:10" x14ac:dyDescent="0.25">
      <c r="A40" s="14"/>
      <c r="B40" s="124" t="e">
        <f>VLOOKUP(Tableau26[[#This Row],[Hole ID]],Data_Log[],2,FALSE)</f>
        <v>#N/A</v>
      </c>
      <c r="C40" s="81"/>
      <c r="D40" s="94"/>
      <c r="E40" s="81"/>
      <c r="F40" s="82"/>
      <c r="G40" s="126">
        <f>_xlfn.XLOOKUP(Tableau26[[#This Row],[Hole ID]],Data_Log[Hole ID],Data_Log[Planned collar plunge
(°)])</f>
        <v>0</v>
      </c>
      <c r="H40" s="6">
        <f>_xlfn.XLOOKUP(Tableau26[[#This Row],[Hole ID]],Data_Log[Hole ID],Data_Log[Planned collar trend
(°)])</f>
        <v>0</v>
      </c>
      <c r="I40" s="123">
        <f>Tableau26[[#This Row],[Dip
(deg)]]-Tableau26[[#This Row],[QA/QC Dip Planned]]</f>
        <v>0</v>
      </c>
      <c r="J40">
        <f>Tableau26[[#This Row],[Azimuth
(deg)]]-Tableau26[[#This Row],[QA/QC Azimut Planned]]</f>
        <v>0</v>
      </c>
    </row>
    <row r="41" spans="1:10" x14ac:dyDescent="0.25">
      <c r="A41" s="14"/>
      <c r="B41" s="124" t="e">
        <f>VLOOKUP(Tableau26[[#This Row],[Hole ID]],Data_Log[],2,FALSE)</f>
        <v>#N/A</v>
      </c>
      <c r="C41" s="81"/>
      <c r="D41" s="94"/>
      <c r="E41" s="81"/>
      <c r="F41" s="82"/>
      <c r="G41" s="126">
        <f>_xlfn.XLOOKUP(Tableau26[[#This Row],[Hole ID]],Data_Log[Hole ID],Data_Log[Planned collar plunge
(°)])</f>
        <v>0</v>
      </c>
      <c r="H41" s="6">
        <f>_xlfn.XLOOKUP(Tableau26[[#This Row],[Hole ID]],Data_Log[Hole ID],Data_Log[Planned collar trend
(°)])</f>
        <v>0</v>
      </c>
      <c r="I41" s="123">
        <f>Tableau26[[#This Row],[Dip
(deg)]]-Tableau26[[#This Row],[QA/QC Dip Planned]]</f>
        <v>0</v>
      </c>
      <c r="J41">
        <f>Tableau26[[#This Row],[Azimuth
(deg)]]-Tableau26[[#This Row],[QA/QC Azimut Planned]]</f>
        <v>0</v>
      </c>
    </row>
    <row r="42" spans="1:10" x14ac:dyDescent="0.25">
      <c r="A42" s="14"/>
      <c r="B42" s="124" t="e">
        <f>VLOOKUP(Tableau26[[#This Row],[Hole ID]],Data_Log[],2,FALSE)</f>
        <v>#N/A</v>
      </c>
      <c r="C42" s="81"/>
      <c r="D42" s="94"/>
      <c r="E42" s="81"/>
      <c r="F42" s="82"/>
      <c r="G42" s="126">
        <f>_xlfn.XLOOKUP(Tableau26[[#This Row],[Hole ID]],Data_Log[Hole ID],Data_Log[Planned collar plunge
(°)])</f>
        <v>0</v>
      </c>
      <c r="H42" s="6">
        <f>_xlfn.XLOOKUP(Tableau26[[#This Row],[Hole ID]],Data_Log[Hole ID],Data_Log[Planned collar trend
(°)])</f>
        <v>0</v>
      </c>
      <c r="I42" s="123">
        <f>Tableau26[[#This Row],[Dip
(deg)]]-Tableau26[[#This Row],[QA/QC Dip Planned]]</f>
        <v>0</v>
      </c>
      <c r="J42">
        <f>Tableau26[[#This Row],[Azimuth
(deg)]]-Tableau26[[#This Row],[QA/QC Azimut Planned]]</f>
        <v>0</v>
      </c>
    </row>
    <row r="43" spans="1:10" x14ac:dyDescent="0.25">
      <c r="A43" s="14"/>
      <c r="B43" s="124" t="e">
        <f>VLOOKUP(Tableau26[[#This Row],[Hole ID]],Data_Log[],2,FALSE)</f>
        <v>#N/A</v>
      </c>
      <c r="C43" s="81"/>
      <c r="D43" s="94"/>
      <c r="E43" s="81"/>
      <c r="F43" s="82"/>
      <c r="G43" s="126">
        <f>_xlfn.XLOOKUP(Tableau26[[#This Row],[Hole ID]],Data_Log[Hole ID],Data_Log[Planned collar plunge
(°)])</f>
        <v>0</v>
      </c>
      <c r="H43" s="6">
        <f>_xlfn.XLOOKUP(Tableau26[[#This Row],[Hole ID]],Data_Log[Hole ID],Data_Log[Planned collar trend
(°)])</f>
        <v>0</v>
      </c>
      <c r="I43" s="123">
        <f>Tableau26[[#This Row],[Dip
(deg)]]-Tableau26[[#This Row],[QA/QC Dip Planned]]</f>
        <v>0</v>
      </c>
      <c r="J43">
        <f>Tableau26[[#This Row],[Azimuth
(deg)]]-Tableau26[[#This Row],[QA/QC Azimut Planned]]</f>
        <v>0</v>
      </c>
    </row>
    <row r="44" spans="1:10" x14ac:dyDescent="0.25">
      <c r="A44" s="14"/>
      <c r="B44" s="124" t="e">
        <f>VLOOKUP(Tableau26[[#This Row],[Hole ID]],Data_Log[],2,FALSE)</f>
        <v>#N/A</v>
      </c>
      <c r="C44" s="81"/>
      <c r="D44" s="94"/>
      <c r="E44" s="81"/>
      <c r="F44" s="82"/>
      <c r="G44" s="126">
        <f>_xlfn.XLOOKUP(Tableau26[[#This Row],[Hole ID]],Data_Log[Hole ID],Data_Log[Planned collar plunge
(°)])</f>
        <v>0</v>
      </c>
      <c r="H44" s="6">
        <f>_xlfn.XLOOKUP(Tableau26[[#This Row],[Hole ID]],Data_Log[Hole ID],Data_Log[Planned collar trend
(°)])</f>
        <v>0</v>
      </c>
      <c r="I44" s="123">
        <f>Tableau26[[#This Row],[Dip
(deg)]]-Tableau26[[#This Row],[QA/QC Dip Planned]]</f>
        <v>0</v>
      </c>
      <c r="J44">
        <f>Tableau26[[#This Row],[Azimuth
(deg)]]-Tableau26[[#This Row],[QA/QC Azimut Planned]]</f>
        <v>0</v>
      </c>
    </row>
    <row r="45" spans="1:10" x14ac:dyDescent="0.25">
      <c r="A45" s="14"/>
      <c r="B45" s="124" t="e">
        <f>VLOOKUP(Tableau26[[#This Row],[Hole ID]],Data_Log[],2,FALSE)</f>
        <v>#N/A</v>
      </c>
      <c r="C45" s="81"/>
      <c r="D45" s="94"/>
      <c r="E45" s="81"/>
      <c r="F45" s="82"/>
      <c r="G45" s="126">
        <f>_xlfn.XLOOKUP(Tableau26[[#This Row],[Hole ID]],Data_Log[Hole ID],Data_Log[Planned collar plunge
(°)])</f>
        <v>0</v>
      </c>
      <c r="H45" s="6">
        <f>_xlfn.XLOOKUP(Tableau26[[#This Row],[Hole ID]],Data_Log[Hole ID],Data_Log[Planned collar trend
(°)])</f>
        <v>0</v>
      </c>
      <c r="I45" s="123">
        <f>Tableau26[[#This Row],[Dip
(deg)]]-Tableau26[[#This Row],[QA/QC Dip Planned]]</f>
        <v>0</v>
      </c>
      <c r="J45">
        <f>Tableau26[[#This Row],[Azimuth
(deg)]]-Tableau26[[#This Row],[QA/QC Azimut Planned]]</f>
        <v>0</v>
      </c>
    </row>
    <row r="46" spans="1:10" x14ac:dyDescent="0.25">
      <c r="A46" s="14"/>
      <c r="B46" s="124" t="e">
        <f>VLOOKUP(Tableau26[[#This Row],[Hole ID]],Data_Log[],2,FALSE)</f>
        <v>#N/A</v>
      </c>
      <c r="C46" s="81"/>
      <c r="D46" s="94"/>
      <c r="E46" s="81"/>
      <c r="F46" s="82"/>
      <c r="G46" s="126">
        <f>_xlfn.XLOOKUP(Tableau26[[#This Row],[Hole ID]],Data_Log[Hole ID],Data_Log[Planned collar plunge
(°)])</f>
        <v>0</v>
      </c>
      <c r="H46" s="6">
        <f>_xlfn.XLOOKUP(Tableau26[[#This Row],[Hole ID]],Data_Log[Hole ID],Data_Log[Planned collar trend
(°)])</f>
        <v>0</v>
      </c>
      <c r="I46" s="123">
        <f>Tableau26[[#This Row],[Dip
(deg)]]-Tableau26[[#This Row],[QA/QC Dip Planned]]</f>
        <v>0</v>
      </c>
      <c r="J46">
        <f>Tableau26[[#This Row],[Azimuth
(deg)]]-Tableau26[[#This Row],[QA/QC Azimut Planned]]</f>
        <v>0</v>
      </c>
    </row>
    <row r="47" spans="1:10" x14ac:dyDescent="0.25">
      <c r="A47" s="14"/>
      <c r="B47" s="124" t="e">
        <f>VLOOKUP(Tableau26[[#This Row],[Hole ID]],Data_Log[],2,FALSE)</f>
        <v>#N/A</v>
      </c>
      <c r="C47" s="81"/>
      <c r="D47" s="94"/>
      <c r="E47" s="81"/>
      <c r="F47" s="82"/>
      <c r="G47" s="126">
        <f>_xlfn.XLOOKUP(Tableau26[[#This Row],[Hole ID]],Data_Log[Hole ID],Data_Log[Planned collar plunge
(°)])</f>
        <v>0</v>
      </c>
      <c r="H47" s="6">
        <f>_xlfn.XLOOKUP(Tableau26[[#This Row],[Hole ID]],Data_Log[Hole ID],Data_Log[Planned collar trend
(°)])</f>
        <v>0</v>
      </c>
      <c r="I47" s="123">
        <f>Tableau26[[#This Row],[Dip
(deg)]]-Tableau26[[#This Row],[QA/QC Dip Planned]]</f>
        <v>0</v>
      </c>
      <c r="J47">
        <f>Tableau26[[#This Row],[Azimuth
(deg)]]-Tableau26[[#This Row],[QA/QC Azimut Planned]]</f>
        <v>0</v>
      </c>
    </row>
    <row r="48" spans="1:10" x14ac:dyDescent="0.25">
      <c r="A48" s="14"/>
      <c r="B48" s="124" t="e">
        <f>VLOOKUP(Tableau26[[#This Row],[Hole ID]],Data_Log[],2,FALSE)</f>
        <v>#N/A</v>
      </c>
      <c r="C48" s="81"/>
      <c r="D48" s="94"/>
      <c r="E48" s="81"/>
      <c r="F48" s="82"/>
      <c r="G48" s="126">
        <f>_xlfn.XLOOKUP(Tableau26[[#This Row],[Hole ID]],Data_Log[Hole ID],Data_Log[Planned collar plunge
(°)])</f>
        <v>0</v>
      </c>
      <c r="H48" s="6">
        <f>_xlfn.XLOOKUP(Tableau26[[#This Row],[Hole ID]],Data_Log[Hole ID],Data_Log[Planned collar trend
(°)])</f>
        <v>0</v>
      </c>
      <c r="I48" s="123">
        <f>Tableau26[[#This Row],[Dip
(deg)]]-Tableau26[[#This Row],[QA/QC Dip Planned]]</f>
        <v>0</v>
      </c>
      <c r="J48">
        <f>Tableau26[[#This Row],[Azimuth
(deg)]]-Tableau26[[#This Row],[QA/QC Azimut Planned]]</f>
        <v>0</v>
      </c>
    </row>
    <row r="49" spans="1:10" x14ac:dyDescent="0.25">
      <c r="A49" s="14"/>
      <c r="B49" s="124" t="e">
        <f>VLOOKUP(Tableau26[[#This Row],[Hole ID]],Data_Log[],2,FALSE)</f>
        <v>#N/A</v>
      </c>
      <c r="C49" s="81"/>
      <c r="D49" s="94"/>
      <c r="E49" s="81"/>
      <c r="F49" s="82"/>
      <c r="G49" s="126">
        <f>_xlfn.XLOOKUP(Tableau26[[#This Row],[Hole ID]],Data_Log[Hole ID],Data_Log[Planned collar plunge
(°)])</f>
        <v>0</v>
      </c>
      <c r="H49" s="6">
        <f>_xlfn.XLOOKUP(Tableau26[[#This Row],[Hole ID]],Data_Log[Hole ID],Data_Log[Planned collar trend
(°)])</f>
        <v>0</v>
      </c>
      <c r="I49" s="123">
        <f>Tableau26[[#This Row],[Dip
(deg)]]-Tableau26[[#This Row],[QA/QC Dip Planned]]</f>
        <v>0</v>
      </c>
      <c r="J49">
        <f>Tableau26[[#This Row],[Azimuth
(deg)]]-Tableau26[[#This Row],[QA/QC Azimut Planned]]</f>
        <v>0</v>
      </c>
    </row>
    <row r="50" spans="1:10" x14ac:dyDescent="0.25">
      <c r="A50" s="14"/>
      <c r="B50" s="124" t="e">
        <f>VLOOKUP(Tableau26[[#This Row],[Hole ID]],Data_Log[],2,FALSE)</f>
        <v>#N/A</v>
      </c>
      <c r="C50" s="81"/>
      <c r="D50" s="94"/>
      <c r="E50" s="81"/>
      <c r="F50" s="82"/>
      <c r="G50" s="126">
        <f>_xlfn.XLOOKUP(Tableau26[[#This Row],[Hole ID]],Data_Log[Hole ID],Data_Log[Planned collar plunge
(°)])</f>
        <v>0</v>
      </c>
      <c r="H50" s="6">
        <f>_xlfn.XLOOKUP(Tableau26[[#This Row],[Hole ID]],Data_Log[Hole ID],Data_Log[Planned collar trend
(°)])</f>
        <v>0</v>
      </c>
      <c r="I50" s="123">
        <f>Tableau26[[#This Row],[Dip
(deg)]]-Tableau26[[#This Row],[QA/QC Dip Planned]]</f>
        <v>0</v>
      </c>
      <c r="J50">
        <f>Tableau26[[#This Row],[Azimuth
(deg)]]-Tableau26[[#This Row],[QA/QC Azimut Planned]]</f>
        <v>0</v>
      </c>
    </row>
    <row r="51" spans="1:10" x14ac:dyDescent="0.25">
      <c r="A51" s="14"/>
      <c r="B51" s="124" t="e">
        <f>VLOOKUP(Tableau26[[#This Row],[Hole ID]],Data_Log[],2,FALSE)</f>
        <v>#N/A</v>
      </c>
      <c r="C51" s="81"/>
      <c r="D51" s="94"/>
      <c r="E51" s="81"/>
      <c r="F51" s="82"/>
      <c r="G51" s="126">
        <f>_xlfn.XLOOKUP(Tableau26[[#This Row],[Hole ID]],Data_Log[Hole ID],Data_Log[Planned collar plunge
(°)])</f>
        <v>0</v>
      </c>
      <c r="H51" s="6">
        <f>_xlfn.XLOOKUP(Tableau26[[#This Row],[Hole ID]],Data_Log[Hole ID],Data_Log[Planned collar trend
(°)])</f>
        <v>0</v>
      </c>
      <c r="I51" s="123">
        <f>Tableau26[[#This Row],[Dip
(deg)]]-Tableau26[[#This Row],[QA/QC Dip Planned]]</f>
        <v>0</v>
      </c>
      <c r="J51">
        <f>Tableau26[[#This Row],[Azimuth
(deg)]]-Tableau26[[#This Row],[QA/QC Azimut Planned]]</f>
        <v>0</v>
      </c>
    </row>
    <row r="52" spans="1:10" x14ac:dyDescent="0.25">
      <c r="A52" s="14"/>
      <c r="B52" s="124" t="e">
        <f>VLOOKUP(Tableau26[[#This Row],[Hole ID]],Data_Log[],2,FALSE)</f>
        <v>#N/A</v>
      </c>
      <c r="C52" s="81"/>
      <c r="D52" s="94"/>
      <c r="E52" s="81"/>
      <c r="F52" s="82"/>
      <c r="G52" s="126">
        <f>_xlfn.XLOOKUP(Tableau26[[#This Row],[Hole ID]],Data_Log[Hole ID],Data_Log[Planned collar plunge
(°)])</f>
        <v>0</v>
      </c>
      <c r="H52" s="6">
        <f>_xlfn.XLOOKUP(Tableau26[[#This Row],[Hole ID]],Data_Log[Hole ID],Data_Log[Planned collar trend
(°)])</f>
        <v>0</v>
      </c>
      <c r="I52" s="123">
        <f>Tableau26[[#This Row],[Dip
(deg)]]-Tableau26[[#This Row],[QA/QC Dip Planned]]</f>
        <v>0</v>
      </c>
      <c r="J52">
        <f>Tableau26[[#This Row],[Azimuth
(deg)]]-Tableau26[[#This Row],[QA/QC Azimut Planned]]</f>
        <v>0</v>
      </c>
    </row>
    <row r="53" spans="1:10" x14ac:dyDescent="0.25">
      <c r="A53" s="14"/>
      <c r="B53" s="124" t="e">
        <f>VLOOKUP(Tableau26[[#This Row],[Hole ID]],Data_Log[],2,FALSE)</f>
        <v>#N/A</v>
      </c>
      <c r="C53" s="81"/>
      <c r="D53" s="94"/>
      <c r="E53" s="81"/>
      <c r="F53" s="82"/>
      <c r="G53" s="126">
        <f>_xlfn.XLOOKUP(Tableau26[[#This Row],[Hole ID]],Data_Log[Hole ID],Data_Log[Planned collar plunge
(°)])</f>
        <v>0</v>
      </c>
      <c r="H53" s="6">
        <f>_xlfn.XLOOKUP(Tableau26[[#This Row],[Hole ID]],Data_Log[Hole ID],Data_Log[Planned collar trend
(°)])</f>
        <v>0</v>
      </c>
      <c r="I53" s="123">
        <f>Tableau26[[#This Row],[Dip
(deg)]]-Tableau26[[#This Row],[QA/QC Dip Planned]]</f>
        <v>0</v>
      </c>
      <c r="J53">
        <f>Tableau26[[#This Row],[Azimuth
(deg)]]-Tableau26[[#This Row],[QA/QC Azimut Planned]]</f>
        <v>0</v>
      </c>
    </row>
    <row r="54" spans="1:10" x14ac:dyDescent="0.25">
      <c r="A54" s="14"/>
      <c r="B54" s="124" t="e">
        <f>VLOOKUP(Tableau26[[#This Row],[Hole ID]],Data_Log[],2,FALSE)</f>
        <v>#N/A</v>
      </c>
      <c r="C54" s="81"/>
      <c r="D54" s="94"/>
      <c r="E54" s="81"/>
      <c r="F54" s="82"/>
      <c r="G54" s="126">
        <f>_xlfn.XLOOKUP(Tableau26[[#This Row],[Hole ID]],Data_Log[Hole ID],Data_Log[Planned collar plunge
(°)])</f>
        <v>0</v>
      </c>
      <c r="H54" s="6">
        <f>_xlfn.XLOOKUP(Tableau26[[#This Row],[Hole ID]],Data_Log[Hole ID],Data_Log[Planned collar trend
(°)])</f>
        <v>0</v>
      </c>
      <c r="I54" s="123">
        <f>Tableau26[[#This Row],[Dip
(deg)]]-Tableau26[[#This Row],[QA/QC Dip Planned]]</f>
        <v>0</v>
      </c>
      <c r="J54">
        <f>Tableau26[[#This Row],[Azimuth
(deg)]]-Tableau26[[#This Row],[QA/QC Azimut Planned]]</f>
        <v>0</v>
      </c>
    </row>
    <row r="55" spans="1:10" x14ac:dyDescent="0.25">
      <c r="A55" s="14"/>
      <c r="B55" s="124" t="e">
        <f>VLOOKUP(Tableau26[[#This Row],[Hole ID]],Data_Log[],2,FALSE)</f>
        <v>#N/A</v>
      </c>
      <c r="C55" s="81"/>
      <c r="D55" s="94"/>
      <c r="E55" s="81"/>
      <c r="F55" s="82"/>
      <c r="G55" s="126">
        <f>_xlfn.XLOOKUP(Tableau26[[#This Row],[Hole ID]],Data_Log[Hole ID],Data_Log[Planned collar plunge
(°)])</f>
        <v>0</v>
      </c>
      <c r="H55" s="6">
        <f>_xlfn.XLOOKUP(Tableau26[[#This Row],[Hole ID]],Data_Log[Hole ID],Data_Log[Planned collar trend
(°)])</f>
        <v>0</v>
      </c>
      <c r="I55" s="123">
        <f>Tableau26[[#This Row],[Dip
(deg)]]-Tableau26[[#This Row],[QA/QC Dip Planned]]</f>
        <v>0</v>
      </c>
      <c r="J55">
        <f>Tableau26[[#This Row],[Azimuth
(deg)]]-Tableau26[[#This Row],[QA/QC Azimut Planned]]</f>
        <v>0</v>
      </c>
    </row>
    <row r="56" spans="1:10" x14ac:dyDescent="0.25">
      <c r="A56" s="14"/>
      <c r="B56" s="124" t="e">
        <f>VLOOKUP(Tableau26[[#This Row],[Hole ID]],Data_Log[],2,FALSE)</f>
        <v>#N/A</v>
      </c>
      <c r="C56" s="81"/>
      <c r="D56" s="94"/>
      <c r="E56" s="81"/>
      <c r="F56" s="82"/>
      <c r="G56" s="126">
        <f>_xlfn.XLOOKUP(Tableau26[[#This Row],[Hole ID]],Data_Log[Hole ID],Data_Log[Planned collar plunge
(°)])</f>
        <v>0</v>
      </c>
      <c r="H56" s="6">
        <f>_xlfn.XLOOKUP(Tableau26[[#This Row],[Hole ID]],Data_Log[Hole ID],Data_Log[Planned collar trend
(°)])</f>
        <v>0</v>
      </c>
      <c r="I56" s="123">
        <f>Tableau26[[#This Row],[Dip
(deg)]]-Tableau26[[#This Row],[QA/QC Dip Planned]]</f>
        <v>0</v>
      </c>
      <c r="J56">
        <f>Tableau26[[#This Row],[Azimuth
(deg)]]-Tableau26[[#This Row],[QA/QC Azimut Planned]]</f>
        <v>0</v>
      </c>
    </row>
    <row r="57" spans="1:10" x14ac:dyDescent="0.25">
      <c r="A57" s="14"/>
      <c r="B57" s="124" t="e">
        <f>VLOOKUP(Tableau26[[#This Row],[Hole ID]],Data_Log[],2,FALSE)</f>
        <v>#N/A</v>
      </c>
      <c r="C57" s="81"/>
      <c r="D57" s="94"/>
      <c r="E57" s="81"/>
      <c r="F57" s="82"/>
      <c r="G57" s="126">
        <f>_xlfn.XLOOKUP(Tableau26[[#This Row],[Hole ID]],Data_Log[Hole ID],Data_Log[Planned collar plunge
(°)])</f>
        <v>0</v>
      </c>
      <c r="H57" s="6">
        <f>_xlfn.XLOOKUP(Tableau26[[#This Row],[Hole ID]],Data_Log[Hole ID],Data_Log[Planned collar trend
(°)])</f>
        <v>0</v>
      </c>
      <c r="I57" s="123">
        <f>Tableau26[[#This Row],[Dip
(deg)]]-Tableau26[[#This Row],[QA/QC Dip Planned]]</f>
        <v>0</v>
      </c>
      <c r="J57">
        <f>Tableau26[[#This Row],[Azimuth
(deg)]]-Tableau26[[#This Row],[QA/QC Azimut Planned]]</f>
        <v>0</v>
      </c>
    </row>
    <row r="58" spans="1:10" x14ac:dyDescent="0.25">
      <c r="A58" s="14"/>
      <c r="B58" s="124" t="e">
        <f>VLOOKUP(Tableau26[[#This Row],[Hole ID]],Data_Log[],2,FALSE)</f>
        <v>#N/A</v>
      </c>
      <c r="C58" s="81"/>
      <c r="D58" s="94"/>
      <c r="E58" s="81"/>
      <c r="F58" s="82"/>
      <c r="G58" s="126">
        <f>_xlfn.XLOOKUP(Tableau26[[#This Row],[Hole ID]],Data_Log[Hole ID],Data_Log[Planned collar plunge
(°)])</f>
        <v>0</v>
      </c>
      <c r="H58" s="6">
        <f>_xlfn.XLOOKUP(Tableau26[[#This Row],[Hole ID]],Data_Log[Hole ID],Data_Log[Planned collar trend
(°)])</f>
        <v>0</v>
      </c>
      <c r="I58" s="123">
        <f>Tableau26[[#This Row],[Dip
(deg)]]-Tableau26[[#This Row],[QA/QC Dip Planned]]</f>
        <v>0</v>
      </c>
      <c r="J58">
        <f>Tableau26[[#This Row],[Azimuth
(deg)]]-Tableau26[[#This Row],[QA/QC Azimut Planned]]</f>
        <v>0</v>
      </c>
    </row>
    <row r="59" spans="1:10" x14ac:dyDescent="0.25">
      <c r="A59" s="14"/>
      <c r="B59" s="124" t="e">
        <f>VLOOKUP(Tableau26[[#This Row],[Hole ID]],Data_Log[],2,FALSE)</f>
        <v>#N/A</v>
      </c>
      <c r="C59" s="81"/>
      <c r="D59" s="94"/>
      <c r="E59" s="81"/>
      <c r="F59" s="82"/>
      <c r="G59" s="126">
        <f>_xlfn.XLOOKUP(Tableau26[[#This Row],[Hole ID]],Data_Log[Hole ID],Data_Log[Planned collar plunge
(°)])</f>
        <v>0</v>
      </c>
      <c r="H59" s="6">
        <f>_xlfn.XLOOKUP(Tableau26[[#This Row],[Hole ID]],Data_Log[Hole ID],Data_Log[Planned collar trend
(°)])</f>
        <v>0</v>
      </c>
      <c r="I59" s="123">
        <f>Tableau26[[#This Row],[Dip
(deg)]]-Tableau26[[#This Row],[QA/QC Dip Planned]]</f>
        <v>0</v>
      </c>
      <c r="J59">
        <f>Tableau26[[#This Row],[Azimuth
(deg)]]-Tableau26[[#This Row],[QA/QC Azimut Planned]]</f>
        <v>0</v>
      </c>
    </row>
    <row r="60" spans="1:10" x14ac:dyDescent="0.25">
      <c r="A60" s="14"/>
      <c r="B60" s="124" t="e">
        <f>VLOOKUP(Tableau26[[#This Row],[Hole ID]],Data_Log[],2,FALSE)</f>
        <v>#N/A</v>
      </c>
      <c r="C60" s="81"/>
      <c r="D60" s="94"/>
      <c r="E60" s="81"/>
      <c r="F60" s="82"/>
      <c r="G60" s="126">
        <f>_xlfn.XLOOKUP(Tableau26[[#This Row],[Hole ID]],Data_Log[Hole ID],Data_Log[Planned collar plunge
(°)])</f>
        <v>0</v>
      </c>
      <c r="H60" s="6">
        <f>_xlfn.XLOOKUP(Tableau26[[#This Row],[Hole ID]],Data_Log[Hole ID],Data_Log[Planned collar trend
(°)])</f>
        <v>0</v>
      </c>
      <c r="I60" s="123">
        <f>Tableau26[[#This Row],[Dip
(deg)]]-Tableau26[[#This Row],[QA/QC Dip Planned]]</f>
        <v>0</v>
      </c>
      <c r="J60">
        <f>Tableau26[[#This Row],[Azimuth
(deg)]]-Tableau26[[#This Row],[QA/QC Azimut Planned]]</f>
        <v>0</v>
      </c>
    </row>
    <row r="61" spans="1:10" x14ac:dyDescent="0.25">
      <c r="A61" s="14"/>
      <c r="B61" s="124" t="e">
        <f>VLOOKUP(Tableau26[[#This Row],[Hole ID]],Data_Log[],2,FALSE)</f>
        <v>#N/A</v>
      </c>
      <c r="C61" s="81"/>
      <c r="D61" s="94"/>
      <c r="E61" s="81"/>
      <c r="F61" s="82"/>
      <c r="G61" s="126">
        <f>_xlfn.XLOOKUP(Tableau26[[#This Row],[Hole ID]],Data_Log[Hole ID],Data_Log[Planned collar plunge
(°)])</f>
        <v>0</v>
      </c>
      <c r="H61" s="6">
        <f>_xlfn.XLOOKUP(Tableau26[[#This Row],[Hole ID]],Data_Log[Hole ID],Data_Log[Planned collar trend
(°)])</f>
        <v>0</v>
      </c>
      <c r="I61" s="123">
        <f>Tableau26[[#This Row],[Dip
(deg)]]-Tableau26[[#This Row],[QA/QC Dip Planned]]</f>
        <v>0</v>
      </c>
      <c r="J61">
        <f>Tableau26[[#This Row],[Azimuth
(deg)]]-Tableau26[[#This Row],[QA/QC Azimut Planned]]</f>
        <v>0</v>
      </c>
    </row>
    <row r="62" spans="1:10" x14ac:dyDescent="0.25">
      <c r="A62" s="14"/>
      <c r="B62" s="124" t="e">
        <f>VLOOKUP(Tableau26[[#This Row],[Hole ID]],Data_Log[],2,FALSE)</f>
        <v>#N/A</v>
      </c>
      <c r="C62" s="81"/>
      <c r="D62" s="94"/>
      <c r="E62" s="81"/>
      <c r="F62" s="82"/>
      <c r="G62" s="126">
        <f>_xlfn.XLOOKUP(Tableau26[[#This Row],[Hole ID]],Data_Log[Hole ID],Data_Log[Planned collar plunge
(°)])</f>
        <v>0</v>
      </c>
      <c r="H62" s="6">
        <f>_xlfn.XLOOKUP(Tableau26[[#This Row],[Hole ID]],Data_Log[Hole ID],Data_Log[Planned collar trend
(°)])</f>
        <v>0</v>
      </c>
      <c r="I62" s="123">
        <f>Tableau26[[#This Row],[Dip
(deg)]]-Tableau26[[#This Row],[QA/QC Dip Planned]]</f>
        <v>0</v>
      </c>
      <c r="J62">
        <f>Tableau26[[#This Row],[Azimuth
(deg)]]-Tableau26[[#This Row],[QA/QC Azimut Planned]]</f>
        <v>0</v>
      </c>
    </row>
    <row r="63" spans="1:10" x14ac:dyDescent="0.25">
      <c r="A63" s="14"/>
      <c r="B63" s="124" t="e">
        <f>VLOOKUP(Tableau26[[#This Row],[Hole ID]],Data_Log[],2,FALSE)</f>
        <v>#N/A</v>
      </c>
      <c r="C63" s="81"/>
      <c r="D63" s="94"/>
      <c r="E63" s="81"/>
      <c r="F63" s="82"/>
      <c r="G63" s="126">
        <f>_xlfn.XLOOKUP(Tableau26[[#This Row],[Hole ID]],Data_Log[Hole ID],Data_Log[Planned collar plunge
(°)])</f>
        <v>0</v>
      </c>
      <c r="H63" s="6">
        <f>_xlfn.XLOOKUP(Tableau26[[#This Row],[Hole ID]],Data_Log[Hole ID],Data_Log[Planned collar trend
(°)])</f>
        <v>0</v>
      </c>
      <c r="I63" s="123">
        <f>Tableau26[[#This Row],[Dip
(deg)]]-Tableau26[[#This Row],[QA/QC Dip Planned]]</f>
        <v>0</v>
      </c>
      <c r="J63">
        <f>Tableau26[[#This Row],[Azimuth
(deg)]]-Tableau26[[#This Row],[QA/QC Azimut Planned]]</f>
        <v>0</v>
      </c>
    </row>
    <row r="64" spans="1:10" x14ac:dyDescent="0.25">
      <c r="A64" s="14"/>
      <c r="B64" s="124" t="e">
        <f>VLOOKUP(Tableau26[[#This Row],[Hole ID]],Data_Log[],2,FALSE)</f>
        <v>#N/A</v>
      </c>
      <c r="C64" s="81"/>
      <c r="D64" s="94"/>
      <c r="E64" s="81"/>
      <c r="F64" s="82"/>
      <c r="G64" s="126">
        <f>_xlfn.XLOOKUP(Tableau26[[#This Row],[Hole ID]],Data_Log[Hole ID],Data_Log[Planned collar plunge
(°)])</f>
        <v>0</v>
      </c>
      <c r="H64" s="6">
        <f>_xlfn.XLOOKUP(Tableau26[[#This Row],[Hole ID]],Data_Log[Hole ID],Data_Log[Planned collar trend
(°)])</f>
        <v>0</v>
      </c>
      <c r="I64" s="123">
        <f>Tableau26[[#This Row],[Dip
(deg)]]-Tableau26[[#This Row],[QA/QC Dip Planned]]</f>
        <v>0</v>
      </c>
      <c r="J64">
        <f>Tableau26[[#This Row],[Azimuth
(deg)]]-Tableau26[[#This Row],[QA/QC Azimut Planned]]</f>
        <v>0</v>
      </c>
    </row>
    <row r="65" spans="1:10" x14ac:dyDescent="0.25">
      <c r="A65" s="14"/>
      <c r="B65" s="124" t="e">
        <f>VLOOKUP(Tableau26[[#This Row],[Hole ID]],Data_Log[],2,FALSE)</f>
        <v>#N/A</v>
      </c>
      <c r="C65" s="81"/>
      <c r="D65" s="94"/>
      <c r="E65" s="81"/>
      <c r="F65" s="82"/>
      <c r="G65" s="126">
        <f>_xlfn.XLOOKUP(Tableau26[[#This Row],[Hole ID]],Data_Log[Hole ID],Data_Log[Planned collar plunge
(°)])</f>
        <v>0</v>
      </c>
      <c r="H65" s="6">
        <f>_xlfn.XLOOKUP(Tableau26[[#This Row],[Hole ID]],Data_Log[Hole ID],Data_Log[Planned collar trend
(°)])</f>
        <v>0</v>
      </c>
      <c r="I65" s="123">
        <f>Tableau26[[#This Row],[Dip
(deg)]]-Tableau26[[#This Row],[QA/QC Dip Planned]]</f>
        <v>0</v>
      </c>
      <c r="J65">
        <f>Tableau26[[#This Row],[Azimuth
(deg)]]-Tableau26[[#This Row],[QA/QC Azimut Planned]]</f>
        <v>0</v>
      </c>
    </row>
    <row r="66" spans="1:10" x14ac:dyDescent="0.25">
      <c r="A66" s="14"/>
      <c r="B66" s="124" t="e">
        <f>VLOOKUP(Tableau26[[#This Row],[Hole ID]],Data_Log[],2,FALSE)</f>
        <v>#N/A</v>
      </c>
      <c r="C66" s="81"/>
      <c r="D66" s="94"/>
      <c r="E66" s="81"/>
      <c r="F66" s="82"/>
      <c r="G66" s="126">
        <f>_xlfn.XLOOKUP(Tableau26[[#This Row],[Hole ID]],Data_Log[Hole ID],Data_Log[Planned collar plunge
(°)])</f>
        <v>0</v>
      </c>
      <c r="H66" s="6">
        <f>_xlfn.XLOOKUP(Tableau26[[#This Row],[Hole ID]],Data_Log[Hole ID],Data_Log[Planned collar trend
(°)])</f>
        <v>0</v>
      </c>
      <c r="I66" s="123">
        <f>Tableau26[[#This Row],[Dip
(deg)]]-Tableau26[[#This Row],[QA/QC Dip Planned]]</f>
        <v>0</v>
      </c>
      <c r="J66">
        <f>Tableau26[[#This Row],[Azimuth
(deg)]]-Tableau26[[#This Row],[QA/QC Azimut Planned]]</f>
        <v>0</v>
      </c>
    </row>
    <row r="67" spans="1:10" x14ac:dyDescent="0.25">
      <c r="A67" s="14"/>
      <c r="B67" s="124" t="e">
        <f>VLOOKUP(Tableau26[[#This Row],[Hole ID]],Data_Log[],2,FALSE)</f>
        <v>#N/A</v>
      </c>
      <c r="C67" s="81"/>
      <c r="D67" s="94"/>
      <c r="E67" s="81"/>
      <c r="F67" s="82"/>
      <c r="G67" s="126">
        <f>_xlfn.XLOOKUP(Tableau26[[#This Row],[Hole ID]],Data_Log[Hole ID],Data_Log[Planned collar plunge
(°)])</f>
        <v>0</v>
      </c>
      <c r="H67" s="6">
        <f>_xlfn.XLOOKUP(Tableau26[[#This Row],[Hole ID]],Data_Log[Hole ID],Data_Log[Planned collar trend
(°)])</f>
        <v>0</v>
      </c>
      <c r="I67" s="123">
        <f>Tableau26[[#This Row],[Dip
(deg)]]-Tableau26[[#This Row],[QA/QC Dip Planned]]</f>
        <v>0</v>
      </c>
      <c r="J67">
        <f>Tableau26[[#This Row],[Azimuth
(deg)]]-Tableau26[[#This Row],[QA/QC Azimut Planned]]</f>
        <v>0</v>
      </c>
    </row>
    <row r="68" spans="1:10" x14ac:dyDescent="0.25">
      <c r="A68" s="14"/>
      <c r="B68" s="124" t="e">
        <f>VLOOKUP(Tableau26[[#This Row],[Hole ID]],Data_Log[],2,FALSE)</f>
        <v>#N/A</v>
      </c>
      <c r="C68" s="81"/>
      <c r="D68" s="94"/>
      <c r="E68" s="81"/>
      <c r="F68" s="82"/>
      <c r="G68" s="126">
        <f>_xlfn.XLOOKUP(Tableau26[[#This Row],[Hole ID]],Data_Log[Hole ID],Data_Log[Planned collar plunge
(°)])</f>
        <v>0</v>
      </c>
      <c r="H68" s="6">
        <f>_xlfn.XLOOKUP(Tableau26[[#This Row],[Hole ID]],Data_Log[Hole ID],Data_Log[Planned collar trend
(°)])</f>
        <v>0</v>
      </c>
      <c r="I68" s="123">
        <f>Tableau26[[#This Row],[Dip
(deg)]]-Tableau26[[#This Row],[QA/QC Dip Planned]]</f>
        <v>0</v>
      </c>
      <c r="J68">
        <f>Tableau26[[#This Row],[Azimuth
(deg)]]-Tableau26[[#This Row],[QA/QC Azimut Planned]]</f>
        <v>0</v>
      </c>
    </row>
    <row r="69" spans="1:10" x14ac:dyDescent="0.25">
      <c r="A69" s="14"/>
      <c r="B69" s="124" t="e">
        <f>VLOOKUP(Tableau26[[#This Row],[Hole ID]],Data_Log[],2,FALSE)</f>
        <v>#N/A</v>
      </c>
      <c r="C69" s="81"/>
      <c r="D69" s="94"/>
      <c r="E69" s="81"/>
      <c r="F69" s="82"/>
      <c r="G69" s="126">
        <f>_xlfn.XLOOKUP(Tableau26[[#This Row],[Hole ID]],Data_Log[Hole ID],Data_Log[Planned collar plunge
(°)])</f>
        <v>0</v>
      </c>
      <c r="H69" s="6">
        <f>_xlfn.XLOOKUP(Tableau26[[#This Row],[Hole ID]],Data_Log[Hole ID],Data_Log[Planned collar trend
(°)])</f>
        <v>0</v>
      </c>
      <c r="I69" s="123">
        <f>Tableau26[[#This Row],[Dip
(deg)]]-Tableau26[[#This Row],[QA/QC Dip Planned]]</f>
        <v>0</v>
      </c>
      <c r="J69">
        <f>Tableau26[[#This Row],[Azimuth
(deg)]]-Tableau26[[#This Row],[QA/QC Azimut Planned]]</f>
        <v>0</v>
      </c>
    </row>
    <row r="70" spans="1:10" x14ac:dyDescent="0.25">
      <c r="A70" s="14"/>
      <c r="B70" s="124" t="e">
        <f>VLOOKUP(Tableau26[[#This Row],[Hole ID]],Data_Log[],2,FALSE)</f>
        <v>#N/A</v>
      </c>
      <c r="C70" s="81"/>
      <c r="D70" s="94"/>
      <c r="E70" s="81"/>
      <c r="F70" s="82"/>
      <c r="G70" s="126">
        <f>_xlfn.XLOOKUP(Tableau26[[#This Row],[Hole ID]],Data_Log[Hole ID],Data_Log[Planned collar plunge
(°)])</f>
        <v>0</v>
      </c>
      <c r="H70" s="6">
        <f>_xlfn.XLOOKUP(Tableau26[[#This Row],[Hole ID]],Data_Log[Hole ID],Data_Log[Planned collar trend
(°)])</f>
        <v>0</v>
      </c>
      <c r="I70" s="123">
        <f>Tableau26[[#This Row],[Dip
(deg)]]-Tableau26[[#This Row],[QA/QC Dip Planned]]</f>
        <v>0</v>
      </c>
      <c r="J70">
        <f>Tableau26[[#This Row],[Azimuth
(deg)]]-Tableau26[[#This Row],[QA/QC Azimut Planned]]</f>
        <v>0</v>
      </c>
    </row>
    <row r="71" spans="1:10" x14ac:dyDescent="0.25">
      <c r="A71" s="14"/>
      <c r="B71" s="124" t="e">
        <f>VLOOKUP(Tableau26[[#This Row],[Hole ID]],Data_Log[],2,FALSE)</f>
        <v>#N/A</v>
      </c>
      <c r="C71" s="81"/>
      <c r="D71" s="94"/>
      <c r="E71" s="81"/>
      <c r="F71" s="82"/>
      <c r="G71" s="126">
        <f>_xlfn.XLOOKUP(Tableau26[[#This Row],[Hole ID]],Data_Log[Hole ID],Data_Log[Planned collar plunge
(°)])</f>
        <v>0</v>
      </c>
      <c r="H71" s="6">
        <f>_xlfn.XLOOKUP(Tableau26[[#This Row],[Hole ID]],Data_Log[Hole ID],Data_Log[Planned collar trend
(°)])</f>
        <v>0</v>
      </c>
      <c r="I71" s="123">
        <f>Tableau26[[#This Row],[Dip
(deg)]]-Tableau26[[#This Row],[QA/QC Dip Planned]]</f>
        <v>0</v>
      </c>
      <c r="J71">
        <f>Tableau26[[#This Row],[Azimuth
(deg)]]-Tableau26[[#This Row],[QA/QC Azimut Planned]]</f>
        <v>0</v>
      </c>
    </row>
    <row r="72" spans="1:10" x14ac:dyDescent="0.25">
      <c r="A72" s="14"/>
      <c r="B72" s="124" t="e">
        <f>VLOOKUP(Tableau26[[#This Row],[Hole ID]],Data_Log[],2,FALSE)</f>
        <v>#N/A</v>
      </c>
      <c r="C72" s="81"/>
      <c r="D72" s="94"/>
      <c r="E72" s="81"/>
      <c r="F72" s="82"/>
      <c r="G72" s="126">
        <f>_xlfn.XLOOKUP(Tableau26[[#This Row],[Hole ID]],Data_Log[Hole ID],Data_Log[Planned collar plunge
(°)])</f>
        <v>0</v>
      </c>
      <c r="H72" s="6">
        <f>_xlfn.XLOOKUP(Tableau26[[#This Row],[Hole ID]],Data_Log[Hole ID],Data_Log[Planned collar trend
(°)])</f>
        <v>0</v>
      </c>
      <c r="I72" s="123">
        <f>Tableau26[[#This Row],[Dip
(deg)]]-Tableau26[[#This Row],[QA/QC Dip Planned]]</f>
        <v>0</v>
      </c>
      <c r="J72">
        <f>Tableau26[[#This Row],[Azimuth
(deg)]]-Tableau26[[#This Row],[QA/QC Azimut Planned]]</f>
        <v>0</v>
      </c>
    </row>
    <row r="73" spans="1:10" x14ac:dyDescent="0.25">
      <c r="A73" s="14"/>
      <c r="B73" s="124" t="e">
        <f>VLOOKUP(Tableau26[[#This Row],[Hole ID]],Data_Log[],2,FALSE)</f>
        <v>#N/A</v>
      </c>
      <c r="C73" s="81"/>
      <c r="D73" s="94"/>
      <c r="E73" s="81"/>
      <c r="F73" s="82"/>
      <c r="G73" s="126">
        <f>_xlfn.XLOOKUP(Tableau26[[#This Row],[Hole ID]],Data_Log[Hole ID],Data_Log[Planned collar plunge
(°)])</f>
        <v>0</v>
      </c>
      <c r="H73" s="6">
        <f>_xlfn.XLOOKUP(Tableau26[[#This Row],[Hole ID]],Data_Log[Hole ID],Data_Log[Planned collar trend
(°)])</f>
        <v>0</v>
      </c>
      <c r="I73" s="123">
        <f>Tableau26[[#This Row],[Dip
(deg)]]-Tableau26[[#This Row],[QA/QC Dip Planned]]</f>
        <v>0</v>
      </c>
      <c r="J73">
        <f>Tableau26[[#This Row],[Azimuth
(deg)]]-Tableau26[[#This Row],[QA/QC Azimut Planned]]</f>
        <v>0</v>
      </c>
    </row>
    <row r="74" spans="1:10" x14ac:dyDescent="0.25">
      <c r="A74" s="14"/>
      <c r="B74" s="124" t="e">
        <f>VLOOKUP(Tableau26[[#This Row],[Hole ID]],Data_Log[],2,FALSE)</f>
        <v>#N/A</v>
      </c>
      <c r="C74" s="81"/>
      <c r="D74" s="94"/>
      <c r="E74" s="81"/>
      <c r="F74" s="82"/>
      <c r="G74" s="126">
        <f>_xlfn.XLOOKUP(Tableau26[[#This Row],[Hole ID]],Data_Log[Hole ID],Data_Log[Planned collar plunge
(°)])</f>
        <v>0</v>
      </c>
      <c r="H74" s="6">
        <f>_xlfn.XLOOKUP(Tableau26[[#This Row],[Hole ID]],Data_Log[Hole ID],Data_Log[Planned collar trend
(°)])</f>
        <v>0</v>
      </c>
      <c r="I74" s="123">
        <f>Tableau26[[#This Row],[Dip
(deg)]]-Tableau26[[#This Row],[QA/QC Dip Planned]]</f>
        <v>0</v>
      </c>
      <c r="J74">
        <f>Tableau26[[#This Row],[Azimuth
(deg)]]-Tableau26[[#This Row],[QA/QC Azimut Planned]]</f>
        <v>0</v>
      </c>
    </row>
    <row r="75" spans="1:10" x14ac:dyDescent="0.25">
      <c r="A75" s="14"/>
      <c r="B75" s="124" t="e">
        <f>VLOOKUP(Tableau26[[#This Row],[Hole ID]],Data_Log[],2,FALSE)</f>
        <v>#N/A</v>
      </c>
      <c r="C75" s="81"/>
      <c r="D75" s="94"/>
      <c r="E75" s="81"/>
      <c r="F75" s="82"/>
      <c r="G75" s="126">
        <f>_xlfn.XLOOKUP(Tableau26[[#This Row],[Hole ID]],Data_Log[Hole ID],Data_Log[Planned collar plunge
(°)])</f>
        <v>0</v>
      </c>
      <c r="H75" s="6">
        <f>_xlfn.XLOOKUP(Tableau26[[#This Row],[Hole ID]],Data_Log[Hole ID],Data_Log[Planned collar trend
(°)])</f>
        <v>0</v>
      </c>
      <c r="I75" s="123">
        <f>Tableau26[[#This Row],[Dip
(deg)]]-Tableau26[[#This Row],[QA/QC Dip Planned]]</f>
        <v>0</v>
      </c>
      <c r="J75">
        <f>Tableau26[[#This Row],[Azimuth
(deg)]]-Tableau26[[#This Row],[QA/QC Azimut Planned]]</f>
        <v>0</v>
      </c>
    </row>
    <row r="76" spans="1:10" x14ac:dyDescent="0.25">
      <c r="A76" s="14"/>
      <c r="B76" s="124" t="e">
        <f>VLOOKUP(Tableau26[[#This Row],[Hole ID]],Data_Log[],2,FALSE)</f>
        <v>#N/A</v>
      </c>
      <c r="C76" s="81"/>
      <c r="D76" s="94"/>
      <c r="E76" s="81"/>
      <c r="F76" s="82"/>
      <c r="G76" s="126">
        <f>_xlfn.XLOOKUP(Tableau26[[#This Row],[Hole ID]],Data_Log[Hole ID],Data_Log[Planned collar plunge
(°)])</f>
        <v>0</v>
      </c>
      <c r="H76" s="6">
        <f>_xlfn.XLOOKUP(Tableau26[[#This Row],[Hole ID]],Data_Log[Hole ID],Data_Log[Planned collar trend
(°)])</f>
        <v>0</v>
      </c>
      <c r="I76" s="123">
        <f>Tableau26[[#This Row],[Dip
(deg)]]-Tableau26[[#This Row],[QA/QC Dip Planned]]</f>
        <v>0</v>
      </c>
      <c r="J76">
        <f>Tableau26[[#This Row],[Azimuth
(deg)]]-Tableau26[[#This Row],[QA/QC Azimut Planned]]</f>
        <v>0</v>
      </c>
    </row>
    <row r="77" spans="1:10" x14ac:dyDescent="0.25">
      <c r="A77" s="14"/>
      <c r="B77" s="124" t="e">
        <f>VLOOKUP(Tableau26[[#This Row],[Hole ID]],Data_Log[],2,FALSE)</f>
        <v>#N/A</v>
      </c>
      <c r="C77" s="81"/>
      <c r="D77" s="94"/>
      <c r="E77" s="81"/>
      <c r="F77" s="82"/>
      <c r="G77" s="126">
        <f>_xlfn.XLOOKUP(Tableau26[[#This Row],[Hole ID]],Data_Log[Hole ID],Data_Log[Planned collar plunge
(°)])</f>
        <v>0</v>
      </c>
      <c r="H77" s="6">
        <f>_xlfn.XLOOKUP(Tableau26[[#This Row],[Hole ID]],Data_Log[Hole ID],Data_Log[Planned collar trend
(°)])</f>
        <v>0</v>
      </c>
      <c r="I77" s="123">
        <f>Tableau26[[#This Row],[Dip
(deg)]]-Tableau26[[#This Row],[QA/QC Dip Planned]]</f>
        <v>0</v>
      </c>
      <c r="J77">
        <f>Tableau26[[#This Row],[Azimuth
(deg)]]-Tableau26[[#This Row],[QA/QC Azimut Planned]]</f>
        <v>0</v>
      </c>
    </row>
    <row r="78" spans="1:10" x14ac:dyDescent="0.25">
      <c r="A78" s="14"/>
      <c r="B78" s="124" t="e">
        <f>VLOOKUP(Tableau26[[#This Row],[Hole ID]],Data_Log[],2,FALSE)</f>
        <v>#N/A</v>
      </c>
      <c r="C78" s="81"/>
      <c r="D78" s="94"/>
      <c r="E78" s="81"/>
      <c r="F78" s="82"/>
      <c r="G78" s="126">
        <f>_xlfn.XLOOKUP(Tableau26[[#This Row],[Hole ID]],Data_Log[Hole ID],Data_Log[Planned collar plunge
(°)])</f>
        <v>0</v>
      </c>
      <c r="H78" s="6">
        <f>_xlfn.XLOOKUP(Tableau26[[#This Row],[Hole ID]],Data_Log[Hole ID],Data_Log[Planned collar trend
(°)])</f>
        <v>0</v>
      </c>
      <c r="I78" s="123">
        <f>Tableau26[[#This Row],[Dip
(deg)]]-Tableau26[[#This Row],[QA/QC Dip Planned]]</f>
        <v>0</v>
      </c>
      <c r="J78">
        <f>Tableau26[[#This Row],[Azimuth
(deg)]]-Tableau26[[#This Row],[QA/QC Azimut Planned]]</f>
        <v>0</v>
      </c>
    </row>
    <row r="79" spans="1:10" x14ac:dyDescent="0.25">
      <c r="A79" s="14"/>
      <c r="B79" s="124" t="e">
        <f>VLOOKUP(Tableau26[[#This Row],[Hole ID]],Data_Log[],2,FALSE)</f>
        <v>#N/A</v>
      </c>
      <c r="C79" s="81"/>
      <c r="D79" s="94"/>
      <c r="E79" s="81"/>
      <c r="F79" s="82"/>
      <c r="G79" s="126">
        <f>_xlfn.XLOOKUP(Tableau26[[#This Row],[Hole ID]],Data_Log[Hole ID],Data_Log[Planned collar plunge
(°)])</f>
        <v>0</v>
      </c>
      <c r="H79" s="6">
        <f>_xlfn.XLOOKUP(Tableau26[[#This Row],[Hole ID]],Data_Log[Hole ID],Data_Log[Planned collar trend
(°)])</f>
        <v>0</v>
      </c>
      <c r="I79" s="123">
        <f>Tableau26[[#This Row],[Dip
(deg)]]-Tableau26[[#This Row],[QA/QC Dip Planned]]</f>
        <v>0</v>
      </c>
      <c r="J79">
        <f>Tableau26[[#This Row],[Azimuth
(deg)]]-Tableau26[[#This Row],[QA/QC Azimut Planned]]</f>
        <v>0</v>
      </c>
    </row>
    <row r="80" spans="1:10" x14ac:dyDescent="0.25">
      <c r="A80" s="14"/>
      <c r="B80" s="124" t="e">
        <f>VLOOKUP(Tableau26[[#This Row],[Hole ID]],Data_Log[],2,FALSE)</f>
        <v>#N/A</v>
      </c>
      <c r="C80" s="81"/>
      <c r="D80" s="94"/>
      <c r="E80" s="81"/>
      <c r="F80" s="82"/>
      <c r="G80" s="126">
        <f>_xlfn.XLOOKUP(Tableau26[[#This Row],[Hole ID]],Data_Log[Hole ID],Data_Log[Planned collar plunge
(°)])</f>
        <v>0</v>
      </c>
      <c r="H80" s="6">
        <f>_xlfn.XLOOKUP(Tableau26[[#This Row],[Hole ID]],Data_Log[Hole ID],Data_Log[Planned collar trend
(°)])</f>
        <v>0</v>
      </c>
      <c r="I80" s="123">
        <f>Tableau26[[#This Row],[Dip
(deg)]]-Tableau26[[#This Row],[QA/QC Dip Planned]]</f>
        <v>0</v>
      </c>
      <c r="J80">
        <f>Tableau26[[#This Row],[Azimuth
(deg)]]-Tableau26[[#This Row],[QA/QC Azimut Planned]]</f>
        <v>0</v>
      </c>
    </row>
    <row r="81" spans="1:10" x14ac:dyDescent="0.25">
      <c r="A81" s="14"/>
      <c r="B81" s="124" t="e">
        <f>VLOOKUP(Tableau26[[#This Row],[Hole ID]],Data_Log[],2,FALSE)</f>
        <v>#N/A</v>
      </c>
      <c r="C81" s="81"/>
      <c r="D81" s="94"/>
      <c r="E81" s="81"/>
      <c r="F81" s="82"/>
      <c r="G81" s="126">
        <f>_xlfn.XLOOKUP(Tableau26[[#This Row],[Hole ID]],Data_Log[Hole ID],Data_Log[Planned collar plunge
(°)])</f>
        <v>0</v>
      </c>
      <c r="H81" s="6">
        <f>_xlfn.XLOOKUP(Tableau26[[#This Row],[Hole ID]],Data_Log[Hole ID],Data_Log[Planned collar trend
(°)])</f>
        <v>0</v>
      </c>
      <c r="I81" s="123">
        <f>Tableau26[[#This Row],[Dip
(deg)]]-Tableau26[[#This Row],[QA/QC Dip Planned]]</f>
        <v>0</v>
      </c>
      <c r="J81">
        <f>Tableau26[[#This Row],[Azimuth
(deg)]]-Tableau26[[#This Row],[QA/QC Azimut Planned]]</f>
        <v>0</v>
      </c>
    </row>
    <row r="82" spans="1:10" x14ac:dyDescent="0.25">
      <c r="A82" s="14"/>
      <c r="B82" s="124" t="e">
        <f>VLOOKUP(Tableau26[[#This Row],[Hole ID]],Data_Log[],2,FALSE)</f>
        <v>#N/A</v>
      </c>
      <c r="C82" s="81"/>
      <c r="D82" s="94"/>
      <c r="E82" s="81"/>
      <c r="F82" s="82"/>
      <c r="G82" s="126">
        <f>_xlfn.XLOOKUP(Tableau26[[#This Row],[Hole ID]],Data_Log[Hole ID],Data_Log[Planned collar plunge
(°)])</f>
        <v>0</v>
      </c>
      <c r="H82" s="6">
        <f>_xlfn.XLOOKUP(Tableau26[[#This Row],[Hole ID]],Data_Log[Hole ID],Data_Log[Planned collar trend
(°)])</f>
        <v>0</v>
      </c>
      <c r="I82" s="123">
        <f>Tableau26[[#This Row],[Dip
(deg)]]-Tableau26[[#This Row],[QA/QC Dip Planned]]</f>
        <v>0</v>
      </c>
      <c r="J82">
        <f>Tableau26[[#This Row],[Azimuth
(deg)]]-Tableau26[[#This Row],[QA/QC Azimut Planned]]</f>
        <v>0</v>
      </c>
    </row>
    <row r="83" spans="1:10" x14ac:dyDescent="0.25">
      <c r="A83" s="14"/>
      <c r="B83" s="124" t="e">
        <f>VLOOKUP(Tableau26[[#This Row],[Hole ID]],Data_Log[],2,FALSE)</f>
        <v>#N/A</v>
      </c>
      <c r="C83" s="81"/>
      <c r="D83" s="94"/>
      <c r="E83" s="81"/>
      <c r="F83" s="82"/>
      <c r="G83" s="126">
        <f>_xlfn.XLOOKUP(Tableau26[[#This Row],[Hole ID]],Data_Log[Hole ID],Data_Log[Planned collar plunge
(°)])</f>
        <v>0</v>
      </c>
      <c r="H83" s="6">
        <f>_xlfn.XLOOKUP(Tableau26[[#This Row],[Hole ID]],Data_Log[Hole ID],Data_Log[Planned collar trend
(°)])</f>
        <v>0</v>
      </c>
      <c r="I83" s="123">
        <f>Tableau26[[#This Row],[Dip
(deg)]]-Tableau26[[#This Row],[QA/QC Dip Planned]]</f>
        <v>0</v>
      </c>
      <c r="J83">
        <f>Tableau26[[#This Row],[Azimuth
(deg)]]-Tableau26[[#This Row],[QA/QC Azimut Planned]]</f>
        <v>0</v>
      </c>
    </row>
    <row r="84" spans="1:10" x14ac:dyDescent="0.25">
      <c r="A84" s="14"/>
      <c r="B84" s="124" t="e">
        <f>VLOOKUP(Tableau26[[#This Row],[Hole ID]],Data_Log[],2,FALSE)</f>
        <v>#N/A</v>
      </c>
      <c r="C84" s="81"/>
      <c r="D84" s="94"/>
      <c r="E84" s="81"/>
      <c r="F84" s="82"/>
      <c r="G84" s="126">
        <f>_xlfn.XLOOKUP(Tableau26[[#This Row],[Hole ID]],Data_Log[Hole ID],Data_Log[Planned collar plunge
(°)])</f>
        <v>0</v>
      </c>
      <c r="H84" s="6">
        <f>_xlfn.XLOOKUP(Tableau26[[#This Row],[Hole ID]],Data_Log[Hole ID],Data_Log[Planned collar trend
(°)])</f>
        <v>0</v>
      </c>
      <c r="I84" s="123">
        <f>Tableau26[[#This Row],[Dip
(deg)]]-Tableau26[[#This Row],[QA/QC Dip Planned]]</f>
        <v>0</v>
      </c>
      <c r="J84">
        <f>Tableau26[[#This Row],[Azimuth
(deg)]]-Tableau26[[#This Row],[QA/QC Azimut Planned]]</f>
        <v>0</v>
      </c>
    </row>
    <row r="85" spans="1:10" x14ac:dyDescent="0.25">
      <c r="A85" s="14"/>
      <c r="B85" s="124" t="e">
        <f>VLOOKUP(Tableau26[[#This Row],[Hole ID]],Data_Log[],2,FALSE)</f>
        <v>#N/A</v>
      </c>
      <c r="C85" s="81"/>
      <c r="D85" s="94"/>
      <c r="E85" s="81"/>
      <c r="F85" s="82"/>
      <c r="G85" s="126">
        <f>_xlfn.XLOOKUP(Tableau26[[#This Row],[Hole ID]],Data_Log[Hole ID],Data_Log[Planned collar plunge
(°)])</f>
        <v>0</v>
      </c>
      <c r="H85" s="6">
        <f>_xlfn.XLOOKUP(Tableau26[[#This Row],[Hole ID]],Data_Log[Hole ID],Data_Log[Planned collar trend
(°)])</f>
        <v>0</v>
      </c>
      <c r="I85" s="123">
        <f>Tableau26[[#This Row],[Dip
(deg)]]-Tableau26[[#This Row],[QA/QC Dip Planned]]</f>
        <v>0</v>
      </c>
      <c r="J85">
        <f>Tableau26[[#This Row],[Azimuth
(deg)]]-Tableau26[[#This Row],[QA/QC Azimut Planned]]</f>
        <v>0</v>
      </c>
    </row>
    <row r="86" spans="1:10" x14ac:dyDescent="0.25">
      <c r="A86" s="14"/>
      <c r="B86" s="124" t="e">
        <f>VLOOKUP(Tableau26[[#This Row],[Hole ID]],Data_Log[],2,FALSE)</f>
        <v>#N/A</v>
      </c>
      <c r="C86" s="81"/>
      <c r="D86" s="94"/>
      <c r="E86" s="81"/>
      <c r="F86" s="82"/>
      <c r="G86" s="126">
        <f>_xlfn.XLOOKUP(Tableau26[[#This Row],[Hole ID]],Data_Log[Hole ID],Data_Log[Planned collar plunge
(°)])</f>
        <v>0</v>
      </c>
      <c r="H86" s="6">
        <f>_xlfn.XLOOKUP(Tableau26[[#This Row],[Hole ID]],Data_Log[Hole ID],Data_Log[Planned collar trend
(°)])</f>
        <v>0</v>
      </c>
      <c r="I86" s="123">
        <f>Tableau26[[#This Row],[Dip
(deg)]]-Tableau26[[#This Row],[QA/QC Dip Planned]]</f>
        <v>0</v>
      </c>
      <c r="J86">
        <f>Tableau26[[#This Row],[Azimuth
(deg)]]-Tableau26[[#This Row],[QA/QC Azimut Planned]]</f>
        <v>0</v>
      </c>
    </row>
    <row r="87" spans="1:10" x14ac:dyDescent="0.25">
      <c r="A87" s="14"/>
      <c r="B87" s="124" t="e">
        <f>VLOOKUP(Tableau26[[#This Row],[Hole ID]],Data_Log[],2,FALSE)</f>
        <v>#N/A</v>
      </c>
      <c r="C87" s="81"/>
      <c r="D87" s="94"/>
      <c r="E87" s="81"/>
      <c r="F87" s="82"/>
      <c r="G87" s="126">
        <f>_xlfn.XLOOKUP(Tableau26[[#This Row],[Hole ID]],Data_Log[Hole ID],Data_Log[Planned collar plunge
(°)])</f>
        <v>0</v>
      </c>
      <c r="H87" s="6">
        <f>_xlfn.XLOOKUP(Tableau26[[#This Row],[Hole ID]],Data_Log[Hole ID],Data_Log[Planned collar trend
(°)])</f>
        <v>0</v>
      </c>
      <c r="I87" s="123">
        <f>Tableau26[[#This Row],[Dip
(deg)]]-Tableau26[[#This Row],[QA/QC Dip Planned]]</f>
        <v>0</v>
      </c>
      <c r="J87">
        <f>Tableau26[[#This Row],[Azimuth
(deg)]]-Tableau26[[#This Row],[QA/QC Azimut Planned]]</f>
        <v>0</v>
      </c>
    </row>
    <row r="88" spans="1:10" x14ac:dyDescent="0.25">
      <c r="A88" s="14"/>
      <c r="B88" s="124" t="e">
        <f>VLOOKUP(Tableau26[[#This Row],[Hole ID]],Data_Log[],2,FALSE)</f>
        <v>#N/A</v>
      </c>
      <c r="C88" s="81"/>
      <c r="D88" s="94"/>
      <c r="E88" s="81"/>
      <c r="F88" s="82"/>
      <c r="G88" s="126">
        <f>_xlfn.XLOOKUP(Tableau26[[#This Row],[Hole ID]],Data_Log[Hole ID],Data_Log[Planned collar plunge
(°)])</f>
        <v>0</v>
      </c>
      <c r="H88" s="6">
        <f>_xlfn.XLOOKUP(Tableau26[[#This Row],[Hole ID]],Data_Log[Hole ID],Data_Log[Planned collar trend
(°)])</f>
        <v>0</v>
      </c>
      <c r="I88" s="123">
        <f>Tableau26[[#This Row],[Dip
(deg)]]-Tableau26[[#This Row],[QA/QC Dip Planned]]</f>
        <v>0</v>
      </c>
      <c r="J88">
        <f>Tableau26[[#This Row],[Azimuth
(deg)]]-Tableau26[[#This Row],[QA/QC Azimut Planned]]</f>
        <v>0</v>
      </c>
    </row>
    <row r="89" spans="1:10" x14ac:dyDescent="0.25">
      <c r="A89" s="14"/>
      <c r="B89" s="124" t="e">
        <f>VLOOKUP(Tableau26[[#This Row],[Hole ID]],Data_Log[],2,FALSE)</f>
        <v>#N/A</v>
      </c>
      <c r="C89" s="81"/>
      <c r="D89" s="94"/>
      <c r="E89" s="81"/>
      <c r="F89" s="82"/>
      <c r="G89" s="126">
        <f>_xlfn.XLOOKUP(Tableau26[[#This Row],[Hole ID]],Data_Log[Hole ID],Data_Log[Planned collar plunge
(°)])</f>
        <v>0</v>
      </c>
      <c r="H89" s="6">
        <f>_xlfn.XLOOKUP(Tableau26[[#This Row],[Hole ID]],Data_Log[Hole ID],Data_Log[Planned collar trend
(°)])</f>
        <v>0</v>
      </c>
      <c r="I89" s="123">
        <f>Tableau26[[#This Row],[Dip
(deg)]]-Tableau26[[#This Row],[QA/QC Dip Planned]]</f>
        <v>0</v>
      </c>
      <c r="J89">
        <f>Tableau26[[#This Row],[Azimuth
(deg)]]-Tableau26[[#This Row],[QA/QC Azimut Planned]]</f>
        <v>0</v>
      </c>
    </row>
    <row r="90" spans="1:10" x14ac:dyDescent="0.25">
      <c r="A90" s="14"/>
      <c r="B90" s="124" t="e">
        <f>VLOOKUP(Tableau26[[#This Row],[Hole ID]],Data_Log[],2,FALSE)</f>
        <v>#N/A</v>
      </c>
      <c r="C90" s="81"/>
      <c r="D90" s="94"/>
      <c r="E90" s="81"/>
      <c r="F90" s="82"/>
      <c r="G90" s="126">
        <f>_xlfn.XLOOKUP(Tableau26[[#This Row],[Hole ID]],Data_Log[Hole ID],Data_Log[Planned collar plunge
(°)])</f>
        <v>0</v>
      </c>
      <c r="H90" s="6">
        <f>_xlfn.XLOOKUP(Tableau26[[#This Row],[Hole ID]],Data_Log[Hole ID],Data_Log[Planned collar trend
(°)])</f>
        <v>0</v>
      </c>
      <c r="I90" s="123">
        <f>Tableau26[[#This Row],[Dip
(deg)]]-Tableau26[[#This Row],[QA/QC Dip Planned]]</f>
        <v>0</v>
      </c>
      <c r="J90">
        <f>Tableau26[[#This Row],[Azimuth
(deg)]]-Tableau26[[#This Row],[QA/QC Azimut Planned]]</f>
        <v>0</v>
      </c>
    </row>
    <row r="91" spans="1:10" x14ac:dyDescent="0.25">
      <c r="A91" s="14"/>
      <c r="B91" s="124" t="e">
        <f>VLOOKUP(Tableau26[[#This Row],[Hole ID]],Data_Log[],2,FALSE)</f>
        <v>#N/A</v>
      </c>
      <c r="C91" s="81"/>
      <c r="D91" s="94"/>
      <c r="E91" s="81"/>
      <c r="F91" s="82"/>
      <c r="G91" s="126">
        <f>_xlfn.XLOOKUP(Tableau26[[#This Row],[Hole ID]],Data_Log[Hole ID],Data_Log[Planned collar plunge
(°)])</f>
        <v>0</v>
      </c>
      <c r="H91" s="6">
        <f>_xlfn.XLOOKUP(Tableau26[[#This Row],[Hole ID]],Data_Log[Hole ID],Data_Log[Planned collar trend
(°)])</f>
        <v>0</v>
      </c>
      <c r="I91" s="123">
        <f>Tableau26[[#This Row],[Dip
(deg)]]-Tableau26[[#This Row],[QA/QC Dip Planned]]</f>
        <v>0</v>
      </c>
      <c r="J91">
        <f>Tableau26[[#This Row],[Azimuth
(deg)]]-Tableau26[[#This Row],[QA/QC Azimut Planned]]</f>
        <v>0</v>
      </c>
    </row>
    <row r="92" spans="1:10" x14ac:dyDescent="0.25">
      <c r="A92" s="14"/>
      <c r="B92" s="124" t="e">
        <f>VLOOKUP(Tableau26[[#This Row],[Hole ID]],Data_Log[],2,FALSE)</f>
        <v>#N/A</v>
      </c>
      <c r="C92" s="81"/>
      <c r="D92" s="94"/>
      <c r="E92" s="81"/>
      <c r="F92" s="82"/>
      <c r="G92" s="126">
        <f>_xlfn.XLOOKUP(Tableau26[[#This Row],[Hole ID]],Data_Log[Hole ID],Data_Log[Planned collar plunge
(°)])</f>
        <v>0</v>
      </c>
      <c r="H92" s="6">
        <f>_xlfn.XLOOKUP(Tableau26[[#This Row],[Hole ID]],Data_Log[Hole ID],Data_Log[Planned collar trend
(°)])</f>
        <v>0</v>
      </c>
      <c r="I92" s="123">
        <f>Tableau26[[#This Row],[Dip
(deg)]]-Tableau26[[#This Row],[QA/QC Dip Planned]]</f>
        <v>0</v>
      </c>
      <c r="J92">
        <f>Tableau26[[#This Row],[Azimuth
(deg)]]-Tableau26[[#This Row],[QA/QC Azimut Planned]]</f>
        <v>0</v>
      </c>
    </row>
    <row r="93" spans="1:10" x14ac:dyDescent="0.25">
      <c r="A93" s="14"/>
      <c r="B93" s="124" t="e">
        <f>VLOOKUP(Tableau26[[#This Row],[Hole ID]],Data_Log[],2,FALSE)</f>
        <v>#N/A</v>
      </c>
      <c r="C93" s="81"/>
      <c r="D93" s="94"/>
      <c r="E93" s="81"/>
      <c r="F93" s="82"/>
      <c r="G93" s="126">
        <f>_xlfn.XLOOKUP(Tableau26[[#This Row],[Hole ID]],Data_Log[Hole ID],Data_Log[Planned collar plunge
(°)])</f>
        <v>0</v>
      </c>
      <c r="H93" s="6">
        <f>_xlfn.XLOOKUP(Tableau26[[#This Row],[Hole ID]],Data_Log[Hole ID],Data_Log[Planned collar trend
(°)])</f>
        <v>0</v>
      </c>
      <c r="I93" s="123">
        <f>Tableau26[[#This Row],[Dip
(deg)]]-Tableau26[[#This Row],[QA/QC Dip Planned]]</f>
        <v>0</v>
      </c>
      <c r="J93">
        <f>Tableau26[[#This Row],[Azimuth
(deg)]]-Tableau26[[#This Row],[QA/QC Azimut Planned]]</f>
        <v>0</v>
      </c>
    </row>
    <row r="94" spans="1:10" x14ac:dyDescent="0.25">
      <c r="A94" s="14"/>
      <c r="B94" s="124" t="e">
        <f>VLOOKUP(Tableau26[[#This Row],[Hole ID]],Data_Log[],2,FALSE)</f>
        <v>#N/A</v>
      </c>
      <c r="C94" s="81"/>
      <c r="D94" s="94"/>
      <c r="E94" s="81"/>
      <c r="F94" s="82"/>
      <c r="G94" s="126">
        <f>_xlfn.XLOOKUP(Tableau26[[#This Row],[Hole ID]],Data_Log[Hole ID],Data_Log[Planned collar plunge
(°)])</f>
        <v>0</v>
      </c>
      <c r="H94" s="6">
        <f>_xlfn.XLOOKUP(Tableau26[[#This Row],[Hole ID]],Data_Log[Hole ID],Data_Log[Planned collar trend
(°)])</f>
        <v>0</v>
      </c>
      <c r="I94" s="123">
        <f>Tableau26[[#This Row],[Dip
(deg)]]-Tableau26[[#This Row],[QA/QC Dip Planned]]</f>
        <v>0</v>
      </c>
      <c r="J94">
        <f>Tableau26[[#This Row],[Azimuth
(deg)]]-Tableau26[[#This Row],[QA/QC Azimut Planned]]</f>
        <v>0</v>
      </c>
    </row>
    <row r="95" spans="1:10" x14ac:dyDescent="0.25">
      <c r="A95" s="14"/>
      <c r="B95" s="124" t="e">
        <f>VLOOKUP(Tableau26[[#This Row],[Hole ID]],Data_Log[],2,FALSE)</f>
        <v>#N/A</v>
      </c>
      <c r="C95" s="81"/>
      <c r="D95" s="94"/>
      <c r="E95" s="81"/>
      <c r="F95" s="82"/>
      <c r="G95" s="126">
        <f>_xlfn.XLOOKUP(Tableau26[[#This Row],[Hole ID]],Data_Log[Hole ID],Data_Log[Planned collar plunge
(°)])</f>
        <v>0</v>
      </c>
      <c r="H95" s="6">
        <f>_xlfn.XLOOKUP(Tableau26[[#This Row],[Hole ID]],Data_Log[Hole ID],Data_Log[Planned collar trend
(°)])</f>
        <v>0</v>
      </c>
      <c r="I95" s="123">
        <f>Tableau26[[#This Row],[Dip
(deg)]]-Tableau26[[#This Row],[QA/QC Dip Planned]]</f>
        <v>0</v>
      </c>
      <c r="J95">
        <f>Tableau26[[#This Row],[Azimuth
(deg)]]-Tableau26[[#This Row],[QA/QC Azimut Planned]]</f>
        <v>0</v>
      </c>
    </row>
    <row r="96" spans="1:10" x14ac:dyDescent="0.25">
      <c r="A96" s="14"/>
      <c r="B96" s="124" t="e">
        <f>VLOOKUP(Tableau26[[#This Row],[Hole ID]],Data_Log[],2,FALSE)</f>
        <v>#N/A</v>
      </c>
      <c r="C96" s="81"/>
      <c r="D96" s="94"/>
      <c r="E96" s="81"/>
      <c r="F96" s="82"/>
      <c r="G96" s="126">
        <f>_xlfn.XLOOKUP(Tableau26[[#This Row],[Hole ID]],Data_Log[Hole ID],Data_Log[Planned collar plunge
(°)])</f>
        <v>0</v>
      </c>
      <c r="H96" s="6">
        <f>_xlfn.XLOOKUP(Tableau26[[#This Row],[Hole ID]],Data_Log[Hole ID],Data_Log[Planned collar trend
(°)])</f>
        <v>0</v>
      </c>
      <c r="I96" s="123">
        <f>Tableau26[[#This Row],[Dip
(deg)]]-Tableau26[[#This Row],[QA/QC Dip Planned]]</f>
        <v>0</v>
      </c>
      <c r="J96">
        <f>Tableau26[[#This Row],[Azimuth
(deg)]]-Tableau26[[#This Row],[QA/QC Azimut Planned]]</f>
        <v>0</v>
      </c>
    </row>
    <row r="97" spans="1:10" x14ac:dyDescent="0.25">
      <c r="A97" s="14"/>
      <c r="B97" s="124" t="e">
        <f>VLOOKUP(Tableau26[[#This Row],[Hole ID]],Data_Log[],2,FALSE)</f>
        <v>#N/A</v>
      </c>
      <c r="C97" s="81"/>
      <c r="D97" s="94"/>
      <c r="E97" s="81"/>
      <c r="F97" s="82"/>
      <c r="G97" s="126">
        <f>_xlfn.XLOOKUP(Tableau26[[#This Row],[Hole ID]],Data_Log[Hole ID],Data_Log[Planned collar plunge
(°)])</f>
        <v>0</v>
      </c>
      <c r="H97" s="6">
        <f>_xlfn.XLOOKUP(Tableau26[[#This Row],[Hole ID]],Data_Log[Hole ID],Data_Log[Planned collar trend
(°)])</f>
        <v>0</v>
      </c>
      <c r="I97" s="123">
        <f>Tableau26[[#This Row],[Dip
(deg)]]-Tableau26[[#This Row],[QA/QC Dip Planned]]</f>
        <v>0</v>
      </c>
      <c r="J97">
        <f>Tableau26[[#This Row],[Azimuth
(deg)]]-Tableau26[[#This Row],[QA/QC Azimut Planned]]</f>
        <v>0</v>
      </c>
    </row>
    <row r="98" spans="1:10" x14ac:dyDescent="0.25">
      <c r="A98" s="14"/>
      <c r="B98" s="124" t="e">
        <f>VLOOKUP(Tableau26[[#This Row],[Hole ID]],Data_Log[],2,FALSE)</f>
        <v>#N/A</v>
      </c>
      <c r="C98" s="81"/>
      <c r="D98" s="94"/>
      <c r="E98" s="81"/>
      <c r="F98" s="82"/>
      <c r="G98" s="126">
        <f>_xlfn.XLOOKUP(Tableau26[[#This Row],[Hole ID]],Data_Log[Hole ID],Data_Log[Planned collar plunge
(°)])</f>
        <v>0</v>
      </c>
      <c r="H98" s="6">
        <f>_xlfn.XLOOKUP(Tableau26[[#This Row],[Hole ID]],Data_Log[Hole ID],Data_Log[Planned collar trend
(°)])</f>
        <v>0</v>
      </c>
      <c r="I98" s="123">
        <f>Tableau26[[#This Row],[Dip
(deg)]]-Tableau26[[#This Row],[QA/QC Dip Planned]]</f>
        <v>0</v>
      </c>
      <c r="J98">
        <f>Tableau26[[#This Row],[Azimuth
(deg)]]-Tableau26[[#This Row],[QA/QC Azimut Planned]]</f>
        <v>0</v>
      </c>
    </row>
    <row r="99" spans="1:10" x14ac:dyDescent="0.25">
      <c r="A99" s="14"/>
      <c r="B99" s="124" t="e">
        <f>VLOOKUP(Tableau26[[#This Row],[Hole ID]],Data_Log[],2,FALSE)</f>
        <v>#N/A</v>
      </c>
      <c r="C99" s="81"/>
      <c r="D99" s="94"/>
      <c r="E99" s="81"/>
      <c r="F99" s="82"/>
      <c r="G99" s="126">
        <f>_xlfn.XLOOKUP(Tableau26[[#This Row],[Hole ID]],Data_Log[Hole ID],Data_Log[Planned collar plunge
(°)])</f>
        <v>0</v>
      </c>
      <c r="H99" s="6">
        <f>_xlfn.XLOOKUP(Tableau26[[#This Row],[Hole ID]],Data_Log[Hole ID],Data_Log[Planned collar trend
(°)])</f>
        <v>0</v>
      </c>
      <c r="I99" s="123">
        <f>Tableau26[[#This Row],[Dip
(deg)]]-Tableau26[[#This Row],[QA/QC Dip Planned]]</f>
        <v>0</v>
      </c>
      <c r="J99">
        <f>Tableau26[[#This Row],[Azimuth
(deg)]]-Tableau26[[#This Row],[QA/QC Azimut Planned]]</f>
        <v>0</v>
      </c>
    </row>
    <row r="100" spans="1:10" x14ac:dyDescent="0.25">
      <c r="A100" s="14"/>
      <c r="B100" s="124" t="e">
        <f>VLOOKUP(Tableau26[[#This Row],[Hole ID]],Data_Log[],2,FALSE)</f>
        <v>#N/A</v>
      </c>
      <c r="C100" s="81"/>
      <c r="D100" s="94"/>
      <c r="E100" s="81"/>
      <c r="F100" s="82"/>
      <c r="G100" s="126">
        <f>_xlfn.XLOOKUP(Tableau26[[#This Row],[Hole ID]],Data_Log[Hole ID],Data_Log[Planned collar plunge
(°)])</f>
        <v>0</v>
      </c>
      <c r="H100" s="6">
        <f>_xlfn.XLOOKUP(Tableau26[[#This Row],[Hole ID]],Data_Log[Hole ID],Data_Log[Planned collar trend
(°)])</f>
        <v>0</v>
      </c>
      <c r="I100" s="123">
        <f>Tableau26[[#This Row],[Dip
(deg)]]-Tableau26[[#This Row],[QA/QC Dip Planned]]</f>
        <v>0</v>
      </c>
      <c r="J100">
        <f>Tableau26[[#This Row],[Azimuth
(deg)]]-Tableau26[[#This Row],[QA/QC Azimut Planned]]</f>
        <v>0</v>
      </c>
    </row>
    <row r="101" spans="1:10" x14ac:dyDescent="0.25">
      <c r="A101" s="14"/>
      <c r="B101" s="124" t="e">
        <f>VLOOKUP(Tableau26[[#This Row],[Hole ID]],Data_Log[],2,FALSE)</f>
        <v>#N/A</v>
      </c>
      <c r="C101" s="81"/>
      <c r="D101" s="94"/>
      <c r="E101" s="81"/>
      <c r="F101" s="82"/>
      <c r="G101" s="126">
        <f>_xlfn.XLOOKUP(Tableau26[[#This Row],[Hole ID]],Data_Log[Hole ID],Data_Log[Planned collar plunge
(°)])</f>
        <v>0</v>
      </c>
      <c r="H101" s="6">
        <f>_xlfn.XLOOKUP(Tableau26[[#This Row],[Hole ID]],Data_Log[Hole ID],Data_Log[Planned collar trend
(°)])</f>
        <v>0</v>
      </c>
      <c r="I101" s="123">
        <f>Tableau26[[#This Row],[Dip
(deg)]]-Tableau26[[#This Row],[QA/QC Dip Planned]]</f>
        <v>0</v>
      </c>
      <c r="J101">
        <f>Tableau26[[#This Row],[Azimuth
(deg)]]-Tableau26[[#This Row],[QA/QC Azimut Planned]]</f>
        <v>0</v>
      </c>
    </row>
    <row r="102" spans="1:10" x14ac:dyDescent="0.25">
      <c r="A102" s="14"/>
      <c r="B102" s="124" t="e">
        <f>VLOOKUP(Tableau26[[#This Row],[Hole ID]],Data_Log[],2,FALSE)</f>
        <v>#N/A</v>
      </c>
      <c r="C102" s="81"/>
      <c r="D102" s="94"/>
      <c r="E102" s="81"/>
      <c r="F102" s="82"/>
      <c r="G102" s="126">
        <f>_xlfn.XLOOKUP(Tableau26[[#This Row],[Hole ID]],Data_Log[Hole ID],Data_Log[Planned collar plunge
(°)])</f>
        <v>0</v>
      </c>
      <c r="H102" s="6">
        <f>_xlfn.XLOOKUP(Tableau26[[#This Row],[Hole ID]],Data_Log[Hole ID],Data_Log[Planned collar trend
(°)])</f>
        <v>0</v>
      </c>
      <c r="I102" s="123">
        <f>Tableau26[[#This Row],[Dip
(deg)]]-Tableau26[[#This Row],[QA/QC Dip Planned]]</f>
        <v>0</v>
      </c>
      <c r="J102">
        <f>Tableau26[[#This Row],[Azimuth
(deg)]]-Tableau26[[#This Row],[QA/QC Azimut Planned]]</f>
        <v>0</v>
      </c>
    </row>
    <row r="103" spans="1:10" x14ac:dyDescent="0.25">
      <c r="A103" s="14"/>
      <c r="B103" s="124" t="e">
        <f>VLOOKUP(Tableau26[[#This Row],[Hole ID]],Data_Log[],2,FALSE)</f>
        <v>#N/A</v>
      </c>
      <c r="C103" s="81"/>
      <c r="D103" s="94"/>
      <c r="E103" s="81"/>
      <c r="F103" s="82"/>
      <c r="G103" s="126">
        <f>_xlfn.XLOOKUP(Tableau26[[#This Row],[Hole ID]],Data_Log[Hole ID],Data_Log[Planned collar plunge
(°)])</f>
        <v>0</v>
      </c>
      <c r="H103" s="6">
        <f>_xlfn.XLOOKUP(Tableau26[[#This Row],[Hole ID]],Data_Log[Hole ID],Data_Log[Planned collar trend
(°)])</f>
        <v>0</v>
      </c>
      <c r="I103" s="123">
        <f>Tableau26[[#This Row],[Dip
(deg)]]-Tableau26[[#This Row],[QA/QC Dip Planned]]</f>
        <v>0</v>
      </c>
      <c r="J103">
        <f>Tableau26[[#This Row],[Azimuth
(deg)]]-Tableau26[[#This Row],[QA/QC Azimut Planned]]</f>
        <v>0</v>
      </c>
    </row>
    <row r="104" spans="1:10" x14ac:dyDescent="0.25">
      <c r="A104" s="14"/>
      <c r="B104" s="124" t="e">
        <f>VLOOKUP(Tableau26[[#This Row],[Hole ID]],Data_Log[],2,FALSE)</f>
        <v>#N/A</v>
      </c>
      <c r="C104" s="81"/>
      <c r="D104" s="94"/>
      <c r="E104" s="81"/>
      <c r="F104" s="82"/>
      <c r="G104" s="126">
        <f>_xlfn.XLOOKUP(Tableau26[[#This Row],[Hole ID]],Data_Log[Hole ID],Data_Log[Planned collar plunge
(°)])</f>
        <v>0</v>
      </c>
      <c r="H104" s="6">
        <f>_xlfn.XLOOKUP(Tableau26[[#This Row],[Hole ID]],Data_Log[Hole ID],Data_Log[Planned collar trend
(°)])</f>
        <v>0</v>
      </c>
      <c r="I104" s="123">
        <f>Tableau26[[#This Row],[Dip
(deg)]]-Tableau26[[#This Row],[QA/QC Dip Planned]]</f>
        <v>0</v>
      </c>
      <c r="J104">
        <f>Tableau26[[#This Row],[Azimuth
(deg)]]-Tableau26[[#This Row],[QA/QC Azimut Planned]]</f>
        <v>0</v>
      </c>
    </row>
    <row r="105" spans="1:10" x14ac:dyDescent="0.25">
      <c r="A105" s="14"/>
      <c r="B105" s="124" t="e">
        <f>VLOOKUP(Tableau26[[#This Row],[Hole ID]],Data_Log[],2,FALSE)</f>
        <v>#N/A</v>
      </c>
      <c r="C105" s="81"/>
      <c r="D105" s="94"/>
      <c r="E105" s="81"/>
      <c r="F105" s="82"/>
      <c r="G105" s="126">
        <f>_xlfn.XLOOKUP(Tableau26[[#This Row],[Hole ID]],Data_Log[Hole ID],Data_Log[Planned collar plunge
(°)])</f>
        <v>0</v>
      </c>
      <c r="H105" s="6">
        <f>_xlfn.XLOOKUP(Tableau26[[#This Row],[Hole ID]],Data_Log[Hole ID],Data_Log[Planned collar trend
(°)])</f>
        <v>0</v>
      </c>
      <c r="I105" s="123">
        <f>Tableau26[[#This Row],[Dip
(deg)]]-Tableau26[[#This Row],[QA/QC Dip Planned]]</f>
        <v>0</v>
      </c>
      <c r="J105">
        <f>Tableau26[[#This Row],[Azimuth
(deg)]]-Tableau26[[#This Row],[QA/QC Azimut Planned]]</f>
        <v>0</v>
      </c>
    </row>
    <row r="106" spans="1:10" x14ac:dyDescent="0.25">
      <c r="A106" s="14"/>
      <c r="B106" s="124" t="e">
        <f>VLOOKUP(Tableau26[[#This Row],[Hole ID]],Data_Log[],2,FALSE)</f>
        <v>#N/A</v>
      </c>
      <c r="C106" s="81"/>
      <c r="D106" s="94"/>
      <c r="E106" s="81"/>
      <c r="F106" s="82"/>
      <c r="G106" s="126">
        <f>_xlfn.XLOOKUP(Tableau26[[#This Row],[Hole ID]],Data_Log[Hole ID],Data_Log[Planned collar plunge
(°)])</f>
        <v>0</v>
      </c>
      <c r="H106" s="6">
        <f>_xlfn.XLOOKUP(Tableau26[[#This Row],[Hole ID]],Data_Log[Hole ID],Data_Log[Planned collar trend
(°)])</f>
        <v>0</v>
      </c>
      <c r="I106" s="123">
        <f>Tableau26[[#This Row],[Dip
(deg)]]-Tableau26[[#This Row],[QA/QC Dip Planned]]</f>
        <v>0</v>
      </c>
      <c r="J106">
        <f>Tableau26[[#This Row],[Azimuth
(deg)]]-Tableau26[[#This Row],[QA/QC Azimut Planned]]</f>
        <v>0</v>
      </c>
    </row>
    <row r="107" spans="1:10" x14ac:dyDescent="0.25">
      <c r="A107" s="14"/>
      <c r="B107" s="124" t="e">
        <f>VLOOKUP(Tableau26[[#This Row],[Hole ID]],Data_Log[],2,FALSE)</f>
        <v>#N/A</v>
      </c>
      <c r="C107" s="81"/>
      <c r="D107" s="94"/>
      <c r="E107" s="81"/>
      <c r="F107" s="82"/>
      <c r="G107" s="126">
        <f>_xlfn.XLOOKUP(Tableau26[[#This Row],[Hole ID]],Data_Log[Hole ID],Data_Log[Planned collar plunge
(°)])</f>
        <v>0</v>
      </c>
      <c r="H107" s="6">
        <f>_xlfn.XLOOKUP(Tableau26[[#This Row],[Hole ID]],Data_Log[Hole ID],Data_Log[Planned collar trend
(°)])</f>
        <v>0</v>
      </c>
      <c r="I107" s="123">
        <f>Tableau26[[#This Row],[Dip
(deg)]]-Tableau26[[#This Row],[QA/QC Dip Planned]]</f>
        <v>0</v>
      </c>
      <c r="J107">
        <f>Tableau26[[#This Row],[Azimuth
(deg)]]-Tableau26[[#This Row],[QA/QC Azimut Planned]]</f>
        <v>0</v>
      </c>
    </row>
    <row r="108" spans="1:10" x14ac:dyDescent="0.25">
      <c r="A108" s="14"/>
      <c r="B108" s="124" t="e">
        <f>VLOOKUP(Tableau26[[#This Row],[Hole ID]],Data_Log[],2,FALSE)</f>
        <v>#N/A</v>
      </c>
      <c r="C108" s="81"/>
      <c r="D108" s="94"/>
      <c r="E108" s="81"/>
      <c r="F108" s="82"/>
      <c r="G108" s="126">
        <f>_xlfn.XLOOKUP(Tableau26[[#This Row],[Hole ID]],Data_Log[Hole ID],Data_Log[Planned collar plunge
(°)])</f>
        <v>0</v>
      </c>
      <c r="H108" s="6">
        <f>_xlfn.XLOOKUP(Tableau26[[#This Row],[Hole ID]],Data_Log[Hole ID],Data_Log[Planned collar trend
(°)])</f>
        <v>0</v>
      </c>
      <c r="I108" s="123">
        <f>Tableau26[[#This Row],[Dip
(deg)]]-Tableau26[[#This Row],[QA/QC Dip Planned]]</f>
        <v>0</v>
      </c>
      <c r="J108">
        <f>Tableau26[[#This Row],[Azimuth
(deg)]]-Tableau26[[#This Row],[QA/QC Azimut Planned]]</f>
        <v>0</v>
      </c>
    </row>
    <row r="109" spans="1:10" x14ac:dyDescent="0.25">
      <c r="A109" s="14"/>
      <c r="B109" s="124" t="e">
        <f>VLOOKUP(Tableau26[[#This Row],[Hole ID]],Data_Log[],2,FALSE)</f>
        <v>#N/A</v>
      </c>
      <c r="C109" s="81"/>
      <c r="D109" s="94"/>
      <c r="E109" s="81"/>
      <c r="F109" s="82"/>
      <c r="G109" s="126">
        <f>_xlfn.XLOOKUP(Tableau26[[#This Row],[Hole ID]],Data_Log[Hole ID],Data_Log[Planned collar plunge
(°)])</f>
        <v>0</v>
      </c>
      <c r="H109" s="6">
        <f>_xlfn.XLOOKUP(Tableau26[[#This Row],[Hole ID]],Data_Log[Hole ID],Data_Log[Planned collar trend
(°)])</f>
        <v>0</v>
      </c>
      <c r="I109" s="123">
        <f>Tableau26[[#This Row],[Dip
(deg)]]-Tableau26[[#This Row],[QA/QC Dip Planned]]</f>
        <v>0</v>
      </c>
      <c r="J109">
        <f>Tableau26[[#This Row],[Azimuth
(deg)]]-Tableau26[[#This Row],[QA/QC Azimut Planned]]</f>
        <v>0</v>
      </c>
    </row>
    <row r="110" spans="1:10" x14ac:dyDescent="0.25">
      <c r="A110" s="14"/>
      <c r="B110" s="124" t="e">
        <f>VLOOKUP(Tableau26[[#This Row],[Hole ID]],Data_Log[],2,FALSE)</f>
        <v>#N/A</v>
      </c>
      <c r="C110" s="81"/>
      <c r="D110" s="94"/>
      <c r="E110" s="81"/>
      <c r="F110" s="82"/>
      <c r="G110" s="126">
        <f>_xlfn.XLOOKUP(Tableau26[[#This Row],[Hole ID]],Data_Log[Hole ID],Data_Log[Planned collar plunge
(°)])</f>
        <v>0</v>
      </c>
      <c r="H110" s="6">
        <f>_xlfn.XLOOKUP(Tableau26[[#This Row],[Hole ID]],Data_Log[Hole ID],Data_Log[Planned collar trend
(°)])</f>
        <v>0</v>
      </c>
      <c r="I110" s="123">
        <f>Tableau26[[#This Row],[Dip
(deg)]]-Tableau26[[#This Row],[QA/QC Dip Planned]]</f>
        <v>0</v>
      </c>
      <c r="J110">
        <f>Tableau26[[#This Row],[Azimuth
(deg)]]-Tableau26[[#This Row],[QA/QC Azimut Planned]]</f>
        <v>0</v>
      </c>
    </row>
    <row r="111" spans="1:10" x14ac:dyDescent="0.25">
      <c r="A111" s="14"/>
      <c r="B111" s="124" t="e">
        <f>VLOOKUP(Tableau26[[#This Row],[Hole ID]],Data_Log[],2,FALSE)</f>
        <v>#N/A</v>
      </c>
      <c r="C111" s="81"/>
      <c r="D111" s="94"/>
      <c r="E111" s="81"/>
      <c r="F111" s="82"/>
      <c r="G111" s="126">
        <f>_xlfn.XLOOKUP(Tableau26[[#This Row],[Hole ID]],Data_Log[Hole ID],Data_Log[Planned collar plunge
(°)])</f>
        <v>0</v>
      </c>
      <c r="H111" s="6">
        <f>_xlfn.XLOOKUP(Tableau26[[#This Row],[Hole ID]],Data_Log[Hole ID],Data_Log[Planned collar trend
(°)])</f>
        <v>0</v>
      </c>
      <c r="I111" s="123">
        <f>Tableau26[[#This Row],[Dip
(deg)]]-Tableau26[[#This Row],[QA/QC Dip Planned]]</f>
        <v>0</v>
      </c>
      <c r="J111">
        <f>Tableau26[[#This Row],[Azimuth
(deg)]]-Tableau26[[#This Row],[QA/QC Azimut Planned]]</f>
        <v>0</v>
      </c>
    </row>
    <row r="112" spans="1:10" x14ac:dyDescent="0.25">
      <c r="A112" s="14"/>
      <c r="B112" s="124" t="e">
        <f>VLOOKUP(Tableau26[[#This Row],[Hole ID]],Data_Log[],2,FALSE)</f>
        <v>#N/A</v>
      </c>
      <c r="C112" s="81"/>
      <c r="D112" s="94"/>
      <c r="E112" s="81"/>
      <c r="F112" s="82"/>
      <c r="G112" s="126">
        <f>_xlfn.XLOOKUP(Tableau26[[#This Row],[Hole ID]],Data_Log[Hole ID],Data_Log[Planned collar plunge
(°)])</f>
        <v>0</v>
      </c>
      <c r="H112" s="6">
        <f>_xlfn.XLOOKUP(Tableau26[[#This Row],[Hole ID]],Data_Log[Hole ID],Data_Log[Planned collar trend
(°)])</f>
        <v>0</v>
      </c>
      <c r="I112" s="123">
        <f>Tableau26[[#This Row],[Dip
(deg)]]-Tableau26[[#This Row],[QA/QC Dip Planned]]</f>
        <v>0</v>
      </c>
      <c r="J112">
        <f>Tableau26[[#This Row],[Azimuth
(deg)]]-Tableau26[[#This Row],[QA/QC Azimut Planned]]</f>
        <v>0</v>
      </c>
    </row>
    <row r="113" spans="1:10" x14ac:dyDescent="0.25">
      <c r="A113" s="14"/>
      <c r="B113" s="124" t="e">
        <f>VLOOKUP(Tableau26[[#This Row],[Hole ID]],Data_Log[],2,FALSE)</f>
        <v>#N/A</v>
      </c>
      <c r="C113" s="81"/>
      <c r="D113" s="94"/>
      <c r="E113" s="81"/>
      <c r="F113" s="82"/>
      <c r="G113" s="126">
        <f>_xlfn.XLOOKUP(Tableau26[[#This Row],[Hole ID]],Data_Log[Hole ID],Data_Log[Planned collar plunge
(°)])</f>
        <v>0</v>
      </c>
      <c r="H113" s="6">
        <f>_xlfn.XLOOKUP(Tableau26[[#This Row],[Hole ID]],Data_Log[Hole ID],Data_Log[Planned collar trend
(°)])</f>
        <v>0</v>
      </c>
      <c r="I113" s="123">
        <f>Tableau26[[#This Row],[Dip
(deg)]]-Tableau26[[#This Row],[QA/QC Dip Planned]]</f>
        <v>0</v>
      </c>
      <c r="J113">
        <f>Tableau26[[#This Row],[Azimuth
(deg)]]-Tableau26[[#This Row],[QA/QC Azimut Planned]]</f>
        <v>0</v>
      </c>
    </row>
    <row r="114" spans="1:10" x14ac:dyDescent="0.25">
      <c r="A114" s="14"/>
      <c r="B114" s="124" t="e">
        <f>VLOOKUP(Tableau26[[#This Row],[Hole ID]],Data_Log[],2,FALSE)</f>
        <v>#N/A</v>
      </c>
      <c r="C114" s="81"/>
      <c r="D114" s="94"/>
      <c r="E114" s="81"/>
      <c r="F114" s="82"/>
      <c r="G114" s="126">
        <f>_xlfn.XLOOKUP(Tableau26[[#This Row],[Hole ID]],Data_Log[Hole ID],Data_Log[Planned collar plunge
(°)])</f>
        <v>0</v>
      </c>
      <c r="H114" s="6">
        <f>_xlfn.XLOOKUP(Tableau26[[#This Row],[Hole ID]],Data_Log[Hole ID],Data_Log[Planned collar trend
(°)])</f>
        <v>0</v>
      </c>
      <c r="I114" s="123">
        <f>Tableau26[[#This Row],[Dip
(deg)]]-Tableau26[[#This Row],[QA/QC Dip Planned]]</f>
        <v>0</v>
      </c>
      <c r="J114">
        <f>Tableau26[[#This Row],[Azimuth
(deg)]]-Tableau26[[#This Row],[QA/QC Azimut Planned]]</f>
        <v>0</v>
      </c>
    </row>
    <row r="115" spans="1:10" x14ac:dyDescent="0.25">
      <c r="A115" s="14"/>
      <c r="B115" s="124" t="e">
        <f>VLOOKUP(Tableau26[[#This Row],[Hole ID]],Data_Log[],2,FALSE)</f>
        <v>#N/A</v>
      </c>
      <c r="C115" s="81"/>
      <c r="D115" s="94"/>
      <c r="E115" s="81"/>
      <c r="F115" s="82"/>
      <c r="G115" s="126">
        <f>_xlfn.XLOOKUP(Tableau26[[#This Row],[Hole ID]],Data_Log[Hole ID],Data_Log[Planned collar plunge
(°)])</f>
        <v>0</v>
      </c>
      <c r="H115" s="6">
        <f>_xlfn.XLOOKUP(Tableau26[[#This Row],[Hole ID]],Data_Log[Hole ID],Data_Log[Planned collar trend
(°)])</f>
        <v>0</v>
      </c>
      <c r="I115" s="123">
        <f>Tableau26[[#This Row],[Dip
(deg)]]-Tableau26[[#This Row],[QA/QC Dip Planned]]</f>
        <v>0</v>
      </c>
      <c r="J115">
        <f>Tableau26[[#This Row],[Azimuth
(deg)]]-Tableau26[[#This Row],[QA/QC Azimut Planned]]</f>
        <v>0</v>
      </c>
    </row>
    <row r="116" spans="1:10" x14ac:dyDescent="0.25">
      <c r="A116" s="14"/>
      <c r="B116" s="124" t="e">
        <f>VLOOKUP(Tableau26[[#This Row],[Hole ID]],Data_Log[],2,FALSE)</f>
        <v>#N/A</v>
      </c>
      <c r="C116" s="81"/>
      <c r="D116" s="94"/>
      <c r="E116" s="81"/>
      <c r="F116" s="82"/>
      <c r="G116" s="126">
        <f>_xlfn.XLOOKUP(Tableau26[[#This Row],[Hole ID]],Data_Log[Hole ID],Data_Log[Planned collar plunge
(°)])</f>
        <v>0</v>
      </c>
      <c r="H116" s="6">
        <f>_xlfn.XLOOKUP(Tableau26[[#This Row],[Hole ID]],Data_Log[Hole ID],Data_Log[Planned collar trend
(°)])</f>
        <v>0</v>
      </c>
      <c r="I116" s="123">
        <f>Tableau26[[#This Row],[Dip
(deg)]]-Tableau26[[#This Row],[QA/QC Dip Planned]]</f>
        <v>0</v>
      </c>
      <c r="J116">
        <f>Tableau26[[#This Row],[Azimuth
(deg)]]-Tableau26[[#This Row],[QA/QC Azimut Planned]]</f>
        <v>0</v>
      </c>
    </row>
    <row r="117" spans="1:10" x14ac:dyDescent="0.25">
      <c r="A117" s="14"/>
      <c r="B117" s="124" t="e">
        <f>VLOOKUP(Tableau26[[#This Row],[Hole ID]],Data_Log[],2,FALSE)</f>
        <v>#N/A</v>
      </c>
      <c r="C117" s="81"/>
      <c r="D117" s="94"/>
      <c r="E117" s="81"/>
      <c r="F117" s="82"/>
      <c r="G117" s="126">
        <f>_xlfn.XLOOKUP(Tableau26[[#This Row],[Hole ID]],Data_Log[Hole ID],Data_Log[Planned collar plunge
(°)])</f>
        <v>0</v>
      </c>
      <c r="H117" s="6">
        <f>_xlfn.XLOOKUP(Tableau26[[#This Row],[Hole ID]],Data_Log[Hole ID],Data_Log[Planned collar trend
(°)])</f>
        <v>0</v>
      </c>
      <c r="I117" s="123">
        <f>Tableau26[[#This Row],[Dip
(deg)]]-Tableau26[[#This Row],[QA/QC Dip Planned]]</f>
        <v>0</v>
      </c>
      <c r="J117">
        <f>Tableau26[[#This Row],[Azimuth
(deg)]]-Tableau26[[#This Row],[QA/QC Azimut Planned]]</f>
        <v>0</v>
      </c>
    </row>
    <row r="118" spans="1:10" x14ac:dyDescent="0.25">
      <c r="A118" s="14"/>
      <c r="B118" s="124" t="e">
        <f>VLOOKUP(Tableau26[[#This Row],[Hole ID]],Data_Log[],2,FALSE)</f>
        <v>#N/A</v>
      </c>
      <c r="C118" s="81"/>
      <c r="D118" s="94"/>
      <c r="E118" s="81"/>
      <c r="F118" s="82"/>
      <c r="G118" s="126">
        <f>_xlfn.XLOOKUP(Tableau26[[#This Row],[Hole ID]],Data_Log[Hole ID],Data_Log[Planned collar plunge
(°)])</f>
        <v>0</v>
      </c>
      <c r="H118" s="6">
        <f>_xlfn.XLOOKUP(Tableau26[[#This Row],[Hole ID]],Data_Log[Hole ID],Data_Log[Planned collar trend
(°)])</f>
        <v>0</v>
      </c>
      <c r="I118" s="123">
        <f>Tableau26[[#This Row],[Dip
(deg)]]-Tableau26[[#This Row],[QA/QC Dip Planned]]</f>
        <v>0</v>
      </c>
      <c r="J118">
        <f>Tableau26[[#This Row],[Azimuth
(deg)]]-Tableau26[[#This Row],[QA/QC Azimut Planned]]</f>
        <v>0</v>
      </c>
    </row>
    <row r="119" spans="1:10" x14ac:dyDescent="0.25">
      <c r="A119" s="14"/>
      <c r="B119" s="124" t="e">
        <f>VLOOKUP(Tableau26[[#This Row],[Hole ID]],Data_Log[],2,FALSE)</f>
        <v>#N/A</v>
      </c>
      <c r="C119" s="81"/>
      <c r="D119" s="94"/>
      <c r="E119" s="81"/>
      <c r="F119" s="82"/>
      <c r="G119" s="126">
        <f>_xlfn.XLOOKUP(Tableau26[[#This Row],[Hole ID]],Data_Log[Hole ID],Data_Log[Planned collar plunge
(°)])</f>
        <v>0</v>
      </c>
      <c r="H119" s="6">
        <f>_xlfn.XLOOKUP(Tableau26[[#This Row],[Hole ID]],Data_Log[Hole ID],Data_Log[Planned collar trend
(°)])</f>
        <v>0</v>
      </c>
      <c r="I119" s="123">
        <f>Tableau26[[#This Row],[Dip
(deg)]]-Tableau26[[#This Row],[QA/QC Dip Planned]]</f>
        <v>0</v>
      </c>
      <c r="J119">
        <f>Tableau26[[#This Row],[Azimuth
(deg)]]-Tableau26[[#This Row],[QA/QC Azimut Planned]]</f>
        <v>0</v>
      </c>
    </row>
    <row r="120" spans="1:10" x14ac:dyDescent="0.25">
      <c r="A120" s="14"/>
      <c r="B120" s="124" t="e">
        <f>VLOOKUP(Tableau26[[#This Row],[Hole ID]],Data_Log[],2,FALSE)</f>
        <v>#N/A</v>
      </c>
      <c r="C120" s="81"/>
      <c r="D120" s="94"/>
      <c r="E120" s="81"/>
      <c r="F120" s="82"/>
      <c r="G120" s="126">
        <f>_xlfn.XLOOKUP(Tableau26[[#This Row],[Hole ID]],Data_Log[Hole ID],Data_Log[Planned collar plunge
(°)])</f>
        <v>0</v>
      </c>
      <c r="H120" s="6">
        <f>_xlfn.XLOOKUP(Tableau26[[#This Row],[Hole ID]],Data_Log[Hole ID],Data_Log[Planned collar trend
(°)])</f>
        <v>0</v>
      </c>
      <c r="I120" s="123">
        <f>Tableau26[[#This Row],[Dip
(deg)]]-Tableau26[[#This Row],[QA/QC Dip Planned]]</f>
        <v>0</v>
      </c>
      <c r="J120">
        <f>Tableau26[[#This Row],[Azimuth
(deg)]]-Tableau26[[#This Row],[QA/QC Azimut Planned]]</f>
        <v>0</v>
      </c>
    </row>
    <row r="121" spans="1:10" x14ac:dyDescent="0.25">
      <c r="A121" s="14"/>
      <c r="B121" s="124" t="e">
        <f>VLOOKUP(Tableau26[[#This Row],[Hole ID]],Data_Log[],2,FALSE)</f>
        <v>#N/A</v>
      </c>
      <c r="C121" s="81"/>
      <c r="D121" s="94"/>
      <c r="E121" s="81"/>
      <c r="F121" s="82"/>
      <c r="G121" s="126">
        <f>_xlfn.XLOOKUP(Tableau26[[#This Row],[Hole ID]],Data_Log[Hole ID],Data_Log[Planned collar plunge
(°)])</f>
        <v>0</v>
      </c>
      <c r="H121" s="6">
        <f>_xlfn.XLOOKUP(Tableau26[[#This Row],[Hole ID]],Data_Log[Hole ID],Data_Log[Planned collar trend
(°)])</f>
        <v>0</v>
      </c>
      <c r="I121" s="123">
        <f>Tableau26[[#This Row],[Dip
(deg)]]-Tableau26[[#This Row],[QA/QC Dip Planned]]</f>
        <v>0</v>
      </c>
      <c r="J121">
        <f>Tableau26[[#This Row],[Azimuth
(deg)]]-Tableau26[[#This Row],[QA/QC Azimut Planned]]</f>
        <v>0</v>
      </c>
    </row>
    <row r="122" spans="1:10" x14ac:dyDescent="0.25">
      <c r="A122" s="14"/>
      <c r="B122" s="124" t="e">
        <f>VLOOKUP(Tableau26[[#This Row],[Hole ID]],Data_Log[],2,FALSE)</f>
        <v>#N/A</v>
      </c>
      <c r="C122" s="81"/>
      <c r="D122" s="94"/>
      <c r="E122" s="81"/>
      <c r="F122" s="82"/>
      <c r="G122" s="126">
        <f>_xlfn.XLOOKUP(Tableau26[[#This Row],[Hole ID]],Data_Log[Hole ID],Data_Log[Planned collar plunge
(°)])</f>
        <v>0</v>
      </c>
      <c r="H122" s="6">
        <f>_xlfn.XLOOKUP(Tableau26[[#This Row],[Hole ID]],Data_Log[Hole ID],Data_Log[Planned collar trend
(°)])</f>
        <v>0</v>
      </c>
      <c r="I122" s="123">
        <f>Tableau26[[#This Row],[Dip
(deg)]]-Tableau26[[#This Row],[QA/QC Dip Planned]]</f>
        <v>0</v>
      </c>
      <c r="J122">
        <f>Tableau26[[#This Row],[Azimuth
(deg)]]-Tableau26[[#This Row],[QA/QC Azimut Planned]]</f>
        <v>0</v>
      </c>
    </row>
    <row r="123" spans="1:10" x14ac:dyDescent="0.25">
      <c r="A123" s="14"/>
      <c r="B123" s="124" t="e">
        <f>VLOOKUP(Tableau26[[#This Row],[Hole ID]],Data_Log[],2,FALSE)</f>
        <v>#N/A</v>
      </c>
      <c r="C123" s="81"/>
      <c r="D123" s="94"/>
      <c r="E123" s="81"/>
      <c r="F123" s="82"/>
      <c r="G123" s="126">
        <f>_xlfn.XLOOKUP(Tableau26[[#This Row],[Hole ID]],Data_Log[Hole ID],Data_Log[Planned collar plunge
(°)])</f>
        <v>0</v>
      </c>
      <c r="H123" s="6">
        <f>_xlfn.XLOOKUP(Tableau26[[#This Row],[Hole ID]],Data_Log[Hole ID],Data_Log[Planned collar trend
(°)])</f>
        <v>0</v>
      </c>
      <c r="I123" s="123">
        <f>Tableau26[[#This Row],[Dip
(deg)]]-Tableau26[[#This Row],[QA/QC Dip Planned]]</f>
        <v>0</v>
      </c>
      <c r="J123">
        <f>Tableau26[[#This Row],[Azimuth
(deg)]]-Tableau26[[#This Row],[QA/QC Azimut Planned]]</f>
        <v>0</v>
      </c>
    </row>
    <row r="124" spans="1:10" x14ac:dyDescent="0.25">
      <c r="A124" s="14"/>
      <c r="B124" s="124" t="e">
        <f>VLOOKUP(Tableau26[[#This Row],[Hole ID]],Data_Log[],2,FALSE)</f>
        <v>#N/A</v>
      </c>
      <c r="C124" s="81"/>
      <c r="D124" s="94"/>
      <c r="E124" s="81"/>
      <c r="F124" s="82"/>
      <c r="G124" s="126">
        <f>_xlfn.XLOOKUP(Tableau26[[#This Row],[Hole ID]],Data_Log[Hole ID],Data_Log[Planned collar plunge
(°)])</f>
        <v>0</v>
      </c>
      <c r="H124" s="6">
        <f>_xlfn.XLOOKUP(Tableau26[[#This Row],[Hole ID]],Data_Log[Hole ID],Data_Log[Planned collar trend
(°)])</f>
        <v>0</v>
      </c>
      <c r="I124" s="123">
        <f>Tableau26[[#This Row],[Dip
(deg)]]-Tableau26[[#This Row],[QA/QC Dip Planned]]</f>
        <v>0</v>
      </c>
      <c r="J124">
        <f>Tableau26[[#This Row],[Azimuth
(deg)]]-Tableau26[[#This Row],[QA/QC Azimut Planned]]</f>
        <v>0</v>
      </c>
    </row>
    <row r="125" spans="1:10" x14ac:dyDescent="0.25">
      <c r="A125" s="14"/>
      <c r="B125" s="124" t="e">
        <f>VLOOKUP(Tableau26[[#This Row],[Hole ID]],Data_Log[],2,FALSE)</f>
        <v>#N/A</v>
      </c>
      <c r="C125" s="81"/>
      <c r="D125" s="94"/>
      <c r="E125" s="81"/>
      <c r="F125" s="82"/>
      <c r="G125" s="126">
        <f>_xlfn.XLOOKUP(Tableau26[[#This Row],[Hole ID]],Data_Log[Hole ID],Data_Log[Planned collar plunge
(°)])</f>
        <v>0</v>
      </c>
      <c r="H125" s="6">
        <f>_xlfn.XLOOKUP(Tableau26[[#This Row],[Hole ID]],Data_Log[Hole ID],Data_Log[Planned collar trend
(°)])</f>
        <v>0</v>
      </c>
      <c r="I125" s="123">
        <f>Tableau26[[#This Row],[Dip
(deg)]]-Tableau26[[#This Row],[QA/QC Dip Planned]]</f>
        <v>0</v>
      </c>
      <c r="J125">
        <f>Tableau26[[#This Row],[Azimuth
(deg)]]-Tableau26[[#This Row],[QA/QC Azimut Planned]]</f>
        <v>0</v>
      </c>
    </row>
    <row r="126" spans="1:10" x14ac:dyDescent="0.25">
      <c r="A126" s="14"/>
      <c r="B126" s="124" t="e">
        <f>VLOOKUP(Tableau26[[#This Row],[Hole ID]],Data_Log[],2,FALSE)</f>
        <v>#N/A</v>
      </c>
      <c r="C126" s="81"/>
      <c r="D126" s="94"/>
      <c r="E126" s="81"/>
      <c r="F126" s="82"/>
      <c r="G126" s="126">
        <f>_xlfn.XLOOKUP(Tableau26[[#This Row],[Hole ID]],Data_Log[Hole ID],Data_Log[Planned collar plunge
(°)])</f>
        <v>0</v>
      </c>
      <c r="H126" s="6">
        <f>_xlfn.XLOOKUP(Tableau26[[#This Row],[Hole ID]],Data_Log[Hole ID],Data_Log[Planned collar trend
(°)])</f>
        <v>0</v>
      </c>
      <c r="I126" s="123">
        <f>Tableau26[[#This Row],[Dip
(deg)]]-Tableau26[[#This Row],[QA/QC Dip Planned]]</f>
        <v>0</v>
      </c>
      <c r="J126">
        <f>Tableau26[[#This Row],[Azimuth
(deg)]]-Tableau26[[#This Row],[QA/QC Azimut Planned]]</f>
        <v>0</v>
      </c>
    </row>
    <row r="127" spans="1:10" x14ac:dyDescent="0.25">
      <c r="A127" s="14"/>
      <c r="B127" s="124" t="e">
        <f>VLOOKUP(Tableau26[[#This Row],[Hole ID]],Data_Log[],2,FALSE)</f>
        <v>#N/A</v>
      </c>
      <c r="C127" s="81"/>
      <c r="D127" s="94"/>
      <c r="E127" s="81"/>
      <c r="F127" s="82"/>
      <c r="G127" s="126">
        <f>_xlfn.XLOOKUP(Tableau26[[#This Row],[Hole ID]],Data_Log[Hole ID],Data_Log[Planned collar plunge
(°)])</f>
        <v>0</v>
      </c>
      <c r="H127" s="6">
        <f>_xlfn.XLOOKUP(Tableau26[[#This Row],[Hole ID]],Data_Log[Hole ID],Data_Log[Planned collar trend
(°)])</f>
        <v>0</v>
      </c>
      <c r="I127" s="123">
        <f>Tableau26[[#This Row],[Dip
(deg)]]-Tableau26[[#This Row],[QA/QC Dip Planned]]</f>
        <v>0</v>
      </c>
      <c r="J127">
        <f>Tableau26[[#This Row],[Azimuth
(deg)]]-Tableau26[[#This Row],[QA/QC Azimut Planned]]</f>
        <v>0</v>
      </c>
    </row>
    <row r="128" spans="1:10" x14ac:dyDescent="0.25">
      <c r="A128" s="14"/>
      <c r="B128" s="124" t="e">
        <f>VLOOKUP(Tableau26[[#This Row],[Hole ID]],Data_Log[],2,FALSE)</f>
        <v>#N/A</v>
      </c>
      <c r="C128" s="81"/>
      <c r="D128" s="94"/>
      <c r="E128" s="81"/>
      <c r="F128" s="82"/>
      <c r="G128" s="126">
        <f>_xlfn.XLOOKUP(Tableau26[[#This Row],[Hole ID]],Data_Log[Hole ID],Data_Log[Planned collar plunge
(°)])</f>
        <v>0</v>
      </c>
      <c r="H128" s="6">
        <f>_xlfn.XLOOKUP(Tableau26[[#This Row],[Hole ID]],Data_Log[Hole ID],Data_Log[Planned collar trend
(°)])</f>
        <v>0</v>
      </c>
      <c r="I128" s="123">
        <f>Tableau26[[#This Row],[Dip
(deg)]]-Tableau26[[#This Row],[QA/QC Dip Planned]]</f>
        <v>0</v>
      </c>
      <c r="J128">
        <f>Tableau26[[#This Row],[Azimuth
(deg)]]-Tableau26[[#This Row],[QA/QC Azimut Planned]]</f>
        <v>0</v>
      </c>
    </row>
    <row r="129" spans="1:10" x14ac:dyDescent="0.25">
      <c r="A129" s="14"/>
      <c r="B129" s="124" t="e">
        <f>VLOOKUP(Tableau26[[#This Row],[Hole ID]],Data_Log[],2,FALSE)</f>
        <v>#N/A</v>
      </c>
      <c r="C129" s="81"/>
      <c r="D129" s="94"/>
      <c r="E129" s="81"/>
      <c r="F129" s="82"/>
      <c r="G129" s="126">
        <f>_xlfn.XLOOKUP(Tableau26[[#This Row],[Hole ID]],Data_Log[Hole ID],Data_Log[Planned collar plunge
(°)])</f>
        <v>0</v>
      </c>
      <c r="H129" s="6">
        <f>_xlfn.XLOOKUP(Tableau26[[#This Row],[Hole ID]],Data_Log[Hole ID],Data_Log[Planned collar trend
(°)])</f>
        <v>0</v>
      </c>
      <c r="I129" s="123">
        <f>Tableau26[[#This Row],[Dip
(deg)]]-Tableau26[[#This Row],[QA/QC Dip Planned]]</f>
        <v>0</v>
      </c>
      <c r="J129">
        <f>Tableau26[[#This Row],[Azimuth
(deg)]]-Tableau26[[#This Row],[QA/QC Azimut Planned]]</f>
        <v>0</v>
      </c>
    </row>
    <row r="130" spans="1:10" x14ac:dyDescent="0.25">
      <c r="A130" s="14"/>
      <c r="B130" s="124" t="e">
        <f>VLOOKUP(Tableau26[[#This Row],[Hole ID]],Data_Log[],2,FALSE)</f>
        <v>#N/A</v>
      </c>
      <c r="C130" s="81"/>
      <c r="D130" s="94"/>
      <c r="E130" s="81"/>
      <c r="F130" s="82"/>
      <c r="G130" s="126">
        <f>_xlfn.XLOOKUP(Tableau26[[#This Row],[Hole ID]],Data_Log[Hole ID],Data_Log[Planned collar plunge
(°)])</f>
        <v>0</v>
      </c>
      <c r="H130" s="6">
        <f>_xlfn.XLOOKUP(Tableau26[[#This Row],[Hole ID]],Data_Log[Hole ID],Data_Log[Planned collar trend
(°)])</f>
        <v>0</v>
      </c>
      <c r="I130" s="123">
        <f>Tableau26[[#This Row],[Dip
(deg)]]-Tableau26[[#This Row],[QA/QC Dip Planned]]</f>
        <v>0</v>
      </c>
      <c r="J130">
        <f>Tableau26[[#This Row],[Azimuth
(deg)]]-Tableau26[[#This Row],[QA/QC Azimut Planned]]</f>
        <v>0</v>
      </c>
    </row>
    <row r="131" spans="1:10" x14ac:dyDescent="0.25">
      <c r="A131" s="14"/>
      <c r="B131" s="124" t="e">
        <f>VLOOKUP(Tableau26[[#This Row],[Hole ID]],Data_Log[],2,FALSE)</f>
        <v>#N/A</v>
      </c>
      <c r="C131" s="81"/>
      <c r="D131" s="94"/>
      <c r="E131" s="81"/>
      <c r="F131" s="82"/>
      <c r="G131" s="126">
        <f>_xlfn.XLOOKUP(Tableau26[[#This Row],[Hole ID]],Data_Log[Hole ID],Data_Log[Planned collar plunge
(°)])</f>
        <v>0</v>
      </c>
      <c r="H131" s="6">
        <f>_xlfn.XLOOKUP(Tableau26[[#This Row],[Hole ID]],Data_Log[Hole ID],Data_Log[Planned collar trend
(°)])</f>
        <v>0</v>
      </c>
      <c r="I131" s="123">
        <f>Tableau26[[#This Row],[Dip
(deg)]]-Tableau26[[#This Row],[QA/QC Dip Planned]]</f>
        <v>0</v>
      </c>
      <c r="J131">
        <f>Tableau26[[#This Row],[Azimuth
(deg)]]-Tableau26[[#This Row],[QA/QC Azimut Planned]]</f>
        <v>0</v>
      </c>
    </row>
    <row r="132" spans="1:10" x14ac:dyDescent="0.25">
      <c r="A132" s="14"/>
      <c r="B132" s="124" t="e">
        <f>VLOOKUP(Tableau26[[#This Row],[Hole ID]],Data_Log[],2,FALSE)</f>
        <v>#N/A</v>
      </c>
      <c r="C132" s="81"/>
      <c r="D132" s="94"/>
      <c r="E132" s="81"/>
      <c r="F132" s="82"/>
      <c r="G132" s="126">
        <f>_xlfn.XLOOKUP(Tableau26[[#This Row],[Hole ID]],Data_Log[Hole ID],Data_Log[Planned collar plunge
(°)])</f>
        <v>0</v>
      </c>
      <c r="H132" s="6">
        <f>_xlfn.XLOOKUP(Tableau26[[#This Row],[Hole ID]],Data_Log[Hole ID],Data_Log[Planned collar trend
(°)])</f>
        <v>0</v>
      </c>
      <c r="I132" s="123">
        <f>Tableau26[[#This Row],[Dip
(deg)]]-Tableau26[[#This Row],[QA/QC Dip Planned]]</f>
        <v>0</v>
      </c>
      <c r="J132">
        <f>Tableau26[[#This Row],[Azimuth
(deg)]]-Tableau26[[#This Row],[QA/QC Azimut Planned]]</f>
        <v>0</v>
      </c>
    </row>
    <row r="133" spans="1:10" x14ac:dyDescent="0.25">
      <c r="A133" s="14"/>
      <c r="B133" s="124" t="e">
        <f>VLOOKUP(Tableau26[[#This Row],[Hole ID]],Data_Log[],2,FALSE)</f>
        <v>#N/A</v>
      </c>
      <c r="C133" s="81"/>
      <c r="D133" s="94"/>
      <c r="E133" s="81"/>
      <c r="F133" s="82"/>
      <c r="G133" s="126">
        <f>_xlfn.XLOOKUP(Tableau26[[#This Row],[Hole ID]],Data_Log[Hole ID],Data_Log[Planned collar plunge
(°)])</f>
        <v>0</v>
      </c>
      <c r="H133" s="6">
        <f>_xlfn.XLOOKUP(Tableau26[[#This Row],[Hole ID]],Data_Log[Hole ID],Data_Log[Planned collar trend
(°)])</f>
        <v>0</v>
      </c>
      <c r="I133" s="123">
        <f>Tableau26[[#This Row],[Dip
(deg)]]-Tableau26[[#This Row],[QA/QC Dip Planned]]</f>
        <v>0</v>
      </c>
      <c r="J133">
        <f>Tableau26[[#This Row],[Azimuth
(deg)]]-Tableau26[[#This Row],[QA/QC Azimut Planned]]</f>
        <v>0</v>
      </c>
    </row>
    <row r="134" spans="1:10" x14ac:dyDescent="0.25">
      <c r="A134" s="14"/>
      <c r="B134" s="124" t="e">
        <f>VLOOKUP(Tableau26[[#This Row],[Hole ID]],Data_Log[],2,FALSE)</f>
        <v>#N/A</v>
      </c>
      <c r="C134" s="81"/>
      <c r="D134" s="94"/>
      <c r="E134" s="81"/>
      <c r="F134" s="82"/>
      <c r="G134" s="126">
        <f>_xlfn.XLOOKUP(Tableau26[[#This Row],[Hole ID]],Data_Log[Hole ID],Data_Log[Planned collar plunge
(°)])</f>
        <v>0</v>
      </c>
      <c r="H134" s="6">
        <f>_xlfn.XLOOKUP(Tableau26[[#This Row],[Hole ID]],Data_Log[Hole ID],Data_Log[Planned collar trend
(°)])</f>
        <v>0</v>
      </c>
      <c r="I134" s="123">
        <f>Tableau26[[#This Row],[Dip
(deg)]]-Tableau26[[#This Row],[QA/QC Dip Planned]]</f>
        <v>0</v>
      </c>
      <c r="J134">
        <f>Tableau26[[#This Row],[Azimuth
(deg)]]-Tableau26[[#This Row],[QA/QC Azimut Planned]]</f>
        <v>0</v>
      </c>
    </row>
    <row r="135" spans="1:10" x14ac:dyDescent="0.25">
      <c r="A135" s="14"/>
      <c r="B135" s="124" t="e">
        <f>VLOOKUP(Tableau26[[#This Row],[Hole ID]],Data_Log[],2,FALSE)</f>
        <v>#N/A</v>
      </c>
      <c r="C135" s="81"/>
      <c r="D135" s="94"/>
      <c r="E135" s="81"/>
      <c r="F135" s="82"/>
      <c r="G135" s="126">
        <f>_xlfn.XLOOKUP(Tableau26[[#This Row],[Hole ID]],Data_Log[Hole ID],Data_Log[Planned collar plunge
(°)])</f>
        <v>0</v>
      </c>
      <c r="H135" s="6">
        <f>_xlfn.XLOOKUP(Tableau26[[#This Row],[Hole ID]],Data_Log[Hole ID],Data_Log[Planned collar trend
(°)])</f>
        <v>0</v>
      </c>
      <c r="I135" s="123">
        <f>Tableau26[[#This Row],[Dip
(deg)]]-Tableau26[[#This Row],[QA/QC Dip Planned]]</f>
        <v>0</v>
      </c>
      <c r="J135">
        <f>Tableau26[[#This Row],[Azimuth
(deg)]]-Tableau26[[#This Row],[QA/QC Azimut Planned]]</f>
        <v>0</v>
      </c>
    </row>
    <row r="136" spans="1:10" x14ac:dyDescent="0.25">
      <c r="A136" s="14"/>
      <c r="B136" s="124" t="e">
        <f>VLOOKUP(Tableau26[[#This Row],[Hole ID]],Data_Log[],2,FALSE)</f>
        <v>#N/A</v>
      </c>
      <c r="C136" s="81"/>
      <c r="D136" s="94"/>
      <c r="E136" s="81"/>
      <c r="F136" s="82"/>
      <c r="G136" s="126">
        <f>_xlfn.XLOOKUP(Tableau26[[#This Row],[Hole ID]],Data_Log[Hole ID],Data_Log[Planned collar plunge
(°)])</f>
        <v>0</v>
      </c>
      <c r="H136" s="6">
        <f>_xlfn.XLOOKUP(Tableau26[[#This Row],[Hole ID]],Data_Log[Hole ID],Data_Log[Planned collar trend
(°)])</f>
        <v>0</v>
      </c>
      <c r="I136" s="123">
        <f>Tableau26[[#This Row],[Dip
(deg)]]-Tableau26[[#This Row],[QA/QC Dip Planned]]</f>
        <v>0</v>
      </c>
      <c r="J136">
        <f>Tableau26[[#This Row],[Azimuth
(deg)]]-Tableau26[[#This Row],[QA/QC Azimut Planned]]</f>
        <v>0</v>
      </c>
    </row>
    <row r="137" spans="1:10" x14ac:dyDescent="0.25">
      <c r="A137" s="14"/>
      <c r="B137" s="124" t="e">
        <f>VLOOKUP(Tableau26[[#This Row],[Hole ID]],Data_Log[],2,FALSE)</f>
        <v>#N/A</v>
      </c>
      <c r="C137" s="81"/>
      <c r="D137" s="94"/>
      <c r="E137" s="81"/>
      <c r="F137" s="82"/>
      <c r="G137" s="126">
        <f>_xlfn.XLOOKUP(Tableau26[[#This Row],[Hole ID]],Data_Log[Hole ID],Data_Log[Planned collar plunge
(°)])</f>
        <v>0</v>
      </c>
      <c r="H137" s="6">
        <f>_xlfn.XLOOKUP(Tableau26[[#This Row],[Hole ID]],Data_Log[Hole ID],Data_Log[Planned collar trend
(°)])</f>
        <v>0</v>
      </c>
      <c r="I137" s="123">
        <f>Tableau26[[#This Row],[Dip
(deg)]]-Tableau26[[#This Row],[QA/QC Dip Planned]]</f>
        <v>0</v>
      </c>
      <c r="J137">
        <f>Tableau26[[#This Row],[Azimuth
(deg)]]-Tableau26[[#This Row],[QA/QC Azimut Planned]]</f>
        <v>0</v>
      </c>
    </row>
    <row r="138" spans="1:10" x14ac:dyDescent="0.25">
      <c r="A138" s="14"/>
      <c r="B138" s="124" t="e">
        <f>VLOOKUP(Tableau26[[#This Row],[Hole ID]],Data_Log[],2,FALSE)</f>
        <v>#N/A</v>
      </c>
      <c r="C138" s="81"/>
      <c r="D138" s="94"/>
      <c r="E138" s="81"/>
      <c r="F138" s="82"/>
      <c r="G138" s="126">
        <f>_xlfn.XLOOKUP(Tableau26[[#This Row],[Hole ID]],Data_Log[Hole ID],Data_Log[Planned collar plunge
(°)])</f>
        <v>0</v>
      </c>
      <c r="H138" s="6">
        <f>_xlfn.XLOOKUP(Tableau26[[#This Row],[Hole ID]],Data_Log[Hole ID],Data_Log[Planned collar trend
(°)])</f>
        <v>0</v>
      </c>
      <c r="I138" s="123">
        <f>Tableau26[[#This Row],[Dip
(deg)]]-Tableau26[[#This Row],[QA/QC Dip Planned]]</f>
        <v>0</v>
      </c>
      <c r="J138">
        <f>Tableau26[[#This Row],[Azimuth
(deg)]]-Tableau26[[#This Row],[QA/QC Azimut Planned]]</f>
        <v>0</v>
      </c>
    </row>
    <row r="139" spans="1:10" x14ac:dyDescent="0.25">
      <c r="A139" s="14"/>
      <c r="B139" s="124" t="e">
        <f>VLOOKUP(Tableau26[[#This Row],[Hole ID]],Data_Log[],2,FALSE)</f>
        <v>#N/A</v>
      </c>
      <c r="C139" s="81"/>
      <c r="D139" s="94"/>
      <c r="E139" s="81"/>
      <c r="F139" s="82"/>
      <c r="G139" s="126">
        <f>_xlfn.XLOOKUP(Tableau26[[#This Row],[Hole ID]],Data_Log[Hole ID],Data_Log[Planned collar plunge
(°)])</f>
        <v>0</v>
      </c>
      <c r="H139" s="6">
        <f>_xlfn.XLOOKUP(Tableau26[[#This Row],[Hole ID]],Data_Log[Hole ID],Data_Log[Planned collar trend
(°)])</f>
        <v>0</v>
      </c>
      <c r="I139" s="123">
        <f>Tableau26[[#This Row],[Dip
(deg)]]-Tableau26[[#This Row],[QA/QC Dip Planned]]</f>
        <v>0</v>
      </c>
      <c r="J139">
        <f>Tableau26[[#This Row],[Azimuth
(deg)]]-Tableau26[[#This Row],[QA/QC Azimut Planned]]</f>
        <v>0</v>
      </c>
    </row>
    <row r="140" spans="1:10" x14ac:dyDescent="0.25">
      <c r="A140" s="14"/>
      <c r="B140" s="124" t="e">
        <f>VLOOKUP(Tableau26[[#This Row],[Hole ID]],Data_Log[],2,FALSE)</f>
        <v>#N/A</v>
      </c>
      <c r="C140" s="81"/>
      <c r="D140" s="94"/>
      <c r="E140" s="81"/>
      <c r="F140" s="82"/>
      <c r="G140" s="126">
        <f>_xlfn.XLOOKUP(Tableau26[[#This Row],[Hole ID]],Data_Log[Hole ID],Data_Log[Planned collar plunge
(°)])</f>
        <v>0</v>
      </c>
      <c r="H140" s="6">
        <f>_xlfn.XLOOKUP(Tableau26[[#This Row],[Hole ID]],Data_Log[Hole ID],Data_Log[Planned collar trend
(°)])</f>
        <v>0</v>
      </c>
      <c r="I140" s="123">
        <f>Tableau26[[#This Row],[Dip
(deg)]]-Tableau26[[#This Row],[QA/QC Dip Planned]]</f>
        <v>0</v>
      </c>
      <c r="J140">
        <f>Tableau26[[#This Row],[Azimuth
(deg)]]-Tableau26[[#This Row],[QA/QC Azimut Planned]]</f>
        <v>0</v>
      </c>
    </row>
    <row r="141" spans="1:10" x14ac:dyDescent="0.25">
      <c r="A141" s="14"/>
      <c r="B141" s="124" t="e">
        <f>VLOOKUP(Tableau26[[#This Row],[Hole ID]],Data_Log[],2,FALSE)</f>
        <v>#N/A</v>
      </c>
      <c r="C141" s="81"/>
      <c r="D141" s="94"/>
      <c r="E141" s="81"/>
      <c r="F141" s="82"/>
      <c r="G141" s="126">
        <f>_xlfn.XLOOKUP(Tableau26[[#This Row],[Hole ID]],Data_Log[Hole ID],Data_Log[Planned collar plunge
(°)])</f>
        <v>0</v>
      </c>
      <c r="H141" s="6">
        <f>_xlfn.XLOOKUP(Tableau26[[#This Row],[Hole ID]],Data_Log[Hole ID],Data_Log[Planned collar trend
(°)])</f>
        <v>0</v>
      </c>
      <c r="I141" s="123">
        <f>Tableau26[[#This Row],[Dip
(deg)]]-Tableau26[[#This Row],[QA/QC Dip Planned]]</f>
        <v>0</v>
      </c>
      <c r="J141">
        <f>Tableau26[[#This Row],[Azimuth
(deg)]]-Tableau26[[#This Row],[QA/QC Azimut Planned]]</f>
        <v>0</v>
      </c>
    </row>
    <row r="142" spans="1:10" x14ac:dyDescent="0.25">
      <c r="B142" s="124" t="e">
        <f>VLOOKUP(Tableau26[[#This Row],[Hole ID]],Data_Log[],2,FALSE)</f>
        <v>#N/A</v>
      </c>
      <c r="G142" s="6">
        <f>_xlfn.XLOOKUP(Tableau26[[#This Row],[Hole ID]],Data_Log[Hole ID],Data_Log[Planned collar plunge
(°)])</f>
        <v>0</v>
      </c>
      <c r="H142" s="6">
        <f>_xlfn.XLOOKUP(Tableau26[[#This Row],[Hole ID]],Data_Log[Hole ID],Data_Log[Planned collar trend
(°)])</f>
        <v>0</v>
      </c>
      <c r="I142" s="123">
        <f>Tableau26[[#This Row],[Dip
(deg)]]-Tableau26[[#This Row],[QA/QC Dip Planned]]</f>
        <v>0</v>
      </c>
      <c r="J142">
        <f>Tableau26[[#This Row],[Azimuth
(deg)]]-Tableau26[[#This Row],[QA/QC Azimut Planned]]</f>
        <v>0</v>
      </c>
    </row>
    <row r="143" spans="1:10" x14ac:dyDescent="0.25">
      <c r="B143" s="124" t="e">
        <f>VLOOKUP(Tableau26[[#This Row],[Hole ID]],Data_Log[],2,FALSE)</f>
        <v>#N/A</v>
      </c>
      <c r="G143" s="6">
        <f>_xlfn.XLOOKUP(Tableau26[[#This Row],[Hole ID]],Data_Log[Hole ID],Data_Log[Planned collar plunge
(°)])</f>
        <v>0</v>
      </c>
      <c r="H143" s="6">
        <f>_xlfn.XLOOKUP(Tableau26[[#This Row],[Hole ID]],Data_Log[Hole ID],Data_Log[Planned collar trend
(°)])</f>
        <v>0</v>
      </c>
      <c r="I143" s="123">
        <f>Tableau26[[#This Row],[Dip
(deg)]]-Tableau26[[#This Row],[QA/QC Dip Planned]]</f>
        <v>0</v>
      </c>
      <c r="J143">
        <f>Tableau26[[#This Row],[Azimuth
(deg)]]-Tableau26[[#This Row],[QA/QC Azimut Planned]]</f>
        <v>0</v>
      </c>
    </row>
    <row r="144" spans="1:10" x14ac:dyDescent="0.25">
      <c r="B144" s="124" t="e">
        <f>VLOOKUP(Tableau26[[#This Row],[Hole ID]],Data_Log[],2,FALSE)</f>
        <v>#N/A</v>
      </c>
      <c r="G144" s="6">
        <f>_xlfn.XLOOKUP(Tableau26[[#This Row],[Hole ID]],Data_Log[Hole ID],Data_Log[Planned collar plunge
(°)])</f>
        <v>0</v>
      </c>
      <c r="H144" s="6">
        <f>_xlfn.XLOOKUP(Tableau26[[#This Row],[Hole ID]],Data_Log[Hole ID],Data_Log[Planned collar trend
(°)])</f>
        <v>0</v>
      </c>
      <c r="I144" s="123">
        <f>Tableau26[[#This Row],[Dip
(deg)]]-Tableau26[[#This Row],[QA/QC Dip Planned]]</f>
        <v>0</v>
      </c>
      <c r="J144">
        <f>Tableau26[[#This Row],[Azimuth
(deg)]]-Tableau26[[#This Row],[QA/QC Azimut Planned]]</f>
        <v>0</v>
      </c>
    </row>
    <row r="145" spans="2:10" x14ac:dyDescent="0.25">
      <c r="B145" s="124" t="e">
        <f>VLOOKUP(Tableau26[[#This Row],[Hole ID]],Data_Log[],2,FALSE)</f>
        <v>#N/A</v>
      </c>
      <c r="G145" s="6">
        <f>_xlfn.XLOOKUP(Tableau26[[#This Row],[Hole ID]],Data_Log[Hole ID],Data_Log[Planned collar plunge
(°)])</f>
        <v>0</v>
      </c>
      <c r="H145" s="6">
        <f>_xlfn.XLOOKUP(Tableau26[[#This Row],[Hole ID]],Data_Log[Hole ID],Data_Log[Planned collar trend
(°)])</f>
        <v>0</v>
      </c>
      <c r="I145" s="123">
        <f>Tableau26[[#This Row],[Dip
(deg)]]-Tableau26[[#This Row],[QA/QC Dip Planned]]</f>
        <v>0</v>
      </c>
      <c r="J145">
        <f>Tableau26[[#This Row],[Azimuth
(deg)]]-Tableau26[[#This Row],[QA/QC Azimut Planned]]</f>
        <v>0</v>
      </c>
    </row>
    <row r="146" spans="2:10" x14ac:dyDescent="0.25">
      <c r="B146" s="124" t="e">
        <f>VLOOKUP(Tableau26[[#This Row],[Hole ID]],Data_Log[],2,FALSE)</f>
        <v>#N/A</v>
      </c>
      <c r="G146" s="6">
        <f>_xlfn.XLOOKUP(Tableau26[[#This Row],[Hole ID]],Data_Log[Hole ID],Data_Log[Planned collar plunge
(°)])</f>
        <v>0</v>
      </c>
      <c r="H146" s="6">
        <f>_xlfn.XLOOKUP(Tableau26[[#This Row],[Hole ID]],Data_Log[Hole ID],Data_Log[Planned collar trend
(°)])</f>
        <v>0</v>
      </c>
      <c r="I146" s="123">
        <f>Tableau26[[#This Row],[Dip
(deg)]]-Tableau26[[#This Row],[QA/QC Dip Planned]]</f>
        <v>0</v>
      </c>
      <c r="J146">
        <f>Tableau26[[#This Row],[Azimuth
(deg)]]-Tableau26[[#This Row],[QA/QC Azimut Planned]]</f>
        <v>0</v>
      </c>
    </row>
    <row r="147" spans="2:10" x14ac:dyDescent="0.25">
      <c r="B147" s="124" t="e">
        <f>VLOOKUP(Tableau26[[#This Row],[Hole ID]],Data_Log[],2,FALSE)</f>
        <v>#N/A</v>
      </c>
      <c r="G147" s="6">
        <f>_xlfn.XLOOKUP(Tableau26[[#This Row],[Hole ID]],Data_Log[Hole ID],Data_Log[Planned collar plunge
(°)])</f>
        <v>0</v>
      </c>
      <c r="H147" s="6">
        <f>_xlfn.XLOOKUP(Tableau26[[#This Row],[Hole ID]],Data_Log[Hole ID],Data_Log[Planned collar trend
(°)])</f>
        <v>0</v>
      </c>
      <c r="I147" s="123">
        <f>Tableau26[[#This Row],[Dip
(deg)]]-Tableau26[[#This Row],[QA/QC Dip Planned]]</f>
        <v>0</v>
      </c>
      <c r="J147">
        <f>Tableau26[[#This Row],[Azimuth
(deg)]]-Tableau26[[#This Row],[QA/QC Azimut Planned]]</f>
        <v>0</v>
      </c>
    </row>
    <row r="148" spans="2:10" x14ac:dyDescent="0.25">
      <c r="B148" s="124" t="e">
        <f>VLOOKUP(Tableau26[[#This Row],[Hole ID]],Data_Log[],2,FALSE)</f>
        <v>#N/A</v>
      </c>
      <c r="G148" s="6">
        <f>_xlfn.XLOOKUP(Tableau26[[#This Row],[Hole ID]],Data_Log[Hole ID],Data_Log[Planned collar plunge
(°)])</f>
        <v>0</v>
      </c>
      <c r="H148" s="6">
        <f>_xlfn.XLOOKUP(Tableau26[[#This Row],[Hole ID]],Data_Log[Hole ID],Data_Log[Planned collar trend
(°)])</f>
        <v>0</v>
      </c>
      <c r="I148" s="123">
        <f>Tableau26[[#This Row],[Dip
(deg)]]-Tableau26[[#This Row],[QA/QC Dip Planned]]</f>
        <v>0</v>
      </c>
      <c r="J148">
        <f>Tableau26[[#This Row],[Azimuth
(deg)]]-Tableau26[[#This Row],[QA/QC Azimut Planned]]</f>
        <v>0</v>
      </c>
    </row>
    <row r="149" spans="2:10" x14ac:dyDescent="0.25">
      <c r="B149" s="124" t="e">
        <f>VLOOKUP(Tableau26[[#This Row],[Hole ID]],Data_Log[],2,FALSE)</f>
        <v>#N/A</v>
      </c>
      <c r="G149" s="6">
        <f>_xlfn.XLOOKUP(Tableau26[[#This Row],[Hole ID]],Data_Log[Hole ID],Data_Log[Planned collar plunge
(°)])</f>
        <v>0</v>
      </c>
      <c r="H149" s="6">
        <f>_xlfn.XLOOKUP(Tableau26[[#This Row],[Hole ID]],Data_Log[Hole ID],Data_Log[Planned collar trend
(°)])</f>
        <v>0</v>
      </c>
      <c r="I149" s="123">
        <f>Tableau26[[#This Row],[Dip
(deg)]]-Tableau26[[#This Row],[QA/QC Dip Planned]]</f>
        <v>0</v>
      </c>
      <c r="J149">
        <f>Tableau26[[#This Row],[Azimuth
(deg)]]-Tableau26[[#This Row],[QA/QC Azimut Planned]]</f>
        <v>0</v>
      </c>
    </row>
    <row r="150" spans="2:10" x14ac:dyDescent="0.25">
      <c r="B150" s="124" t="e">
        <f>VLOOKUP(Tableau26[[#This Row],[Hole ID]],Data_Log[],2,FALSE)</f>
        <v>#N/A</v>
      </c>
      <c r="G150" s="6">
        <f>_xlfn.XLOOKUP(Tableau26[[#This Row],[Hole ID]],Data_Log[Hole ID],Data_Log[Planned collar plunge
(°)])</f>
        <v>0</v>
      </c>
      <c r="H150" s="6">
        <f>_xlfn.XLOOKUP(Tableau26[[#This Row],[Hole ID]],Data_Log[Hole ID],Data_Log[Planned collar trend
(°)])</f>
        <v>0</v>
      </c>
      <c r="I150" s="123">
        <f>Tableau26[[#This Row],[Dip
(deg)]]-Tableau26[[#This Row],[QA/QC Dip Planned]]</f>
        <v>0</v>
      </c>
      <c r="J150">
        <f>Tableau26[[#This Row],[Azimuth
(deg)]]-Tableau26[[#This Row],[QA/QC Azimut Planned]]</f>
        <v>0</v>
      </c>
    </row>
    <row r="151" spans="2:10" x14ac:dyDescent="0.25">
      <c r="B151" s="124" t="e">
        <f>VLOOKUP(Tableau26[[#This Row],[Hole ID]],Data_Log[],2,FALSE)</f>
        <v>#N/A</v>
      </c>
      <c r="G151" s="6">
        <f>_xlfn.XLOOKUP(Tableau26[[#This Row],[Hole ID]],Data_Log[Hole ID],Data_Log[Planned collar plunge
(°)])</f>
        <v>0</v>
      </c>
      <c r="H151" s="6">
        <f>_xlfn.XLOOKUP(Tableau26[[#This Row],[Hole ID]],Data_Log[Hole ID],Data_Log[Planned collar trend
(°)])</f>
        <v>0</v>
      </c>
      <c r="I151" s="123">
        <f>Tableau26[[#This Row],[Dip
(deg)]]-Tableau26[[#This Row],[QA/QC Dip Planned]]</f>
        <v>0</v>
      </c>
      <c r="J151">
        <f>Tableau26[[#This Row],[Azimuth
(deg)]]-Tableau26[[#This Row],[QA/QC Azimut Planned]]</f>
        <v>0</v>
      </c>
    </row>
    <row r="152" spans="2:10" x14ac:dyDescent="0.25">
      <c r="B152" s="124" t="e">
        <f>VLOOKUP(Tableau26[[#This Row],[Hole ID]],Data_Log[],2,FALSE)</f>
        <v>#N/A</v>
      </c>
      <c r="G152" s="6">
        <f>_xlfn.XLOOKUP(Tableau26[[#This Row],[Hole ID]],Data_Log[Hole ID],Data_Log[Planned collar plunge
(°)])</f>
        <v>0</v>
      </c>
      <c r="H152" s="6">
        <f>_xlfn.XLOOKUP(Tableau26[[#This Row],[Hole ID]],Data_Log[Hole ID],Data_Log[Planned collar trend
(°)])</f>
        <v>0</v>
      </c>
      <c r="I152" s="123">
        <f>Tableau26[[#This Row],[Dip
(deg)]]-Tableau26[[#This Row],[QA/QC Dip Planned]]</f>
        <v>0</v>
      </c>
      <c r="J152">
        <f>Tableau26[[#This Row],[Azimuth
(deg)]]-Tableau26[[#This Row],[QA/QC Azimut Planned]]</f>
        <v>0</v>
      </c>
    </row>
    <row r="153" spans="2:10" x14ac:dyDescent="0.25">
      <c r="B153" s="124" t="e">
        <f>VLOOKUP(Tableau26[[#This Row],[Hole ID]],Data_Log[],2,FALSE)</f>
        <v>#N/A</v>
      </c>
      <c r="G153" s="6">
        <f>_xlfn.XLOOKUP(Tableau26[[#This Row],[Hole ID]],Data_Log[Hole ID],Data_Log[Planned collar plunge
(°)])</f>
        <v>0</v>
      </c>
      <c r="H153" s="6">
        <f>_xlfn.XLOOKUP(Tableau26[[#This Row],[Hole ID]],Data_Log[Hole ID],Data_Log[Planned collar trend
(°)])</f>
        <v>0</v>
      </c>
      <c r="I153" s="123">
        <f>Tableau26[[#This Row],[Dip
(deg)]]-Tableau26[[#This Row],[QA/QC Dip Planned]]</f>
        <v>0</v>
      </c>
      <c r="J153">
        <f>Tableau26[[#This Row],[Azimuth
(deg)]]-Tableau26[[#This Row],[QA/QC Azimut Planned]]</f>
        <v>0</v>
      </c>
    </row>
    <row r="154" spans="2:10" x14ac:dyDescent="0.25">
      <c r="B154" s="124" t="e">
        <f>VLOOKUP(Tableau26[[#This Row],[Hole ID]],Data_Log[],2,FALSE)</f>
        <v>#N/A</v>
      </c>
      <c r="G154" s="6">
        <f>_xlfn.XLOOKUP(Tableau26[[#This Row],[Hole ID]],Data_Log[Hole ID],Data_Log[Planned collar plunge
(°)])</f>
        <v>0</v>
      </c>
      <c r="H154" s="6">
        <f>_xlfn.XLOOKUP(Tableau26[[#This Row],[Hole ID]],Data_Log[Hole ID],Data_Log[Planned collar trend
(°)])</f>
        <v>0</v>
      </c>
      <c r="I154" s="123">
        <f>Tableau26[[#This Row],[Dip
(deg)]]-Tableau26[[#This Row],[QA/QC Dip Planned]]</f>
        <v>0</v>
      </c>
      <c r="J154">
        <f>Tableau26[[#This Row],[Azimuth
(deg)]]-Tableau26[[#This Row],[QA/QC Azimut Planned]]</f>
        <v>0</v>
      </c>
    </row>
    <row r="155" spans="2:10" x14ac:dyDescent="0.25">
      <c r="B155" s="124" t="e">
        <f>VLOOKUP(Tableau26[[#This Row],[Hole ID]],Data_Log[],2,FALSE)</f>
        <v>#N/A</v>
      </c>
      <c r="G155" s="6">
        <f>_xlfn.XLOOKUP(Tableau26[[#This Row],[Hole ID]],Data_Log[Hole ID],Data_Log[Planned collar plunge
(°)])</f>
        <v>0</v>
      </c>
      <c r="H155" s="6">
        <f>_xlfn.XLOOKUP(Tableau26[[#This Row],[Hole ID]],Data_Log[Hole ID],Data_Log[Planned collar trend
(°)])</f>
        <v>0</v>
      </c>
      <c r="I155" s="123">
        <f>Tableau26[[#This Row],[Dip
(deg)]]-Tableau26[[#This Row],[QA/QC Dip Planned]]</f>
        <v>0</v>
      </c>
      <c r="J155">
        <f>Tableau26[[#This Row],[Azimuth
(deg)]]-Tableau26[[#This Row],[QA/QC Azimut Planned]]</f>
        <v>0</v>
      </c>
    </row>
    <row r="156" spans="2:10" x14ac:dyDescent="0.25">
      <c r="B156" s="124" t="e">
        <f>VLOOKUP(Tableau26[[#This Row],[Hole ID]],Data_Log[],2,FALSE)</f>
        <v>#N/A</v>
      </c>
      <c r="G156" s="6">
        <f>_xlfn.XLOOKUP(Tableau26[[#This Row],[Hole ID]],Data_Log[Hole ID],Data_Log[Planned collar plunge
(°)])</f>
        <v>0</v>
      </c>
      <c r="H156" s="6">
        <f>_xlfn.XLOOKUP(Tableau26[[#This Row],[Hole ID]],Data_Log[Hole ID],Data_Log[Planned collar trend
(°)])</f>
        <v>0</v>
      </c>
      <c r="I156" s="123">
        <f>Tableau26[[#This Row],[Dip
(deg)]]-Tableau26[[#This Row],[QA/QC Dip Planned]]</f>
        <v>0</v>
      </c>
      <c r="J156">
        <f>Tableau26[[#This Row],[Azimuth
(deg)]]-Tableau26[[#This Row],[QA/QC Azimut Planned]]</f>
        <v>0</v>
      </c>
    </row>
    <row r="157" spans="2:10" x14ac:dyDescent="0.25">
      <c r="B157" s="124" t="e">
        <f>VLOOKUP(Tableau26[[#This Row],[Hole ID]],Data_Log[],2,FALSE)</f>
        <v>#N/A</v>
      </c>
      <c r="G157" s="6">
        <f>_xlfn.XLOOKUP(Tableau26[[#This Row],[Hole ID]],Data_Log[Hole ID],Data_Log[Planned collar plunge
(°)])</f>
        <v>0</v>
      </c>
      <c r="H157" s="6">
        <f>_xlfn.XLOOKUP(Tableau26[[#This Row],[Hole ID]],Data_Log[Hole ID],Data_Log[Planned collar trend
(°)])</f>
        <v>0</v>
      </c>
      <c r="I157" s="123">
        <f>Tableau26[[#This Row],[Dip
(deg)]]-Tableau26[[#This Row],[QA/QC Dip Planned]]</f>
        <v>0</v>
      </c>
      <c r="J157">
        <f>Tableau26[[#This Row],[Azimuth
(deg)]]-Tableau26[[#This Row],[QA/QC Azimut Planned]]</f>
        <v>0</v>
      </c>
    </row>
    <row r="158" spans="2:10" x14ac:dyDescent="0.25">
      <c r="B158" s="124" t="e">
        <f>VLOOKUP(Tableau26[[#This Row],[Hole ID]],Data_Log[],2,FALSE)</f>
        <v>#N/A</v>
      </c>
      <c r="G158" s="6">
        <f>_xlfn.XLOOKUP(Tableau26[[#This Row],[Hole ID]],Data_Log[Hole ID],Data_Log[Planned collar plunge
(°)])</f>
        <v>0</v>
      </c>
      <c r="H158" s="6">
        <f>_xlfn.XLOOKUP(Tableau26[[#This Row],[Hole ID]],Data_Log[Hole ID],Data_Log[Planned collar trend
(°)])</f>
        <v>0</v>
      </c>
      <c r="I158" s="123">
        <f>Tableau26[[#This Row],[Dip
(deg)]]-Tableau26[[#This Row],[QA/QC Dip Planned]]</f>
        <v>0</v>
      </c>
      <c r="J158">
        <f>Tableau26[[#This Row],[Azimuth
(deg)]]-Tableau26[[#This Row],[QA/QC Azimut Planned]]</f>
        <v>0</v>
      </c>
    </row>
    <row r="159" spans="2:10" x14ac:dyDescent="0.25">
      <c r="B159" s="124" t="e">
        <f>VLOOKUP(Tableau26[[#This Row],[Hole ID]],Data_Log[],2,FALSE)</f>
        <v>#N/A</v>
      </c>
      <c r="G159" s="6">
        <f>_xlfn.XLOOKUP(Tableau26[[#This Row],[Hole ID]],Data_Log[Hole ID],Data_Log[Planned collar plunge
(°)])</f>
        <v>0</v>
      </c>
      <c r="H159" s="6">
        <f>_xlfn.XLOOKUP(Tableau26[[#This Row],[Hole ID]],Data_Log[Hole ID],Data_Log[Planned collar trend
(°)])</f>
        <v>0</v>
      </c>
      <c r="I159" s="123">
        <f>Tableau26[[#This Row],[Dip
(deg)]]-Tableau26[[#This Row],[QA/QC Dip Planned]]</f>
        <v>0</v>
      </c>
      <c r="J159">
        <f>Tableau26[[#This Row],[Azimuth
(deg)]]-Tableau26[[#This Row],[QA/QC Azimut Planned]]</f>
        <v>0</v>
      </c>
    </row>
    <row r="160" spans="2:10" x14ac:dyDescent="0.25">
      <c r="B160" s="124" t="e">
        <f>VLOOKUP(Tableau26[[#This Row],[Hole ID]],Data_Log[],2,FALSE)</f>
        <v>#N/A</v>
      </c>
      <c r="G160" s="6">
        <f>_xlfn.XLOOKUP(Tableau26[[#This Row],[Hole ID]],Data_Log[Hole ID],Data_Log[Planned collar plunge
(°)])</f>
        <v>0</v>
      </c>
      <c r="H160" s="6">
        <f>_xlfn.XLOOKUP(Tableau26[[#This Row],[Hole ID]],Data_Log[Hole ID],Data_Log[Planned collar trend
(°)])</f>
        <v>0</v>
      </c>
      <c r="I160" s="123">
        <f>Tableau26[[#This Row],[Dip
(deg)]]-Tableau26[[#This Row],[QA/QC Dip Planned]]</f>
        <v>0</v>
      </c>
      <c r="J160">
        <f>Tableau26[[#This Row],[Azimuth
(deg)]]-Tableau26[[#This Row],[QA/QC Azimut Planned]]</f>
        <v>0</v>
      </c>
    </row>
    <row r="161" spans="2:10" x14ac:dyDescent="0.25">
      <c r="B161" s="124" t="e">
        <f>VLOOKUP(Tableau26[[#This Row],[Hole ID]],Data_Log[],2,FALSE)</f>
        <v>#N/A</v>
      </c>
      <c r="G161" s="6">
        <f>_xlfn.XLOOKUP(Tableau26[[#This Row],[Hole ID]],Data_Log[Hole ID],Data_Log[Planned collar plunge
(°)])</f>
        <v>0</v>
      </c>
      <c r="H161" s="6">
        <f>_xlfn.XLOOKUP(Tableau26[[#This Row],[Hole ID]],Data_Log[Hole ID],Data_Log[Planned collar trend
(°)])</f>
        <v>0</v>
      </c>
      <c r="I161" s="123">
        <f>Tableau26[[#This Row],[Dip
(deg)]]-Tableau26[[#This Row],[QA/QC Dip Planned]]</f>
        <v>0</v>
      </c>
      <c r="J161">
        <f>Tableau26[[#This Row],[Azimuth
(deg)]]-Tableau26[[#This Row],[QA/QC Azimut Planned]]</f>
        <v>0</v>
      </c>
    </row>
    <row r="162" spans="2:10" x14ac:dyDescent="0.25">
      <c r="B162" s="124" t="e">
        <f>VLOOKUP(Tableau26[[#This Row],[Hole ID]],Data_Log[],2,FALSE)</f>
        <v>#N/A</v>
      </c>
      <c r="G162" s="6">
        <f>_xlfn.XLOOKUP(Tableau26[[#This Row],[Hole ID]],Data_Log[Hole ID],Data_Log[Planned collar plunge
(°)])</f>
        <v>0</v>
      </c>
      <c r="H162" s="6">
        <f>_xlfn.XLOOKUP(Tableau26[[#This Row],[Hole ID]],Data_Log[Hole ID],Data_Log[Planned collar trend
(°)])</f>
        <v>0</v>
      </c>
      <c r="I162" s="123">
        <f>Tableau26[[#This Row],[Dip
(deg)]]-Tableau26[[#This Row],[QA/QC Dip Planned]]</f>
        <v>0</v>
      </c>
      <c r="J162">
        <f>Tableau26[[#This Row],[Azimuth
(deg)]]-Tableau26[[#This Row],[QA/QC Azimut Planned]]</f>
        <v>0</v>
      </c>
    </row>
    <row r="163" spans="2:10" x14ac:dyDescent="0.25">
      <c r="B163" s="124" t="e">
        <f>VLOOKUP(Tableau26[[#This Row],[Hole ID]],Data_Log[],2,FALSE)</f>
        <v>#N/A</v>
      </c>
      <c r="G163" s="6">
        <f>_xlfn.XLOOKUP(Tableau26[[#This Row],[Hole ID]],Data_Log[Hole ID],Data_Log[Planned collar plunge
(°)])</f>
        <v>0</v>
      </c>
      <c r="H163" s="6">
        <f>_xlfn.XLOOKUP(Tableau26[[#This Row],[Hole ID]],Data_Log[Hole ID],Data_Log[Planned collar trend
(°)])</f>
        <v>0</v>
      </c>
      <c r="I163" s="123">
        <f>Tableau26[[#This Row],[Dip
(deg)]]-Tableau26[[#This Row],[QA/QC Dip Planned]]</f>
        <v>0</v>
      </c>
      <c r="J163">
        <f>Tableau26[[#This Row],[Azimuth
(deg)]]-Tableau26[[#This Row],[QA/QC Azimut Planned]]</f>
        <v>0</v>
      </c>
    </row>
    <row r="164" spans="2:10" x14ac:dyDescent="0.25">
      <c r="B164" s="124" t="e">
        <f>VLOOKUP(Tableau26[[#This Row],[Hole ID]],Data_Log[],2,FALSE)</f>
        <v>#N/A</v>
      </c>
      <c r="G164" s="6">
        <f>_xlfn.XLOOKUP(Tableau26[[#This Row],[Hole ID]],Data_Log[Hole ID],Data_Log[Planned collar plunge
(°)])</f>
        <v>0</v>
      </c>
      <c r="H164" s="6">
        <f>_xlfn.XLOOKUP(Tableau26[[#This Row],[Hole ID]],Data_Log[Hole ID],Data_Log[Planned collar trend
(°)])</f>
        <v>0</v>
      </c>
      <c r="I164" s="123">
        <f>Tableau26[[#This Row],[Dip
(deg)]]-Tableau26[[#This Row],[QA/QC Dip Planned]]</f>
        <v>0</v>
      </c>
      <c r="J164">
        <f>Tableau26[[#This Row],[Azimuth
(deg)]]-Tableau26[[#This Row],[QA/QC Azimut Planned]]</f>
        <v>0</v>
      </c>
    </row>
    <row r="165" spans="2:10" x14ac:dyDescent="0.25">
      <c r="B165" s="124" t="e">
        <f>VLOOKUP(Tableau26[[#This Row],[Hole ID]],Data_Log[],2,FALSE)</f>
        <v>#N/A</v>
      </c>
      <c r="G165" s="6">
        <f>_xlfn.XLOOKUP(Tableau26[[#This Row],[Hole ID]],Data_Log[Hole ID],Data_Log[Planned collar plunge
(°)])</f>
        <v>0</v>
      </c>
      <c r="H165" s="6">
        <f>_xlfn.XLOOKUP(Tableau26[[#This Row],[Hole ID]],Data_Log[Hole ID],Data_Log[Planned collar trend
(°)])</f>
        <v>0</v>
      </c>
      <c r="I165" s="123">
        <f>Tableau26[[#This Row],[Dip
(deg)]]-Tableau26[[#This Row],[QA/QC Dip Planned]]</f>
        <v>0</v>
      </c>
      <c r="J165">
        <f>Tableau26[[#This Row],[Azimuth
(deg)]]-Tableau26[[#This Row],[QA/QC Azimut Planned]]</f>
        <v>0</v>
      </c>
    </row>
    <row r="166" spans="2:10" x14ac:dyDescent="0.25">
      <c r="B166" s="124" t="e">
        <f>VLOOKUP(Tableau26[[#This Row],[Hole ID]],Data_Log[],2,FALSE)</f>
        <v>#N/A</v>
      </c>
      <c r="G166" s="6">
        <f>_xlfn.XLOOKUP(Tableau26[[#This Row],[Hole ID]],Data_Log[Hole ID],Data_Log[Planned collar plunge
(°)])</f>
        <v>0</v>
      </c>
      <c r="H166" s="6">
        <f>_xlfn.XLOOKUP(Tableau26[[#This Row],[Hole ID]],Data_Log[Hole ID],Data_Log[Planned collar trend
(°)])</f>
        <v>0</v>
      </c>
      <c r="I166" s="123">
        <f>Tableau26[[#This Row],[Dip
(deg)]]-Tableau26[[#This Row],[QA/QC Dip Planned]]</f>
        <v>0</v>
      </c>
      <c r="J166">
        <f>Tableau26[[#This Row],[Azimuth
(deg)]]-Tableau26[[#This Row],[QA/QC Azimut Planned]]</f>
        <v>0</v>
      </c>
    </row>
    <row r="167" spans="2:10" x14ac:dyDescent="0.25">
      <c r="B167" s="124" t="e">
        <f>VLOOKUP(Tableau26[[#This Row],[Hole ID]],Data_Log[],2,FALSE)</f>
        <v>#N/A</v>
      </c>
      <c r="G167" s="6">
        <f>_xlfn.XLOOKUP(Tableau26[[#This Row],[Hole ID]],Data_Log[Hole ID],Data_Log[Planned collar plunge
(°)])</f>
        <v>0</v>
      </c>
      <c r="H167" s="6">
        <f>_xlfn.XLOOKUP(Tableau26[[#This Row],[Hole ID]],Data_Log[Hole ID],Data_Log[Planned collar trend
(°)])</f>
        <v>0</v>
      </c>
      <c r="I167" s="123">
        <f>Tableau26[[#This Row],[Dip
(deg)]]-Tableau26[[#This Row],[QA/QC Dip Planned]]</f>
        <v>0</v>
      </c>
      <c r="J167">
        <f>Tableau26[[#This Row],[Azimuth
(deg)]]-Tableau26[[#This Row],[QA/QC Azimut Planned]]</f>
        <v>0</v>
      </c>
    </row>
    <row r="168" spans="2:10" x14ac:dyDescent="0.25">
      <c r="B168" s="124" t="e">
        <f>VLOOKUP(Tableau26[[#This Row],[Hole ID]],Data_Log[],2,FALSE)</f>
        <v>#N/A</v>
      </c>
      <c r="G168" s="6">
        <f>_xlfn.XLOOKUP(Tableau26[[#This Row],[Hole ID]],Data_Log[Hole ID],Data_Log[Planned collar plunge
(°)])</f>
        <v>0</v>
      </c>
      <c r="H168" s="6">
        <f>_xlfn.XLOOKUP(Tableau26[[#This Row],[Hole ID]],Data_Log[Hole ID],Data_Log[Planned collar trend
(°)])</f>
        <v>0</v>
      </c>
      <c r="I168" s="123">
        <f>Tableau26[[#This Row],[Dip
(deg)]]-Tableau26[[#This Row],[QA/QC Dip Planned]]</f>
        <v>0</v>
      </c>
      <c r="J168">
        <f>Tableau26[[#This Row],[Azimuth
(deg)]]-Tableau26[[#This Row],[QA/QC Azimut Planned]]</f>
        <v>0</v>
      </c>
    </row>
    <row r="169" spans="2:10" x14ac:dyDescent="0.25">
      <c r="B169" s="124" t="e">
        <f>VLOOKUP(Tableau26[[#This Row],[Hole ID]],Data_Log[],2,FALSE)</f>
        <v>#N/A</v>
      </c>
      <c r="G169" s="6">
        <f>_xlfn.XLOOKUP(Tableau26[[#This Row],[Hole ID]],Data_Log[Hole ID],Data_Log[Planned collar plunge
(°)])</f>
        <v>0</v>
      </c>
      <c r="H169" s="6">
        <f>_xlfn.XLOOKUP(Tableau26[[#This Row],[Hole ID]],Data_Log[Hole ID],Data_Log[Planned collar trend
(°)])</f>
        <v>0</v>
      </c>
      <c r="I169" s="123">
        <f>Tableau26[[#This Row],[Dip
(deg)]]-Tableau26[[#This Row],[QA/QC Dip Planned]]</f>
        <v>0</v>
      </c>
      <c r="J169">
        <f>Tableau26[[#This Row],[Azimuth
(deg)]]-Tableau26[[#This Row],[QA/QC Azimut Planned]]</f>
        <v>0</v>
      </c>
    </row>
    <row r="170" spans="2:10" x14ac:dyDescent="0.25">
      <c r="B170" s="124" t="e">
        <f>VLOOKUP(Tableau26[[#This Row],[Hole ID]],Data_Log[],2,FALSE)</f>
        <v>#N/A</v>
      </c>
      <c r="G170" s="6">
        <f>_xlfn.XLOOKUP(Tableau26[[#This Row],[Hole ID]],Data_Log[Hole ID],Data_Log[Planned collar plunge
(°)])</f>
        <v>0</v>
      </c>
      <c r="H170" s="6">
        <f>_xlfn.XLOOKUP(Tableau26[[#This Row],[Hole ID]],Data_Log[Hole ID],Data_Log[Planned collar trend
(°)])</f>
        <v>0</v>
      </c>
      <c r="I170" s="123">
        <f>Tableau26[[#This Row],[Dip
(deg)]]-Tableau26[[#This Row],[QA/QC Dip Planned]]</f>
        <v>0</v>
      </c>
      <c r="J170">
        <f>Tableau26[[#This Row],[Azimuth
(deg)]]-Tableau26[[#This Row],[QA/QC Azimut Planned]]</f>
        <v>0</v>
      </c>
    </row>
    <row r="171" spans="2:10" x14ac:dyDescent="0.25">
      <c r="B171" s="124" t="e">
        <f>VLOOKUP(Tableau26[[#This Row],[Hole ID]],Data_Log[],2,FALSE)</f>
        <v>#N/A</v>
      </c>
      <c r="G171" s="6">
        <f>_xlfn.XLOOKUP(Tableau26[[#This Row],[Hole ID]],Data_Log[Hole ID],Data_Log[Planned collar plunge
(°)])</f>
        <v>0</v>
      </c>
      <c r="H171" s="6">
        <f>_xlfn.XLOOKUP(Tableau26[[#This Row],[Hole ID]],Data_Log[Hole ID],Data_Log[Planned collar trend
(°)])</f>
        <v>0</v>
      </c>
      <c r="I171" s="123">
        <f>Tableau26[[#This Row],[Dip
(deg)]]-Tableau26[[#This Row],[QA/QC Dip Planned]]</f>
        <v>0</v>
      </c>
      <c r="J171">
        <f>Tableau26[[#This Row],[Azimuth
(deg)]]-Tableau26[[#This Row],[QA/QC Azimut Planned]]</f>
        <v>0</v>
      </c>
    </row>
    <row r="172" spans="2:10" x14ac:dyDescent="0.25">
      <c r="B172" s="124" t="e">
        <f>VLOOKUP(Tableau26[[#This Row],[Hole ID]],Data_Log[],2,FALSE)</f>
        <v>#N/A</v>
      </c>
      <c r="G172" s="6">
        <f>_xlfn.XLOOKUP(Tableau26[[#This Row],[Hole ID]],Data_Log[Hole ID],Data_Log[Planned collar plunge
(°)])</f>
        <v>0</v>
      </c>
      <c r="H172" s="6">
        <f>_xlfn.XLOOKUP(Tableau26[[#This Row],[Hole ID]],Data_Log[Hole ID],Data_Log[Planned collar trend
(°)])</f>
        <v>0</v>
      </c>
      <c r="I172" s="123">
        <f>Tableau26[[#This Row],[Dip
(deg)]]-Tableau26[[#This Row],[QA/QC Dip Planned]]</f>
        <v>0</v>
      </c>
      <c r="J172">
        <f>Tableau26[[#This Row],[Azimuth
(deg)]]-Tableau26[[#This Row],[QA/QC Azimut Planned]]</f>
        <v>0</v>
      </c>
    </row>
    <row r="173" spans="2:10" x14ac:dyDescent="0.25">
      <c r="B173" s="124" t="e">
        <f>VLOOKUP(Tableau26[[#This Row],[Hole ID]],Data_Log[],2,FALSE)</f>
        <v>#N/A</v>
      </c>
      <c r="G173" s="6">
        <f>_xlfn.XLOOKUP(Tableau26[[#This Row],[Hole ID]],Data_Log[Hole ID],Data_Log[Planned collar plunge
(°)])</f>
        <v>0</v>
      </c>
      <c r="H173" s="6">
        <f>_xlfn.XLOOKUP(Tableau26[[#This Row],[Hole ID]],Data_Log[Hole ID],Data_Log[Planned collar trend
(°)])</f>
        <v>0</v>
      </c>
      <c r="I173" s="123">
        <f>Tableau26[[#This Row],[Dip
(deg)]]-Tableau26[[#This Row],[QA/QC Dip Planned]]</f>
        <v>0</v>
      </c>
      <c r="J173">
        <f>Tableau26[[#This Row],[Azimuth
(deg)]]-Tableau26[[#This Row],[QA/QC Azimut Planned]]</f>
        <v>0</v>
      </c>
    </row>
    <row r="174" spans="2:10" x14ac:dyDescent="0.25">
      <c r="B174" s="124" t="e">
        <f>VLOOKUP(Tableau26[[#This Row],[Hole ID]],Data_Log[],2,FALSE)</f>
        <v>#N/A</v>
      </c>
      <c r="G174" s="6">
        <f>_xlfn.XLOOKUP(Tableau26[[#This Row],[Hole ID]],Data_Log[Hole ID],Data_Log[Planned collar plunge
(°)])</f>
        <v>0</v>
      </c>
      <c r="H174" s="6">
        <f>_xlfn.XLOOKUP(Tableau26[[#This Row],[Hole ID]],Data_Log[Hole ID],Data_Log[Planned collar trend
(°)])</f>
        <v>0</v>
      </c>
      <c r="I174" s="123">
        <f>Tableau26[[#This Row],[Dip
(deg)]]-Tableau26[[#This Row],[QA/QC Dip Planned]]</f>
        <v>0</v>
      </c>
      <c r="J174">
        <f>Tableau26[[#This Row],[Azimuth
(deg)]]-Tableau26[[#This Row],[QA/QC Azimut Planned]]</f>
        <v>0</v>
      </c>
    </row>
    <row r="175" spans="2:10" x14ac:dyDescent="0.25">
      <c r="B175" s="124" t="e">
        <f>VLOOKUP(Tableau26[[#This Row],[Hole ID]],Data_Log[],2,FALSE)</f>
        <v>#N/A</v>
      </c>
      <c r="G175" s="6">
        <f>_xlfn.XLOOKUP(Tableau26[[#This Row],[Hole ID]],Data_Log[Hole ID],Data_Log[Planned collar plunge
(°)])</f>
        <v>0</v>
      </c>
      <c r="H175" s="6">
        <f>_xlfn.XLOOKUP(Tableau26[[#This Row],[Hole ID]],Data_Log[Hole ID],Data_Log[Planned collar trend
(°)])</f>
        <v>0</v>
      </c>
      <c r="I175" s="123">
        <f>Tableau26[[#This Row],[Dip
(deg)]]-Tableau26[[#This Row],[QA/QC Dip Planned]]</f>
        <v>0</v>
      </c>
      <c r="J175">
        <f>Tableau26[[#This Row],[Azimuth
(deg)]]-Tableau26[[#This Row],[QA/QC Azimut Planned]]</f>
        <v>0</v>
      </c>
    </row>
    <row r="176" spans="2:10" x14ac:dyDescent="0.25">
      <c r="B176" s="124" t="e">
        <f>VLOOKUP(Tableau26[[#This Row],[Hole ID]],Data_Log[],2,FALSE)</f>
        <v>#N/A</v>
      </c>
      <c r="G176" s="6">
        <f>_xlfn.XLOOKUP(Tableau26[[#This Row],[Hole ID]],Data_Log[Hole ID],Data_Log[Planned collar plunge
(°)])</f>
        <v>0</v>
      </c>
      <c r="H176" s="6">
        <f>_xlfn.XLOOKUP(Tableau26[[#This Row],[Hole ID]],Data_Log[Hole ID],Data_Log[Planned collar trend
(°)])</f>
        <v>0</v>
      </c>
      <c r="I176" s="123">
        <f>Tableau26[[#This Row],[Dip
(deg)]]-Tableau26[[#This Row],[QA/QC Dip Planned]]</f>
        <v>0</v>
      </c>
      <c r="J176">
        <f>Tableau26[[#This Row],[Azimuth
(deg)]]-Tableau26[[#This Row],[QA/QC Azimut Planned]]</f>
        <v>0</v>
      </c>
    </row>
    <row r="177" spans="2:10" x14ac:dyDescent="0.25">
      <c r="B177" s="124" t="e">
        <f>VLOOKUP(Tableau26[[#This Row],[Hole ID]],Data_Log[],2,FALSE)</f>
        <v>#N/A</v>
      </c>
      <c r="G177" s="6">
        <f>_xlfn.XLOOKUP(Tableau26[[#This Row],[Hole ID]],Data_Log[Hole ID],Data_Log[Planned collar plunge
(°)])</f>
        <v>0</v>
      </c>
      <c r="H177" s="6">
        <f>_xlfn.XLOOKUP(Tableau26[[#This Row],[Hole ID]],Data_Log[Hole ID],Data_Log[Planned collar trend
(°)])</f>
        <v>0</v>
      </c>
      <c r="I177" s="123">
        <f>Tableau26[[#This Row],[Dip
(deg)]]-Tableau26[[#This Row],[QA/QC Dip Planned]]</f>
        <v>0</v>
      </c>
      <c r="J177">
        <f>Tableau26[[#This Row],[Azimuth
(deg)]]-Tableau26[[#This Row],[QA/QC Azimut Planned]]</f>
        <v>0</v>
      </c>
    </row>
    <row r="178" spans="2:10" x14ac:dyDescent="0.25">
      <c r="B178" s="124" t="e">
        <f>VLOOKUP(Tableau26[[#This Row],[Hole ID]],Data_Log[],2,FALSE)</f>
        <v>#N/A</v>
      </c>
      <c r="G178" s="6">
        <f>_xlfn.XLOOKUP(Tableau26[[#This Row],[Hole ID]],Data_Log[Hole ID],Data_Log[Planned collar plunge
(°)])</f>
        <v>0</v>
      </c>
      <c r="H178" s="6">
        <f>_xlfn.XLOOKUP(Tableau26[[#This Row],[Hole ID]],Data_Log[Hole ID],Data_Log[Planned collar trend
(°)])</f>
        <v>0</v>
      </c>
      <c r="I178" s="123">
        <f>Tableau26[[#This Row],[Dip
(deg)]]-Tableau26[[#This Row],[QA/QC Dip Planned]]</f>
        <v>0</v>
      </c>
      <c r="J178">
        <f>Tableau26[[#This Row],[Azimuth
(deg)]]-Tableau26[[#This Row],[QA/QC Azimut Planned]]</f>
        <v>0</v>
      </c>
    </row>
    <row r="179" spans="2:10" x14ac:dyDescent="0.25">
      <c r="B179" s="124" t="e">
        <f>VLOOKUP(Tableau26[[#This Row],[Hole ID]],Data_Log[],2,FALSE)</f>
        <v>#N/A</v>
      </c>
      <c r="G179" s="6">
        <f>_xlfn.XLOOKUP(Tableau26[[#This Row],[Hole ID]],Data_Log[Hole ID],Data_Log[Planned collar plunge
(°)])</f>
        <v>0</v>
      </c>
      <c r="H179" s="6">
        <f>_xlfn.XLOOKUP(Tableau26[[#This Row],[Hole ID]],Data_Log[Hole ID],Data_Log[Planned collar trend
(°)])</f>
        <v>0</v>
      </c>
      <c r="I179" s="123">
        <f>Tableau26[[#This Row],[Dip
(deg)]]-Tableau26[[#This Row],[QA/QC Dip Planned]]</f>
        <v>0</v>
      </c>
      <c r="J179">
        <f>Tableau26[[#This Row],[Azimuth
(deg)]]-Tableau26[[#This Row],[QA/QC Azimut Planned]]</f>
        <v>0</v>
      </c>
    </row>
    <row r="180" spans="2:10" x14ac:dyDescent="0.25">
      <c r="B180" s="124" t="e">
        <f>VLOOKUP(Tableau26[[#This Row],[Hole ID]],Data_Log[],2,FALSE)</f>
        <v>#N/A</v>
      </c>
      <c r="G180" s="6">
        <f>_xlfn.XLOOKUP(Tableau26[[#This Row],[Hole ID]],Data_Log[Hole ID],Data_Log[Planned collar plunge
(°)])</f>
        <v>0</v>
      </c>
      <c r="H180" s="6">
        <f>_xlfn.XLOOKUP(Tableau26[[#This Row],[Hole ID]],Data_Log[Hole ID],Data_Log[Planned collar trend
(°)])</f>
        <v>0</v>
      </c>
      <c r="I180" s="123">
        <f>Tableau26[[#This Row],[Dip
(deg)]]-Tableau26[[#This Row],[QA/QC Dip Planned]]</f>
        <v>0</v>
      </c>
      <c r="J180">
        <f>Tableau26[[#This Row],[Azimuth
(deg)]]-Tableau26[[#This Row],[QA/QC Azimut Planned]]</f>
        <v>0</v>
      </c>
    </row>
    <row r="181" spans="2:10" x14ac:dyDescent="0.25">
      <c r="B181" s="124" t="e">
        <f>VLOOKUP(Tableau26[[#This Row],[Hole ID]],Data_Log[],2,FALSE)</f>
        <v>#N/A</v>
      </c>
      <c r="G181" s="6">
        <f>_xlfn.XLOOKUP(Tableau26[[#This Row],[Hole ID]],Data_Log[Hole ID],Data_Log[Planned collar plunge
(°)])</f>
        <v>0</v>
      </c>
      <c r="H181" s="6">
        <f>_xlfn.XLOOKUP(Tableau26[[#This Row],[Hole ID]],Data_Log[Hole ID],Data_Log[Planned collar trend
(°)])</f>
        <v>0</v>
      </c>
      <c r="I181" s="123">
        <f>Tableau26[[#This Row],[Dip
(deg)]]-Tableau26[[#This Row],[QA/QC Dip Planned]]</f>
        <v>0</v>
      </c>
      <c r="J181">
        <f>Tableau26[[#This Row],[Azimuth
(deg)]]-Tableau26[[#This Row],[QA/QC Azimut Planned]]</f>
        <v>0</v>
      </c>
    </row>
    <row r="182" spans="2:10" x14ac:dyDescent="0.25">
      <c r="B182" s="124" t="e">
        <f>VLOOKUP(Tableau26[[#This Row],[Hole ID]],Data_Log[],2,FALSE)</f>
        <v>#N/A</v>
      </c>
      <c r="G182" s="6">
        <f>_xlfn.XLOOKUP(Tableau26[[#This Row],[Hole ID]],Data_Log[Hole ID],Data_Log[Planned collar plunge
(°)])</f>
        <v>0</v>
      </c>
      <c r="H182" s="6">
        <f>_xlfn.XLOOKUP(Tableau26[[#This Row],[Hole ID]],Data_Log[Hole ID],Data_Log[Planned collar trend
(°)])</f>
        <v>0</v>
      </c>
      <c r="I182" s="123">
        <f>Tableau26[[#This Row],[Dip
(deg)]]-Tableau26[[#This Row],[QA/QC Dip Planned]]</f>
        <v>0</v>
      </c>
      <c r="J182">
        <f>Tableau26[[#This Row],[Azimuth
(deg)]]-Tableau26[[#This Row],[QA/QC Azimut Planned]]</f>
        <v>0</v>
      </c>
    </row>
    <row r="183" spans="2:10" x14ac:dyDescent="0.25">
      <c r="B183" s="124" t="e">
        <f>VLOOKUP(Tableau26[[#This Row],[Hole ID]],Data_Log[],2,FALSE)</f>
        <v>#N/A</v>
      </c>
      <c r="G183" s="6">
        <f>_xlfn.XLOOKUP(Tableau26[[#This Row],[Hole ID]],Data_Log[Hole ID],Data_Log[Planned collar plunge
(°)])</f>
        <v>0</v>
      </c>
      <c r="H183" s="6">
        <f>_xlfn.XLOOKUP(Tableau26[[#This Row],[Hole ID]],Data_Log[Hole ID],Data_Log[Planned collar trend
(°)])</f>
        <v>0</v>
      </c>
      <c r="I183" s="123">
        <f>Tableau26[[#This Row],[Dip
(deg)]]-Tableau26[[#This Row],[QA/QC Dip Planned]]</f>
        <v>0</v>
      </c>
      <c r="J183">
        <f>Tableau26[[#This Row],[Azimuth
(deg)]]-Tableau26[[#This Row],[QA/QC Azimut Planned]]</f>
        <v>0</v>
      </c>
    </row>
    <row r="184" spans="2:10" x14ac:dyDescent="0.25">
      <c r="B184" s="124" t="e">
        <f>VLOOKUP(Tableau26[[#This Row],[Hole ID]],Data_Log[],2,FALSE)</f>
        <v>#N/A</v>
      </c>
      <c r="G184" s="6">
        <f>_xlfn.XLOOKUP(Tableau26[[#This Row],[Hole ID]],Data_Log[Hole ID],Data_Log[Planned collar plunge
(°)])</f>
        <v>0</v>
      </c>
      <c r="H184" s="6">
        <f>_xlfn.XLOOKUP(Tableau26[[#This Row],[Hole ID]],Data_Log[Hole ID],Data_Log[Planned collar trend
(°)])</f>
        <v>0</v>
      </c>
      <c r="I184" s="123">
        <f>Tableau26[[#This Row],[Dip
(deg)]]-Tableau26[[#This Row],[QA/QC Dip Planned]]</f>
        <v>0</v>
      </c>
      <c r="J184">
        <f>Tableau26[[#This Row],[Azimuth
(deg)]]-Tableau26[[#This Row],[QA/QC Azimut Planned]]</f>
        <v>0</v>
      </c>
    </row>
    <row r="185" spans="2:10" x14ac:dyDescent="0.25">
      <c r="B185" s="124" t="e">
        <f>VLOOKUP(Tableau26[[#This Row],[Hole ID]],Data_Log[],2,FALSE)</f>
        <v>#N/A</v>
      </c>
      <c r="G185" s="6">
        <f>_xlfn.XLOOKUP(Tableau26[[#This Row],[Hole ID]],Data_Log[Hole ID],Data_Log[Planned collar plunge
(°)])</f>
        <v>0</v>
      </c>
      <c r="H185" s="6">
        <f>_xlfn.XLOOKUP(Tableau26[[#This Row],[Hole ID]],Data_Log[Hole ID],Data_Log[Planned collar trend
(°)])</f>
        <v>0</v>
      </c>
      <c r="I185" s="123">
        <f>Tableau26[[#This Row],[Dip
(deg)]]-Tableau26[[#This Row],[QA/QC Dip Planned]]</f>
        <v>0</v>
      </c>
      <c r="J185">
        <f>Tableau26[[#This Row],[Azimuth
(deg)]]-Tableau26[[#This Row],[QA/QC Azimut Planned]]</f>
        <v>0</v>
      </c>
    </row>
    <row r="186" spans="2:10" x14ac:dyDescent="0.25">
      <c r="B186" s="124" t="e">
        <f>VLOOKUP(Tableau26[[#This Row],[Hole ID]],Data_Log[],2,FALSE)</f>
        <v>#N/A</v>
      </c>
      <c r="G186" s="6">
        <f>_xlfn.XLOOKUP(Tableau26[[#This Row],[Hole ID]],Data_Log[Hole ID],Data_Log[Planned collar plunge
(°)])</f>
        <v>0</v>
      </c>
      <c r="H186" s="6">
        <f>_xlfn.XLOOKUP(Tableau26[[#This Row],[Hole ID]],Data_Log[Hole ID],Data_Log[Planned collar trend
(°)])</f>
        <v>0</v>
      </c>
      <c r="I186" s="123">
        <f>Tableau26[[#This Row],[Dip
(deg)]]-Tableau26[[#This Row],[QA/QC Dip Planned]]</f>
        <v>0</v>
      </c>
      <c r="J186">
        <f>Tableau26[[#This Row],[Azimuth
(deg)]]-Tableau26[[#This Row],[QA/QC Azimut Planned]]</f>
        <v>0</v>
      </c>
    </row>
    <row r="187" spans="2:10" x14ac:dyDescent="0.25">
      <c r="B187" s="124" t="e">
        <f>VLOOKUP(Tableau26[[#This Row],[Hole ID]],Data_Log[],2,FALSE)</f>
        <v>#N/A</v>
      </c>
      <c r="G187" s="6">
        <f>_xlfn.XLOOKUP(Tableau26[[#This Row],[Hole ID]],Data_Log[Hole ID],Data_Log[Planned collar plunge
(°)])</f>
        <v>0</v>
      </c>
      <c r="H187" s="6">
        <f>_xlfn.XLOOKUP(Tableau26[[#This Row],[Hole ID]],Data_Log[Hole ID],Data_Log[Planned collar trend
(°)])</f>
        <v>0</v>
      </c>
      <c r="I187" s="123">
        <f>Tableau26[[#This Row],[Dip
(deg)]]-Tableau26[[#This Row],[QA/QC Dip Planned]]</f>
        <v>0</v>
      </c>
      <c r="J187">
        <f>Tableau26[[#This Row],[Azimuth
(deg)]]-Tableau26[[#This Row],[QA/QC Azimut Planned]]</f>
        <v>0</v>
      </c>
    </row>
    <row r="188" spans="2:10" x14ac:dyDescent="0.25">
      <c r="B188" s="124" t="e">
        <f>VLOOKUP(Tableau26[[#This Row],[Hole ID]],Data_Log[],2,FALSE)</f>
        <v>#N/A</v>
      </c>
      <c r="G188" s="6">
        <f>_xlfn.XLOOKUP(Tableau26[[#This Row],[Hole ID]],Data_Log[Hole ID],Data_Log[Planned collar plunge
(°)])</f>
        <v>0</v>
      </c>
      <c r="H188" s="6">
        <f>_xlfn.XLOOKUP(Tableau26[[#This Row],[Hole ID]],Data_Log[Hole ID],Data_Log[Planned collar trend
(°)])</f>
        <v>0</v>
      </c>
      <c r="I188" s="123">
        <f>Tableau26[[#This Row],[Dip
(deg)]]-Tableau26[[#This Row],[QA/QC Dip Planned]]</f>
        <v>0</v>
      </c>
      <c r="J188">
        <f>Tableau26[[#This Row],[Azimuth
(deg)]]-Tableau26[[#This Row],[QA/QC Azimut Planned]]</f>
        <v>0</v>
      </c>
    </row>
    <row r="189" spans="2:10" x14ac:dyDescent="0.25">
      <c r="B189" s="124" t="e">
        <f>VLOOKUP(Tableau26[[#This Row],[Hole ID]],Data_Log[],2,FALSE)</f>
        <v>#N/A</v>
      </c>
      <c r="G189" s="6">
        <f>_xlfn.XLOOKUP(Tableau26[[#This Row],[Hole ID]],Data_Log[Hole ID],Data_Log[Planned collar plunge
(°)])</f>
        <v>0</v>
      </c>
      <c r="H189" s="6">
        <f>_xlfn.XLOOKUP(Tableau26[[#This Row],[Hole ID]],Data_Log[Hole ID],Data_Log[Planned collar trend
(°)])</f>
        <v>0</v>
      </c>
      <c r="I189" s="123">
        <f>Tableau26[[#This Row],[Dip
(deg)]]-Tableau26[[#This Row],[QA/QC Dip Planned]]</f>
        <v>0</v>
      </c>
      <c r="J189">
        <f>Tableau26[[#This Row],[Azimuth
(deg)]]-Tableau26[[#This Row],[QA/QC Azimut Planned]]</f>
        <v>0</v>
      </c>
    </row>
    <row r="190" spans="2:10" x14ac:dyDescent="0.25">
      <c r="B190" s="124" t="e">
        <f>VLOOKUP(Tableau26[[#This Row],[Hole ID]],Data_Log[],2,FALSE)</f>
        <v>#N/A</v>
      </c>
      <c r="G190" s="6">
        <f>_xlfn.XLOOKUP(Tableau26[[#This Row],[Hole ID]],Data_Log[Hole ID],Data_Log[Planned collar plunge
(°)])</f>
        <v>0</v>
      </c>
      <c r="H190" s="6">
        <f>_xlfn.XLOOKUP(Tableau26[[#This Row],[Hole ID]],Data_Log[Hole ID],Data_Log[Planned collar trend
(°)])</f>
        <v>0</v>
      </c>
      <c r="I190" s="123">
        <f>Tableau26[[#This Row],[Dip
(deg)]]-Tableau26[[#This Row],[QA/QC Dip Planned]]</f>
        <v>0</v>
      </c>
      <c r="J190">
        <f>Tableau26[[#This Row],[Azimuth
(deg)]]-Tableau26[[#This Row],[QA/QC Azimut Planned]]</f>
        <v>0</v>
      </c>
    </row>
    <row r="191" spans="2:10" x14ac:dyDescent="0.25">
      <c r="B191" s="124" t="e">
        <f>VLOOKUP(Tableau26[[#This Row],[Hole ID]],Data_Log[],2,FALSE)</f>
        <v>#N/A</v>
      </c>
      <c r="G191" s="6">
        <f>_xlfn.XLOOKUP(Tableau26[[#This Row],[Hole ID]],Data_Log[Hole ID],Data_Log[Planned collar plunge
(°)])</f>
        <v>0</v>
      </c>
      <c r="H191" s="6">
        <f>_xlfn.XLOOKUP(Tableau26[[#This Row],[Hole ID]],Data_Log[Hole ID],Data_Log[Planned collar trend
(°)])</f>
        <v>0</v>
      </c>
      <c r="I191" s="123">
        <f>Tableau26[[#This Row],[Dip
(deg)]]-Tableau26[[#This Row],[QA/QC Dip Planned]]</f>
        <v>0</v>
      </c>
      <c r="J191">
        <f>Tableau26[[#This Row],[Azimuth
(deg)]]-Tableau26[[#This Row],[QA/QC Azimut Planned]]</f>
        <v>0</v>
      </c>
    </row>
    <row r="192" spans="2:10" x14ac:dyDescent="0.25">
      <c r="B192" s="124" t="e">
        <f>VLOOKUP(Tableau26[[#This Row],[Hole ID]],Data_Log[],2,FALSE)</f>
        <v>#N/A</v>
      </c>
      <c r="G192" s="6">
        <f>_xlfn.XLOOKUP(Tableau26[[#This Row],[Hole ID]],Data_Log[Hole ID],Data_Log[Planned collar plunge
(°)])</f>
        <v>0</v>
      </c>
      <c r="H192" s="6">
        <f>_xlfn.XLOOKUP(Tableau26[[#This Row],[Hole ID]],Data_Log[Hole ID],Data_Log[Planned collar trend
(°)])</f>
        <v>0</v>
      </c>
      <c r="I192" s="123">
        <f>Tableau26[[#This Row],[Dip
(deg)]]-Tableau26[[#This Row],[QA/QC Dip Planned]]</f>
        <v>0</v>
      </c>
      <c r="J192">
        <f>Tableau26[[#This Row],[Azimuth
(deg)]]-Tableau26[[#This Row],[QA/QC Azimut Planned]]</f>
        <v>0</v>
      </c>
    </row>
    <row r="193" spans="2:10" x14ac:dyDescent="0.25">
      <c r="B193" s="124" t="e">
        <f>VLOOKUP(Tableau26[[#This Row],[Hole ID]],Data_Log[],2,FALSE)</f>
        <v>#N/A</v>
      </c>
      <c r="G193" s="6">
        <f>_xlfn.XLOOKUP(Tableau26[[#This Row],[Hole ID]],Data_Log[Hole ID],Data_Log[Planned collar plunge
(°)])</f>
        <v>0</v>
      </c>
      <c r="H193" s="6">
        <f>_xlfn.XLOOKUP(Tableau26[[#This Row],[Hole ID]],Data_Log[Hole ID],Data_Log[Planned collar trend
(°)])</f>
        <v>0</v>
      </c>
      <c r="I193" s="123">
        <f>Tableau26[[#This Row],[Dip
(deg)]]-Tableau26[[#This Row],[QA/QC Dip Planned]]</f>
        <v>0</v>
      </c>
      <c r="J193">
        <f>Tableau26[[#This Row],[Azimuth
(deg)]]-Tableau26[[#This Row],[QA/QC Azimut Planned]]</f>
        <v>0</v>
      </c>
    </row>
    <row r="194" spans="2:10" x14ac:dyDescent="0.25">
      <c r="B194" s="124" t="e">
        <f>VLOOKUP(Tableau26[[#This Row],[Hole ID]],Data_Log[],2,FALSE)</f>
        <v>#N/A</v>
      </c>
      <c r="G194" s="6">
        <f>_xlfn.XLOOKUP(Tableau26[[#This Row],[Hole ID]],Data_Log[Hole ID],Data_Log[Planned collar plunge
(°)])</f>
        <v>0</v>
      </c>
      <c r="H194" s="6">
        <f>_xlfn.XLOOKUP(Tableau26[[#This Row],[Hole ID]],Data_Log[Hole ID],Data_Log[Planned collar trend
(°)])</f>
        <v>0</v>
      </c>
      <c r="I194" s="123">
        <f>Tableau26[[#This Row],[Dip
(deg)]]-Tableau26[[#This Row],[QA/QC Dip Planned]]</f>
        <v>0</v>
      </c>
      <c r="J194">
        <f>Tableau26[[#This Row],[Azimuth
(deg)]]-Tableau26[[#This Row],[QA/QC Azimut Planned]]</f>
        <v>0</v>
      </c>
    </row>
    <row r="195" spans="2:10" x14ac:dyDescent="0.25">
      <c r="B195" s="124" t="e">
        <f>VLOOKUP(Tableau26[[#This Row],[Hole ID]],Data_Log[],2,FALSE)</f>
        <v>#N/A</v>
      </c>
      <c r="G195" s="6">
        <f>_xlfn.XLOOKUP(Tableau26[[#This Row],[Hole ID]],Data_Log[Hole ID],Data_Log[Planned collar plunge
(°)])</f>
        <v>0</v>
      </c>
      <c r="H195" s="6">
        <f>_xlfn.XLOOKUP(Tableau26[[#This Row],[Hole ID]],Data_Log[Hole ID],Data_Log[Planned collar trend
(°)])</f>
        <v>0</v>
      </c>
      <c r="I195" s="123">
        <f>Tableau26[[#This Row],[Dip
(deg)]]-Tableau26[[#This Row],[QA/QC Dip Planned]]</f>
        <v>0</v>
      </c>
      <c r="J195">
        <f>Tableau26[[#This Row],[Azimuth
(deg)]]-Tableau26[[#This Row],[QA/QC Azimut Planned]]</f>
        <v>0</v>
      </c>
    </row>
    <row r="196" spans="2:10" x14ac:dyDescent="0.25">
      <c r="B196" s="124" t="e">
        <f>VLOOKUP(Tableau26[[#This Row],[Hole ID]],Data_Log[],2,FALSE)</f>
        <v>#N/A</v>
      </c>
      <c r="G196" s="6">
        <f>_xlfn.XLOOKUP(Tableau26[[#This Row],[Hole ID]],Data_Log[Hole ID],Data_Log[Planned collar plunge
(°)])</f>
        <v>0</v>
      </c>
      <c r="H196" s="6">
        <f>_xlfn.XLOOKUP(Tableau26[[#This Row],[Hole ID]],Data_Log[Hole ID],Data_Log[Planned collar trend
(°)])</f>
        <v>0</v>
      </c>
      <c r="I196" s="123">
        <f>Tableau26[[#This Row],[Dip
(deg)]]-Tableau26[[#This Row],[QA/QC Dip Planned]]</f>
        <v>0</v>
      </c>
      <c r="J196">
        <f>Tableau26[[#This Row],[Azimuth
(deg)]]-Tableau26[[#This Row],[QA/QC Azimut Planned]]</f>
        <v>0</v>
      </c>
    </row>
    <row r="197" spans="2:10" x14ac:dyDescent="0.25">
      <c r="B197" s="124" t="e">
        <f>VLOOKUP(Tableau26[[#This Row],[Hole ID]],Data_Log[],2,FALSE)</f>
        <v>#N/A</v>
      </c>
      <c r="G197" s="6">
        <f>_xlfn.XLOOKUP(Tableau26[[#This Row],[Hole ID]],Data_Log[Hole ID],Data_Log[Planned collar plunge
(°)])</f>
        <v>0</v>
      </c>
      <c r="H197" s="6">
        <f>_xlfn.XLOOKUP(Tableau26[[#This Row],[Hole ID]],Data_Log[Hole ID],Data_Log[Planned collar trend
(°)])</f>
        <v>0</v>
      </c>
      <c r="I197" s="123">
        <f>Tableau26[[#This Row],[Dip
(deg)]]-Tableau26[[#This Row],[QA/QC Dip Planned]]</f>
        <v>0</v>
      </c>
      <c r="J197">
        <f>Tableau26[[#This Row],[Azimuth
(deg)]]-Tableau26[[#This Row],[QA/QC Azimut Planned]]</f>
        <v>0</v>
      </c>
    </row>
    <row r="198" spans="2:10" x14ac:dyDescent="0.25">
      <c r="B198" s="124" t="e">
        <f>VLOOKUP(Tableau26[[#This Row],[Hole ID]],Data_Log[],2,FALSE)</f>
        <v>#N/A</v>
      </c>
      <c r="G198" s="6">
        <f>_xlfn.XLOOKUP(Tableau26[[#This Row],[Hole ID]],Data_Log[Hole ID],Data_Log[Planned collar plunge
(°)])</f>
        <v>0</v>
      </c>
      <c r="H198" s="6">
        <f>_xlfn.XLOOKUP(Tableau26[[#This Row],[Hole ID]],Data_Log[Hole ID],Data_Log[Planned collar trend
(°)])</f>
        <v>0</v>
      </c>
      <c r="I198" s="123">
        <f>Tableau26[[#This Row],[Dip
(deg)]]-Tableau26[[#This Row],[QA/QC Dip Planned]]</f>
        <v>0</v>
      </c>
      <c r="J198">
        <f>Tableau26[[#This Row],[Azimuth
(deg)]]-Tableau26[[#This Row],[QA/QC Azimut Planned]]</f>
        <v>0</v>
      </c>
    </row>
    <row r="199" spans="2:10" x14ac:dyDescent="0.25">
      <c r="B199" s="124" t="e">
        <f>VLOOKUP(Tableau26[[#This Row],[Hole ID]],Data_Log[],2,FALSE)</f>
        <v>#N/A</v>
      </c>
      <c r="G199" s="6">
        <f>_xlfn.XLOOKUP(Tableau26[[#This Row],[Hole ID]],Data_Log[Hole ID],Data_Log[Planned collar plunge
(°)])</f>
        <v>0</v>
      </c>
      <c r="H199" s="6">
        <f>_xlfn.XLOOKUP(Tableau26[[#This Row],[Hole ID]],Data_Log[Hole ID],Data_Log[Planned collar trend
(°)])</f>
        <v>0</v>
      </c>
      <c r="I199" s="123">
        <f>Tableau26[[#This Row],[Dip
(deg)]]-Tableau26[[#This Row],[QA/QC Dip Planned]]</f>
        <v>0</v>
      </c>
      <c r="J199">
        <f>Tableau26[[#This Row],[Azimuth
(deg)]]-Tableau26[[#This Row],[QA/QC Azimut Planned]]</f>
        <v>0</v>
      </c>
    </row>
    <row r="200" spans="2:10" x14ac:dyDescent="0.25">
      <c r="B200" s="124" t="e">
        <f>VLOOKUP(Tableau26[[#This Row],[Hole ID]],Data_Log[],2,FALSE)</f>
        <v>#N/A</v>
      </c>
      <c r="G200" s="6">
        <f>_xlfn.XLOOKUP(Tableau26[[#This Row],[Hole ID]],Data_Log[Hole ID],Data_Log[Planned collar plunge
(°)])</f>
        <v>0</v>
      </c>
      <c r="H200" s="6">
        <f>_xlfn.XLOOKUP(Tableau26[[#This Row],[Hole ID]],Data_Log[Hole ID],Data_Log[Planned collar trend
(°)])</f>
        <v>0</v>
      </c>
      <c r="I200" s="123">
        <f>Tableau26[[#This Row],[Dip
(deg)]]-Tableau26[[#This Row],[QA/QC Dip Planned]]</f>
        <v>0</v>
      </c>
      <c r="J200">
        <f>Tableau26[[#This Row],[Azimuth
(deg)]]-Tableau26[[#This Row],[QA/QC Azimut Planned]]</f>
        <v>0</v>
      </c>
    </row>
    <row r="201" spans="2:10" x14ac:dyDescent="0.25">
      <c r="B201" s="124" t="e">
        <f>VLOOKUP(Tableau26[[#This Row],[Hole ID]],Data_Log[],2,FALSE)</f>
        <v>#N/A</v>
      </c>
      <c r="G201" s="6">
        <f>_xlfn.XLOOKUP(Tableau26[[#This Row],[Hole ID]],Data_Log[Hole ID],Data_Log[Planned collar plunge
(°)])</f>
        <v>0</v>
      </c>
      <c r="H201" s="6">
        <f>_xlfn.XLOOKUP(Tableau26[[#This Row],[Hole ID]],Data_Log[Hole ID],Data_Log[Planned collar trend
(°)])</f>
        <v>0</v>
      </c>
      <c r="I201" s="123">
        <f>Tableau26[[#This Row],[Dip
(deg)]]-Tableau26[[#This Row],[QA/QC Dip Planned]]</f>
        <v>0</v>
      </c>
      <c r="J201">
        <f>Tableau26[[#This Row],[Azimuth
(deg)]]-Tableau26[[#This Row],[QA/QC Azimut Planned]]</f>
        <v>0</v>
      </c>
    </row>
    <row r="202" spans="2:10" x14ac:dyDescent="0.25">
      <c r="B202" s="124" t="e">
        <f>VLOOKUP(Tableau26[[#This Row],[Hole ID]],Data_Log[],2,FALSE)</f>
        <v>#N/A</v>
      </c>
      <c r="G202" s="6">
        <f>_xlfn.XLOOKUP(Tableau26[[#This Row],[Hole ID]],Data_Log[Hole ID],Data_Log[Planned collar plunge
(°)])</f>
        <v>0</v>
      </c>
      <c r="H202" s="6">
        <f>_xlfn.XLOOKUP(Tableau26[[#This Row],[Hole ID]],Data_Log[Hole ID],Data_Log[Planned collar trend
(°)])</f>
        <v>0</v>
      </c>
      <c r="I202" s="123">
        <f>Tableau26[[#This Row],[Dip
(deg)]]-Tableau26[[#This Row],[QA/QC Dip Planned]]</f>
        <v>0</v>
      </c>
      <c r="J202">
        <f>Tableau26[[#This Row],[Azimuth
(deg)]]-Tableau26[[#This Row],[QA/QC Azimut Planned]]</f>
        <v>0</v>
      </c>
    </row>
    <row r="203" spans="2:10" x14ac:dyDescent="0.25">
      <c r="B203" s="124" t="e">
        <f>VLOOKUP(Tableau26[[#This Row],[Hole ID]],Data_Log[],2,FALSE)</f>
        <v>#N/A</v>
      </c>
      <c r="G203" s="6">
        <f>_xlfn.XLOOKUP(Tableau26[[#This Row],[Hole ID]],Data_Log[Hole ID],Data_Log[Planned collar plunge
(°)])</f>
        <v>0</v>
      </c>
      <c r="H203" s="6">
        <f>_xlfn.XLOOKUP(Tableau26[[#This Row],[Hole ID]],Data_Log[Hole ID],Data_Log[Planned collar trend
(°)])</f>
        <v>0</v>
      </c>
      <c r="I203" s="123">
        <f>Tableau26[[#This Row],[Dip
(deg)]]-Tableau26[[#This Row],[QA/QC Dip Planned]]</f>
        <v>0</v>
      </c>
      <c r="J203">
        <f>Tableau26[[#This Row],[Azimuth
(deg)]]-Tableau26[[#This Row],[QA/QC Azimut Planned]]</f>
        <v>0</v>
      </c>
    </row>
    <row r="204" spans="2:10" x14ac:dyDescent="0.25">
      <c r="B204" s="124" t="e">
        <f>VLOOKUP(Tableau26[[#This Row],[Hole ID]],Data_Log[],2,FALSE)</f>
        <v>#N/A</v>
      </c>
      <c r="G204" s="6">
        <f>_xlfn.XLOOKUP(Tableau26[[#This Row],[Hole ID]],Data_Log[Hole ID],Data_Log[Planned collar plunge
(°)])</f>
        <v>0</v>
      </c>
      <c r="H204" s="6">
        <f>_xlfn.XLOOKUP(Tableau26[[#This Row],[Hole ID]],Data_Log[Hole ID],Data_Log[Planned collar trend
(°)])</f>
        <v>0</v>
      </c>
      <c r="I204" s="123">
        <f>Tableau26[[#This Row],[Dip
(deg)]]-Tableau26[[#This Row],[QA/QC Dip Planned]]</f>
        <v>0</v>
      </c>
      <c r="J204">
        <f>Tableau26[[#This Row],[Azimuth
(deg)]]-Tableau26[[#This Row],[QA/QC Azimut Planned]]</f>
        <v>0</v>
      </c>
    </row>
    <row r="205" spans="2:10" x14ac:dyDescent="0.25">
      <c r="B205" s="124" t="e">
        <f>VLOOKUP(Tableau26[[#This Row],[Hole ID]],Data_Log[],2,FALSE)</f>
        <v>#N/A</v>
      </c>
      <c r="G205" s="6">
        <f>_xlfn.XLOOKUP(Tableau26[[#This Row],[Hole ID]],Data_Log[Hole ID],Data_Log[Planned collar plunge
(°)])</f>
        <v>0</v>
      </c>
      <c r="H205" s="6">
        <f>_xlfn.XLOOKUP(Tableau26[[#This Row],[Hole ID]],Data_Log[Hole ID],Data_Log[Planned collar trend
(°)])</f>
        <v>0</v>
      </c>
      <c r="I205" s="123">
        <f>Tableau26[[#This Row],[Dip
(deg)]]-Tableau26[[#This Row],[QA/QC Dip Planned]]</f>
        <v>0</v>
      </c>
      <c r="J205">
        <f>Tableau26[[#This Row],[Azimuth
(deg)]]-Tableau26[[#This Row],[QA/QC Azimut Planned]]</f>
        <v>0</v>
      </c>
    </row>
    <row r="206" spans="2:10" x14ac:dyDescent="0.25">
      <c r="B206" s="124" t="e">
        <f>VLOOKUP(Tableau26[[#This Row],[Hole ID]],Data_Log[],2,FALSE)</f>
        <v>#N/A</v>
      </c>
      <c r="G206" s="6">
        <f>_xlfn.XLOOKUP(Tableau26[[#This Row],[Hole ID]],Data_Log[Hole ID],Data_Log[Planned collar plunge
(°)])</f>
        <v>0</v>
      </c>
      <c r="H206" s="6">
        <f>_xlfn.XLOOKUP(Tableau26[[#This Row],[Hole ID]],Data_Log[Hole ID],Data_Log[Planned collar trend
(°)])</f>
        <v>0</v>
      </c>
      <c r="I206" s="123">
        <f>Tableau26[[#This Row],[Dip
(deg)]]-Tableau26[[#This Row],[QA/QC Dip Planned]]</f>
        <v>0</v>
      </c>
      <c r="J206">
        <f>Tableau26[[#This Row],[Azimuth
(deg)]]-Tableau26[[#This Row],[QA/QC Azimut Planned]]</f>
        <v>0</v>
      </c>
    </row>
    <row r="207" spans="2:10" x14ac:dyDescent="0.25">
      <c r="B207" s="124" t="e">
        <f>VLOOKUP(Tableau26[[#This Row],[Hole ID]],Data_Log[],2,FALSE)</f>
        <v>#N/A</v>
      </c>
      <c r="G207" s="6">
        <f>_xlfn.XLOOKUP(Tableau26[[#This Row],[Hole ID]],Data_Log[Hole ID],Data_Log[Planned collar plunge
(°)])</f>
        <v>0</v>
      </c>
      <c r="H207" s="6">
        <f>_xlfn.XLOOKUP(Tableau26[[#This Row],[Hole ID]],Data_Log[Hole ID],Data_Log[Planned collar trend
(°)])</f>
        <v>0</v>
      </c>
      <c r="I207" s="123">
        <f>Tableau26[[#This Row],[Dip
(deg)]]-Tableau26[[#This Row],[QA/QC Dip Planned]]</f>
        <v>0</v>
      </c>
      <c r="J207">
        <f>Tableau26[[#This Row],[Azimuth
(deg)]]-Tableau26[[#This Row],[QA/QC Azimut Planned]]</f>
        <v>0</v>
      </c>
    </row>
    <row r="208" spans="2:10" x14ac:dyDescent="0.25">
      <c r="B208" s="124" t="e">
        <f>VLOOKUP(Tableau26[[#This Row],[Hole ID]],Data_Log[],2,FALSE)</f>
        <v>#N/A</v>
      </c>
      <c r="G208" s="6">
        <f>_xlfn.XLOOKUP(Tableau26[[#This Row],[Hole ID]],Data_Log[Hole ID],Data_Log[Planned collar plunge
(°)])</f>
        <v>0</v>
      </c>
      <c r="H208" s="6">
        <f>_xlfn.XLOOKUP(Tableau26[[#This Row],[Hole ID]],Data_Log[Hole ID],Data_Log[Planned collar trend
(°)])</f>
        <v>0</v>
      </c>
      <c r="I208" s="123">
        <f>Tableau26[[#This Row],[Dip
(deg)]]-Tableau26[[#This Row],[QA/QC Dip Planned]]</f>
        <v>0</v>
      </c>
      <c r="J208">
        <f>Tableau26[[#This Row],[Azimuth
(deg)]]-Tableau26[[#This Row],[QA/QC Azimut Planned]]</f>
        <v>0</v>
      </c>
    </row>
    <row r="209" spans="2:10" x14ac:dyDescent="0.25">
      <c r="B209" s="124" t="e">
        <f>VLOOKUP(Tableau26[[#This Row],[Hole ID]],Data_Log[],2,FALSE)</f>
        <v>#N/A</v>
      </c>
      <c r="G209" s="6">
        <f>_xlfn.XLOOKUP(Tableau26[[#This Row],[Hole ID]],Data_Log[Hole ID],Data_Log[Planned collar plunge
(°)])</f>
        <v>0</v>
      </c>
      <c r="H209" s="6">
        <f>_xlfn.XLOOKUP(Tableau26[[#This Row],[Hole ID]],Data_Log[Hole ID],Data_Log[Planned collar trend
(°)])</f>
        <v>0</v>
      </c>
      <c r="I209" s="123">
        <f>Tableau26[[#This Row],[Dip
(deg)]]-Tableau26[[#This Row],[QA/QC Dip Planned]]</f>
        <v>0</v>
      </c>
      <c r="J209">
        <f>Tableau26[[#This Row],[Azimuth
(deg)]]-Tableau26[[#This Row],[QA/QC Azimut Planned]]</f>
        <v>0</v>
      </c>
    </row>
    <row r="210" spans="2:10" x14ac:dyDescent="0.25">
      <c r="B210" s="124" t="e">
        <f>VLOOKUP(Tableau26[[#This Row],[Hole ID]],Data_Log[],2,FALSE)</f>
        <v>#N/A</v>
      </c>
      <c r="G210" s="6">
        <f>_xlfn.XLOOKUP(Tableau26[[#This Row],[Hole ID]],Data_Log[Hole ID],Data_Log[Planned collar plunge
(°)])</f>
        <v>0</v>
      </c>
      <c r="H210" s="6">
        <f>_xlfn.XLOOKUP(Tableau26[[#This Row],[Hole ID]],Data_Log[Hole ID],Data_Log[Planned collar trend
(°)])</f>
        <v>0</v>
      </c>
      <c r="I210" s="123">
        <f>Tableau26[[#This Row],[Dip
(deg)]]-Tableau26[[#This Row],[QA/QC Dip Planned]]</f>
        <v>0</v>
      </c>
      <c r="J210">
        <f>Tableau26[[#This Row],[Azimuth
(deg)]]-Tableau26[[#This Row],[QA/QC Azimut Planned]]</f>
        <v>0</v>
      </c>
    </row>
    <row r="211" spans="2:10" x14ac:dyDescent="0.25">
      <c r="B211" s="124" t="e">
        <f>VLOOKUP(Tableau26[[#This Row],[Hole ID]],Data_Log[],2,FALSE)</f>
        <v>#N/A</v>
      </c>
      <c r="G211" s="6">
        <f>_xlfn.XLOOKUP(Tableau26[[#This Row],[Hole ID]],Data_Log[Hole ID],Data_Log[Planned collar plunge
(°)])</f>
        <v>0</v>
      </c>
      <c r="H211" s="6">
        <f>_xlfn.XLOOKUP(Tableau26[[#This Row],[Hole ID]],Data_Log[Hole ID],Data_Log[Planned collar trend
(°)])</f>
        <v>0</v>
      </c>
      <c r="I211" s="123">
        <f>Tableau26[[#This Row],[Dip
(deg)]]-Tableau26[[#This Row],[QA/QC Dip Planned]]</f>
        <v>0</v>
      </c>
      <c r="J211">
        <f>Tableau26[[#This Row],[Azimuth
(deg)]]-Tableau26[[#This Row],[QA/QC Azimut Planned]]</f>
        <v>0</v>
      </c>
    </row>
    <row r="212" spans="2:10" x14ac:dyDescent="0.25">
      <c r="B212" s="124" t="e">
        <f>VLOOKUP(Tableau26[[#This Row],[Hole ID]],Data_Log[],2,FALSE)</f>
        <v>#N/A</v>
      </c>
      <c r="G212" s="6">
        <f>_xlfn.XLOOKUP(Tableau26[[#This Row],[Hole ID]],Data_Log[Hole ID],Data_Log[Planned collar plunge
(°)])</f>
        <v>0</v>
      </c>
      <c r="H212" s="6">
        <f>_xlfn.XLOOKUP(Tableau26[[#This Row],[Hole ID]],Data_Log[Hole ID],Data_Log[Planned collar trend
(°)])</f>
        <v>0</v>
      </c>
      <c r="I212" s="123">
        <f>Tableau26[[#This Row],[Dip
(deg)]]-Tableau26[[#This Row],[QA/QC Dip Planned]]</f>
        <v>0</v>
      </c>
      <c r="J212">
        <f>Tableau26[[#This Row],[Azimuth
(deg)]]-Tableau26[[#This Row],[QA/QC Azimut Planned]]</f>
        <v>0</v>
      </c>
    </row>
    <row r="213" spans="2:10" x14ac:dyDescent="0.25">
      <c r="B213" s="124" t="e">
        <f>VLOOKUP(Tableau26[[#This Row],[Hole ID]],Data_Log[],2,FALSE)</f>
        <v>#N/A</v>
      </c>
      <c r="G213" s="6">
        <f>_xlfn.XLOOKUP(Tableau26[[#This Row],[Hole ID]],Data_Log[Hole ID],Data_Log[Planned collar plunge
(°)])</f>
        <v>0</v>
      </c>
      <c r="H213" s="6">
        <f>_xlfn.XLOOKUP(Tableau26[[#This Row],[Hole ID]],Data_Log[Hole ID],Data_Log[Planned collar trend
(°)])</f>
        <v>0</v>
      </c>
      <c r="I213" s="123">
        <f>Tableau26[[#This Row],[Dip
(deg)]]-Tableau26[[#This Row],[QA/QC Dip Planned]]</f>
        <v>0</v>
      </c>
      <c r="J213">
        <f>Tableau26[[#This Row],[Azimuth
(deg)]]-Tableau26[[#This Row],[QA/QC Azimut Planned]]</f>
        <v>0</v>
      </c>
    </row>
    <row r="214" spans="2:10" x14ac:dyDescent="0.25">
      <c r="B214" s="124" t="e">
        <f>VLOOKUP(Tableau26[[#This Row],[Hole ID]],Data_Log[],2,FALSE)</f>
        <v>#N/A</v>
      </c>
      <c r="G214" s="6">
        <f>_xlfn.XLOOKUP(Tableau26[[#This Row],[Hole ID]],Data_Log[Hole ID],Data_Log[Planned collar plunge
(°)])</f>
        <v>0</v>
      </c>
      <c r="H214" s="6">
        <f>_xlfn.XLOOKUP(Tableau26[[#This Row],[Hole ID]],Data_Log[Hole ID],Data_Log[Planned collar trend
(°)])</f>
        <v>0</v>
      </c>
      <c r="I214" s="123">
        <f>Tableau26[[#This Row],[Dip
(deg)]]-Tableau26[[#This Row],[QA/QC Dip Planned]]</f>
        <v>0</v>
      </c>
      <c r="J214">
        <f>Tableau26[[#This Row],[Azimuth
(deg)]]-Tableau26[[#This Row],[QA/QC Azimut Planned]]</f>
        <v>0</v>
      </c>
    </row>
    <row r="215" spans="2:10" x14ac:dyDescent="0.25">
      <c r="B215" s="124" t="e">
        <f>VLOOKUP(Tableau26[[#This Row],[Hole ID]],Data_Log[],2,FALSE)</f>
        <v>#N/A</v>
      </c>
      <c r="G215" s="6">
        <f>_xlfn.XLOOKUP(Tableau26[[#This Row],[Hole ID]],Data_Log[Hole ID],Data_Log[Planned collar plunge
(°)])</f>
        <v>0</v>
      </c>
      <c r="H215" s="6">
        <f>_xlfn.XLOOKUP(Tableau26[[#This Row],[Hole ID]],Data_Log[Hole ID],Data_Log[Planned collar trend
(°)])</f>
        <v>0</v>
      </c>
      <c r="I215" s="123">
        <f>Tableau26[[#This Row],[Dip
(deg)]]-Tableau26[[#This Row],[QA/QC Dip Planned]]</f>
        <v>0</v>
      </c>
      <c r="J215">
        <f>Tableau26[[#This Row],[Azimuth
(deg)]]-Tableau26[[#This Row],[QA/QC Azimut Planned]]</f>
        <v>0</v>
      </c>
    </row>
    <row r="216" spans="2:10" x14ac:dyDescent="0.25">
      <c r="B216" s="124" t="e">
        <f>VLOOKUP(Tableau26[[#This Row],[Hole ID]],Data_Log[],2,FALSE)</f>
        <v>#N/A</v>
      </c>
      <c r="G216" s="6">
        <f>_xlfn.XLOOKUP(Tableau26[[#This Row],[Hole ID]],Data_Log[Hole ID],Data_Log[Planned collar plunge
(°)])</f>
        <v>0</v>
      </c>
      <c r="H216" s="6">
        <f>_xlfn.XLOOKUP(Tableau26[[#This Row],[Hole ID]],Data_Log[Hole ID],Data_Log[Planned collar trend
(°)])</f>
        <v>0</v>
      </c>
      <c r="I216" s="123">
        <f>Tableau26[[#This Row],[Dip
(deg)]]-Tableau26[[#This Row],[QA/QC Dip Planned]]</f>
        <v>0</v>
      </c>
      <c r="J216">
        <f>Tableau26[[#This Row],[Azimuth
(deg)]]-Tableau26[[#This Row],[QA/QC Azimut Planned]]</f>
        <v>0</v>
      </c>
    </row>
    <row r="217" spans="2:10" x14ac:dyDescent="0.25">
      <c r="B217" s="124" t="e">
        <f>VLOOKUP(Tableau26[[#This Row],[Hole ID]],Data_Log[],2,FALSE)</f>
        <v>#N/A</v>
      </c>
      <c r="G217" s="6">
        <f>_xlfn.XLOOKUP(Tableau26[[#This Row],[Hole ID]],Data_Log[Hole ID],Data_Log[Planned collar plunge
(°)])</f>
        <v>0</v>
      </c>
      <c r="H217" s="6">
        <f>_xlfn.XLOOKUP(Tableau26[[#This Row],[Hole ID]],Data_Log[Hole ID],Data_Log[Planned collar trend
(°)])</f>
        <v>0</v>
      </c>
      <c r="I217" s="123">
        <f>Tableau26[[#This Row],[Dip
(deg)]]-Tableau26[[#This Row],[QA/QC Dip Planned]]</f>
        <v>0</v>
      </c>
      <c r="J217">
        <f>Tableau26[[#This Row],[Azimuth
(deg)]]-Tableau26[[#This Row],[QA/QC Azimut Planned]]</f>
        <v>0</v>
      </c>
    </row>
    <row r="218" spans="2:10" x14ac:dyDescent="0.25">
      <c r="B218" s="124" t="e">
        <f>VLOOKUP(Tableau26[[#This Row],[Hole ID]],Data_Log[],2,FALSE)</f>
        <v>#N/A</v>
      </c>
      <c r="G218" s="6">
        <f>_xlfn.XLOOKUP(Tableau26[[#This Row],[Hole ID]],Data_Log[Hole ID],Data_Log[Planned collar plunge
(°)])</f>
        <v>0</v>
      </c>
      <c r="H218" s="6">
        <f>_xlfn.XLOOKUP(Tableau26[[#This Row],[Hole ID]],Data_Log[Hole ID],Data_Log[Planned collar trend
(°)])</f>
        <v>0</v>
      </c>
      <c r="I218" s="123">
        <f>Tableau26[[#This Row],[Dip
(deg)]]-Tableau26[[#This Row],[QA/QC Dip Planned]]</f>
        <v>0</v>
      </c>
      <c r="J218">
        <f>Tableau26[[#This Row],[Azimuth
(deg)]]-Tableau26[[#This Row],[QA/QC Azimut Planned]]</f>
        <v>0</v>
      </c>
    </row>
    <row r="219" spans="2:10" x14ac:dyDescent="0.25">
      <c r="B219" s="124" t="e">
        <f>VLOOKUP(Tableau26[[#This Row],[Hole ID]],Data_Log[],2,FALSE)</f>
        <v>#N/A</v>
      </c>
      <c r="G219" s="6">
        <f>_xlfn.XLOOKUP(Tableau26[[#This Row],[Hole ID]],Data_Log[Hole ID],Data_Log[Planned collar plunge
(°)])</f>
        <v>0</v>
      </c>
      <c r="H219" s="6">
        <f>_xlfn.XLOOKUP(Tableau26[[#This Row],[Hole ID]],Data_Log[Hole ID],Data_Log[Planned collar trend
(°)])</f>
        <v>0</v>
      </c>
      <c r="I219" s="123">
        <f>Tableau26[[#This Row],[Dip
(deg)]]-Tableau26[[#This Row],[QA/QC Dip Planned]]</f>
        <v>0</v>
      </c>
      <c r="J219">
        <f>Tableau26[[#This Row],[Azimuth
(deg)]]-Tableau26[[#This Row],[QA/QC Azimut Planned]]</f>
        <v>0</v>
      </c>
    </row>
    <row r="220" spans="2:10" x14ac:dyDescent="0.25">
      <c r="B220" s="124" t="e">
        <f>VLOOKUP(Tableau26[[#This Row],[Hole ID]],Data_Log[],2,FALSE)</f>
        <v>#N/A</v>
      </c>
      <c r="G220" s="6">
        <f>_xlfn.XLOOKUP(Tableau26[[#This Row],[Hole ID]],Data_Log[Hole ID],Data_Log[Planned collar plunge
(°)])</f>
        <v>0</v>
      </c>
      <c r="H220" s="6">
        <f>_xlfn.XLOOKUP(Tableau26[[#This Row],[Hole ID]],Data_Log[Hole ID],Data_Log[Planned collar trend
(°)])</f>
        <v>0</v>
      </c>
      <c r="I220" s="123">
        <f>Tableau26[[#This Row],[Dip
(deg)]]-Tableau26[[#This Row],[QA/QC Dip Planned]]</f>
        <v>0</v>
      </c>
      <c r="J220">
        <f>Tableau26[[#This Row],[Azimuth
(deg)]]-Tableau26[[#This Row],[QA/QC Azimut Planned]]</f>
        <v>0</v>
      </c>
    </row>
    <row r="221" spans="2:10" x14ac:dyDescent="0.25">
      <c r="B221" s="124" t="e">
        <f>VLOOKUP(Tableau26[[#This Row],[Hole ID]],Data_Log[],2,FALSE)</f>
        <v>#N/A</v>
      </c>
      <c r="G221" s="6">
        <f>_xlfn.XLOOKUP(Tableau26[[#This Row],[Hole ID]],Data_Log[Hole ID],Data_Log[Planned collar plunge
(°)])</f>
        <v>0</v>
      </c>
      <c r="H221" s="6">
        <f>_xlfn.XLOOKUP(Tableau26[[#This Row],[Hole ID]],Data_Log[Hole ID],Data_Log[Planned collar trend
(°)])</f>
        <v>0</v>
      </c>
      <c r="I221" s="123">
        <f>Tableau26[[#This Row],[Dip
(deg)]]-Tableau26[[#This Row],[QA/QC Dip Planned]]</f>
        <v>0</v>
      </c>
      <c r="J221">
        <f>Tableau26[[#This Row],[Azimuth
(deg)]]-Tableau26[[#This Row],[QA/QC Azimut Planned]]</f>
        <v>0</v>
      </c>
    </row>
    <row r="222" spans="2:10" x14ac:dyDescent="0.25">
      <c r="B222" s="124" t="e">
        <f>VLOOKUP(Tableau26[[#This Row],[Hole ID]],Data_Log[],2,FALSE)</f>
        <v>#N/A</v>
      </c>
      <c r="G222" s="6">
        <f>_xlfn.XLOOKUP(Tableau26[[#This Row],[Hole ID]],Data_Log[Hole ID],Data_Log[Planned collar plunge
(°)])</f>
        <v>0</v>
      </c>
      <c r="H222" s="6">
        <f>_xlfn.XLOOKUP(Tableau26[[#This Row],[Hole ID]],Data_Log[Hole ID],Data_Log[Planned collar trend
(°)])</f>
        <v>0</v>
      </c>
      <c r="I222" s="123">
        <f>Tableau26[[#This Row],[Dip
(deg)]]-Tableau26[[#This Row],[QA/QC Dip Planned]]</f>
        <v>0</v>
      </c>
      <c r="J222">
        <f>Tableau26[[#This Row],[Azimuth
(deg)]]-Tableau26[[#This Row],[QA/QC Azimut Planned]]</f>
        <v>0</v>
      </c>
    </row>
    <row r="223" spans="2:10" x14ac:dyDescent="0.25">
      <c r="B223" s="124" t="e">
        <f>VLOOKUP(Tableau26[[#This Row],[Hole ID]],Data_Log[],2,FALSE)</f>
        <v>#N/A</v>
      </c>
      <c r="G223" s="6">
        <f>_xlfn.XLOOKUP(Tableau26[[#This Row],[Hole ID]],Data_Log[Hole ID],Data_Log[Planned collar plunge
(°)])</f>
        <v>0</v>
      </c>
      <c r="H223" s="6">
        <f>_xlfn.XLOOKUP(Tableau26[[#This Row],[Hole ID]],Data_Log[Hole ID],Data_Log[Planned collar trend
(°)])</f>
        <v>0</v>
      </c>
      <c r="I223" s="123">
        <f>Tableau26[[#This Row],[Dip
(deg)]]-Tableau26[[#This Row],[QA/QC Dip Planned]]</f>
        <v>0</v>
      </c>
      <c r="J223">
        <f>Tableau26[[#This Row],[Azimuth
(deg)]]-Tableau26[[#This Row],[QA/QC Azimut Planned]]</f>
        <v>0</v>
      </c>
    </row>
    <row r="224" spans="2:10" x14ac:dyDescent="0.25">
      <c r="B224" s="124" t="e">
        <f>VLOOKUP(Tableau26[[#This Row],[Hole ID]],Data_Log[],2,FALSE)</f>
        <v>#N/A</v>
      </c>
      <c r="G224" s="6">
        <f>_xlfn.XLOOKUP(Tableau26[[#This Row],[Hole ID]],Data_Log[Hole ID],Data_Log[Planned collar plunge
(°)])</f>
        <v>0</v>
      </c>
      <c r="H224" s="6">
        <f>_xlfn.XLOOKUP(Tableau26[[#This Row],[Hole ID]],Data_Log[Hole ID],Data_Log[Planned collar trend
(°)])</f>
        <v>0</v>
      </c>
      <c r="I224" s="123">
        <f>Tableau26[[#This Row],[Dip
(deg)]]-Tableau26[[#This Row],[QA/QC Dip Planned]]</f>
        <v>0</v>
      </c>
      <c r="J224">
        <f>Tableau26[[#This Row],[Azimuth
(deg)]]-Tableau26[[#This Row],[QA/QC Azimut Planned]]</f>
        <v>0</v>
      </c>
    </row>
    <row r="225" spans="2:10" x14ac:dyDescent="0.25">
      <c r="B225" s="124" t="e">
        <f>VLOOKUP(Tableau26[[#This Row],[Hole ID]],Data_Log[],2,FALSE)</f>
        <v>#N/A</v>
      </c>
      <c r="G225" s="6">
        <f>_xlfn.XLOOKUP(Tableau26[[#This Row],[Hole ID]],Data_Log[Hole ID],Data_Log[Planned collar plunge
(°)])</f>
        <v>0</v>
      </c>
      <c r="H225" s="6">
        <f>_xlfn.XLOOKUP(Tableau26[[#This Row],[Hole ID]],Data_Log[Hole ID],Data_Log[Planned collar trend
(°)])</f>
        <v>0</v>
      </c>
      <c r="I225" s="123">
        <f>Tableau26[[#This Row],[Dip
(deg)]]-Tableau26[[#This Row],[QA/QC Dip Planned]]</f>
        <v>0</v>
      </c>
      <c r="J225">
        <f>Tableau26[[#This Row],[Azimuth
(deg)]]-Tableau26[[#This Row],[QA/QC Azimut Planned]]</f>
        <v>0</v>
      </c>
    </row>
    <row r="226" spans="2:10" x14ac:dyDescent="0.25">
      <c r="B226" s="124" t="e">
        <f>VLOOKUP(Tableau26[[#This Row],[Hole ID]],Data_Log[],2,FALSE)</f>
        <v>#N/A</v>
      </c>
      <c r="G226" s="6">
        <f>_xlfn.XLOOKUP(Tableau26[[#This Row],[Hole ID]],Data_Log[Hole ID],Data_Log[Planned collar plunge
(°)])</f>
        <v>0</v>
      </c>
      <c r="H226" s="6">
        <f>_xlfn.XLOOKUP(Tableau26[[#This Row],[Hole ID]],Data_Log[Hole ID],Data_Log[Planned collar trend
(°)])</f>
        <v>0</v>
      </c>
      <c r="I226" s="123">
        <f>Tableau26[[#This Row],[Dip
(deg)]]-Tableau26[[#This Row],[QA/QC Dip Planned]]</f>
        <v>0</v>
      </c>
      <c r="J226">
        <f>Tableau26[[#This Row],[Azimuth
(deg)]]-Tableau26[[#This Row],[QA/QC Azimut Planned]]</f>
        <v>0</v>
      </c>
    </row>
    <row r="227" spans="2:10" x14ac:dyDescent="0.25">
      <c r="B227" s="124" t="e">
        <f>VLOOKUP(Tableau26[[#This Row],[Hole ID]],Data_Log[],2,FALSE)</f>
        <v>#N/A</v>
      </c>
      <c r="G227" s="6">
        <f>_xlfn.XLOOKUP(Tableau26[[#This Row],[Hole ID]],Data_Log[Hole ID],Data_Log[Planned collar plunge
(°)])</f>
        <v>0</v>
      </c>
      <c r="H227" s="6">
        <f>_xlfn.XLOOKUP(Tableau26[[#This Row],[Hole ID]],Data_Log[Hole ID],Data_Log[Planned collar trend
(°)])</f>
        <v>0</v>
      </c>
      <c r="I227" s="123">
        <f>Tableau26[[#This Row],[Dip
(deg)]]-Tableau26[[#This Row],[QA/QC Dip Planned]]</f>
        <v>0</v>
      </c>
      <c r="J227">
        <f>Tableau26[[#This Row],[Azimuth
(deg)]]-Tableau26[[#This Row],[QA/QC Azimut Planned]]</f>
        <v>0</v>
      </c>
    </row>
    <row r="228" spans="2:10" x14ac:dyDescent="0.25">
      <c r="B228" s="124" t="e">
        <f>VLOOKUP(Tableau26[[#This Row],[Hole ID]],Data_Log[],2,FALSE)</f>
        <v>#N/A</v>
      </c>
      <c r="G228" s="6">
        <f>_xlfn.XLOOKUP(Tableau26[[#This Row],[Hole ID]],Data_Log[Hole ID],Data_Log[Planned collar plunge
(°)])</f>
        <v>0</v>
      </c>
      <c r="H228" s="6">
        <f>_xlfn.XLOOKUP(Tableau26[[#This Row],[Hole ID]],Data_Log[Hole ID],Data_Log[Planned collar trend
(°)])</f>
        <v>0</v>
      </c>
      <c r="I228" s="123">
        <f>Tableau26[[#This Row],[Dip
(deg)]]-Tableau26[[#This Row],[QA/QC Dip Planned]]</f>
        <v>0</v>
      </c>
      <c r="J228">
        <f>Tableau26[[#This Row],[Azimuth
(deg)]]-Tableau26[[#This Row],[QA/QC Azimut Planned]]</f>
        <v>0</v>
      </c>
    </row>
    <row r="229" spans="2:10" x14ac:dyDescent="0.25">
      <c r="B229" s="124" t="e">
        <f>VLOOKUP(Tableau26[[#This Row],[Hole ID]],Data_Log[],2,FALSE)</f>
        <v>#N/A</v>
      </c>
      <c r="G229" s="6">
        <f>_xlfn.XLOOKUP(Tableau26[[#This Row],[Hole ID]],Data_Log[Hole ID],Data_Log[Planned collar plunge
(°)])</f>
        <v>0</v>
      </c>
      <c r="H229" s="6">
        <f>_xlfn.XLOOKUP(Tableau26[[#This Row],[Hole ID]],Data_Log[Hole ID],Data_Log[Planned collar trend
(°)])</f>
        <v>0</v>
      </c>
      <c r="I229" s="123">
        <f>Tableau26[[#This Row],[Dip
(deg)]]-Tableau26[[#This Row],[QA/QC Dip Planned]]</f>
        <v>0</v>
      </c>
      <c r="J229">
        <f>Tableau26[[#This Row],[Azimuth
(deg)]]-Tableau26[[#This Row],[QA/QC Azimut Planned]]</f>
        <v>0</v>
      </c>
    </row>
    <row r="230" spans="2:10" x14ac:dyDescent="0.25">
      <c r="B230" s="124" t="e">
        <f>VLOOKUP(Tableau26[[#This Row],[Hole ID]],Data_Log[],2,FALSE)</f>
        <v>#N/A</v>
      </c>
      <c r="G230" s="6">
        <f>_xlfn.XLOOKUP(Tableau26[[#This Row],[Hole ID]],Data_Log[Hole ID],Data_Log[Planned collar plunge
(°)])</f>
        <v>0</v>
      </c>
      <c r="H230" s="6">
        <f>_xlfn.XLOOKUP(Tableau26[[#This Row],[Hole ID]],Data_Log[Hole ID],Data_Log[Planned collar trend
(°)])</f>
        <v>0</v>
      </c>
      <c r="I230" s="123">
        <f>Tableau26[[#This Row],[Dip
(deg)]]-Tableau26[[#This Row],[QA/QC Dip Planned]]</f>
        <v>0</v>
      </c>
      <c r="J230">
        <f>Tableau26[[#This Row],[Azimuth
(deg)]]-Tableau26[[#This Row],[QA/QC Azimut Planned]]</f>
        <v>0</v>
      </c>
    </row>
    <row r="231" spans="2:10" x14ac:dyDescent="0.25">
      <c r="B231" s="124" t="e">
        <f>VLOOKUP(Tableau26[[#This Row],[Hole ID]],Data_Log[],2,FALSE)</f>
        <v>#N/A</v>
      </c>
      <c r="G231" s="6">
        <f>_xlfn.XLOOKUP(Tableau26[[#This Row],[Hole ID]],Data_Log[Hole ID],Data_Log[Planned collar plunge
(°)])</f>
        <v>0</v>
      </c>
      <c r="H231" s="6">
        <f>_xlfn.XLOOKUP(Tableau26[[#This Row],[Hole ID]],Data_Log[Hole ID],Data_Log[Planned collar trend
(°)])</f>
        <v>0</v>
      </c>
      <c r="I231" s="123">
        <f>Tableau26[[#This Row],[Dip
(deg)]]-Tableau26[[#This Row],[QA/QC Dip Planned]]</f>
        <v>0</v>
      </c>
      <c r="J231">
        <f>Tableau26[[#This Row],[Azimuth
(deg)]]-Tableau26[[#This Row],[QA/QC Azimut Planned]]</f>
        <v>0</v>
      </c>
    </row>
    <row r="232" spans="2:10" x14ac:dyDescent="0.25">
      <c r="B232" s="124" t="e">
        <f>VLOOKUP(Tableau26[[#This Row],[Hole ID]],Data_Log[],2,FALSE)</f>
        <v>#N/A</v>
      </c>
      <c r="G232" s="6">
        <f>_xlfn.XLOOKUP(Tableau26[[#This Row],[Hole ID]],Data_Log[Hole ID],Data_Log[Planned collar plunge
(°)])</f>
        <v>0</v>
      </c>
      <c r="H232" s="6">
        <f>_xlfn.XLOOKUP(Tableau26[[#This Row],[Hole ID]],Data_Log[Hole ID],Data_Log[Planned collar trend
(°)])</f>
        <v>0</v>
      </c>
      <c r="I232" s="123">
        <f>Tableau26[[#This Row],[Dip
(deg)]]-Tableau26[[#This Row],[QA/QC Dip Planned]]</f>
        <v>0</v>
      </c>
      <c r="J232">
        <f>Tableau26[[#This Row],[Azimuth
(deg)]]-Tableau26[[#This Row],[QA/QC Azimut Planned]]</f>
        <v>0</v>
      </c>
    </row>
    <row r="233" spans="2:10" x14ac:dyDescent="0.25">
      <c r="B233" s="124" t="e">
        <f>VLOOKUP(Tableau26[[#This Row],[Hole ID]],Data_Log[],2,FALSE)</f>
        <v>#N/A</v>
      </c>
      <c r="G233" s="6">
        <f>_xlfn.XLOOKUP(Tableau26[[#This Row],[Hole ID]],Data_Log[Hole ID],Data_Log[Planned collar plunge
(°)])</f>
        <v>0</v>
      </c>
      <c r="H233" s="6">
        <f>_xlfn.XLOOKUP(Tableau26[[#This Row],[Hole ID]],Data_Log[Hole ID],Data_Log[Planned collar trend
(°)])</f>
        <v>0</v>
      </c>
      <c r="I233" s="123">
        <f>Tableau26[[#This Row],[Dip
(deg)]]-Tableau26[[#This Row],[QA/QC Dip Planned]]</f>
        <v>0</v>
      </c>
      <c r="J233">
        <f>Tableau26[[#This Row],[Azimuth
(deg)]]-Tableau26[[#This Row],[QA/QC Azimut Planned]]</f>
        <v>0</v>
      </c>
    </row>
    <row r="234" spans="2:10" x14ac:dyDescent="0.25">
      <c r="B234" s="124" t="e">
        <f>VLOOKUP(Tableau26[[#This Row],[Hole ID]],Data_Log[],2,FALSE)</f>
        <v>#N/A</v>
      </c>
      <c r="G234" s="6">
        <f>_xlfn.XLOOKUP(Tableau26[[#This Row],[Hole ID]],Data_Log[Hole ID],Data_Log[Planned collar plunge
(°)])</f>
        <v>0</v>
      </c>
      <c r="H234" s="6">
        <f>_xlfn.XLOOKUP(Tableau26[[#This Row],[Hole ID]],Data_Log[Hole ID],Data_Log[Planned collar trend
(°)])</f>
        <v>0</v>
      </c>
      <c r="I234" s="123">
        <f>Tableau26[[#This Row],[Dip
(deg)]]-Tableau26[[#This Row],[QA/QC Dip Planned]]</f>
        <v>0</v>
      </c>
      <c r="J234">
        <f>Tableau26[[#This Row],[Azimuth
(deg)]]-Tableau26[[#This Row],[QA/QC Azimut Planned]]</f>
        <v>0</v>
      </c>
    </row>
    <row r="235" spans="2:10" x14ac:dyDescent="0.25">
      <c r="B235" s="124" t="e">
        <f>VLOOKUP(Tableau26[[#This Row],[Hole ID]],Data_Log[],2,FALSE)</f>
        <v>#N/A</v>
      </c>
      <c r="G235" s="6">
        <f>_xlfn.XLOOKUP(Tableau26[[#This Row],[Hole ID]],Data_Log[Hole ID],Data_Log[Planned collar plunge
(°)])</f>
        <v>0</v>
      </c>
      <c r="H235" s="6">
        <f>_xlfn.XLOOKUP(Tableau26[[#This Row],[Hole ID]],Data_Log[Hole ID],Data_Log[Planned collar trend
(°)])</f>
        <v>0</v>
      </c>
      <c r="I235" s="123">
        <f>Tableau26[[#This Row],[Dip
(deg)]]-Tableau26[[#This Row],[QA/QC Dip Planned]]</f>
        <v>0</v>
      </c>
      <c r="J235">
        <f>Tableau26[[#This Row],[Azimuth
(deg)]]-Tableau26[[#This Row],[QA/QC Azimut Planned]]</f>
        <v>0</v>
      </c>
    </row>
    <row r="236" spans="2:10" x14ac:dyDescent="0.25">
      <c r="B236" s="124" t="e">
        <f>VLOOKUP(Tableau26[[#This Row],[Hole ID]],Data_Log[],2,FALSE)</f>
        <v>#N/A</v>
      </c>
      <c r="G236" s="6">
        <f>_xlfn.XLOOKUP(Tableau26[[#This Row],[Hole ID]],Data_Log[Hole ID],Data_Log[Planned collar plunge
(°)])</f>
        <v>0</v>
      </c>
      <c r="H236" s="6">
        <f>_xlfn.XLOOKUP(Tableau26[[#This Row],[Hole ID]],Data_Log[Hole ID],Data_Log[Planned collar trend
(°)])</f>
        <v>0</v>
      </c>
      <c r="I236" s="123">
        <f>Tableau26[[#This Row],[Dip
(deg)]]-Tableau26[[#This Row],[QA/QC Dip Planned]]</f>
        <v>0</v>
      </c>
      <c r="J236">
        <f>Tableau26[[#This Row],[Azimuth
(deg)]]-Tableau26[[#This Row],[QA/QC Azimut Planned]]</f>
        <v>0</v>
      </c>
    </row>
    <row r="237" spans="2:10" x14ac:dyDescent="0.25">
      <c r="B237" s="124" t="e">
        <f>VLOOKUP(Tableau26[[#This Row],[Hole ID]],Data_Log[],2,FALSE)</f>
        <v>#N/A</v>
      </c>
      <c r="G237" s="6">
        <f>_xlfn.XLOOKUP(Tableau26[[#This Row],[Hole ID]],Data_Log[Hole ID],Data_Log[Planned collar plunge
(°)])</f>
        <v>0</v>
      </c>
      <c r="H237" s="6">
        <f>_xlfn.XLOOKUP(Tableau26[[#This Row],[Hole ID]],Data_Log[Hole ID],Data_Log[Planned collar trend
(°)])</f>
        <v>0</v>
      </c>
      <c r="I237" s="123">
        <f>Tableau26[[#This Row],[Dip
(deg)]]-Tableau26[[#This Row],[QA/QC Dip Planned]]</f>
        <v>0</v>
      </c>
      <c r="J237">
        <f>Tableau26[[#This Row],[Azimuth
(deg)]]-Tableau26[[#This Row],[QA/QC Azimut Planned]]</f>
        <v>0</v>
      </c>
    </row>
    <row r="238" spans="2:10" x14ac:dyDescent="0.25">
      <c r="B238" s="124" t="e">
        <f>VLOOKUP(Tableau26[[#This Row],[Hole ID]],Data_Log[],2,FALSE)</f>
        <v>#N/A</v>
      </c>
      <c r="G238" s="6">
        <f>_xlfn.XLOOKUP(Tableau26[[#This Row],[Hole ID]],Data_Log[Hole ID],Data_Log[Planned collar plunge
(°)])</f>
        <v>0</v>
      </c>
      <c r="H238" s="6">
        <f>_xlfn.XLOOKUP(Tableau26[[#This Row],[Hole ID]],Data_Log[Hole ID],Data_Log[Planned collar trend
(°)])</f>
        <v>0</v>
      </c>
      <c r="I238" s="123">
        <f>Tableau26[[#This Row],[Dip
(deg)]]-Tableau26[[#This Row],[QA/QC Dip Planned]]</f>
        <v>0</v>
      </c>
      <c r="J238">
        <f>Tableau26[[#This Row],[Azimuth
(deg)]]-Tableau26[[#This Row],[QA/QC Azimut Planned]]</f>
        <v>0</v>
      </c>
    </row>
    <row r="239" spans="2:10" x14ac:dyDescent="0.25">
      <c r="B239" s="124" t="e">
        <f>VLOOKUP(Tableau26[[#This Row],[Hole ID]],Data_Log[],2,FALSE)</f>
        <v>#N/A</v>
      </c>
      <c r="G239" s="6">
        <f>_xlfn.XLOOKUP(Tableau26[[#This Row],[Hole ID]],Data_Log[Hole ID],Data_Log[Planned collar plunge
(°)])</f>
        <v>0</v>
      </c>
      <c r="H239" s="6">
        <f>_xlfn.XLOOKUP(Tableau26[[#This Row],[Hole ID]],Data_Log[Hole ID],Data_Log[Planned collar trend
(°)])</f>
        <v>0</v>
      </c>
      <c r="I239" s="123">
        <f>Tableau26[[#This Row],[Dip
(deg)]]-Tableau26[[#This Row],[QA/QC Dip Planned]]</f>
        <v>0</v>
      </c>
      <c r="J239">
        <f>Tableau26[[#This Row],[Azimuth
(deg)]]-Tableau26[[#This Row],[QA/QC Azimut Planned]]</f>
        <v>0</v>
      </c>
    </row>
    <row r="240" spans="2:10" x14ac:dyDescent="0.25">
      <c r="B240" s="124" t="e">
        <f>VLOOKUP(Tableau26[[#This Row],[Hole ID]],Data_Log[],2,FALSE)</f>
        <v>#N/A</v>
      </c>
      <c r="G240" s="6">
        <f>_xlfn.XLOOKUP(Tableau26[[#This Row],[Hole ID]],Data_Log[Hole ID],Data_Log[Planned collar plunge
(°)])</f>
        <v>0</v>
      </c>
      <c r="H240" s="6">
        <f>_xlfn.XLOOKUP(Tableau26[[#This Row],[Hole ID]],Data_Log[Hole ID],Data_Log[Planned collar trend
(°)])</f>
        <v>0</v>
      </c>
      <c r="I240" s="123">
        <f>Tableau26[[#This Row],[Dip
(deg)]]-Tableau26[[#This Row],[QA/QC Dip Planned]]</f>
        <v>0</v>
      </c>
      <c r="J240">
        <f>Tableau26[[#This Row],[Azimuth
(deg)]]-Tableau26[[#This Row],[QA/QC Azimut Planned]]</f>
        <v>0</v>
      </c>
    </row>
    <row r="241" spans="2:10" x14ac:dyDescent="0.25">
      <c r="B241" s="124" t="e">
        <f>VLOOKUP(Tableau26[[#This Row],[Hole ID]],Data_Log[],2,FALSE)</f>
        <v>#N/A</v>
      </c>
      <c r="G241" s="6">
        <f>_xlfn.XLOOKUP(Tableau26[[#This Row],[Hole ID]],Data_Log[Hole ID],Data_Log[Planned collar plunge
(°)])</f>
        <v>0</v>
      </c>
      <c r="H241" s="6">
        <f>_xlfn.XLOOKUP(Tableau26[[#This Row],[Hole ID]],Data_Log[Hole ID],Data_Log[Planned collar trend
(°)])</f>
        <v>0</v>
      </c>
      <c r="I241" s="123">
        <f>Tableau26[[#This Row],[Dip
(deg)]]-Tableau26[[#This Row],[QA/QC Dip Planned]]</f>
        <v>0</v>
      </c>
      <c r="J241">
        <f>Tableau26[[#This Row],[Azimuth
(deg)]]-Tableau26[[#This Row],[QA/QC Azimut Planned]]</f>
        <v>0</v>
      </c>
    </row>
    <row r="242" spans="2:10" x14ac:dyDescent="0.25">
      <c r="B242" s="124" t="e">
        <f>VLOOKUP(Tableau26[[#This Row],[Hole ID]],Data_Log[],2,FALSE)</f>
        <v>#N/A</v>
      </c>
      <c r="G242" s="6">
        <f>_xlfn.XLOOKUP(Tableau26[[#This Row],[Hole ID]],Data_Log[Hole ID],Data_Log[Planned collar plunge
(°)])</f>
        <v>0</v>
      </c>
      <c r="H242" s="6">
        <f>_xlfn.XLOOKUP(Tableau26[[#This Row],[Hole ID]],Data_Log[Hole ID],Data_Log[Planned collar trend
(°)])</f>
        <v>0</v>
      </c>
      <c r="I242" s="123">
        <f>Tableau26[[#This Row],[Dip
(deg)]]-Tableau26[[#This Row],[QA/QC Dip Planned]]</f>
        <v>0</v>
      </c>
      <c r="J242">
        <f>Tableau26[[#This Row],[Azimuth
(deg)]]-Tableau26[[#This Row],[QA/QC Azimut Planned]]</f>
        <v>0</v>
      </c>
    </row>
    <row r="243" spans="2:10" x14ac:dyDescent="0.25">
      <c r="B243" s="124" t="e">
        <f>VLOOKUP(Tableau26[[#This Row],[Hole ID]],Data_Log[],2,FALSE)</f>
        <v>#N/A</v>
      </c>
      <c r="G243" s="6">
        <f>_xlfn.XLOOKUP(Tableau26[[#This Row],[Hole ID]],Data_Log[Hole ID],Data_Log[Planned collar plunge
(°)])</f>
        <v>0</v>
      </c>
      <c r="H243" s="6">
        <f>_xlfn.XLOOKUP(Tableau26[[#This Row],[Hole ID]],Data_Log[Hole ID],Data_Log[Planned collar trend
(°)])</f>
        <v>0</v>
      </c>
      <c r="I243" s="123">
        <f>Tableau26[[#This Row],[Dip
(deg)]]-Tableau26[[#This Row],[QA/QC Dip Planned]]</f>
        <v>0</v>
      </c>
      <c r="J243">
        <f>Tableau26[[#This Row],[Azimuth
(deg)]]-Tableau26[[#This Row],[QA/QC Azimut Planned]]</f>
        <v>0</v>
      </c>
    </row>
    <row r="244" spans="2:10" x14ac:dyDescent="0.25">
      <c r="B244" s="124" t="e">
        <f>VLOOKUP(Tableau26[[#This Row],[Hole ID]],Data_Log[],2,FALSE)</f>
        <v>#N/A</v>
      </c>
      <c r="G244" s="6">
        <f>_xlfn.XLOOKUP(Tableau26[[#This Row],[Hole ID]],Data_Log[Hole ID],Data_Log[Planned collar plunge
(°)])</f>
        <v>0</v>
      </c>
      <c r="H244" s="6">
        <f>_xlfn.XLOOKUP(Tableau26[[#This Row],[Hole ID]],Data_Log[Hole ID],Data_Log[Planned collar trend
(°)])</f>
        <v>0</v>
      </c>
      <c r="I244" s="123">
        <f>Tableau26[[#This Row],[Dip
(deg)]]-Tableau26[[#This Row],[QA/QC Dip Planned]]</f>
        <v>0</v>
      </c>
      <c r="J244">
        <f>Tableau26[[#This Row],[Azimuth
(deg)]]-Tableau26[[#This Row],[QA/QC Azimut Planned]]</f>
        <v>0</v>
      </c>
    </row>
    <row r="245" spans="2:10" x14ac:dyDescent="0.25">
      <c r="B245" s="124" t="e">
        <f>VLOOKUP(Tableau26[[#This Row],[Hole ID]],Data_Log[],2,FALSE)</f>
        <v>#N/A</v>
      </c>
      <c r="G245" s="6">
        <f>_xlfn.XLOOKUP(Tableau26[[#This Row],[Hole ID]],Data_Log[Hole ID],Data_Log[Planned collar plunge
(°)])</f>
        <v>0</v>
      </c>
      <c r="H245" s="6">
        <f>_xlfn.XLOOKUP(Tableau26[[#This Row],[Hole ID]],Data_Log[Hole ID],Data_Log[Planned collar trend
(°)])</f>
        <v>0</v>
      </c>
      <c r="I245" s="123">
        <f>Tableau26[[#This Row],[Dip
(deg)]]-Tableau26[[#This Row],[QA/QC Dip Planned]]</f>
        <v>0</v>
      </c>
      <c r="J245">
        <f>Tableau26[[#This Row],[Azimuth
(deg)]]-Tableau26[[#This Row],[QA/QC Azimut Planned]]</f>
        <v>0</v>
      </c>
    </row>
    <row r="246" spans="2:10" x14ac:dyDescent="0.25">
      <c r="B246" s="124" t="e">
        <f>VLOOKUP(Tableau26[[#This Row],[Hole ID]],Data_Log[],2,FALSE)</f>
        <v>#N/A</v>
      </c>
      <c r="G246" s="6">
        <f>_xlfn.XLOOKUP(Tableau26[[#This Row],[Hole ID]],Data_Log[Hole ID],Data_Log[Planned collar plunge
(°)])</f>
        <v>0</v>
      </c>
      <c r="H246" s="6">
        <f>_xlfn.XLOOKUP(Tableau26[[#This Row],[Hole ID]],Data_Log[Hole ID],Data_Log[Planned collar trend
(°)])</f>
        <v>0</v>
      </c>
      <c r="I246" s="123">
        <f>Tableau26[[#This Row],[Dip
(deg)]]-Tableau26[[#This Row],[QA/QC Dip Planned]]</f>
        <v>0</v>
      </c>
      <c r="J246">
        <f>Tableau26[[#This Row],[Azimuth
(deg)]]-Tableau26[[#This Row],[QA/QC Azimut Planned]]</f>
        <v>0</v>
      </c>
    </row>
    <row r="247" spans="2:10" x14ac:dyDescent="0.25">
      <c r="B247" s="124" t="e">
        <f>VLOOKUP(Tableau26[[#This Row],[Hole ID]],Data_Log[],2,FALSE)</f>
        <v>#N/A</v>
      </c>
      <c r="G247" s="6">
        <f>_xlfn.XLOOKUP(Tableau26[[#This Row],[Hole ID]],Data_Log[Hole ID],Data_Log[Planned collar plunge
(°)])</f>
        <v>0</v>
      </c>
      <c r="H247" s="6">
        <f>_xlfn.XLOOKUP(Tableau26[[#This Row],[Hole ID]],Data_Log[Hole ID],Data_Log[Planned collar trend
(°)])</f>
        <v>0</v>
      </c>
      <c r="I247" s="123">
        <f>Tableau26[[#This Row],[Dip
(deg)]]-Tableau26[[#This Row],[QA/QC Dip Planned]]</f>
        <v>0</v>
      </c>
      <c r="J247">
        <f>Tableau26[[#This Row],[Azimuth
(deg)]]-Tableau26[[#This Row],[QA/QC Azimut Planned]]</f>
        <v>0</v>
      </c>
    </row>
    <row r="248" spans="2:10" x14ac:dyDescent="0.25">
      <c r="B248" s="124" t="e">
        <f>VLOOKUP(Tableau26[[#This Row],[Hole ID]],Data_Log[],2,FALSE)</f>
        <v>#N/A</v>
      </c>
      <c r="G248" s="6">
        <f>_xlfn.XLOOKUP(Tableau26[[#This Row],[Hole ID]],Data_Log[Hole ID],Data_Log[Planned collar plunge
(°)])</f>
        <v>0</v>
      </c>
      <c r="H248" s="6">
        <f>_xlfn.XLOOKUP(Tableau26[[#This Row],[Hole ID]],Data_Log[Hole ID],Data_Log[Planned collar trend
(°)])</f>
        <v>0</v>
      </c>
      <c r="I248" s="123">
        <f>Tableau26[[#This Row],[Dip
(deg)]]-Tableau26[[#This Row],[QA/QC Dip Planned]]</f>
        <v>0</v>
      </c>
      <c r="J248">
        <f>Tableau26[[#This Row],[Azimuth
(deg)]]-Tableau26[[#This Row],[QA/QC Azimut Planned]]</f>
        <v>0</v>
      </c>
    </row>
    <row r="249" spans="2:10" x14ac:dyDescent="0.25">
      <c r="B249" s="124" t="e">
        <f>VLOOKUP(Tableau26[[#This Row],[Hole ID]],Data_Log[],2,FALSE)</f>
        <v>#N/A</v>
      </c>
      <c r="G249" s="6">
        <f>_xlfn.XLOOKUP(Tableau26[[#This Row],[Hole ID]],Data_Log[Hole ID],Data_Log[Planned collar plunge
(°)])</f>
        <v>0</v>
      </c>
      <c r="H249" s="6">
        <f>_xlfn.XLOOKUP(Tableau26[[#This Row],[Hole ID]],Data_Log[Hole ID],Data_Log[Planned collar trend
(°)])</f>
        <v>0</v>
      </c>
      <c r="I249" s="123">
        <f>Tableau26[[#This Row],[Dip
(deg)]]-Tableau26[[#This Row],[QA/QC Dip Planned]]</f>
        <v>0</v>
      </c>
      <c r="J249">
        <f>Tableau26[[#This Row],[Azimuth
(deg)]]-Tableau26[[#This Row],[QA/QC Azimut Planned]]</f>
        <v>0</v>
      </c>
    </row>
    <row r="250" spans="2:10" x14ac:dyDescent="0.25">
      <c r="B250" s="124" t="e">
        <f>VLOOKUP(Tableau26[[#This Row],[Hole ID]],Data_Log[],2,FALSE)</f>
        <v>#N/A</v>
      </c>
      <c r="G250" s="6">
        <f>_xlfn.XLOOKUP(Tableau26[[#This Row],[Hole ID]],Data_Log[Hole ID],Data_Log[Planned collar plunge
(°)])</f>
        <v>0</v>
      </c>
      <c r="H250" s="6">
        <f>_xlfn.XLOOKUP(Tableau26[[#This Row],[Hole ID]],Data_Log[Hole ID],Data_Log[Planned collar trend
(°)])</f>
        <v>0</v>
      </c>
      <c r="I250" s="123">
        <f>Tableau26[[#This Row],[Dip
(deg)]]-Tableau26[[#This Row],[QA/QC Dip Planned]]</f>
        <v>0</v>
      </c>
      <c r="J250">
        <f>Tableau26[[#This Row],[Azimuth
(deg)]]-Tableau26[[#This Row],[QA/QC Azimut Planned]]</f>
        <v>0</v>
      </c>
    </row>
    <row r="251" spans="2:10" x14ac:dyDescent="0.25">
      <c r="B251" s="124" t="e">
        <f>VLOOKUP(Tableau26[[#This Row],[Hole ID]],Data_Log[],2,FALSE)</f>
        <v>#N/A</v>
      </c>
      <c r="G251" s="6">
        <f>_xlfn.XLOOKUP(Tableau26[[#This Row],[Hole ID]],Data_Log[Hole ID],Data_Log[Planned collar plunge
(°)])</f>
        <v>0</v>
      </c>
      <c r="H251" s="6">
        <f>_xlfn.XLOOKUP(Tableau26[[#This Row],[Hole ID]],Data_Log[Hole ID],Data_Log[Planned collar trend
(°)])</f>
        <v>0</v>
      </c>
      <c r="I251" s="123">
        <f>Tableau26[[#This Row],[Dip
(deg)]]-Tableau26[[#This Row],[QA/QC Dip Planned]]</f>
        <v>0</v>
      </c>
      <c r="J251">
        <f>Tableau26[[#This Row],[Azimuth
(deg)]]-Tableau26[[#This Row],[QA/QC Azimut Planned]]</f>
        <v>0</v>
      </c>
    </row>
    <row r="252" spans="2:10" x14ac:dyDescent="0.25">
      <c r="B252" s="124" t="e">
        <f>VLOOKUP(Tableau26[[#This Row],[Hole ID]],Data_Log[],2,FALSE)</f>
        <v>#N/A</v>
      </c>
      <c r="G252" s="6">
        <f>_xlfn.XLOOKUP(Tableau26[[#This Row],[Hole ID]],Data_Log[Hole ID],Data_Log[Planned collar plunge
(°)])</f>
        <v>0</v>
      </c>
      <c r="H252" s="6">
        <f>_xlfn.XLOOKUP(Tableau26[[#This Row],[Hole ID]],Data_Log[Hole ID],Data_Log[Planned collar trend
(°)])</f>
        <v>0</v>
      </c>
      <c r="I252" s="123">
        <f>Tableau26[[#This Row],[Dip
(deg)]]-Tableau26[[#This Row],[QA/QC Dip Planned]]</f>
        <v>0</v>
      </c>
      <c r="J252">
        <f>Tableau26[[#This Row],[Azimuth
(deg)]]-Tableau26[[#This Row],[QA/QC Azimut Planned]]</f>
        <v>0</v>
      </c>
    </row>
    <row r="253" spans="2:10" x14ac:dyDescent="0.25">
      <c r="B253" s="124" t="e">
        <f>VLOOKUP(Tableau26[[#This Row],[Hole ID]],Data_Log[],2,FALSE)</f>
        <v>#N/A</v>
      </c>
      <c r="G253" s="6">
        <f>_xlfn.XLOOKUP(Tableau26[[#This Row],[Hole ID]],Data_Log[Hole ID],Data_Log[Planned collar plunge
(°)])</f>
        <v>0</v>
      </c>
      <c r="H253" s="6">
        <f>_xlfn.XLOOKUP(Tableau26[[#This Row],[Hole ID]],Data_Log[Hole ID],Data_Log[Planned collar trend
(°)])</f>
        <v>0</v>
      </c>
      <c r="I253" s="123">
        <f>Tableau26[[#This Row],[Dip
(deg)]]-Tableau26[[#This Row],[QA/QC Dip Planned]]</f>
        <v>0</v>
      </c>
      <c r="J253">
        <f>Tableau26[[#This Row],[Azimuth
(deg)]]-Tableau26[[#This Row],[QA/QC Azimut Planned]]</f>
        <v>0</v>
      </c>
    </row>
    <row r="254" spans="2:10" x14ac:dyDescent="0.25">
      <c r="B254" s="124" t="e">
        <f>VLOOKUP(Tableau26[[#This Row],[Hole ID]],Data_Log[],2,FALSE)</f>
        <v>#N/A</v>
      </c>
      <c r="G254" s="6">
        <f>_xlfn.XLOOKUP(Tableau26[[#This Row],[Hole ID]],Data_Log[Hole ID],Data_Log[Planned collar plunge
(°)])</f>
        <v>0</v>
      </c>
      <c r="H254" s="6">
        <f>_xlfn.XLOOKUP(Tableau26[[#This Row],[Hole ID]],Data_Log[Hole ID],Data_Log[Planned collar trend
(°)])</f>
        <v>0</v>
      </c>
      <c r="I254" s="123">
        <f>Tableau26[[#This Row],[Dip
(deg)]]-Tableau26[[#This Row],[QA/QC Dip Planned]]</f>
        <v>0</v>
      </c>
      <c r="J254">
        <f>Tableau26[[#This Row],[Azimuth
(deg)]]-Tableau26[[#This Row],[QA/QC Azimut Planned]]</f>
        <v>0</v>
      </c>
    </row>
    <row r="255" spans="2:10" x14ac:dyDescent="0.25">
      <c r="B255" s="124" t="e">
        <f>VLOOKUP(Tableau26[[#This Row],[Hole ID]],Data_Log[],2,FALSE)</f>
        <v>#N/A</v>
      </c>
      <c r="G255" s="6">
        <f>_xlfn.XLOOKUP(Tableau26[[#This Row],[Hole ID]],Data_Log[Hole ID],Data_Log[Planned collar plunge
(°)])</f>
        <v>0</v>
      </c>
      <c r="H255" s="6">
        <f>_xlfn.XLOOKUP(Tableau26[[#This Row],[Hole ID]],Data_Log[Hole ID],Data_Log[Planned collar trend
(°)])</f>
        <v>0</v>
      </c>
      <c r="I255" s="123">
        <f>Tableau26[[#This Row],[Dip
(deg)]]-Tableau26[[#This Row],[QA/QC Dip Planned]]</f>
        <v>0</v>
      </c>
      <c r="J255">
        <f>Tableau26[[#This Row],[Azimuth
(deg)]]-Tableau26[[#This Row],[QA/QC Azimut Planned]]</f>
        <v>0</v>
      </c>
    </row>
    <row r="256" spans="2:10" x14ac:dyDescent="0.25">
      <c r="B256" s="124" t="e">
        <f>VLOOKUP(Tableau26[[#This Row],[Hole ID]],Data_Log[],2,FALSE)</f>
        <v>#N/A</v>
      </c>
      <c r="G256" s="6">
        <f>_xlfn.XLOOKUP(Tableau26[[#This Row],[Hole ID]],Data_Log[Hole ID],Data_Log[Planned collar plunge
(°)])</f>
        <v>0</v>
      </c>
      <c r="H256" s="6">
        <f>_xlfn.XLOOKUP(Tableau26[[#This Row],[Hole ID]],Data_Log[Hole ID],Data_Log[Planned collar trend
(°)])</f>
        <v>0</v>
      </c>
      <c r="I256" s="123">
        <f>Tableau26[[#This Row],[Dip
(deg)]]-Tableau26[[#This Row],[QA/QC Dip Planned]]</f>
        <v>0</v>
      </c>
      <c r="J256">
        <f>Tableau26[[#This Row],[Azimuth
(deg)]]-Tableau26[[#This Row],[QA/QC Azimut Planned]]</f>
        <v>0</v>
      </c>
    </row>
    <row r="257" spans="2:10" x14ac:dyDescent="0.25">
      <c r="B257" s="124" t="e">
        <f>VLOOKUP(Tableau26[[#This Row],[Hole ID]],Data_Log[],2,FALSE)</f>
        <v>#N/A</v>
      </c>
      <c r="G257" s="6">
        <f>_xlfn.XLOOKUP(Tableau26[[#This Row],[Hole ID]],Data_Log[Hole ID],Data_Log[Planned collar plunge
(°)])</f>
        <v>0</v>
      </c>
      <c r="H257" s="6">
        <f>_xlfn.XLOOKUP(Tableau26[[#This Row],[Hole ID]],Data_Log[Hole ID],Data_Log[Planned collar trend
(°)])</f>
        <v>0</v>
      </c>
      <c r="I257" s="123">
        <f>Tableau26[[#This Row],[Dip
(deg)]]-Tableau26[[#This Row],[QA/QC Dip Planned]]</f>
        <v>0</v>
      </c>
      <c r="J257">
        <f>Tableau26[[#This Row],[Azimuth
(deg)]]-Tableau26[[#This Row],[QA/QC Azimut Planned]]</f>
        <v>0</v>
      </c>
    </row>
    <row r="258" spans="2:10" x14ac:dyDescent="0.25">
      <c r="B258" s="124" t="e">
        <f>VLOOKUP(Tableau26[[#This Row],[Hole ID]],Data_Log[],2,FALSE)</f>
        <v>#N/A</v>
      </c>
      <c r="G258" s="6">
        <f>_xlfn.XLOOKUP(Tableau26[[#This Row],[Hole ID]],Data_Log[Hole ID],Data_Log[Planned collar plunge
(°)])</f>
        <v>0</v>
      </c>
      <c r="H258" s="6">
        <f>_xlfn.XLOOKUP(Tableau26[[#This Row],[Hole ID]],Data_Log[Hole ID],Data_Log[Planned collar trend
(°)])</f>
        <v>0</v>
      </c>
      <c r="I258" s="123">
        <f>Tableau26[[#This Row],[Dip
(deg)]]-Tableau26[[#This Row],[QA/QC Dip Planned]]</f>
        <v>0</v>
      </c>
      <c r="J258">
        <f>Tableau26[[#This Row],[Azimuth
(deg)]]-Tableau26[[#This Row],[QA/QC Azimut Planned]]</f>
        <v>0</v>
      </c>
    </row>
    <row r="259" spans="2:10" x14ac:dyDescent="0.25">
      <c r="B259" s="124" t="e">
        <f>VLOOKUP(Tableau26[[#This Row],[Hole ID]],Data_Log[],2,FALSE)</f>
        <v>#N/A</v>
      </c>
      <c r="G259" s="6">
        <f>_xlfn.XLOOKUP(Tableau26[[#This Row],[Hole ID]],Data_Log[Hole ID],Data_Log[Planned collar plunge
(°)])</f>
        <v>0</v>
      </c>
      <c r="H259" s="6">
        <f>_xlfn.XLOOKUP(Tableau26[[#This Row],[Hole ID]],Data_Log[Hole ID],Data_Log[Planned collar trend
(°)])</f>
        <v>0</v>
      </c>
      <c r="I259" s="123">
        <f>Tableau26[[#This Row],[Dip
(deg)]]-Tableau26[[#This Row],[QA/QC Dip Planned]]</f>
        <v>0</v>
      </c>
      <c r="J259">
        <f>Tableau26[[#This Row],[Azimuth
(deg)]]-Tableau26[[#This Row],[QA/QC Azimut Planned]]</f>
        <v>0</v>
      </c>
    </row>
    <row r="260" spans="2:10" x14ac:dyDescent="0.25">
      <c r="B260" s="124" t="e">
        <f>VLOOKUP(Tableau26[[#This Row],[Hole ID]],Data_Log[],2,FALSE)</f>
        <v>#N/A</v>
      </c>
      <c r="G260" s="6">
        <f>_xlfn.XLOOKUP(Tableau26[[#This Row],[Hole ID]],Data_Log[Hole ID],Data_Log[Planned collar plunge
(°)])</f>
        <v>0</v>
      </c>
      <c r="H260" s="6">
        <f>_xlfn.XLOOKUP(Tableau26[[#This Row],[Hole ID]],Data_Log[Hole ID],Data_Log[Planned collar trend
(°)])</f>
        <v>0</v>
      </c>
      <c r="I260" s="123">
        <f>Tableau26[[#This Row],[Dip
(deg)]]-Tableau26[[#This Row],[QA/QC Dip Planned]]</f>
        <v>0</v>
      </c>
      <c r="J260">
        <f>Tableau26[[#This Row],[Azimuth
(deg)]]-Tableau26[[#This Row],[QA/QC Azimut Planned]]</f>
        <v>0</v>
      </c>
    </row>
    <row r="261" spans="2:10" x14ac:dyDescent="0.25">
      <c r="B261" s="124" t="e">
        <f>VLOOKUP(Tableau26[[#This Row],[Hole ID]],Data_Log[],2,FALSE)</f>
        <v>#N/A</v>
      </c>
      <c r="G261" s="6">
        <f>_xlfn.XLOOKUP(Tableau26[[#This Row],[Hole ID]],Data_Log[Hole ID],Data_Log[Planned collar plunge
(°)])</f>
        <v>0</v>
      </c>
      <c r="H261" s="6">
        <f>_xlfn.XLOOKUP(Tableau26[[#This Row],[Hole ID]],Data_Log[Hole ID],Data_Log[Planned collar trend
(°)])</f>
        <v>0</v>
      </c>
      <c r="I261" s="123">
        <f>Tableau26[[#This Row],[Dip
(deg)]]-Tableau26[[#This Row],[QA/QC Dip Planned]]</f>
        <v>0</v>
      </c>
      <c r="J261">
        <f>Tableau26[[#This Row],[Azimuth
(deg)]]-Tableau26[[#This Row],[QA/QC Azimut Planned]]</f>
        <v>0</v>
      </c>
    </row>
    <row r="262" spans="2:10" x14ac:dyDescent="0.25">
      <c r="B262" s="124" t="e">
        <f>VLOOKUP(Tableau26[[#This Row],[Hole ID]],Data_Log[],2,FALSE)</f>
        <v>#N/A</v>
      </c>
      <c r="G262" s="6">
        <f>_xlfn.XLOOKUP(Tableau26[[#This Row],[Hole ID]],Data_Log[Hole ID],Data_Log[Planned collar plunge
(°)])</f>
        <v>0</v>
      </c>
      <c r="H262" s="6">
        <f>_xlfn.XLOOKUP(Tableau26[[#This Row],[Hole ID]],Data_Log[Hole ID],Data_Log[Planned collar trend
(°)])</f>
        <v>0</v>
      </c>
      <c r="I262" s="123">
        <f>Tableau26[[#This Row],[Dip
(deg)]]-Tableau26[[#This Row],[QA/QC Dip Planned]]</f>
        <v>0</v>
      </c>
      <c r="J262">
        <f>Tableau26[[#This Row],[Azimuth
(deg)]]-Tableau26[[#This Row],[QA/QC Azimut Planned]]</f>
        <v>0</v>
      </c>
    </row>
    <row r="263" spans="2:10" x14ac:dyDescent="0.25">
      <c r="B263" s="124" t="e">
        <f>VLOOKUP(Tableau26[[#This Row],[Hole ID]],Data_Log[],2,FALSE)</f>
        <v>#N/A</v>
      </c>
      <c r="G263" s="6">
        <f>_xlfn.XLOOKUP(Tableau26[[#This Row],[Hole ID]],Data_Log[Hole ID],Data_Log[Planned collar plunge
(°)])</f>
        <v>0</v>
      </c>
      <c r="H263" s="6">
        <f>_xlfn.XLOOKUP(Tableau26[[#This Row],[Hole ID]],Data_Log[Hole ID],Data_Log[Planned collar trend
(°)])</f>
        <v>0</v>
      </c>
      <c r="I263" s="123">
        <f>Tableau26[[#This Row],[Dip
(deg)]]-Tableau26[[#This Row],[QA/QC Dip Planned]]</f>
        <v>0</v>
      </c>
      <c r="J263">
        <f>Tableau26[[#This Row],[Azimuth
(deg)]]-Tableau26[[#This Row],[QA/QC Azimut Planned]]</f>
        <v>0</v>
      </c>
    </row>
    <row r="264" spans="2:10" x14ac:dyDescent="0.25">
      <c r="B264" s="124" t="e">
        <f>VLOOKUP(Tableau26[[#This Row],[Hole ID]],Data_Log[],2,FALSE)</f>
        <v>#N/A</v>
      </c>
      <c r="G264" s="6">
        <f>_xlfn.XLOOKUP(Tableau26[[#This Row],[Hole ID]],Data_Log[Hole ID],Data_Log[Planned collar plunge
(°)])</f>
        <v>0</v>
      </c>
      <c r="H264" s="6">
        <f>_xlfn.XLOOKUP(Tableau26[[#This Row],[Hole ID]],Data_Log[Hole ID],Data_Log[Planned collar trend
(°)])</f>
        <v>0</v>
      </c>
      <c r="I264" s="123">
        <f>Tableau26[[#This Row],[Dip
(deg)]]-Tableau26[[#This Row],[QA/QC Dip Planned]]</f>
        <v>0</v>
      </c>
      <c r="J264">
        <f>Tableau26[[#This Row],[Azimuth
(deg)]]-Tableau26[[#This Row],[QA/QC Azimut Planned]]</f>
        <v>0</v>
      </c>
    </row>
    <row r="265" spans="2:10" x14ac:dyDescent="0.25">
      <c r="B265" s="124" t="e">
        <f>VLOOKUP(Tableau26[[#This Row],[Hole ID]],Data_Log[],2,FALSE)</f>
        <v>#N/A</v>
      </c>
      <c r="G265" s="6">
        <f>_xlfn.XLOOKUP(Tableau26[[#This Row],[Hole ID]],Data_Log[Hole ID],Data_Log[Planned collar plunge
(°)])</f>
        <v>0</v>
      </c>
      <c r="H265" s="6">
        <f>_xlfn.XLOOKUP(Tableau26[[#This Row],[Hole ID]],Data_Log[Hole ID],Data_Log[Planned collar trend
(°)])</f>
        <v>0</v>
      </c>
      <c r="I265" s="123">
        <f>Tableau26[[#This Row],[Dip
(deg)]]-Tableau26[[#This Row],[QA/QC Dip Planned]]</f>
        <v>0</v>
      </c>
      <c r="J265">
        <f>Tableau26[[#This Row],[Azimuth
(deg)]]-Tableau26[[#This Row],[QA/QC Azimut Planned]]</f>
        <v>0</v>
      </c>
    </row>
    <row r="266" spans="2:10" x14ac:dyDescent="0.25">
      <c r="B266" s="124" t="e">
        <f>VLOOKUP(Tableau26[[#This Row],[Hole ID]],Data_Log[],2,FALSE)</f>
        <v>#N/A</v>
      </c>
      <c r="G266" s="6">
        <f>_xlfn.XLOOKUP(Tableau26[[#This Row],[Hole ID]],Data_Log[Hole ID],Data_Log[Planned collar plunge
(°)])</f>
        <v>0</v>
      </c>
      <c r="H266" s="6">
        <f>_xlfn.XLOOKUP(Tableau26[[#This Row],[Hole ID]],Data_Log[Hole ID],Data_Log[Planned collar trend
(°)])</f>
        <v>0</v>
      </c>
      <c r="I266" s="123">
        <f>Tableau26[[#This Row],[Dip
(deg)]]-Tableau26[[#This Row],[QA/QC Dip Planned]]</f>
        <v>0</v>
      </c>
      <c r="J266">
        <f>Tableau26[[#This Row],[Azimuth
(deg)]]-Tableau26[[#This Row],[QA/QC Azimut Planned]]</f>
        <v>0</v>
      </c>
    </row>
    <row r="267" spans="2:10" x14ac:dyDescent="0.25">
      <c r="B267" s="124" t="e">
        <f>VLOOKUP(Tableau26[[#This Row],[Hole ID]],Data_Log[],2,FALSE)</f>
        <v>#N/A</v>
      </c>
      <c r="G267" s="6">
        <f>_xlfn.XLOOKUP(Tableau26[[#This Row],[Hole ID]],Data_Log[Hole ID],Data_Log[Planned collar plunge
(°)])</f>
        <v>0</v>
      </c>
      <c r="H267" s="6">
        <f>_xlfn.XLOOKUP(Tableau26[[#This Row],[Hole ID]],Data_Log[Hole ID],Data_Log[Planned collar trend
(°)])</f>
        <v>0</v>
      </c>
      <c r="I267" s="123">
        <f>Tableau26[[#This Row],[Dip
(deg)]]-Tableau26[[#This Row],[QA/QC Dip Planned]]</f>
        <v>0</v>
      </c>
      <c r="J267">
        <f>Tableau26[[#This Row],[Azimuth
(deg)]]-Tableau26[[#This Row],[QA/QC Azimut Planned]]</f>
        <v>0</v>
      </c>
    </row>
    <row r="268" spans="2:10" x14ac:dyDescent="0.25">
      <c r="B268" s="124" t="e">
        <f>VLOOKUP(Tableau26[[#This Row],[Hole ID]],Data_Log[],2,FALSE)</f>
        <v>#N/A</v>
      </c>
      <c r="G268" s="6">
        <f>_xlfn.XLOOKUP(Tableau26[[#This Row],[Hole ID]],Data_Log[Hole ID],Data_Log[Planned collar plunge
(°)])</f>
        <v>0</v>
      </c>
      <c r="H268" s="6">
        <f>_xlfn.XLOOKUP(Tableau26[[#This Row],[Hole ID]],Data_Log[Hole ID],Data_Log[Planned collar trend
(°)])</f>
        <v>0</v>
      </c>
      <c r="I268" s="123">
        <f>Tableau26[[#This Row],[Dip
(deg)]]-Tableau26[[#This Row],[QA/QC Dip Planned]]</f>
        <v>0</v>
      </c>
      <c r="J268">
        <f>Tableau26[[#This Row],[Azimuth
(deg)]]-Tableau26[[#This Row],[QA/QC Azimut Planned]]</f>
        <v>0</v>
      </c>
    </row>
    <row r="269" spans="2:10" x14ac:dyDescent="0.25">
      <c r="B269" s="124" t="e">
        <f>VLOOKUP(Tableau26[[#This Row],[Hole ID]],Data_Log[],2,FALSE)</f>
        <v>#N/A</v>
      </c>
      <c r="G269" s="6">
        <f>_xlfn.XLOOKUP(Tableau26[[#This Row],[Hole ID]],Data_Log[Hole ID],Data_Log[Planned collar plunge
(°)])</f>
        <v>0</v>
      </c>
      <c r="H269" s="6">
        <f>_xlfn.XLOOKUP(Tableau26[[#This Row],[Hole ID]],Data_Log[Hole ID],Data_Log[Planned collar trend
(°)])</f>
        <v>0</v>
      </c>
      <c r="I269" s="123">
        <f>Tableau26[[#This Row],[Dip
(deg)]]-Tableau26[[#This Row],[QA/QC Dip Planned]]</f>
        <v>0</v>
      </c>
      <c r="J269">
        <f>Tableau26[[#This Row],[Azimuth
(deg)]]-Tableau26[[#This Row],[QA/QC Azimut Planned]]</f>
        <v>0</v>
      </c>
    </row>
    <row r="270" spans="2:10" x14ac:dyDescent="0.25">
      <c r="B270" s="124" t="e">
        <f>VLOOKUP(Tableau26[[#This Row],[Hole ID]],Data_Log[],2,FALSE)</f>
        <v>#N/A</v>
      </c>
      <c r="G270" s="6">
        <f>_xlfn.XLOOKUP(Tableau26[[#This Row],[Hole ID]],Data_Log[Hole ID],Data_Log[Planned collar plunge
(°)])</f>
        <v>0</v>
      </c>
      <c r="H270" s="6">
        <f>_xlfn.XLOOKUP(Tableau26[[#This Row],[Hole ID]],Data_Log[Hole ID],Data_Log[Planned collar trend
(°)])</f>
        <v>0</v>
      </c>
      <c r="I270" s="123">
        <f>Tableau26[[#This Row],[Dip
(deg)]]-Tableau26[[#This Row],[QA/QC Dip Planned]]</f>
        <v>0</v>
      </c>
      <c r="J270">
        <f>Tableau26[[#This Row],[Azimuth
(deg)]]-Tableau26[[#This Row],[QA/QC Azimut Planned]]</f>
        <v>0</v>
      </c>
    </row>
    <row r="271" spans="2:10" x14ac:dyDescent="0.25">
      <c r="B271" s="124" t="e">
        <f>VLOOKUP(Tableau26[[#This Row],[Hole ID]],Data_Log[],2,FALSE)</f>
        <v>#N/A</v>
      </c>
      <c r="G271" s="6">
        <f>_xlfn.XLOOKUP(Tableau26[[#This Row],[Hole ID]],Data_Log[Hole ID],Data_Log[Planned collar plunge
(°)])</f>
        <v>0</v>
      </c>
      <c r="H271" s="6">
        <f>_xlfn.XLOOKUP(Tableau26[[#This Row],[Hole ID]],Data_Log[Hole ID],Data_Log[Planned collar trend
(°)])</f>
        <v>0</v>
      </c>
      <c r="I271" s="123">
        <f>Tableau26[[#This Row],[Dip
(deg)]]-Tableau26[[#This Row],[QA/QC Dip Planned]]</f>
        <v>0</v>
      </c>
      <c r="J271">
        <f>Tableau26[[#This Row],[Azimuth
(deg)]]-Tableau26[[#This Row],[QA/QC Azimut Planned]]</f>
        <v>0</v>
      </c>
    </row>
    <row r="272" spans="2:10" x14ac:dyDescent="0.25">
      <c r="B272" s="124" t="e">
        <f>VLOOKUP(Tableau26[[#This Row],[Hole ID]],Data_Log[],2,FALSE)</f>
        <v>#N/A</v>
      </c>
      <c r="G272" s="6">
        <f>_xlfn.XLOOKUP(Tableau26[[#This Row],[Hole ID]],Data_Log[Hole ID],Data_Log[Planned collar plunge
(°)])</f>
        <v>0</v>
      </c>
      <c r="H272" s="6">
        <f>_xlfn.XLOOKUP(Tableau26[[#This Row],[Hole ID]],Data_Log[Hole ID],Data_Log[Planned collar trend
(°)])</f>
        <v>0</v>
      </c>
      <c r="I272" s="123">
        <f>Tableau26[[#This Row],[Dip
(deg)]]-Tableau26[[#This Row],[QA/QC Dip Planned]]</f>
        <v>0</v>
      </c>
      <c r="J272">
        <f>Tableau26[[#This Row],[Azimuth
(deg)]]-Tableau26[[#This Row],[QA/QC Azimut Planned]]</f>
        <v>0</v>
      </c>
    </row>
    <row r="273" spans="2:10" x14ac:dyDescent="0.25">
      <c r="B273" s="124" t="e">
        <f>VLOOKUP(Tableau26[[#This Row],[Hole ID]],Data_Log[],2,FALSE)</f>
        <v>#N/A</v>
      </c>
      <c r="G273" s="6">
        <f>_xlfn.XLOOKUP(Tableau26[[#This Row],[Hole ID]],Data_Log[Hole ID],Data_Log[Planned collar plunge
(°)])</f>
        <v>0</v>
      </c>
      <c r="H273" s="6">
        <f>_xlfn.XLOOKUP(Tableau26[[#This Row],[Hole ID]],Data_Log[Hole ID],Data_Log[Planned collar trend
(°)])</f>
        <v>0</v>
      </c>
      <c r="I273" s="123">
        <f>Tableau26[[#This Row],[Dip
(deg)]]-Tableau26[[#This Row],[QA/QC Dip Planned]]</f>
        <v>0</v>
      </c>
      <c r="J273">
        <f>Tableau26[[#This Row],[Azimuth
(deg)]]-Tableau26[[#This Row],[QA/QC Azimut Planned]]</f>
        <v>0</v>
      </c>
    </row>
    <row r="274" spans="2:10" x14ac:dyDescent="0.25">
      <c r="B274" s="124" t="e">
        <f>VLOOKUP(Tableau26[[#This Row],[Hole ID]],Data_Log[],2,FALSE)</f>
        <v>#N/A</v>
      </c>
      <c r="G274" s="6">
        <f>_xlfn.XLOOKUP(Tableau26[[#This Row],[Hole ID]],Data_Log[Hole ID],Data_Log[Planned collar plunge
(°)])</f>
        <v>0</v>
      </c>
      <c r="H274" s="6">
        <f>_xlfn.XLOOKUP(Tableau26[[#This Row],[Hole ID]],Data_Log[Hole ID],Data_Log[Planned collar trend
(°)])</f>
        <v>0</v>
      </c>
      <c r="I274" s="123">
        <f>Tableau26[[#This Row],[Dip
(deg)]]-Tableau26[[#This Row],[QA/QC Dip Planned]]</f>
        <v>0</v>
      </c>
      <c r="J274">
        <f>Tableau26[[#This Row],[Azimuth
(deg)]]-Tableau26[[#This Row],[QA/QC Azimut Planned]]</f>
        <v>0</v>
      </c>
    </row>
    <row r="275" spans="2:10" x14ac:dyDescent="0.25">
      <c r="B275" s="124" t="e">
        <f>VLOOKUP(Tableau26[[#This Row],[Hole ID]],Data_Log[],2,FALSE)</f>
        <v>#N/A</v>
      </c>
      <c r="G275" s="6">
        <f>_xlfn.XLOOKUP(Tableau26[[#This Row],[Hole ID]],Data_Log[Hole ID],Data_Log[Planned collar plunge
(°)])</f>
        <v>0</v>
      </c>
      <c r="H275" s="6">
        <f>_xlfn.XLOOKUP(Tableau26[[#This Row],[Hole ID]],Data_Log[Hole ID],Data_Log[Planned collar trend
(°)])</f>
        <v>0</v>
      </c>
      <c r="I275" s="123">
        <f>Tableau26[[#This Row],[Dip
(deg)]]-Tableau26[[#This Row],[QA/QC Dip Planned]]</f>
        <v>0</v>
      </c>
      <c r="J275">
        <f>Tableau26[[#This Row],[Azimuth
(deg)]]-Tableau26[[#This Row],[QA/QC Azimut Planned]]</f>
        <v>0</v>
      </c>
    </row>
    <row r="276" spans="2:10" x14ac:dyDescent="0.25">
      <c r="B276" s="124" t="e">
        <f>VLOOKUP(Tableau26[[#This Row],[Hole ID]],Data_Log[],2,FALSE)</f>
        <v>#N/A</v>
      </c>
      <c r="G276" s="6">
        <f>_xlfn.XLOOKUP(Tableau26[[#This Row],[Hole ID]],Data_Log[Hole ID],Data_Log[Planned collar plunge
(°)])</f>
        <v>0</v>
      </c>
      <c r="H276" s="6">
        <f>_xlfn.XLOOKUP(Tableau26[[#This Row],[Hole ID]],Data_Log[Hole ID],Data_Log[Planned collar trend
(°)])</f>
        <v>0</v>
      </c>
      <c r="I276" s="123">
        <f>Tableau26[[#This Row],[Dip
(deg)]]-Tableau26[[#This Row],[QA/QC Dip Planned]]</f>
        <v>0</v>
      </c>
      <c r="J276">
        <f>Tableau26[[#This Row],[Azimuth
(deg)]]-Tableau26[[#This Row],[QA/QC Azimut Planned]]</f>
        <v>0</v>
      </c>
    </row>
    <row r="277" spans="2:10" x14ac:dyDescent="0.25">
      <c r="B277" s="124" t="e">
        <f>VLOOKUP(Tableau26[[#This Row],[Hole ID]],Data_Log[],2,FALSE)</f>
        <v>#N/A</v>
      </c>
      <c r="G277" s="6">
        <f>_xlfn.XLOOKUP(Tableau26[[#This Row],[Hole ID]],Data_Log[Hole ID],Data_Log[Planned collar plunge
(°)])</f>
        <v>0</v>
      </c>
      <c r="H277" s="6">
        <f>_xlfn.XLOOKUP(Tableau26[[#This Row],[Hole ID]],Data_Log[Hole ID],Data_Log[Planned collar trend
(°)])</f>
        <v>0</v>
      </c>
      <c r="I277" s="123">
        <f>Tableau26[[#This Row],[Dip
(deg)]]-Tableau26[[#This Row],[QA/QC Dip Planned]]</f>
        <v>0</v>
      </c>
      <c r="J277">
        <f>Tableau26[[#This Row],[Azimuth
(deg)]]-Tableau26[[#This Row],[QA/QC Azimut Planned]]</f>
        <v>0</v>
      </c>
    </row>
    <row r="278" spans="2:10" x14ac:dyDescent="0.25">
      <c r="B278" s="124" t="e">
        <f>VLOOKUP(Tableau26[[#This Row],[Hole ID]],Data_Log[],2,FALSE)</f>
        <v>#N/A</v>
      </c>
      <c r="G278" s="6">
        <f>_xlfn.XLOOKUP(Tableau26[[#This Row],[Hole ID]],Data_Log[Hole ID],Data_Log[Planned collar plunge
(°)])</f>
        <v>0</v>
      </c>
      <c r="H278" s="6">
        <f>_xlfn.XLOOKUP(Tableau26[[#This Row],[Hole ID]],Data_Log[Hole ID],Data_Log[Planned collar trend
(°)])</f>
        <v>0</v>
      </c>
      <c r="I278" s="123">
        <f>Tableau26[[#This Row],[Dip
(deg)]]-Tableau26[[#This Row],[QA/QC Dip Planned]]</f>
        <v>0</v>
      </c>
      <c r="J278">
        <f>Tableau26[[#This Row],[Azimuth
(deg)]]-Tableau26[[#This Row],[QA/QC Azimut Planned]]</f>
        <v>0</v>
      </c>
    </row>
    <row r="279" spans="2:10" x14ac:dyDescent="0.25">
      <c r="B279" s="124" t="e">
        <f>VLOOKUP(Tableau26[[#This Row],[Hole ID]],Data_Log[],2,FALSE)</f>
        <v>#N/A</v>
      </c>
      <c r="G279" s="6">
        <f>_xlfn.XLOOKUP(Tableau26[[#This Row],[Hole ID]],Data_Log[Hole ID],Data_Log[Planned collar plunge
(°)])</f>
        <v>0</v>
      </c>
      <c r="H279" s="6">
        <f>_xlfn.XLOOKUP(Tableau26[[#This Row],[Hole ID]],Data_Log[Hole ID],Data_Log[Planned collar trend
(°)])</f>
        <v>0</v>
      </c>
      <c r="I279" s="123">
        <f>Tableau26[[#This Row],[Dip
(deg)]]-Tableau26[[#This Row],[QA/QC Dip Planned]]</f>
        <v>0</v>
      </c>
      <c r="J279">
        <f>Tableau26[[#This Row],[Azimuth
(deg)]]-Tableau26[[#This Row],[QA/QC Azimut Planned]]</f>
        <v>0</v>
      </c>
    </row>
    <row r="280" spans="2:10" x14ac:dyDescent="0.25">
      <c r="B280" s="124" t="e">
        <f>VLOOKUP(Tableau26[[#This Row],[Hole ID]],Data_Log[],2,FALSE)</f>
        <v>#N/A</v>
      </c>
      <c r="G280" s="6">
        <f>_xlfn.XLOOKUP(Tableau26[[#This Row],[Hole ID]],Data_Log[Hole ID],Data_Log[Planned collar plunge
(°)])</f>
        <v>0</v>
      </c>
      <c r="H280" s="6">
        <f>_xlfn.XLOOKUP(Tableau26[[#This Row],[Hole ID]],Data_Log[Hole ID],Data_Log[Planned collar trend
(°)])</f>
        <v>0</v>
      </c>
      <c r="I280" s="123">
        <f>Tableau26[[#This Row],[Dip
(deg)]]-Tableau26[[#This Row],[QA/QC Dip Planned]]</f>
        <v>0</v>
      </c>
      <c r="J280">
        <f>Tableau26[[#This Row],[Azimuth
(deg)]]-Tableau26[[#This Row],[QA/QC Azimut Planned]]</f>
        <v>0</v>
      </c>
    </row>
    <row r="281" spans="2:10" x14ac:dyDescent="0.25">
      <c r="B281" s="124" t="e">
        <f>VLOOKUP(Tableau26[[#This Row],[Hole ID]],Data_Log[],2,FALSE)</f>
        <v>#N/A</v>
      </c>
      <c r="G281" s="6">
        <f>_xlfn.XLOOKUP(Tableau26[[#This Row],[Hole ID]],Data_Log[Hole ID],Data_Log[Planned collar plunge
(°)])</f>
        <v>0</v>
      </c>
      <c r="H281" s="6">
        <f>_xlfn.XLOOKUP(Tableau26[[#This Row],[Hole ID]],Data_Log[Hole ID],Data_Log[Planned collar trend
(°)])</f>
        <v>0</v>
      </c>
      <c r="I281" s="123">
        <f>Tableau26[[#This Row],[Dip
(deg)]]-Tableau26[[#This Row],[QA/QC Dip Planned]]</f>
        <v>0</v>
      </c>
      <c r="J281">
        <f>Tableau26[[#This Row],[Azimuth
(deg)]]-Tableau26[[#This Row],[QA/QC Azimut Planned]]</f>
        <v>0</v>
      </c>
    </row>
    <row r="282" spans="2:10" x14ac:dyDescent="0.25">
      <c r="B282" s="124" t="e">
        <f>VLOOKUP(Tableau26[[#This Row],[Hole ID]],Data_Log[],2,FALSE)</f>
        <v>#N/A</v>
      </c>
      <c r="G282" s="6">
        <f>_xlfn.XLOOKUP(Tableau26[[#This Row],[Hole ID]],Data_Log[Hole ID],Data_Log[Planned collar plunge
(°)])</f>
        <v>0</v>
      </c>
      <c r="H282" s="6">
        <f>_xlfn.XLOOKUP(Tableau26[[#This Row],[Hole ID]],Data_Log[Hole ID],Data_Log[Planned collar trend
(°)])</f>
        <v>0</v>
      </c>
      <c r="I282" s="123">
        <f>Tableau26[[#This Row],[Dip
(deg)]]-Tableau26[[#This Row],[QA/QC Dip Planned]]</f>
        <v>0</v>
      </c>
      <c r="J282">
        <f>Tableau26[[#This Row],[Azimuth
(deg)]]-Tableau26[[#This Row],[QA/QC Azimut Planned]]</f>
        <v>0</v>
      </c>
    </row>
    <row r="283" spans="2:10" x14ac:dyDescent="0.25">
      <c r="B283" s="124" t="e">
        <f>VLOOKUP(Tableau26[[#This Row],[Hole ID]],Data_Log[],2,FALSE)</f>
        <v>#N/A</v>
      </c>
      <c r="G283" s="6">
        <f>_xlfn.XLOOKUP(Tableau26[[#This Row],[Hole ID]],Data_Log[Hole ID],Data_Log[Planned collar plunge
(°)])</f>
        <v>0</v>
      </c>
      <c r="H283" s="6">
        <f>_xlfn.XLOOKUP(Tableau26[[#This Row],[Hole ID]],Data_Log[Hole ID],Data_Log[Planned collar trend
(°)])</f>
        <v>0</v>
      </c>
      <c r="I283" s="123">
        <f>Tableau26[[#This Row],[Dip
(deg)]]-Tableau26[[#This Row],[QA/QC Dip Planned]]</f>
        <v>0</v>
      </c>
      <c r="J283">
        <f>Tableau26[[#This Row],[Azimuth
(deg)]]-Tableau26[[#This Row],[QA/QC Azimut Planned]]</f>
        <v>0</v>
      </c>
    </row>
    <row r="284" spans="2:10" x14ac:dyDescent="0.25">
      <c r="B284" s="124" t="e">
        <f>VLOOKUP(Tableau26[[#This Row],[Hole ID]],Data_Log[],2,FALSE)</f>
        <v>#N/A</v>
      </c>
      <c r="G284" s="6">
        <f>_xlfn.XLOOKUP(Tableau26[[#This Row],[Hole ID]],Data_Log[Hole ID],Data_Log[Planned collar plunge
(°)])</f>
        <v>0</v>
      </c>
      <c r="H284" s="6">
        <f>_xlfn.XLOOKUP(Tableau26[[#This Row],[Hole ID]],Data_Log[Hole ID],Data_Log[Planned collar trend
(°)])</f>
        <v>0</v>
      </c>
      <c r="I284" s="123">
        <f>Tableau26[[#This Row],[Dip
(deg)]]-Tableau26[[#This Row],[QA/QC Dip Planned]]</f>
        <v>0</v>
      </c>
      <c r="J284">
        <f>Tableau26[[#This Row],[Azimuth
(deg)]]-Tableau26[[#This Row],[QA/QC Azimut Planned]]</f>
        <v>0</v>
      </c>
    </row>
    <row r="285" spans="2:10" x14ac:dyDescent="0.25">
      <c r="B285" s="124" t="e">
        <f>VLOOKUP(Tableau26[[#This Row],[Hole ID]],Data_Log[],2,FALSE)</f>
        <v>#N/A</v>
      </c>
      <c r="G285" s="6">
        <f>_xlfn.XLOOKUP(Tableau26[[#This Row],[Hole ID]],Data_Log[Hole ID],Data_Log[Planned collar plunge
(°)])</f>
        <v>0</v>
      </c>
      <c r="H285" s="6">
        <f>_xlfn.XLOOKUP(Tableau26[[#This Row],[Hole ID]],Data_Log[Hole ID],Data_Log[Planned collar trend
(°)])</f>
        <v>0</v>
      </c>
      <c r="I285" s="123">
        <f>Tableau26[[#This Row],[Dip
(deg)]]-Tableau26[[#This Row],[QA/QC Dip Planned]]</f>
        <v>0</v>
      </c>
      <c r="J285">
        <f>Tableau26[[#This Row],[Azimuth
(deg)]]-Tableau26[[#This Row],[QA/QC Azimut Planned]]</f>
        <v>0</v>
      </c>
    </row>
    <row r="286" spans="2:10" x14ac:dyDescent="0.25">
      <c r="B286" s="124" t="e">
        <f>VLOOKUP(Tableau26[[#This Row],[Hole ID]],Data_Log[],2,FALSE)</f>
        <v>#N/A</v>
      </c>
      <c r="G286" s="6">
        <f>_xlfn.XLOOKUP(Tableau26[[#This Row],[Hole ID]],Data_Log[Hole ID],Data_Log[Planned collar plunge
(°)])</f>
        <v>0</v>
      </c>
      <c r="H286" s="6">
        <f>_xlfn.XLOOKUP(Tableau26[[#This Row],[Hole ID]],Data_Log[Hole ID],Data_Log[Planned collar trend
(°)])</f>
        <v>0</v>
      </c>
      <c r="I286" s="123">
        <f>Tableau26[[#This Row],[Dip
(deg)]]-Tableau26[[#This Row],[QA/QC Dip Planned]]</f>
        <v>0</v>
      </c>
      <c r="J286">
        <f>Tableau26[[#This Row],[Azimuth
(deg)]]-Tableau26[[#This Row],[QA/QC Azimut Planned]]</f>
        <v>0</v>
      </c>
    </row>
    <row r="287" spans="2:10" x14ac:dyDescent="0.25">
      <c r="B287" s="124" t="e">
        <f>VLOOKUP(Tableau26[[#This Row],[Hole ID]],Data_Log[],2,FALSE)</f>
        <v>#N/A</v>
      </c>
      <c r="G287" s="6">
        <f>_xlfn.XLOOKUP(Tableau26[[#This Row],[Hole ID]],Data_Log[Hole ID],Data_Log[Planned collar plunge
(°)])</f>
        <v>0</v>
      </c>
      <c r="H287" s="6">
        <f>_xlfn.XLOOKUP(Tableau26[[#This Row],[Hole ID]],Data_Log[Hole ID],Data_Log[Planned collar trend
(°)])</f>
        <v>0</v>
      </c>
      <c r="I287" s="123">
        <f>Tableau26[[#This Row],[Dip
(deg)]]-Tableau26[[#This Row],[QA/QC Dip Planned]]</f>
        <v>0</v>
      </c>
      <c r="J287">
        <f>Tableau26[[#This Row],[Azimuth
(deg)]]-Tableau26[[#This Row],[QA/QC Azimut Planned]]</f>
        <v>0</v>
      </c>
    </row>
    <row r="288" spans="2:10" x14ac:dyDescent="0.25">
      <c r="B288" s="124" t="e">
        <f>VLOOKUP(Tableau26[[#This Row],[Hole ID]],Data_Log[],2,FALSE)</f>
        <v>#N/A</v>
      </c>
      <c r="G288" s="6">
        <f>_xlfn.XLOOKUP(Tableau26[[#This Row],[Hole ID]],Data_Log[Hole ID],Data_Log[Planned collar plunge
(°)])</f>
        <v>0</v>
      </c>
      <c r="H288" s="6">
        <f>_xlfn.XLOOKUP(Tableau26[[#This Row],[Hole ID]],Data_Log[Hole ID],Data_Log[Planned collar trend
(°)])</f>
        <v>0</v>
      </c>
      <c r="I288" s="123">
        <f>Tableau26[[#This Row],[Dip
(deg)]]-Tableau26[[#This Row],[QA/QC Dip Planned]]</f>
        <v>0</v>
      </c>
      <c r="J288">
        <f>Tableau26[[#This Row],[Azimuth
(deg)]]-Tableau26[[#This Row],[QA/QC Azimut Planned]]</f>
        <v>0</v>
      </c>
    </row>
    <row r="289" spans="2:10" x14ac:dyDescent="0.25">
      <c r="B289" s="124" t="e">
        <f>VLOOKUP(Tableau26[[#This Row],[Hole ID]],Data_Log[],2,FALSE)</f>
        <v>#N/A</v>
      </c>
      <c r="G289" s="6">
        <f>_xlfn.XLOOKUP(Tableau26[[#This Row],[Hole ID]],Data_Log[Hole ID],Data_Log[Planned collar plunge
(°)])</f>
        <v>0</v>
      </c>
      <c r="H289" s="6">
        <f>_xlfn.XLOOKUP(Tableau26[[#This Row],[Hole ID]],Data_Log[Hole ID],Data_Log[Planned collar trend
(°)])</f>
        <v>0</v>
      </c>
      <c r="I289" s="123">
        <f>Tableau26[[#This Row],[Dip
(deg)]]-Tableau26[[#This Row],[QA/QC Dip Planned]]</f>
        <v>0</v>
      </c>
      <c r="J289">
        <f>Tableau26[[#This Row],[Azimuth
(deg)]]-Tableau26[[#This Row],[QA/QC Azimut Planned]]</f>
        <v>0</v>
      </c>
    </row>
    <row r="290" spans="2:10" x14ac:dyDescent="0.25">
      <c r="B290" s="124" t="e">
        <f>VLOOKUP(Tableau26[[#This Row],[Hole ID]],Data_Log[],2,FALSE)</f>
        <v>#N/A</v>
      </c>
      <c r="G290" s="6">
        <f>_xlfn.XLOOKUP(Tableau26[[#This Row],[Hole ID]],Data_Log[Hole ID],Data_Log[Planned collar plunge
(°)])</f>
        <v>0</v>
      </c>
      <c r="H290" s="6">
        <f>_xlfn.XLOOKUP(Tableau26[[#This Row],[Hole ID]],Data_Log[Hole ID],Data_Log[Planned collar trend
(°)])</f>
        <v>0</v>
      </c>
      <c r="I290" s="123">
        <f>Tableau26[[#This Row],[Dip
(deg)]]-Tableau26[[#This Row],[QA/QC Dip Planned]]</f>
        <v>0</v>
      </c>
      <c r="J290">
        <f>Tableau26[[#This Row],[Azimuth
(deg)]]-Tableau26[[#This Row],[QA/QC Azimut Planned]]</f>
        <v>0</v>
      </c>
    </row>
    <row r="291" spans="2:10" x14ac:dyDescent="0.25">
      <c r="B291" s="124" t="e">
        <f>VLOOKUP(Tableau26[[#This Row],[Hole ID]],Data_Log[],2,FALSE)</f>
        <v>#N/A</v>
      </c>
      <c r="G291" s="6">
        <f>_xlfn.XLOOKUP(Tableau26[[#This Row],[Hole ID]],Data_Log[Hole ID],Data_Log[Planned collar plunge
(°)])</f>
        <v>0</v>
      </c>
      <c r="H291" s="6">
        <f>_xlfn.XLOOKUP(Tableau26[[#This Row],[Hole ID]],Data_Log[Hole ID],Data_Log[Planned collar trend
(°)])</f>
        <v>0</v>
      </c>
      <c r="I291" s="123">
        <f>Tableau26[[#This Row],[Dip
(deg)]]-Tableau26[[#This Row],[QA/QC Dip Planned]]</f>
        <v>0</v>
      </c>
      <c r="J291">
        <f>Tableau26[[#This Row],[Azimuth
(deg)]]-Tableau26[[#This Row],[QA/QC Azimut Planned]]</f>
        <v>0</v>
      </c>
    </row>
    <row r="292" spans="2:10" x14ac:dyDescent="0.25">
      <c r="B292" s="124" t="e">
        <f>VLOOKUP(Tableau26[[#This Row],[Hole ID]],Data_Log[],2,FALSE)</f>
        <v>#N/A</v>
      </c>
      <c r="G292" s="6">
        <f>_xlfn.XLOOKUP(Tableau26[[#This Row],[Hole ID]],Data_Log[Hole ID],Data_Log[Planned collar plunge
(°)])</f>
        <v>0</v>
      </c>
      <c r="H292" s="6">
        <f>_xlfn.XLOOKUP(Tableau26[[#This Row],[Hole ID]],Data_Log[Hole ID],Data_Log[Planned collar trend
(°)])</f>
        <v>0</v>
      </c>
      <c r="I292" s="123">
        <f>Tableau26[[#This Row],[Dip
(deg)]]-Tableau26[[#This Row],[QA/QC Dip Planned]]</f>
        <v>0</v>
      </c>
      <c r="J292">
        <f>Tableau26[[#This Row],[Azimuth
(deg)]]-Tableau26[[#This Row],[QA/QC Azimut Planned]]</f>
        <v>0</v>
      </c>
    </row>
    <row r="293" spans="2:10" x14ac:dyDescent="0.25">
      <c r="B293" s="124" t="e">
        <f>VLOOKUP(Tableau26[[#This Row],[Hole ID]],Data_Log[],2,FALSE)</f>
        <v>#N/A</v>
      </c>
      <c r="G293" s="6">
        <f>_xlfn.XLOOKUP(Tableau26[[#This Row],[Hole ID]],Data_Log[Hole ID],Data_Log[Planned collar plunge
(°)])</f>
        <v>0</v>
      </c>
      <c r="H293" s="6">
        <f>_xlfn.XLOOKUP(Tableau26[[#This Row],[Hole ID]],Data_Log[Hole ID],Data_Log[Planned collar trend
(°)])</f>
        <v>0</v>
      </c>
      <c r="I293" s="123">
        <f>Tableau26[[#This Row],[Dip
(deg)]]-Tableau26[[#This Row],[QA/QC Dip Planned]]</f>
        <v>0</v>
      </c>
      <c r="J293">
        <f>Tableau26[[#This Row],[Azimuth
(deg)]]-Tableau26[[#This Row],[QA/QC Azimut Planned]]</f>
        <v>0</v>
      </c>
    </row>
    <row r="294" spans="2:10" x14ac:dyDescent="0.25">
      <c r="B294" s="124" t="e">
        <f>VLOOKUP(Tableau26[[#This Row],[Hole ID]],Data_Log[],2,FALSE)</f>
        <v>#N/A</v>
      </c>
      <c r="G294" s="6">
        <f>_xlfn.XLOOKUP(Tableau26[[#This Row],[Hole ID]],Data_Log[Hole ID],Data_Log[Planned collar plunge
(°)])</f>
        <v>0</v>
      </c>
      <c r="H294" s="6">
        <f>_xlfn.XLOOKUP(Tableau26[[#This Row],[Hole ID]],Data_Log[Hole ID],Data_Log[Planned collar trend
(°)])</f>
        <v>0</v>
      </c>
      <c r="I294" s="123">
        <f>Tableau26[[#This Row],[Dip
(deg)]]-Tableau26[[#This Row],[QA/QC Dip Planned]]</f>
        <v>0</v>
      </c>
      <c r="J294">
        <f>Tableau26[[#This Row],[Azimuth
(deg)]]-Tableau26[[#This Row],[QA/QC Azimut Planned]]</f>
        <v>0</v>
      </c>
    </row>
    <row r="295" spans="2:10" x14ac:dyDescent="0.25">
      <c r="B295" s="124" t="e">
        <f>VLOOKUP(Tableau26[[#This Row],[Hole ID]],Data_Log[],2,FALSE)</f>
        <v>#N/A</v>
      </c>
      <c r="G295" s="6">
        <f>_xlfn.XLOOKUP(Tableau26[[#This Row],[Hole ID]],Data_Log[Hole ID],Data_Log[Planned collar plunge
(°)])</f>
        <v>0</v>
      </c>
      <c r="H295" s="6">
        <f>_xlfn.XLOOKUP(Tableau26[[#This Row],[Hole ID]],Data_Log[Hole ID],Data_Log[Planned collar trend
(°)])</f>
        <v>0</v>
      </c>
      <c r="I295" s="123">
        <f>Tableau26[[#This Row],[Dip
(deg)]]-Tableau26[[#This Row],[QA/QC Dip Planned]]</f>
        <v>0</v>
      </c>
      <c r="J295">
        <f>Tableau26[[#This Row],[Azimuth
(deg)]]-Tableau26[[#This Row],[QA/QC Azimut Planned]]</f>
        <v>0</v>
      </c>
    </row>
    <row r="296" spans="2:10" x14ac:dyDescent="0.25">
      <c r="B296" s="124" t="e">
        <f>VLOOKUP(Tableau26[[#This Row],[Hole ID]],Data_Log[],2,FALSE)</f>
        <v>#N/A</v>
      </c>
      <c r="G296" s="6">
        <f>_xlfn.XLOOKUP(Tableau26[[#This Row],[Hole ID]],Data_Log[Hole ID],Data_Log[Planned collar plunge
(°)])</f>
        <v>0</v>
      </c>
      <c r="H296" s="6">
        <f>_xlfn.XLOOKUP(Tableau26[[#This Row],[Hole ID]],Data_Log[Hole ID],Data_Log[Planned collar trend
(°)])</f>
        <v>0</v>
      </c>
      <c r="I296" s="123">
        <f>Tableau26[[#This Row],[Dip
(deg)]]-Tableau26[[#This Row],[QA/QC Dip Planned]]</f>
        <v>0</v>
      </c>
      <c r="J296">
        <f>Tableau26[[#This Row],[Azimuth
(deg)]]-Tableau26[[#This Row],[QA/QC Azimut Planned]]</f>
        <v>0</v>
      </c>
    </row>
    <row r="297" spans="2:10" x14ac:dyDescent="0.25">
      <c r="B297" s="124" t="e">
        <f>VLOOKUP(Tableau26[[#This Row],[Hole ID]],Data_Log[],2,FALSE)</f>
        <v>#N/A</v>
      </c>
      <c r="G297" s="6">
        <f>_xlfn.XLOOKUP(Tableau26[[#This Row],[Hole ID]],Data_Log[Hole ID],Data_Log[Planned collar plunge
(°)])</f>
        <v>0</v>
      </c>
      <c r="H297" s="6">
        <f>_xlfn.XLOOKUP(Tableau26[[#This Row],[Hole ID]],Data_Log[Hole ID],Data_Log[Planned collar trend
(°)])</f>
        <v>0</v>
      </c>
      <c r="I297" s="123">
        <f>Tableau26[[#This Row],[Dip
(deg)]]-Tableau26[[#This Row],[QA/QC Dip Planned]]</f>
        <v>0</v>
      </c>
      <c r="J297">
        <f>Tableau26[[#This Row],[Azimuth
(deg)]]-Tableau26[[#This Row],[QA/QC Azimut Planned]]</f>
        <v>0</v>
      </c>
    </row>
    <row r="298" spans="2:10" x14ac:dyDescent="0.25">
      <c r="B298" s="124" t="e">
        <f>VLOOKUP(Tableau26[[#This Row],[Hole ID]],Data_Log[],2,FALSE)</f>
        <v>#N/A</v>
      </c>
      <c r="G298" s="6">
        <f>_xlfn.XLOOKUP(Tableau26[[#This Row],[Hole ID]],Data_Log[Hole ID],Data_Log[Planned collar plunge
(°)])</f>
        <v>0</v>
      </c>
      <c r="H298" s="6">
        <f>_xlfn.XLOOKUP(Tableau26[[#This Row],[Hole ID]],Data_Log[Hole ID],Data_Log[Planned collar trend
(°)])</f>
        <v>0</v>
      </c>
      <c r="I298" s="123">
        <f>Tableau26[[#This Row],[Dip
(deg)]]-Tableau26[[#This Row],[QA/QC Dip Planned]]</f>
        <v>0</v>
      </c>
      <c r="J298">
        <f>Tableau26[[#This Row],[Azimuth
(deg)]]-Tableau26[[#This Row],[QA/QC Azimut Planned]]</f>
        <v>0</v>
      </c>
    </row>
    <row r="299" spans="2:10" x14ac:dyDescent="0.25">
      <c r="B299" s="124" t="e">
        <f>VLOOKUP(Tableau26[[#This Row],[Hole ID]],Data_Log[],2,FALSE)</f>
        <v>#N/A</v>
      </c>
      <c r="G299" s="6">
        <f>_xlfn.XLOOKUP(Tableau26[[#This Row],[Hole ID]],Data_Log[Hole ID],Data_Log[Planned collar plunge
(°)])</f>
        <v>0</v>
      </c>
      <c r="H299" s="6">
        <f>_xlfn.XLOOKUP(Tableau26[[#This Row],[Hole ID]],Data_Log[Hole ID],Data_Log[Planned collar trend
(°)])</f>
        <v>0</v>
      </c>
      <c r="I299" s="123">
        <f>Tableau26[[#This Row],[Dip
(deg)]]-Tableau26[[#This Row],[QA/QC Dip Planned]]</f>
        <v>0</v>
      </c>
      <c r="J299">
        <f>Tableau26[[#This Row],[Azimuth
(deg)]]-Tableau26[[#This Row],[QA/QC Azimut Planned]]</f>
        <v>0</v>
      </c>
    </row>
    <row r="300" spans="2:10" x14ac:dyDescent="0.25">
      <c r="B300" s="124" t="e">
        <f>VLOOKUP(Tableau26[[#This Row],[Hole ID]],Data_Log[],2,FALSE)</f>
        <v>#N/A</v>
      </c>
      <c r="G300" s="6">
        <f>_xlfn.XLOOKUP(Tableau26[[#This Row],[Hole ID]],Data_Log[Hole ID],Data_Log[Planned collar plunge
(°)])</f>
        <v>0</v>
      </c>
      <c r="H300" s="6">
        <f>_xlfn.XLOOKUP(Tableau26[[#This Row],[Hole ID]],Data_Log[Hole ID],Data_Log[Planned collar trend
(°)])</f>
        <v>0</v>
      </c>
      <c r="I300" s="123">
        <f>Tableau26[[#This Row],[Dip
(deg)]]-Tableau26[[#This Row],[QA/QC Dip Planned]]</f>
        <v>0</v>
      </c>
      <c r="J300">
        <f>Tableau26[[#This Row],[Azimuth
(deg)]]-Tableau26[[#This Row],[QA/QC Azimut Planned]]</f>
        <v>0</v>
      </c>
    </row>
    <row r="301" spans="2:10" x14ac:dyDescent="0.25">
      <c r="B301" s="124" t="e">
        <f>VLOOKUP(Tableau26[[#This Row],[Hole ID]],Data_Log[],2,FALSE)</f>
        <v>#N/A</v>
      </c>
      <c r="G301" s="6">
        <f>_xlfn.XLOOKUP(Tableau26[[#This Row],[Hole ID]],Data_Log[Hole ID],Data_Log[Planned collar plunge
(°)])</f>
        <v>0</v>
      </c>
      <c r="H301" s="6">
        <f>_xlfn.XLOOKUP(Tableau26[[#This Row],[Hole ID]],Data_Log[Hole ID],Data_Log[Planned collar trend
(°)])</f>
        <v>0</v>
      </c>
      <c r="I301" s="123">
        <f>Tableau26[[#This Row],[Dip
(deg)]]-Tableau26[[#This Row],[QA/QC Dip Planned]]</f>
        <v>0</v>
      </c>
      <c r="J301">
        <f>Tableau26[[#This Row],[Azimuth
(deg)]]-Tableau26[[#This Row],[QA/QC Azimut Planned]]</f>
        <v>0</v>
      </c>
    </row>
    <row r="302" spans="2:10" x14ac:dyDescent="0.25">
      <c r="B302" s="124" t="e">
        <f>VLOOKUP(Tableau26[[#This Row],[Hole ID]],Data_Log[],2,FALSE)</f>
        <v>#N/A</v>
      </c>
      <c r="G302" s="6">
        <f>_xlfn.XLOOKUP(Tableau26[[#This Row],[Hole ID]],Data_Log[Hole ID],Data_Log[Planned collar plunge
(°)])</f>
        <v>0</v>
      </c>
      <c r="H302" s="6">
        <f>_xlfn.XLOOKUP(Tableau26[[#This Row],[Hole ID]],Data_Log[Hole ID],Data_Log[Planned collar trend
(°)])</f>
        <v>0</v>
      </c>
      <c r="I302" s="123">
        <f>Tableau26[[#This Row],[Dip
(deg)]]-Tableau26[[#This Row],[QA/QC Dip Planned]]</f>
        <v>0</v>
      </c>
      <c r="J302">
        <f>Tableau26[[#This Row],[Azimuth
(deg)]]-Tableau26[[#This Row],[QA/QC Azimut Planned]]</f>
        <v>0</v>
      </c>
    </row>
    <row r="303" spans="2:10" x14ac:dyDescent="0.25">
      <c r="B303" s="124" t="e">
        <f>VLOOKUP(Tableau26[[#This Row],[Hole ID]],Data_Log[],2,FALSE)</f>
        <v>#N/A</v>
      </c>
      <c r="G303" s="6">
        <f>_xlfn.XLOOKUP(Tableau26[[#This Row],[Hole ID]],Data_Log[Hole ID],Data_Log[Planned collar plunge
(°)])</f>
        <v>0</v>
      </c>
      <c r="H303" s="6">
        <f>_xlfn.XLOOKUP(Tableau26[[#This Row],[Hole ID]],Data_Log[Hole ID],Data_Log[Planned collar trend
(°)])</f>
        <v>0</v>
      </c>
      <c r="I303" s="123">
        <f>Tableau26[[#This Row],[Dip
(deg)]]-Tableau26[[#This Row],[QA/QC Dip Planned]]</f>
        <v>0</v>
      </c>
      <c r="J303">
        <f>Tableau26[[#This Row],[Azimuth
(deg)]]-Tableau26[[#This Row],[QA/QC Azimut Planned]]</f>
        <v>0</v>
      </c>
    </row>
    <row r="304" spans="2:10" x14ac:dyDescent="0.25">
      <c r="B304" s="124" t="e">
        <f>VLOOKUP(Tableau26[[#This Row],[Hole ID]],Data_Log[],2,FALSE)</f>
        <v>#N/A</v>
      </c>
      <c r="G304" s="6">
        <f>_xlfn.XLOOKUP(Tableau26[[#This Row],[Hole ID]],Data_Log[Hole ID],Data_Log[Planned collar plunge
(°)])</f>
        <v>0</v>
      </c>
      <c r="H304" s="6">
        <f>_xlfn.XLOOKUP(Tableau26[[#This Row],[Hole ID]],Data_Log[Hole ID],Data_Log[Planned collar trend
(°)])</f>
        <v>0</v>
      </c>
      <c r="I304" s="123">
        <f>Tableau26[[#This Row],[Dip
(deg)]]-Tableau26[[#This Row],[QA/QC Dip Planned]]</f>
        <v>0</v>
      </c>
      <c r="J304">
        <f>Tableau26[[#This Row],[Azimuth
(deg)]]-Tableau26[[#This Row],[QA/QC Azimut Planned]]</f>
        <v>0</v>
      </c>
    </row>
    <row r="305" spans="2:10" x14ac:dyDescent="0.25">
      <c r="B305" s="124" t="e">
        <f>VLOOKUP(Tableau26[[#This Row],[Hole ID]],Data_Log[],2,FALSE)</f>
        <v>#N/A</v>
      </c>
      <c r="G305" s="6">
        <f>_xlfn.XLOOKUP(Tableau26[[#This Row],[Hole ID]],Data_Log[Hole ID],Data_Log[Planned collar plunge
(°)])</f>
        <v>0</v>
      </c>
      <c r="H305" s="6">
        <f>_xlfn.XLOOKUP(Tableau26[[#This Row],[Hole ID]],Data_Log[Hole ID],Data_Log[Planned collar trend
(°)])</f>
        <v>0</v>
      </c>
      <c r="I305" s="123">
        <f>Tableau26[[#This Row],[Dip
(deg)]]-Tableau26[[#This Row],[QA/QC Dip Planned]]</f>
        <v>0</v>
      </c>
      <c r="J305">
        <f>Tableau26[[#This Row],[Azimuth
(deg)]]-Tableau26[[#This Row],[QA/QC Azimut Planned]]</f>
        <v>0</v>
      </c>
    </row>
    <row r="306" spans="2:10" x14ac:dyDescent="0.25">
      <c r="B306" s="124" t="e">
        <f>VLOOKUP(Tableau26[[#This Row],[Hole ID]],Data_Log[],2,FALSE)</f>
        <v>#N/A</v>
      </c>
      <c r="G306" s="6">
        <f>_xlfn.XLOOKUP(Tableau26[[#This Row],[Hole ID]],Data_Log[Hole ID],Data_Log[Planned collar plunge
(°)])</f>
        <v>0</v>
      </c>
      <c r="H306" s="6">
        <f>_xlfn.XLOOKUP(Tableau26[[#This Row],[Hole ID]],Data_Log[Hole ID],Data_Log[Planned collar trend
(°)])</f>
        <v>0</v>
      </c>
      <c r="I306" s="123">
        <f>Tableau26[[#This Row],[Dip
(deg)]]-Tableau26[[#This Row],[QA/QC Dip Planned]]</f>
        <v>0</v>
      </c>
      <c r="J306">
        <f>Tableau26[[#This Row],[Azimuth
(deg)]]-Tableau26[[#This Row],[QA/QC Azimut Planned]]</f>
        <v>0</v>
      </c>
    </row>
    <row r="307" spans="2:10" x14ac:dyDescent="0.25">
      <c r="B307" s="124" t="e">
        <f>VLOOKUP(Tableau26[[#This Row],[Hole ID]],Data_Log[],2,FALSE)</f>
        <v>#N/A</v>
      </c>
      <c r="G307" s="6">
        <f>_xlfn.XLOOKUP(Tableau26[[#This Row],[Hole ID]],Data_Log[Hole ID],Data_Log[Planned collar plunge
(°)])</f>
        <v>0</v>
      </c>
      <c r="H307" s="6">
        <f>_xlfn.XLOOKUP(Tableau26[[#This Row],[Hole ID]],Data_Log[Hole ID],Data_Log[Planned collar trend
(°)])</f>
        <v>0</v>
      </c>
      <c r="I307" s="123">
        <f>Tableau26[[#This Row],[Dip
(deg)]]-Tableau26[[#This Row],[QA/QC Dip Planned]]</f>
        <v>0</v>
      </c>
      <c r="J307">
        <f>Tableau26[[#This Row],[Azimuth
(deg)]]-Tableau26[[#This Row],[QA/QC Azimut Planned]]</f>
        <v>0</v>
      </c>
    </row>
    <row r="308" spans="2:10" x14ac:dyDescent="0.25">
      <c r="B308" s="124" t="e">
        <f>VLOOKUP(Tableau26[[#This Row],[Hole ID]],Data_Log[],2,FALSE)</f>
        <v>#N/A</v>
      </c>
      <c r="G308" s="6">
        <f>_xlfn.XLOOKUP(Tableau26[[#This Row],[Hole ID]],Data_Log[Hole ID],Data_Log[Planned collar plunge
(°)])</f>
        <v>0</v>
      </c>
      <c r="H308" s="6">
        <f>_xlfn.XLOOKUP(Tableau26[[#This Row],[Hole ID]],Data_Log[Hole ID],Data_Log[Planned collar trend
(°)])</f>
        <v>0</v>
      </c>
      <c r="I308" s="123">
        <f>Tableau26[[#This Row],[Dip
(deg)]]-Tableau26[[#This Row],[QA/QC Dip Planned]]</f>
        <v>0</v>
      </c>
      <c r="J308">
        <f>Tableau26[[#This Row],[Azimuth
(deg)]]-Tableau26[[#This Row],[QA/QC Azimut Planned]]</f>
        <v>0</v>
      </c>
    </row>
    <row r="309" spans="2:10" x14ac:dyDescent="0.25">
      <c r="B309" s="124" t="e">
        <f>VLOOKUP(Tableau26[[#This Row],[Hole ID]],Data_Log[],2,FALSE)</f>
        <v>#N/A</v>
      </c>
      <c r="G309" s="6">
        <f>_xlfn.XLOOKUP(Tableau26[[#This Row],[Hole ID]],Data_Log[Hole ID],Data_Log[Planned collar plunge
(°)])</f>
        <v>0</v>
      </c>
      <c r="H309" s="6">
        <f>_xlfn.XLOOKUP(Tableau26[[#This Row],[Hole ID]],Data_Log[Hole ID],Data_Log[Planned collar trend
(°)])</f>
        <v>0</v>
      </c>
      <c r="I309" s="123">
        <f>Tableau26[[#This Row],[Dip
(deg)]]-Tableau26[[#This Row],[QA/QC Dip Planned]]</f>
        <v>0</v>
      </c>
      <c r="J309">
        <f>Tableau26[[#This Row],[Azimuth
(deg)]]-Tableau26[[#This Row],[QA/QC Azimut Planned]]</f>
        <v>0</v>
      </c>
    </row>
    <row r="310" spans="2:10" x14ac:dyDescent="0.25">
      <c r="B310" s="124" t="e">
        <f>VLOOKUP(Tableau26[[#This Row],[Hole ID]],Data_Log[],2,FALSE)</f>
        <v>#N/A</v>
      </c>
      <c r="G310" s="6">
        <f>_xlfn.XLOOKUP(Tableau26[[#This Row],[Hole ID]],Data_Log[Hole ID],Data_Log[Planned collar plunge
(°)])</f>
        <v>0</v>
      </c>
      <c r="H310" s="6">
        <f>_xlfn.XLOOKUP(Tableau26[[#This Row],[Hole ID]],Data_Log[Hole ID],Data_Log[Planned collar trend
(°)])</f>
        <v>0</v>
      </c>
      <c r="I310" s="123">
        <f>Tableau26[[#This Row],[Dip
(deg)]]-Tableau26[[#This Row],[QA/QC Dip Planned]]</f>
        <v>0</v>
      </c>
      <c r="J310">
        <f>Tableau26[[#This Row],[Azimuth
(deg)]]-Tableau26[[#This Row],[QA/QC Azimut Planned]]</f>
        <v>0</v>
      </c>
    </row>
    <row r="311" spans="2:10" x14ac:dyDescent="0.25">
      <c r="B311" s="124" t="e">
        <f>VLOOKUP(Tableau26[[#This Row],[Hole ID]],Data_Log[],2,FALSE)</f>
        <v>#N/A</v>
      </c>
      <c r="G311" s="6">
        <f>_xlfn.XLOOKUP(Tableau26[[#This Row],[Hole ID]],Data_Log[Hole ID],Data_Log[Planned collar plunge
(°)])</f>
        <v>0</v>
      </c>
      <c r="H311" s="6">
        <f>_xlfn.XLOOKUP(Tableau26[[#This Row],[Hole ID]],Data_Log[Hole ID],Data_Log[Planned collar trend
(°)])</f>
        <v>0</v>
      </c>
      <c r="I311" s="123">
        <f>Tableau26[[#This Row],[Dip
(deg)]]-Tableau26[[#This Row],[QA/QC Dip Planned]]</f>
        <v>0</v>
      </c>
      <c r="J311">
        <f>Tableau26[[#This Row],[Azimuth
(deg)]]-Tableau26[[#This Row],[QA/QC Azimut Planned]]</f>
        <v>0</v>
      </c>
    </row>
    <row r="312" spans="2:10" x14ac:dyDescent="0.25">
      <c r="B312" s="124" t="e">
        <f>VLOOKUP(Tableau26[[#This Row],[Hole ID]],Data_Log[],2,FALSE)</f>
        <v>#N/A</v>
      </c>
      <c r="G312" s="6">
        <f>_xlfn.XLOOKUP(Tableau26[[#This Row],[Hole ID]],Data_Log[Hole ID],Data_Log[Planned collar plunge
(°)])</f>
        <v>0</v>
      </c>
      <c r="H312" s="6">
        <f>_xlfn.XLOOKUP(Tableau26[[#This Row],[Hole ID]],Data_Log[Hole ID],Data_Log[Planned collar trend
(°)])</f>
        <v>0</v>
      </c>
      <c r="I312" s="123">
        <f>Tableau26[[#This Row],[Dip
(deg)]]-Tableau26[[#This Row],[QA/QC Dip Planned]]</f>
        <v>0</v>
      </c>
      <c r="J312">
        <f>Tableau26[[#This Row],[Azimuth
(deg)]]-Tableau26[[#This Row],[QA/QC Azimut Planned]]</f>
        <v>0</v>
      </c>
    </row>
    <row r="313" spans="2:10" x14ac:dyDescent="0.25">
      <c r="B313" s="124" t="e">
        <f>VLOOKUP(Tableau26[[#This Row],[Hole ID]],Data_Log[],2,FALSE)</f>
        <v>#N/A</v>
      </c>
      <c r="G313" s="6">
        <f>_xlfn.XLOOKUP(Tableau26[[#This Row],[Hole ID]],Data_Log[Hole ID],Data_Log[Planned collar plunge
(°)])</f>
        <v>0</v>
      </c>
      <c r="H313" s="6">
        <f>_xlfn.XLOOKUP(Tableau26[[#This Row],[Hole ID]],Data_Log[Hole ID],Data_Log[Planned collar trend
(°)])</f>
        <v>0</v>
      </c>
      <c r="I313" s="123">
        <f>Tableau26[[#This Row],[Dip
(deg)]]-Tableau26[[#This Row],[QA/QC Dip Planned]]</f>
        <v>0</v>
      </c>
      <c r="J313">
        <f>Tableau26[[#This Row],[Azimuth
(deg)]]-Tableau26[[#This Row],[QA/QC Azimut Planned]]</f>
        <v>0</v>
      </c>
    </row>
    <row r="314" spans="2:10" x14ac:dyDescent="0.25">
      <c r="B314" s="124" t="e">
        <f>VLOOKUP(Tableau26[[#This Row],[Hole ID]],Data_Log[],2,FALSE)</f>
        <v>#N/A</v>
      </c>
      <c r="G314" s="6">
        <f>_xlfn.XLOOKUP(Tableau26[[#This Row],[Hole ID]],Data_Log[Hole ID],Data_Log[Planned collar plunge
(°)])</f>
        <v>0</v>
      </c>
      <c r="H314" s="6">
        <f>_xlfn.XLOOKUP(Tableau26[[#This Row],[Hole ID]],Data_Log[Hole ID],Data_Log[Planned collar trend
(°)])</f>
        <v>0</v>
      </c>
      <c r="I314" s="123">
        <f>Tableau26[[#This Row],[Dip
(deg)]]-Tableau26[[#This Row],[QA/QC Dip Planned]]</f>
        <v>0</v>
      </c>
      <c r="J314">
        <f>Tableau26[[#This Row],[Azimuth
(deg)]]-Tableau26[[#This Row],[QA/QC Azimut Planned]]</f>
        <v>0</v>
      </c>
    </row>
    <row r="315" spans="2:10" x14ac:dyDescent="0.25">
      <c r="B315" s="124" t="e">
        <f>VLOOKUP(Tableau26[[#This Row],[Hole ID]],Data_Log[],2,FALSE)</f>
        <v>#N/A</v>
      </c>
      <c r="D315" s="123"/>
      <c r="G315" s="6">
        <f>_xlfn.XLOOKUP(Tableau26[[#This Row],[Hole ID]],Data_Log[Hole ID],Data_Log[Planned collar plunge
(°)])</f>
        <v>0</v>
      </c>
      <c r="H315" s="6">
        <f>_xlfn.XLOOKUP(Tableau26[[#This Row],[Hole ID]],Data_Log[Hole ID],Data_Log[Planned collar trend
(°)])</f>
        <v>0</v>
      </c>
      <c r="I315" s="123">
        <f>Tableau26[[#This Row],[Dip
(deg)]]-Tableau26[[#This Row],[QA/QC Dip Planned]]</f>
        <v>0</v>
      </c>
      <c r="J315">
        <f>Tableau26[[#This Row],[Azimuth
(deg)]]-Tableau26[[#This Row],[QA/QC Azimut Planned]]</f>
        <v>0</v>
      </c>
    </row>
    <row r="316" spans="2:10" x14ac:dyDescent="0.25">
      <c r="B316" s="124" t="e">
        <f>VLOOKUP(Tableau26[[#This Row],[Hole ID]],Data_Log[],2,FALSE)</f>
        <v>#N/A</v>
      </c>
      <c r="D316" s="123"/>
      <c r="G316" s="6">
        <f>_xlfn.XLOOKUP(Tableau26[[#This Row],[Hole ID]],Data_Log[Hole ID],Data_Log[Planned collar plunge
(°)])</f>
        <v>0</v>
      </c>
      <c r="H316" s="6">
        <f>_xlfn.XLOOKUP(Tableau26[[#This Row],[Hole ID]],Data_Log[Hole ID],Data_Log[Planned collar trend
(°)])</f>
        <v>0</v>
      </c>
      <c r="I316" s="123">
        <f>Tableau26[[#This Row],[Dip
(deg)]]-Tableau26[[#This Row],[QA/QC Dip Planned]]</f>
        <v>0</v>
      </c>
      <c r="J316">
        <f>Tableau26[[#This Row],[Azimuth
(deg)]]-Tableau26[[#This Row],[QA/QC Azimut Planned]]</f>
        <v>0</v>
      </c>
    </row>
    <row r="317" spans="2:10" x14ac:dyDescent="0.25">
      <c r="B317" s="124" t="e">
        <f>VLOOKUP(Tableau26[[#This Row],[Hole ID]],Data_Log[],2,FALSE)</f>
        <v>#N/A</v>
      </c>
      <c r="D317" s="123"/>
      <c r="G317" s="6">
        <f>_xlfn.XLOOKUP(Tableau26[[#This Row],[Hole ID]],Data_Log[Hole ID],Data_Log[Planned collar plunge
(°)])</f>
        <v>0</v>
      </c>
      <c r="H317" s="6">
        <f>_xlfn.XLOOKUP(Tableau26[[#This Row],[Hole ID]],Data_Log[Hole ID],Data_Log[Planned collar trend
(°)])</f>
        <v>0</v>
      </c>
      <c r="I317" s="123">
        <f>Tableau26[[#This Row],[Dip
(deg)]]-Tableau26[[#This Row],[QA/QC Dip Planned]]</f>
        <v>0</v>
      </c>
      <c r="J317">
        <f>Tableau26[[#This Row],[Azimuth
(deg)]]-Tableau26[[#This Row],[QA/QC Azimut Planned]]</f>
        <v>0</v>
      </c>
    </row>
    <row r="318" spans="2:10" x14ac:dyDescent="0.25">
      <c r="B318" s="124" t="e">
        <f>VLOOKUP(Tableau26[[#This Row],[Hole ID]],Data_Log[],2,FALSE)</f>
        <v>#N/A</v>
      </c>
      <c r="D318" s="123"/>
      <c r="G318" s="6">
        <f>_xlfn.XLOOKUP(Tableau26[[#This Row],[Hole ID]],Data_Log[Hole ID],Data_Log[Planned collar plunge
(°)])</f>
        <v>0</v>
      </c>
      <c r="H318" s="6">
        <f>_xlfn.XLOOKUP(Tableau26[[#This Row],[Hole ID]],Data_Log[Hole ID],Data_Log[Planned collar trend
(°)])</f>
        <v>0</v>
      </c>
      <c r="I318" s="123">
        <f>Tableau26[[#This Row],[Dip
(deg)]]-Tableau26[[#This Row],[QA/QC Dip Planned]]</f>
        <v>0</v>
      </c>
      <c r="J318">
        <f>Tableau26[[#This Row],[Azimuth
(deg)]]-Tableau26[[#This Row],[QA/QC Azimut Planned]]</f>
        <v>0</v>
      </c>
    </row>
    <row r="319" spans="2:10" x14ac:dyDescent="0.25">
      <c r="B319" s="124" t="e">
        <f>VLOOKUP(Tableau26[[#This Row],[Hole ID]],Data_Log[],2,FALSE)</f>
        <v>#N/A</v>
      </c>
      <c r="D319" s="123"/>
      <c r="G319" s="6">
        <f>_xlfn.XLOOKUP(Tableau26[[#This Row],[Hole ID]],Data_Log[Hole ID],Data_Log[Planned collar plunge
(°)])</f>
        <v>0</v>
      </c>
      <c r="H319" s="6">
        <f>_xlfn.XLOOKUP(Tableau26[[#This Row],[Hole ID]],Data_Log[Hole ID],Data_Log[Planned collar trend
(°)])</f>
        <v>0</v>
      </c>
      <c r="I319" s="123">
        <f>Tableau26[[#This Row],[Dip
(deg)]]-Tableau26[[#This Row],[QA/QC Dip Planned]]</f>
        <v>0</v>
      </c>
      <c r="J319">
        <f>Tableau26[[#This Row],[Azimuth
(deg)]]-Tableau26[[#This Row],[QA/QC Azimut Planned]]</f>
        <v>0</v>
      </c>
    </row>
    <row r="320" spans="2:10" x14ac:dyDescent="0.25">
      <c r="B320" s="124" t="e">
        <f>VLOOKUP(Tableau26[[#This Row],[Hole ID]],Data_Log[],2,FALSE)</f>
        <v>#N/A</v>
      </c>
      <c r="D320" s="123"/>
      <c r="G320" s="6">
        <f>_xlfn.XLOOKUP(Tableau26[[#This Row],[Hole ID]],Data_Log[Hole ID],Data_Log[Planned collar plunge
(°)])</f>
        <v>0</v>
      </c>
      <c r="H320" s="6">
        <f>_xlfn.XLOOKUP(Tableau26[[#This Row],[Hole ID]],Data_Log[Hole ID],Data_Log[Planned collar trend
(°)])</f>
        <v>0</v>
      </c>
      <c r="I320" s="123">
        <f>Tableau26[[#This Row],[Dip
(deg)]]-Tableau26[[#This Row],[QA/QC Dip Planned]]</f>
        <v>0</v>
      </c>
      <c r="J320">
        <f>Tableau26[[#This Row],[Azimuth
(deg)]]-Tableau26[[#This Row],[QA/QC Azimut Planned]]</f>
        <v>0</v>
      </c>
    </row>
    <row r="321" spans="2:10" x14ac:dyDescent="0.25">
      <c r="B321" s="124" t="e">
        <f>VLOOKUP(Tableau26[[#This Row],[Hole ID]],Data_Log[],2,FALSE)</f>
        <v>#N/A</v>
      </c>
      <c r="D321" s="123"/>
      <c r="G321" s="6">
        <f>_xlfn.XLOOKUP(Tableau26[[#This Row],[Hole ID]],Data_Log[Hole ID],Data_Log[Planned collar plunge
(°)])</f>
        <v>0</v>
      </c>
      <c r="H321" s="6">
        <f>_xlfn.XLOOKUP(Tableau26[[#This Row],[Hole ID]],Data_Log[Hole ID],Data_Log[Planned collar trend
(°)])</f>
        <v>0</v>
      </c>
      <c r="I321" s="123">
        <f>Tableau26[[#This Row],[Dip
(deg)]]-Tableau26[[#This Row],[QA/QC Dip Planned]]</f>
        <v>0</v>
      </c>
      <c r="J321">
        <f>Tableau26[[#This Row],[Azimuth
(deg)]]-Tableau26[[#This Row],[QA/QC Azimut Planned]]</f>
        <v>0</v>
      </c>
    </row>
    <row r="322" spans="2:10" x14ac:dyDescent="0.25">
      <c r="B322" s="124" t="e">
        <f>VLOOKUP(Tableau26[[#This Row],[Hole ID]],Data_Log[],2,FALSE)</f>
        <v>#N/A</v>
      </c>
      <c r="D322" s="123"/>
      <c r="G322" s="6">
        <f>_xlfn.XLOOKUP(Tableau26[[#This Row],[Hole ID]],Data_Log[Hole ID],Data_Log[Planned collar plunge
(°)])</f>
        <v>0</v>
      </c>
      <c r="H322" s="6">
        <f>_xlfn.XLOOKUP(Tableau26[[#This Row],[Hole ID]],Data_Log[Hole ID],Data_Log[Planned collar trend
(°)])</f>
        <v>0</v>
      </c>
      <c r="I322" s="123">
        <f>Tableau26[[#This Row],[Dip
(deg)]]-Tableau26[[#This Row],[QA/QC Dip Planned]]</f>
        <v>0</v>
      </c>
      <c r="J322">
        <f>Tableau26[[#This Row],[Azimuth
(deg)]]-Tableau26[[#This Row],[QA/QC Azimut Planned]]</f>
        <v>0</v>
      </c>
    </row>
    <row r="323" spans="2:10" x14ac:dyDescent="0.25">
      <c r="B323" s="124" t="e">
        <f>VLOOKUP(Tableau26[[#This Row],[Hole ID]],Data_Log[],2,FALSE)</f>
        <v>#N/A</v>
      </c>
      <c r="D323" s="123"/>
      <c r="G323" s="6">
        <f>_xlfn.XLOOKUP(Tableau26[[#This Row],[Hole ID]],Data_Log[Hole ID],Data_Log[Planned collar plunge
(°)])</f>
        <v>0</v>
      </c>
      <c r="H323" s="6">
        <f>_xlfn.XLOOKUP(Tableau26[[#This Row],[Hole ID]],Data_Log[Hole ID],Data_Log[Planned collar trend
(°)])</f>
        <v>0</v>
      </c>
      <c r="I323" s="123">
        <f>Tableau26[[#This Row],[Dip
(deg)]]-Tableau26[[#This Row],[QA/QC Dip Planned]]</f>
        <v>0</v>
      </c>
      <c r="J323">
        <f>Tableau26[[#This Row],[Azimuth
(deg)]]-Tableau26[[#This Row],[QA/QC Azimut Planned]]</f>
        <v>0</v>
      </c>
    </row>
    <row r="324" spans="2:10" x14ac:dyDescent="0.25">
      <c r="B324" s="124" t="e">
        <f>VLOOKUP(Tableau26[[#This Row],[Hole ID]],Data_Log[],2,FALSE)</f>
        <v>#N/A</v>
      </c>
      <c r="D324" s="123"/>
      <c r="G324" s="6">
        <f>_xlfn.XLOOKUP(Tableau26[[#This Row],[Hole ID]],Data_Log[Hole ID],Data_Log[Planned collar plunge
(°)])</f>
        <v>0</v>
      </c>
      <c r="H324" s="6">
        <f>_xlfn.XLOOKUP(Tableau26[[#This Row],[Hole ID]],Data_Log[Hole ID],Data_Log[Planned collar trend
(°)])</f>
        <v>0</v>
      </c>
      <c r="I324" s="123">
        <f>Tableau26[[#This Row],[Dip
(deg)]]-Tableau26[[#This Row],[QA/QC Dip Planned]]</f>
        <v>0</v>
      </c>
      <c r="J324">
        <f>Tableau26[[#This Row],[Azimuth
(deg)]]-Tableau26[[#This Row],[QA/QC Azimut Planned]]</f>
        <v>0</v>
      </c>
    </row>
    <row r="325" spans="2:10" x14ac:dyDescent="0.25">
      <c r="B325" s="124" t="e">
        <f>VLOOKUP(Tableau26[[#This Row],[Hole ID]],Data_Log[],2,FALSE)</f>
        <v>#N/A</v>
      </c>
      <c r="D325" s="123"/>
      <c r="G325" s="6">
        <f>_xlfn.XLOOKUP(Tableau26[[#This Row],[Hole ID]],Data_Log[Hole ID],Data_Log[Planned collar plunge
(°)])</f>
        <v>0</v>
      </c>
      <c r="H325" s="6">
        <f>_xlfn.XLOOKUP(Tableau26[[#This Row],[Hole ID]],Data_Log[Hole ID],Data_Log[Planned collar trend
(°)])</f>
        <v>0</v>
      </c>
      <c r="I325" s="123">
        <f>Tableau26[[#This Row],[Dip
(deg)]]-Tableau26[[#This Row],[QA/QC Dip Planned]]</f>
        <v>0</v>
      </c>
      <c r="J325">
        <f>Tableau26[[#This Row],[Azimuth
(deg)]]-Tableau26[[#This Row],[QA/QC Azimut Planned]]</f>
        <v>0</v>
      </c>
    </row>
    <row r="326" spans="2:10" x14ac:dyDescent="0.25">
      <c r="B326" s="124" t="e">
        <f>VLOOKUP(Tableau26[[#This Row],[Hole ID]],Data_Log[],2,FALSE)</f>
        <v>#N/A</v>
      </c>
      <c r="D326" s="123"/>
      <c r="G326" s="6">
        <f>_xlfn.XLOOKUP(Tableau26[[#This Row],[Hole ID]],Data_Log[Hole ID],Data_Log[Planned collar plunge
(°)])</f>
        <v>0</v>
      </c>
      <c r="H326" s="6">
        <f>_xlfn.XLOOKUP(Tableau26[[#This Row],[Hole ID]],Data_Log[Hole ID],Data_Log[Planned collar trend
(°)])</f>
        <v>0</v>
      </c>
      <c r="I326" s="123">
        <f>Tableau26[[#This Row],[Dip
(deg)]]-Tableau26[[#This Row],[QA/QC Dip Planned]]</f>
        <v>0</v>
      </c>
      <c r="J326">
        <f>Tableau26[[#This Row],[Azimuth
(deg)]]-Tableau26[[#This Row],[QA/QC Azimut Planned]]</f>
        <v>0</v>
      </c>
    </row>
    <row r="327" spans="2:10" x14ac:dyDescent="0.25">
      <c r="B327" s="124" t="e">
        <f>VLOOKUP(Tableau26[[#This Row],[Hole ID]],Data_Log[],2,FALSE)</f>
        <v>#N/A</v>
      </c>
      <c r="D327" s="123"/>
      <c r="G327" s="6">
        <f>_xlfn.XLOOKUP(Tableau26[[#This Row],[Hole ID]],Data_Log[Hole ID],Data_Log[Planned collar plunge
(°)])</f>
        <v>0</v>
      </c>
      <c r="H327" s="6">
        <f>_xlfn.XLOOKUP(Tableau26[[#This Row],[Hole ID]],Data_Log[Hole ID],Data_Log[Planned collar trend
(°)])</f>
        <v>0</v>
      </c>
      <c r="I327" s="123">
        <f>Tableau26[[#This Row],[Dip
(deg)]]-Tableau26[[#This Row],[QA/QC Dip Planned]]</f>
        <v>0</v>
      </c>
      <c r="J327">
        <f>Tableau26[[#This Row],[Azimuth
(deg)]]-Tableau26[[#This Row],[QA/QC Azimut Planned]]</f>
        <v>0</v>
      </c>
    </row>
    <row r="328" spans="2:10" x14ac:dyDescent="0.25">
      <c r="B328" s="124" t="e">
        <f>VLOOKUP(Tableau26[[#This Row],[Hole ID]],Data_Log[],2,FALSE)</f>
        <v>#N/A</v>
      </c>
      <c r="D328" s="123"/>
      <c r="G328" s="6">
        <f>_xlfn.XLOOKUP(Tableau26[[#This Row],[Hole ID]],Data_Log[Hole ID],Data_Log[Planned collar plunge
(°)])</f>
        <v>0</v>
      </c>
      <c r="H328" s="6">
        <f>_xlfn.XLOOKUP(Tableau26[[#This Row],[Hole ID]],Data_Log[Hole ID],Data_Log[Planned collar trend
(°)])</f>
        <v>0</v>
      </c>
      <c r="I328" s="123">
        <f>Tableau26[[#This Row],[Dip
(deg)]]-Tableau26[[#This Row],[QA/QC Dip Planned]]</f>
        <v>0</v>
      </c>
      <c r="J328">
        <f>Tableau26[[#This Row],[Azimuth
(deg)]]-Tableau26[[#This Row],[QA/QC Azimut Planned]]</f>
        <v>0</v>
      </c>
    </row>
    <row r="329" spans="2:10" x14ac:dyDescent="0.25">
      <c r="B329" s="124" t="e">
        <f>VLOOKUP(Tableau26[[#This Row],[Hole ID]],Data_Log[],2,FALSE)</f>
        <v>#N/A</v>
      </c>
      <c r="D329" s="123"/>
      <c r="G329" s="6">
        <f>_xlfn.XLOOKUP(Tableau26[[#This Row],[Hole ID]],Data_Log[Hole ID],Data_Log[Planned collar plunge
(°)])</f>
        <v>0</v>
      </c>
      <c r="H329" s="6">
        <f>_xlfn.XLOOKUP(Tableau26[[#This Row],[Hole ID]],Data_Log[Hole ID],Data_Log[Planned collar trend
(°)])</f>
        <v>0</v>
      </c>
      <c r="I329" s="123">
        <f>Tableau26[[#This Row],[Dip
(deg)]]-Tableau26[[#This Row],[QA/QC Dip Planned]]</f>
        <v>0</v>
      </c>
      <c r="J329">
        <f>Tableau26[[#This Row],[Azimuth
(deg)]]-Tableau26[[#This Row],[QA/QC Azimut Planned]]</f>
        <v>0</v>
      </c>
    </row>
    <row r="330" spans="2:10" x14ac:dyDescent="0.25">
      <c r="B330" s="124" t="e">
        <f>VLOOKUP(Tableau26[[#This Row],[Hole ID]],Data_Log[],2,FALSE)</f>
        <v>#N/A</v>
      </c>
      <c r="D330" s="123"/>
      <c r="G330" s="6">
        <f>_xlfn.XLOOKUP(Tableau26[[#This Row],[Hole ID]],Data_Log[Hole ID],Data_Log[Planned collar plunge
(°)])</f>
        <v>0</v>
      </c>
      <c r="H330" s="6">
        <f>_xlfn.XLOOKUP(Tableau26[[#This Row],[Hole ID]],Data_Log[Hole ID],Data_Log[Planned collar trend
(°)])</f>
        <v>0</v>
      </c>
      <c r="I330" s="123">
        <f>Tableau26[[#This Row],[Dip
(deg)]]-Tableau26[[#This Row],[QA/QC Dip Planned]]</f>
        <v>0</v>
      </c>
      <c r="J330">
        <f>Tableau26[[#This Row],[Azimuth
(deg)]]-Tableau26[[#This Row],[QA/QC Azimut Planned]]</f>
        <v>0</v>
      </c>
    </row>
    <row r="331" spans="2:10" x14ac:dyDescent="0.25">
      <c r="B331" s="124" t="e">
        <f>VLOOKUP(Tableau26[[#This Row],[Hole ID]],Data_Log[],2,FALSE)</f>
        <v>#N/A</v>
      </c>
      <c r="D331" s="123"/>
      <c r="G331" s="6">
        <f>_xlfn.XLOOKUP(Tableau26[[#This Row],[Hole ID]],Data_Log[Hole ID],Data_Log[Planned collar plunge
(°)])</f>
        <v>0</v>
      </c>
      <c r="H331" s="6">
        <f>_xlfn.XLOOKUP(Tableau26[[#This Row],[Hole ID]],Data_Log[Hole ID],Data_Log[Planned collar trend
(°)])</f>
        <v>0</v>
      </c>
      <c r="I331" s="123">
        <f>Tableau26[[#This Row],[Dip
(deg)]]-Tableau26[[#This Row],[QA/QC Dip Planned]]</f>
        <v>0</v>
      </c>
      <c r="J331">
        <f>Tableau26[[#This Row],[Azimuth
(deg)]]-Tableau26[[#This Row],[QA/QC Azimut Planned]]</f>
        <v>0</v>
      </c>
    </row>
    <row r="332" spans="2:10" x14ac:dyDescent="0.25">
      <c r="B332" s="124" t="e">
        <f>VLOOKUP(Tableau26[[#This Row],[Hole ID]],Data_Log[],2,FALSE)</f>
        <v>#N/A</v>
      </c>
      <c r="D332" s="123"/>
      <c r="G332" s="6">
        <f>_xlfn.XLOOKUP(Tableau26[[#This Row],[Hole ID]],Data_Log[Hole ID],Data_Log[Planned collar plunge
(°)])</f>
        <v>0</v>
      </c>
      <c r="H332" s="6">
        <f>_xlfn.XLOOKUP(Tableau26[[#This Row],[Hole ID]],Data_Log[Hole ID],Data_Log[Planned collar trend
(°)])</f>
        <v>0</v>
      </c>
      <c r="I332" s="123">
        <f>Tableau26[[#This Row],[Dip
(deg)]]-Tableau26[[#This Row],[QA/QC Dip Planned]]</f>
        <v>0</v>
      </c>
      <c r="J332">
        <f>Tableau26[[#This Row],[Azimuth
(deg)]]-Tableau26[[#This Row],[QA/QC Azimut Planned]]</f>
        <v>0</v>
      </c>
    </row>
    <row r="333" spans="2:10" x14ac:dyDescent="0.25">
      <c r="B333" s="124" t="e">
        <f>VLOOKUP(Tableau26[[#This Row],[Hole ID]],Data_Log[],2,FALSE)</f>
        <v>#N/A</v>
      </c>
      <c r="D333" s="123"/>
      <c r="G333" s="6">
        <f>_xlfn.XLOOKUP(Tableau26[[#This Row],[Hole ID]],Data_Log[Hole ID],Data_Log[Planned collar plunge
(°)])</f>
        <v>0</v>
      </c>
      <c r="H333" s="6">
        <f>_xlfn.XLOOKUP(Tableau26[[#This Row],[Hole ID]],Data_Log[Hole ID],Data_Log[Planned collar trend
(°)])</f>
        <v>0</v>
      </c>
      <c r="I333" s="123">
        <f>Tableau26[[#This Row],[Dip
(deg)]]-Tableau26[[#This Row],[QA/QC Dip Planned]]</f>
        <v>0</v>
      </c>
      <c r="J333">
        <f>Tableau26[[#This Row],[Azimuth
(deg)]]-Tableau26[[#This Row],[QA/QC Azimut Planned]]</f>
        <v>0</v>
      </c>
    </row>
    <row r="334" spans="2:10" x14ac:dyDescent="0.25">
      <c r="B334" s="124" t="e">
        <f>VLOOKUP(Tableau26[[#This Row],[Hole ID]],Data_Log[],2,FALSE)</f>
        <v>#N/A</v>
      </c>
      <c r="D334" s="123"/>
      <c r="G334" s="6">
        <f>_xlfn.XLOOKUP(Tableau26[[#This Row],[Hole ID]],Data_Log[Hole ID],Data_Log[Planned collar plunge
(°)])</f>
        <v>0</v>
      </c>
      <c r="H334" s="6">
        <f>_xlfn.XLOOKUP(Tableau26[[#This Row],[Hole ID]],Data_Log[Hole ID],Data_Log[Planned collar trend
(°)])</f>
        <v>0</v>
      </c>
      <c r="I334" s="123">
        <f>Tableau26[[#This Row],[Dip
(deg)]]-Tableau26[[#This Row],[QA/QC Dip Planned]]</f>
        <v>0</v>
      </c>
      <c r="J334">
        <f>Tableau26[[#This Row],[Azimuth
(deg)]]-Tableau26[[#This Row],[QA/QC Azimut Planned]]</f>
        <v>0</v>
      </c>
    </row>
    <row r="335" spans="2:10" x14ac:dyDescent="0.25">
      <c r="B335" s="124" t="e">
        <f>VLOOKUP(Tableau26[[#This Row],[Hole ID]],Data_Log[],2,FALSE)</f>
        <v>#N/A</v>
      </c>
      <c r="D335" s="123"/>
      <c r="G335" s="6">
        <f>_xlfn.XLOOKUP(Tableau26[[#This Row],[Hole ID]],Data_Log[Hole ID],Data_Log[Planned collar plunge
(°)])</f>
        <v>0</v>
      </c>
      <c r="H335" s="6">
        <f>_xlfn.XLOOKUP(Tableau26[[#This Row],[Hole ID]],Data_Log[Hole ID],Data_Log[Planned collar trend
(°)])</f>
        <v>0</v>
      </c>
      <c r="I335" s="123">
        <f>Tableau26[[#This Row],[Dip
(deg)]]-Tableau26[[#This Row],[QA/QC Dip Planned]]</f>
        <v>0</v>
      </c>
      <c r="J335">
        <f>Tableau26[[#This Row],[Azimuth
(deg)]]-Tableau26[[#This Row],[QA/QC Azimut Planned]]</f>
        <v>0</v>
      </c>
    </row>
    <row r="336" spans="2:10" x14ac:dyDescent="0.25">
      <c r="B336" s="124" t="e">
        <f>VLOOKUP(Tableau26[[#This Row],[Hole ID]],Data_Log[],2,FALSE)</f>
        <v>#N/A</v>
      </c>
      <c r="D336" s="123"/>
      <c r="G336" s="6">
        <f>_xlfn.XLOOKUP(Tableau26[[#This Row],[Hole ID]],Data_Log[Hole ID],Data_Log[Planned collar plunge
(°)])</f>
        <v>0</v>
      </c>
      <c r="H336" s="6">
        <f>_xlfn.XLOOKUP(Tableau26[[#This Row],[Hole ID]],Data_Log[Hole ID],Data_Log[Planned collar trend
(°)])</f>
        <v>0</v>
      </c>
      <c r="I336" s="123">
        <f>Tableau26[[#This Row],[Dip
(deg)]]-Tableau26[[#This Row],[QA/QC Dip Planned]]</f>
        <v>0</v>
      </c>
      <c r="J336">
        <f>Tableau26[[#This Row],[Azimuth
(deg)]]-Tableau26[[#This Row],[QA/QC Azimut Planned]]</f>
        <v>0</v>
      </c>
    </row>
    <row r="337" spans="2:10" x14ac:dyDescent="0.25">
      <c r="B337" s="124" t="e">
        <f>VLOOKUP(Tableau26[[#This Row],[Hole ID]],Data_Log[],2,FALSE)</f>
        <v>#N/A</v>
      </c>
      <c r="G337" s="6">
        <f>_xlfn.XLOOKUP(Tableau26[[#This Row],[Hole ID]],Data_Log[Hole ID],Data_Log[Planned collar plunge
(°)])</f>
        <v>0</v>
      </c>
      <c r="H337" s="6">
        <f>_xlfn.XLOOKUP(Tableau26[[#This Row],[Hole ID]],Data_Log[Hole ID],Data_Log[Planned collar trend
(°)])</f>
        <v>0</v>
      </c>
      <c r="I337" s="123">
        <f>Tableau26[[#This Row],[Dip
(deg)]]-Tableau26[[#This Row],[QA/QC Dip Planned]]</f>
        <v>0</v>
      </c>
      <c r="J337">
        <f>Tableau26[[#This Row],[Azimuth
(deg)]]-Tableau26[[#This Row],[QA/QC Azimut Planned]]</f>
        <v>0</v>
      </c>
    </row>
    <row r="338" spans="2:10" x14ac:dyDescent="0.25">
      <c r="B338" s="124" t="e">
        <f>VLOOKUP(Tableau26[[#This Row],[Hole ID]],Data_Log[],2,FALSE)</f>
        <v>#N/A</v>
      </c>
      <c r="G338" s="6">
        <f>_xlfn.XLOOKUP(Tableau26[[#This Row],[Hole ID]],Data_Log[Hole ID],Data_Log[Planned collar plunge
(°)])</f>
        <v>0</v>
      </c>
      <c r="H338" s="6">
        <f>_xlfn.XLOOKUP(Tableau26[[#This Row],[Hole ID]],Data_Log[Hole ID],Data_Log[Planned collar trend
(°)])</f>
        <v>0</v>
      </c>
      <c r="I338" s="123">
        <f>Tableau26[[#This Row],[Dip
(deg)]]-Tableau26[[#This Row],[QA/QC Dip Planned]]</f>
        <v>0</v>
      </c>
      <c r="J338">
        <f>Tableau26[[#This Row],[Azimuth
(deg)]]-Tableau26[[#This Row],[QA/QC Azimut Planned]]</f>
        <v>0</v>
      </c>
    </row>
    <row r="339" spans="2:10" x14ac:dyDescent="0.25">
      <c r="B339" s="124" t="e">
        <f>VLOOKUP(Tableau26[[#This Row],[Hole ID]],Data_Log[],2,FALSE)</f>
        <v>#N/A</v>
      </c>
      <c r="G339" s="6">
        <f>_xlfn.XLOOKUP(Tableau26[[#This Row],[Hole ID]],Data_Log[Hole ID],Data_Log[Planned collar plunge
(°)])</f>
        <v>0</v>
      </c>
      <c r="H339" s="6">
        <f>_xlfn.XLOOKUP(Tableau26[[#This Row],[Hole ID]],Data_Log[Hole ID],Data_Log[Planned collar trend
(°)])</f>
        <v>0</v>
      </c>
      <c r="I339" s="123">
        <f>Tableau26[[#This Row],[Dip
(deg)]]-Tableau26[[#This Row],[QA/QC Dip Planned]]</f>
        <v>0</v>
      </c>
      <c r="J339">
        <f>Tableau26[[#This Row],[Azimuth
(deg)]]-Tableau26[[#This Row],[QA/QC Azimut Planned]]</f>
        <v>0</v>
      </c>
    </row>
    <row r="340" spans="2:10" x14ac:dyDescent="0.25">
      <c r="B340" s="124" t="e">
        <f>VLOOKUP(Tableau26[[#This Row],[Hole ID]],Data_Log[],2,FALSE)</f>
        <v>#N/A</v>
      </c>
      <c r="G340" s="6">
        <f>_xlfn.XLOOKUP(Tableau26[[#This Row],[Hole ID]],Data_Log[Hole ID],Data_Log[Planned collar plunge
(°)])</f>
        <v>0</v>
      </c>
      <c r="H340" s="6">
        <f>_xlfn.XLOOKUP(Tableau26[[#This Row],[Hole ID]],Data_Log[Hole ID],Data_Log[Planned collar trend
(°)])</f>
        <v>0</v>
      </c>
      <c r="I340" s="123">
        <f>Tableau26[[#This Row],[Dip
(deg)]]-Tableau26[[#This Row],[QA/QC Dip Planned]]</f>
        <v>0</v>
      </c>
      <c r="J340">
        <f>Tableau26[[#This Row],[Azimuth
(deg)]]-Tableau26[[#This Row],[QA/QC Azimut Planned]]</f>
        <v>0</v>
      </c>
    </row>
    <row r="341" spans="2:10" x14ac:dyDescent="0.25">
      <c r="B341" s="124" t="e">
        <f>VLOOKUP(Tableau26[[#This Row],[Hole ID]],Data_Log[],2,FALSE)</f>
        <v>#N/A</v>
      </c>
      <c r="G341" s="6">
        <f>_xlfn.XLOOKUP(Tableau26[[#This Row],[Hole ID]],Data_Log[Hole ID],Data_Log[Planned collar plunge
(°)])</f>
        <v>0</v>
      </c>
      <c r="H341" s="6">
        <f>_xlfn.XLOOKUP(Tableau26[[#This Row],[Hole ID]],Data_Log[Hole ID],Data_Log[Planned collar trend
(°)])</f>
        <v>0</v>
      </c>
      <c r="I341" s="123">
        <f>Tableau26[[#This Row],[Dip
(deg)]]-Tableau26[[#This Row],[QA/QC Dip Planned]]</f>
        <v>0</v>
      </c>
      <c r="J341">
        <f>Tableau26[[#This Row],[Azimuth
(deg)]]-Tableau26[[#This Row],[QA/QC Azimut Planned]]</f>
        <v>0</v>
      </c>
    </row>
    <row r="342" spans="2:10" x14ac:dyDescent="0.25">
      <c r="B342" s="124" t="e">
        <f>VLOOKUP(Tableau26[[#This Row],[Hole ID]],Data_Log[],2,FALSE)</f>
        <v>#N/A</v>
      </c>
      <c r="G342" s="6">
        <f>_xlfn.XLOOKUP(Tableau26[[#This Row],[Hole ID]],Data_Log[Hole ID],Data_Log[Planned collar plunge
(°)])</f>
        <v>0</v>
      </c>
      <c r="H342" s="6">
        <f>_xlfn.XLOOKUP(Tableau26[[#This Row],[Hole ID]],Data_Log[Hole ID],Data_Log[Planned collar trend
(°)])</f>
        <v>0</v>
      </c>
      <c r="I342" s="123">
        <f>Tableau26[[#This Row],[Dip
(deg)]]-Tableau26[[#This Row],[QA/QC Dip Planned]]</f>
        <v>0</v>
      </c>
      <c r="J342">
        <f>Tableau26[[#This Row],[Azimuth
(deg)]]-Tableau26[[#This Row],[QA/QC Azimut Planned]]</f>
        <v>0</v>
      </c>
    </row>
    <row r="343" spans="2:10" x14ac:dyDescent="0.25">
      <c r="B343" s="124" t="e">
        <f>VLOOKUP(Tableau26[[#This Row],[Hole ID]],Data_Log[],2,FALSE)</f>
        <v>#N/A</v>
      </c>
      <c r="G343" s="6">
        <f>_xlfn.XLOOKUP(Tableau26[[#This Row],[Hole ID]],Data_Log[Hole ID],Data_Log[Planned collar plunge
(°)])</f>
        <v>0</v>
      </c>
      <c r="H343" s="6">
        <f>_xlfn.XLOOKUP(Tableau26[[#This Row],[Hole ID]],Data_Log[Hole ID],Data_Log[Planned collar trend
(°)])</f>
        <v>0</v>
      </c>
      <c r="I343" s="123">
        <f>Tableau26[[#This Row],[Dip
(deg)]]-Tableau26[[#This Row],[QA/QC Dip Planned]]</f>
        <v>0</v>
      </c>
      <c r="J343">
        <f>Tableau26[[#This Row],[Azimuth
(deg)]]-Tableau26[[#This Row],[QA/QC Azimut Planned]]</f>
        <v>0</v>
      </c>
    </row>
    <row r="344" spans="2:10" x14ac:dyDescent="0.25">
      <c r="B344" s="124" t="e">
        <f>VLOOKUP(Tableau26[[#This Row],[Hole ID]],Data_Log[],2,FALSE)</f>
        <v>#N/A</v>
      </c>
      <c r="G344" s="6">
        <f>_xlfn.XLOOKUP(Tableau26[[#This Row],[Hole ID]],Data_Log[Hole ID],Data_Log[Planned collar plunge
(°)])</f>
        <v>0</v>
      </c>
      <c r="H344" s="6">
        <f>_xlfn.XLOOKUP(Tableau26[[#This Row],[Hole ID]],Data_Log[Hole ID],Data_Log[Planned collar trend
(°)])</f>
        <v>0</v>
      </c>
      <c r="I344" s="123">
        <f>Tableau26[[#This Row],[Dip
(deg)]]-Tableau26[[#This Row],[QA/QC Dip Planned]]</f>
        <v>0</v>
      </c>
      <c r="J344">
        <f>Tableau26[[#This Row],[Azimuth
(deg)]]-Tableau26[[#This Row],[QA/QC Azimut Planned]]</f>
        <v>0</v>
      </c>
    </row>
    <row r="345" spans="2:10" x14ac:dyDescent="0.25">
      <c r="B345" s="124" t="e">
        <f>VLOOKUP(Tableau26[[#This Row],[Hole ID]],Data_Log[],2,FALSE)</f>
        <v>#N/A</v>
      </c>
      <c r="G345" s="6">
        <f>_xlfn.XLOOKUP(Tableau26[[#This Row],[Hole ID]],Data_Log[Hole ID],Data_Log[Planned collar plunge
(°)])</f>
        <v>0</v>
      </c>
      <c r="H345" s="6">
        <f>_xlfn.XLOOKUP(Tableau26[[#This Row],[Hole ID]],Data_Log[Hole ID],Data_Log[Planned collar trend
(°)])</f>
        <v>0</v>
      </c>
      <c r="I345" s="123">
        <f>Tableau26[[#This Row],[Dip
(deg)]]-Tableau26[[#This Row],[QA/QC Dip Planned]]</f>
        <v>0</v>
      </c>
      <c r="J345">
        <f>Tableau26[[#This Row],[Azimuth
(deg)]]-Tableau26[[#This Row],[QA/QC Azimut Planned]]</f>
        <v>0</v>
      </c>
    </row>
    <row r="346" spans="2:10" x14ac:dyDescent="0.25">
      <c r="B346" s="124" t="e">
        <f>VLOOKUP(Tableau26[[#This Row],[Hole ID]],Data_Log[],2,FALSE)</f>
        <v>#N/A</v>
      </c>
      <c r="G346" s="6">
        <f>_xlfn.XLOOKUP(Tableau26[[#This Row],[Hole ID]],Data_Log[Hole ID],Data_Log[Planned collar plunge
(°)])</f>
        <v>0</v>
      </c>
      <c r="H346" s="6">
        <f>_xlfn.XLOOKUP(Tableau26[[#This Row],[Hole ID]],Data_Log[Hole ID],Data_Log[Planned collar trend
(°)])</f>
        <v>0</v>
      </c>
      <c r="I346" s="123">
        <f>Tableau26[[#This Row],[Dip
(deg)]]-Tableau26[[#This Row],[QA/QC Dip Planned]]</f>
        <v>0</v>
      </c>
      <c r="J346">
        <f>Tableau26[[#This Row],[Azimuth
(deg)]]-Tableau26[[#This Row],[QA/QC Azimut Planned]]</f>
        <v>0</v>
      </c>
    </row>
  </sheetData>
  <phoneticPr fontId="4" type="noConversion"/>
  <dataValidations count="2">
    <dataValidation type="list" allowBlank="1" showInputMessage="1" showErrorMessage="1" sqref="A11:A30" xr:uid="{08BCB2A7-54C8-4F54-88BE-4628A10AC387}">
      <formula1>INDIRECT("Data_Log[Hole ID]")</formula1>
    </dataValidation>
    <dataValidation type="list" allowBlank="1" showInputMessage="1" showErrorMessage="1" sqref="C4" xr:uid="{6FDDFC27-5669-42AA-811E-FC677EDED11A}">
      <formula1>INDIRECT("CoordSystem[Description]")</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8A24-4F0A-4690-B12F-C42742DEE91B}">
  <sheetPr codeName="Sheet3">
    <tabColor theme="9"/>
  </sheetPr>
  <dimension ref="A1:BD517"/>
  <sheetViews>
    <sheetView tabSelected="1" topLeftCell="A71" zoomScale="80" zoomScaleNormal="85" workbookViewId="0">
      <selection activeCell="D111" sqref="D111"/>
    </sheetView>
  </sheetViews>
  <sheetFormatPr baseColWidth="10" defaultColWidth="10.7109375" defaultRowHeight="15" x14ac:dyDescent="0.25"/>
  <cols>
    <col min="1" max="1" width="18.42578125" bestFit="1" customWidth="1"/>
    <col min="2" max="2" width="14.7109375" style="14" customWidth="1"/>
    <col min="3" max="3" width="13.28515625" bestFit="1" customWidth="1"/>
    <col min="4" max="7" width="8.85546875" customWidth="1"/>
    <col min="8" max="8" width="13" bestFit="1" customWidth="1"/>
    <col min="9" max="10" width="13" customWidth="1"/>
    <col min="11" max="12" width="8.85546875" customWidth="1"/>
    <col min="13" max="13" width="20.7109375" bestFit="1" customWidth="1"/>
    <col min="14" max="14" width="20.7109375" customWidth="1"/>
    <col min="15" max="15" width="38.42578125" customWidth="1"/>
    <col min="16" max="16" width="21.28515625" customWidth="1"/>
    <col min="17" max="17" width="15.85546875" customWidth="1"/>
    <col min="18" max="18" width="8.7109375" bestFit="1" customWidth="1"/>
    <col min="19" max="19" width="11.28515625" bestFit="1" customWidth="1"/>
    <col min="20" max="20" width="9.7109375" bestFit="1" customWidth="1"/>
    <col min="21" max="21" width="7.7109375" customWidth="1"/>
    <col min="22" max="22" width="10" customWidth="1"/>
    <col min="23" max="23" width="12" customWidth="1"/>
    <col min="24" max="24" width="34.140625" bestFit="1" customWidth="1"/>
    <col min="25" max="25" width="14.28515625" style="6" customWidth="1"/>
    <col min="26" max="26" width="35.7109375" customWidth="1"/>
    <col min="27" max="27" width="3.42578125" customWidth="1"/>
    <col min="28" max="28" width="17.28515625" customWidth="1"/>
    <col min="29" max="29" width="10.7109375" customWidth="1"/>
    <col min="30" max="32" width="10.7109375" style="91" customWidth="1"/>
    <col min="33" max="33" width="10.7109375" customWidth="1"/>
    <col min="35" max="40" width="10.7109375" customWidth="1"/>
    <col min="41" max="41" width="10.7109375" style="6" customWidth="1"/>
    <col min="42" max="42" width="10.7109375" customWidth="1"/>
    <col min="43" max="43" width="42.85546875" bestFit="1" customWidth="1"/>
    <col min="44" max="46" width="10.7109375" customWidth="1"/>
    <col min="47" max="47" width="11.85546875" bestFit="1" customWidth="1"/>
    <col min="48" max="48" width="13" style="6" customWidth="1"/>
    <col min="49" max="49" width="13" customWidth="1"/>
    <col min="50" max="51" width="10.7109375" style="6" customWidth="1"/>
    <col min="52" max="52" width="11.85546875" style="6" customWidth="1"/>
    <col min="53" max="55" width="10.7109375" customWidth="1"/>
    <col min="56" max="56" width="17.7109375" bestFit="1" customWidth="1"/>
  </cols>
  <sheetData>
    <row r="1" spans="1:56" ht="21" x14ac:dyDescent="0.25">
      <c r="A1" s="18" t="s">
        <v>54</v>
      </c>
      <c r="B1" s="18"/>
      <c r="C1" s="18"/>
      <c r="D1" s="18"/>
      <c r="E1" s="18"/>
      <c r="F1" s="18"/>
      <c r="G1" s="18"/>
      <c r="H1" s="18"/>
      <c r="I1" s="18"/>
      <c r="J1" s="18"/>
      <c r="K1" s="18"/>
      <c r="L1" s="18"/>
      <c r="M1" s="18"/>
      <c r="N1" s="18"/>
      <c r="O1" s="18"/>
      <c r="P1" s="18"/>
      <c r="Q1" s="18"/>
      <c r="R1" s="18"/>
      <c r="S1" s="18"/>
      <c r="T1" s="18"/>
      <c r="U1" s="18"/>
      <c r="V1" s="18"/>
      <c r="W1" s="18"/>
      <c r="X1" s="18"/>
      <c r="Y1" s="37"/>
      <c r="Z1" s="18"/>
      <c r="AA1" s="18"/>
      <c r="AB1" s="18"/>
      <c r="AC1" s="18"/>
      <c r="AD1" s="152"/>
      <c r="AE1" s="152"/>
      <c r="AF1" s="152"/>
      <c r="AG1" s="18"/>
      <c r="AH1" s="18"/>
      <c r="AI1" s="18"/>
      <c r="AJ1" s="18"/>
      <c r="AK1" s="18"/>
      <c r="AL1" s="18"/>
      <c r="AM1" s="18"/>
      <c r="AN1" s="18"/>
      <c r="AO1" s="18"/>
      <c r="AP1" s="18"/>
      <c r="AQ1" s="18"/>
      <c r="AR1" s="18"/>
      <c r="AS1" s="18"/>
      <c r="AT1" s="18"/>
      <c r="AU1" s="18"/>
      <c r="AV1" s="18"/>
      <c r="AW1" s="37"/>
      <c r="AX1" s="37"/>
      <c r="AY1" s="37"/>
      <c r="AZ1" s="37"/>
      <c r="BA1" s="37"/>
      <c r="BB1" s="37"/>
      <c r="BC1" s="37"/>
      <c r="BD1" s="37"/>
    </row>
    <row r="2" spans="1:56" x14ac:dyDescent="0.25">
      <c r="AB2" s="112" t="s">
        <v>55</v>
      </c>
      <c r="AC2" s="113"/>
      <c r="AD2" s="153"/>
      <c r="AE2" s="153"/>
      <c r="AF2" s="153"/>
      <c r="AG2" s="113"/>
      <c r="AH2" s="113"/>
      <c r="AI2" s="113"/>
      <c r="AJ2" s="113"/>
      <c r="AK2" s="113"/>
      <c r="AL2" s="113"/>
      <c r="AM2" s="114"/>
      <c r="AN2" s="15" t="s">
        <v>56</v>
      </c>
      <c r="AO2" s="180" t="s">
        <v>57</v>
      </c>
      <c r="AP2" s="181"/>
      <c r="AQ2" s="181"/>
      <c r="AR2" s="181"/>
      <c r="AS2" s="182"/>
      <c r="AU2" s="6"/>
      <c r="AV2"/>
      <c r="AW2" s="6"/>
      <c r="AZ2"/>
    </row>
    <row r="3" spans="1:56" s="57" customFormat="1" ht="49.5" customHeight="1" thickBot="1" x14ac:dyDescent="0.3">
      <c r="A3" s="51" t="s">
        <v>1</v>
      </c>
      <c r="B3" s="54" t="s">
        <v>2</v>
      </c>
      <c r="C3" s="50" t="s">
        <v>58</v>
      </c>
      <c r="D3" s="50" t="s">
        <v>59</v>
      </c>
      <c r="E3" s="50" t="s">
        <v>60</v>
      </c>
      <c r="F3" s="55" t="s">
        <v>61</v>
      </c>
      <c r="G3" s="50" t="s">
        <v>62</v>
      </c>
      <c r="H3" s="55" t="s">
        <v>63</v>
      </c>
      <c r="I3" s="50" t="s">
        <v>64</v>
      </c>
      <c r="J3" s="50" t="s">
        <v>65</v>
      </c>
      <c r="K3" s="50" t="s">
        <v>66</v>
      </c>
      <c r="L3" s="55" t="s">
        <v>67</v>
      </c>
      <c r="M3" s="51" t="s">
        <v>68</v>
      </c>
      <c r="N3" s="51" t="s">
        <v>69</v>
      </c>
      <c r="O3" s="51" t="s">
        <v>70</v>
      </c>
      <c r="P3" s="51" t="s">
        <v>71</v>
      </c>
      <c r="Q3" s="51" t="s">
        <v>72</v>
      </c>
      <c r="R3" s="50" t="s">
        <v>73</v>
      </c>
      <c r="S3" s="50" t="s">
        <v>74</v>
      </c>
      <c r="T3" s="50" t="s">
        <v>75</v>
      </c>
      <c r="U3" s="50" t="s">
        <v>76</v>
      </c>
      <c r="V3" s="50" t="s">
        <v>77</v>
      </c>
      <c r="W3" s="83" t="s">
        <v>78</v>
      </c>
      <c r="X3" s="50" t="s">
        <v>79</v>
      </c>
      <c r="Y3" s="50" t="s">
        <v>80</v>
      </c>
      <c r="Z3" s="50" t="s">
        <v>25</v>
      </c>
      <c r="AA3" s="58" t="s">
        <v>81</v>
      </c>
      <c r="AB3" s="59" t="s">
        <v>82</v>
      </c>
      <c r="AC3" s="60" t="s">
        <v>83</v>
      </c>
      <c r="AD3" s="154" t="s">
        <v>84</v>
      </c>
      <c r="AE3" s="154" t="s">
        <v>85</v>
      </c>
      <c r="AF3" s="154" t="s">
        <v>86</v>
      </c>
      <c r="AG3" s="60" t="s">
        <v>87</v>
      </c>
      <c r="AH3" s="60" t="s">
        <v>88</v>
      </c>
      <c r="AI3" s="60" t="s">
        <v>89</v>
      </c>
      <c r="AJ3" s="60" t="s">
        <v>90</v>
      </c>
      <c r="AK3" s="140" t="s">
        <v>91</v>
      </c>
      <c r="AL3" s="140" t="s">
        <v>92</v>
      </c>
      <c r="AM3" s="59" t="s">
        <v>93</v>
      </c>
      <c r="AN3" s="59" t="s">
        <v>56</v>
      </c>
      <c r="AO3" s="59" t="s">
        <v>94</v>
      </c>
      <c r="AP3" s="147" t="s">
        <v>95</v>
      </c>
      <c r="AQ3" s="50" t="s">
        <v>96</v>
      </c>
      <c r="AR3" s="75" t="s">
        <v>97</v>
      </c>
      <c r="AS3" s="75" t="s">
        <v>57</v>
      </c>
      <c r="AT3" s="58" t="s">
        <v>98</v>
      </c>
      <c r="AU3" s="59" t="s">
        <v>99</v>
      </c>
      <c r="AV3" s="59" t="s">
        <v>100</v>
      </c>
      <c r="AW3" s="59" t="s">
        <v>101</v>
      </c>
      <c r="AX3" s="59" t="s">
        <v>102</v>
      </c>
      <c r="AY3" s="59" t="s">
        <v>103</v>
      </c>
      <c r="AZ3" s="59" t="s">
        <v>104</v>
      </c>
      <c r="BA3" s="59" t="s">
        <v>105</v>
      </c>
      <c r="BB3" s="59" t="s">
        <v>106</v>
      </c>
      <c r="BC3" s="59" t="s">
        <v>107</v>
      </c>
      <c r="BD3" s="59" t="s">
        <v>108</v>
      </c>
    </row>
    <row r="4" spans="1:56" ht="15.75" hidden="1" thickBot="1" x14ac:dyDescent="0.3">
      <c r="A4" t="s">
        <v>26</v>
      </c>
      <c r="B4" s="16" t="str">
        <f>VLOOKUP(Data_Geotech[[#This Row],[Hole ID]],Data_Log[],2,FALSE)</f>
        <v>CGF-01</v>
      </c>
      <c r="C4" s="5">
        <v>50</v>
      </c>
      <c r="D4" s="5">
        <v>50.98</v>
      </c>
      <c r="E4" s="5">
        <f>(Data_Geotech[[#This Row],[To (m)]]-Data_Geotech[[#This Row],[From (m)]])/2+Data_Geotech[[#This Row],[From (m)]]</f>
        <v>50.489999999999995</v>
      </c>
      <c r="F4" s="13">
        <f>Data_Geotech[[#This Row],[To (m)]]-Data_Geotech[[#This Row],[From (m)]]</f>
        <v>0.97999999999999687</v>
      </c>
      <c r="G4" s="5">
        <v>0.98</v>
      </c>
      <c r="H4" s="61">
        <f>Data_Geotech[[#This Row],[TCR (m)]]/Data_Geotech[[#This Row],[Run (m)]]*100</f>
        <v>100.00000000000031</v>
      </c>
      <c r="I4" s="151">
        <v>0.98</v>
      </c>
      <c r="J4" s="151">
        <v>0.98</v>
      </c>
      <c r="K4" s="5">
        <v>0.98</v>
      </c>
      <c r="L4" s="61">
        <f>Data_Geotech[[#This Row],[RQD (m)]]/Data_Geotech[[#This Row],[Run Reel (m)]]*100</f>
        <v>100</v>
      </c>
      <c r="M4" t="s">
        <v>580</v>
      </c>
      <c r="O4" t="s">
        <v>243</v>
      </c>
      <c r="P4" s="115" t="s">
        <v>397</v>
      </c>
      <c r="Q4" s="5" t="s">
        <v>281</v>
      </c>
      <c r="R4" s="5"/>
      <c r="S4" s="5"/>
      <c r="T4" s="5"/>
      <c r="U4" s="19"/>
      <c r="V4" s="6">
        <v>1</v>
      </c>
      <c r="W4" s="92">
        <f>SUMIFS(Discontinuities!$D$4:$D$9664,Discontinuities!$A$4:$A$9664,A4,Discontinuities!$C$4:$C$9664,"&gt;="&amp;C4,Discontinuities!$C$4:$C$9664,"&lt;"&amp;D4)
-SUMIFS(Discontinuities!$D$4:$D$9664,Discontinuities!$A$4:$A$9664,A4,Discontinuities!$C$4:$C$9664,"&gt;="&amp;C4,Discontinuities!$C$4:$C$9664,"&lt;"&amp;D4,Discontinuities!$E$4:$E$9664,"=BC")
-SUMIFS(Discontinuities!$D$4:$D$9664,Discontinuities!$A$4:$A$9664,A4,Discontinuities!$C$4:$C$9664,"&gt;="&amp;C4,Discontinuities!$C$4:$C$9664,"&lt;"&amp;D4,Discontinuities!$E$4:$E$9664,"=LC")
-SUMIFS(Discontinuities!$D$4:$D$9664,Discontinuities!$A$4:$A$9664,A4,Discontinuities!$C$4:$C$9664,"&gt;="&amp;C4,Discontinuities!$C$4:$C$9664,"&lt;"&amp;D4,Discontinuities!$E$4:$E$9664,"=FLT")</f>
        <v>1</v>
      </c>
      <c r="X4" t="s">
        <v>280</v>
      </c>
      <c r="AA4" s="12"/>
      <c r="AB4" s="40">
        <f>IFERROR(ROUND((Data_Geotech[[#This Row],[Fault (m)]]+Data_Geotech[[#This Row],[Broken Core (m)]]+Data_Geotech[[#This Row],[Lost Core (m)]])*30,0),0)</f>
        <v>0</v>
      </c>
      <c r="AC4" s="44">
        <f>IF(Data_Geotech[[#This Row],[Added fractures 
(BC, FLT, LC)]]+Data_Geotech[[#This Row],[Fracture per interval]]=0,99,1/((Data_Geotech[[#This Row],[Fracture per interval]]+Data_Geotech[[#This Row],[Added fractures 
(BC, FLT, LC)]])/Data_Geotech[[#This Row],[Run (m)]]))</f>
        <v>0.97999999999999676</v>
      </c>
      <c r="AD4" s="155" cm="1">
        <f t="array" ref="AD4">IFERROR(_xlfn.XLOOKUP(1,(A4=PLT!$A$4:$A$8886)*(Geotech!C4&lt;=PLT!$F$4:$F$8886)*(Geotech!D4&gt;=PLT!$F$4:$F$8886)*("Valid"=PLT!$P$4:$P$8886),PLT!$V$4:$V$8886),"")</f>
        <v>0</v>
      </c>
      <c r="AE4" s="156" t="str" cm="1">
        <f t="array" ref="AE4">IFERROR(_xlfn.XLOOKUP(1,(A4=PLT!$A$4:$A$8886)*(Geotech!C4&lt;=PLT!$F$4:$F$8886)*(Geotech!D4&gt;=PLT!$F$4:$F$8886)*(PLT!$V$4:$V$8886&lt;&gt;AD4)*("Valid"=PLT!$P$4:$P$7190),PLT!$V$4:$V$8886),"")</f>
        <v/>
      </c>
      <c r="AF4" s="156" t="str" cm="1">
        <f t="array" ref="AF4">IFERROR(_xlfn.XLOOKUP(1,(A4=PLT!$A$4:$A$8886)*(Geotech!C4&lt;=PLT!$F$4:$F$8886)*(Geotech!D4&gt;=PLT!$F$4:$F$8886)*(PLT!$V$4:$V$8886&lt;&gt;AD4)*(PLT!$V$4:$V$8886&lt;&gt;AE4)*("Valid"=PLT!$P$4:$P$7190),PLT!$V$4:$V$8886),"")</f>
        <v/>
      </c>
      <c r="AG4" s="41">
        <f>IFERROR(IF(AVERAGE(AD4:AF4)&gt;References!$BO$23,References!$BP$23,
IF(AVERAGE(AD4:AF4)&gt;References!$BO$22,References!$BP$22,
IF(AVERAGE(AD4:AF4)&gt;References!$BO$21,References!$BP$21,
IF(AVERAGE(AD4:AF4)&gt;References!$BO$20,References!$BP$20,
IF(AVERAGE(AD4:AF4)&gt;References!$BO$19,References!$BP$19,
IF(AVERAGE(AD4:AF4)&gt;References!$BO$18,References!$BP$18,
0)))))),"")</f>
        <v>0</v>
      </c>
      <c r="AH4" s="43">
        <f>IF(Data_Geotech[[#This Row],[Is50]]="",VLOOKUP(Data_Geotech[[#This Row],[Field Intact Rock Strength]],Table_RMR76_Strength[],2,FALSE),Data_Geotech[[#This Row],[Is50]])</f>
        <v>0</v>
      </c>
      <c r="AI4" s="40">
        <f>IF(Data_Geotech[[#This Row],[RQD (%)]]&lt;=25,3,IF(Data_Geotech[[#This Row],[RQD (%)]]&lt;=50,8,IF(Data_Geotech[[#This Row],[RQD (%)]]&lt;=75,13,IF(Data_Geotech[[#This Row],[RQD (%)]]&lt;=90,17,20))))</f>
        <v>20</v>
      </c>
      <c r="AJ4" s="40">
        <f>IF(Data_Geotech[[#This Row],[Joint spacing (m)]]&lt;=0.05,5,IF(Data_Geotech[[#This Row],[Joint spacing (m)]]&lt;=0.3,10,IF(Data_Geotech[[#This Row],[Joint spacing (m)]]&lt;=1,20,IF(Data_Geotech[[#This Row],[Joint spacing (m)]]&lt;=3,25,30))))</f>
        <v>20</v>
      </c>
      <c r="AK4" s="141">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 s="6">
        <v>10</v>
      </c>
      <c r="AM4" s="116">
        <f>IF(Data_Geotech[[#This Row],[FIRS Code]]="R",IFERROR(SUM(Data_Geotech[[#This Row],[RMR76 - Strength rating]:[RMR76 - Ground water rating]]),""),"")</f>
        <v>75</v>
      </c>
      <c r="AN4" s="38">
        <f>IF(Data_Geotech[[#This Row],[FIRS Code]]="R",(2*Data_Geotech[[#This Row],[RMR76 - Joint condition rating]])+(IF(Data_Geotech[[#This Row],[RQD (%)]]&gt;80,80/2,Data_Geotech[[#This Row],[RQD (%)]]/2)),"")</f>
        <v>90</v>
      </c>
      <c r="AO4" s="40" t="str">
        <f>LEFT(Data_Geotech[[#This Row],[Joint Set Rating]],FIND("-",Data_Geotech[[#This Row],[Joint Set Rating]],1)-2)</f>
        <v>1</v>
      </c>
      <c r="AP4" s="144">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3</v>
      </c>
      <c r="AQ4" s="5">
        <f t="shared" ref="AQ4:AQ217" si="0">1/1</f>
        <v>1</v>
      </c>
      <c r="AR4" s="48">
        <f>IF(Data_Geotech[[#This Row],[FIRS Code]]="R",IFERROR((IF(Data_Geotech[[#This Row],[RQD (%)]]&lt;10,10,Data_Geotech[[#This Row],[RQD (%)]])/Data_Geotech[[#This Row],[Jn rating]])*Data_Geotech[[#This Row],[Jr/Ja]],""),"")</f>
        <v>300</v>
      </c>
      <c r="AS4" s="42">
        <f>IF(Data_Geotech[[#This Row],[FIRS Code]]="R",IFERROR((IF(Data_Geotech[[#This Row],[RQD (%)]]&lt;10,10,Data_Geotech[[#This Row],[RQD (%)]])/Data_Geotech[[#This Row],[Jn rating]])*Data_Geotech[[#This Row],[Jr/Ja]]*Data_Geotech[[#This Row],[Jw/SRF]],""),"")</f>
        <v>300</v>
      </c>
      <c r="AT4" s="12"/>
      <c r="AU4" s="13">
        <f>100-Data_Geotech[[#This Row],[RQD (%)]]</f>
        <v>0</v>
      </c>
      <c r="AV4" s="13">
        <f>100-Data_Geotech[[#This Row],[TCR (%)]]</f>
        <v>-3.1263880373444408E-13</v>
      </c>
      <c r="AW4" s="62">
        <f>(Data_Geotech[[#This Row],[Fracture per interval]]+Data_Geotech[[#This Row],[Added fractures 
(BC, FLT, LC)]])/Data_Geotech[[#This Row],[TCR (m)]]</f>
        <v>1.0204081632653061</v>
      </c>
      <c r="AX4" s="6" t="s">
        <v>109</v>
      </c>
      <c r="AY4" s="63">
        <f>7-MID(Data_Geotech[[#This Row],[Field Intact Rock Strength]],2,1)</f>
        <v>2</v>
      </c>
      <c r="AZ4" s="63">
        <f>VLOOKUP(Data_Geotech[[#This Row],[Field Intact Rock Strength]],Table_FieldStrength[],2,FALSE)</f>
        <v>100</v>
      </c>
      <c r="BA4" s="63">
        <f>VLOOKUP(Data_Geotech[[#This Row],[Field Intact Rock Strength]],Table_FieldStrength[],3,FALSE)</f>
        <v>175</v>
      </c>
      <c r="BB4" s="63">
        <f>VLOOKUP(Data_Geotech[[#This Row],[Field Intact Rock Strength]],Table_FieldStrength[],4,FALSE)</f>
        <v>250</v>
      </c>
      <c r="BC4" s="62">
        <f>100-Data_Geotech[[#This Row],[RMR76]]</f>
        <v>25</v>
      </c>
      <c r="BD4" s="63" t="str">
        <f>LEFT(Data_Geotech[[#This Row],[Weathering/Alteration]],FIND("-",Data_Geotech[[#This Row],[Weathering/Alteration]])-2)</f>
        <v>W1/A1</v>
      </c>
    </row>
    <row r="5" spans="1:56" ht="15.75" hidden="1" thickBot="1" x14ac:dyDescent="0.3">
      <c r="A5" t="s">
        <v>26</v>
      </c>
      <c r="B5" s="16" t="str">
        <f>VLOOKUP(Data_Geotech[[#This Row],[Hole ID]],Data_Log[],2,FALSE)</f>
        <v>CGF-01</v>
      </c>
      <c r="C5" s="5">
        <v>50.98</v>
      </c>
      <c r="D5" s="5">
        <v>52.46</v>
      </c>
      <c r="E5" s="5">
        <f>(Data_Geotech[[#This Row],[To (m)]]-Data_Geotech[[#This Row],[From (m)]])/2+Data_Geotech[[#This Row],[From (m)]]</f>
        <v>51.72</v>
      </c>
      <c r="F5" s="13">
        <f>Data_Geotech[[#This Row],[To (m)]]-Data_Geotech[[#This Row],[From (m)]]</f>
        <v>1.480000000000004</v>
      </c>
      <c r="G5" s="5">
        <v>1.48</v>
      </c>
      <c r="H5" s="61">
        <f>Data_Geotech[[#This Row],[TCR (m)]]/Data_Geotech[[#This Row],[Run (m)]]*100</f>
        <v>99.99999999999973</v>
      </c>
      <c r="I5" s="5">
        <v>1.48</v>
      </c>
      <c r="J5" s="5">
        <v>1.48</v>
      </c>
      <c r="K5" s="5">
        <v>1.48</v>
      </c>
      <c r="L5" s="61">
        <f>Data_Geotech[[#This Row],[RQD (m)]]/Data_Geotech[[#This Row],[Run Reel (m)]]*100</f>
        <v>100</v>
      </c>
      <c r="M5" t="s">
        <v>580</v>
      </c>
      <c r="O5" t="s">
        <v>243</v>
      </c>
      <c r="P5" s="115" t="s">
        <v>416</v>
      </c>
      <c r="Q5" s="5" t="s">
        <v>313</v>
      </c>
      <c r="R5" s="5"/>
      <c r="S5" s="5"/>
      <c r="T5" s="5"/>
      <c r="U5" s="5"/>
      <c r="V5" s="6">
        <v>2</v>
      </c>
      <c r="W5" s="92">
        <f>SUMIFS(Discontinuities!$D$4:$D$9664,Discontinuities!$A$4:$A$9664,A5,Discontinuities!$C$4:$C$9664,"&gt;="&amp;C5,Discontinuities!$C$4:$C$9664,"&lt;"&amp;D5)
-SUMIFS(Discontinuities!$D$4:$D$9664,Discontinuities!$A$4:$A$9664,A5,Discontinuities!$C$4:$C$9664,"&gt;="&amp;C5,Discontinuities!$C$4:$C$9664,"&lt;"&amp;D5,Discontinuities!$E$4:$E$9664,"=BC")
-SUMIFS(Discontinuities!$D$4:$D$9664,Discontinuities!$A$4:$A$9664,A5,Discontinuities!$C$4:$C$9664,"&gt;="&amp;C5,Discontinuities!$C$4:$C$9664,"&lt;"&amp;D5,Discontinuities!$E$4:$E$9664,"=LC")
-SUMIFS(Discontinuities!$D$4:$D$9664,Discontinuities!$A$4:$A$9664,A5,Discontinuities!$C$4:$C$9664,"&gt;="&amp;C5,Discontinuities!$C$4:$C$9664,"&lt;"&amp;D5,Discontinuities!$E$4:$E$9664,"=FLT")</f>
        <v>2</v>
      </c>
      <c r="X5" t="s">
        <v>312</v>
      </c>
      <c r="AA5" s="12"/>
      <c r="AB5" s="43">
        <f>IFERROR(ROUND((Data_Geotech[[#This Row],[Fault (m)]]+Data_Geotech[[#This Row],[Broken Core (m)]]+Data_Geotech[[#This Row],[Lost Core (m)]])*30,0),0)</f>
        <v>0</v>
      </c>
      <c r="AC5" s="44">
        <f>IF(Data_Geotech[[#This Row],[Added fractures 
(BC, FLT, LC)]]+Data_Geotech[[#This Row],[Fracture per interval]]=0,99,1/((Data_Geotech[[#This Row],[Fracture per interval]]+Data_Geotech[[#This Row],[Added fractures 
(BC, FLT, LC)]])/Data_Geotech[[#This Row],[Run (m)]]))</f>
        <v>0.74000000000000199</v>
      </c>
      <c r="AD5" s="155" cm="1">
        <f t="array" ref="AD5">IFERROR(_xlfn.XLOOKUP(1,(A5=PLT!$A$4:$A$8886)*(Geotech!C5&lt;=PLT!$F$4:$F$8886)*(Geotech!D5&gt;=PLT!$F$4:$F$8886)*("Valid"=PLT!$P$4:$P$8886),PLT!$V$4:$V$8886),"")</f>
        <v>0</v>
      </c>
      <c r="AE5" s="156" t="str" cm="1">
        <f t="array" ref="AE5">IFERROR(_xlfn.XLOOKUP(1,(A5=PLT!$A$4:$A$8886)*(Geotech!C5&lt;=PLT!$F$4:$F$8886)*(Geotech!D5&gt;=PLT!$F$4:$F$8886)*(PLT!$V$4:$V$8886&lt;&gt;AD5)*("Valid"=PLT!$P$4:$P$7190),PLT!$V$4:$V$8886),"")</f>
        <v/>
      </c>
      <c r="AF5" s="156" t="str" cm="1">
        <f t="array" ref="AF5">IFERROR(_xlfn.XLOOKUP(1,(A5=PLT!$A$4:$A$8886)*(Geotech!C5&lt;=PLT!$F$4:$F$8886)*(Geotech!D5&gt;=PLT!$F$4:$F$8886)*(PLT!$V$4:$V$8886&lt;&gt;AD5)*(PLT!$V$4:$V$8886&lt;&gt;AE5)*("Valid"=PLT!$P$4:$P$7190),PLT!$V$4:$V$8886),"")</f>
        <v/>
      </c>
      <c r="AG5" s="44">
        <f>IFERROR(IF(AVERAGE(AD5:AF5)&gt;References!$BO$23,References!$BP$23,
IF(AVERAGE(AD5:AF5)&gt;References!$BO$22,References!$BP$22,
IF(AVERAGE(AD5:AF5)&gt;References!$BO$21,References!$BP$21,
IF(AVERAGE(AD5:AF5)&gt;References!$BO$20,References!$BP$20,
IF(AVERAGE(AD5:AF5)&gt;References!$BO$19,References!$BP$19,
IF(AVERAGE(AD5:AF5)&gt;References!$BO$18,References!$BP$18,
0)))))),"")</f>
        <v>0</v>
      </c>
      <c r="AH5" s="43">
        <f>IF(Data_Geotech[[#This Row],[Is50]]="",VLOOKUP(Data_Geotech[[#This Row],[Field Intact Rock Strength]],Table_RMR76_Strength[],2,FALSE),Data_Geotech[[#This Row],[Is50]])</f>
        <v>0</v>
      </c>
      <c r="AI5" s="43">
        <f>IF(Data_Geotech[[#This Row],[RQD (%)]]&lt;=25,3,IF(Data_Geotech[[#This Row],[RQD (%)]]&lt;=50,8,IF(Data_Geotech[[#This Row],[RQD (%)]]&lt;=75,13,IF(Data_Geotech[[#This Row],[RQD (%)]]&lt;=90,17,20))))</f>
        <v>20</v>
      </c>
      <c r="AJ5" s="43">
        <f>IF(Data_Geotech[[#This Row],[Joint spacing (m)]]&lt;=0.05,5,IF(Data_Geotech[[#This Row],[Joint spacing (m)]]&lt;=0.3,10,IF(Data_Geotech[[#This Row],[Joint spacing (m)]]&lt;=1,20,IF(Data_Geotech[[#This Row],[Joint spacing (m)]]&lt;=3,25,30))))</f>
        <v>20</v>
      </c>
      <c r="AK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 s="6">
        <v>10</v>
      </c>
      <c r="AM5" s="117">
        <f>IF(Data_Geotech[[#This Row],[FIRS Code]]="R",IFERROR(SUM(Data_Geotech[[#This Row],[RMR76 - Strength rating]:[RMR76 - Ground water rating]]),""),"")</f>
        <v>75</v>
      </c>
      <c r="AN5" s="39">
        <f>IF(Data_Geotech[[#This Row],[FIRS Code]]="R",(2*Data_Geotech[[#This Row],[RMR76 - Joint condition rating]])+(IF(Data_Geotech[[#This Row],[RQD (%)]]&gt;80,80/2,Data_Geotech[[#This Row],[RQD (%)]]/2)),"")</f>
        <v>90</v>
      </c>
      <c r="AO5" s="43" t="str">
        <f>LEFT(Data_Geotech[[#This Row],[Joint Set Rating]],FIND("-",Data_Geotech[[#This Row],[Joint Set Rating]],1)-2)</f>
        <v>2</v>
      </c>
      <c r="AP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2.25</v>
      </c>
      <c r="AQ5" s="5">
        <f t="shared" si="0"/>
        <v>1</v>
      </c>
      <c r="AR5" s="49">
        <f>IF(Data_Geotech[[#This Row],[FIRS Code]]="R",IFERROR((IF(Data_Geotech[[#This Row],[RQD (%)]]&lt;10,10,Data_Geotech[[#This Row],[RQD (%)]])/Data_Geotech[[#This Row],[Jn rating]])*Data_Geotech[[#This Row],[Jr/Ja]],""),"")</f>
        <v>112.5</v>
      </c>
      <c r="AS5" s="45">
        <f>IF(Data_Geotech[[#This Row],[FIRS Code]]="R",IFERROR((IF(Data_Geotech[[#This Row],[RQD (%)]]&lt;10,10,Data_Geotech[[#This Row],[RQD (%)]])/Data_Geotech[[#This Row],[Jn rating]])*Data_Geotech[[#This Row],[Jr/Ja]]*Data_Geotech[[#This Row],[Jw/SRF]],""),"")</f>
        <v>112.5</v>
      </c>
      <c r="AT5" s="12"/>
      <c r="AU5" s="13">
        <f>100-Data_Geotech[[#This Row],[RQD (%)]]</f>
        <v>0</v>
      </c>
      <c r="AV5" s="13">
        <f>100-Data_Geotech[[#This Row],[TCR (%)]]</f>
        <v>2.7000623958883807E-13</v>
      </c>
      <c r="AW5" s="62">
        <f>(Data_Geotech[[#This Row],[Fracture per interval]]+Data_Geotech[[#This Row],[Added fractures 
(BC, FLT, LC)]])/Data_Geotech[[#This Row],[TCR (m)]]</f>
        <v>1.3513513513513513</v>
      </c>
      <c r="AX5" s="6" t="s">
        <v>109</v>
      </c>
      <c r="AY5" s="62">
        <f>7-MID(Data_Geotech[[#This Row],[Field Intact Rock Strength]],2,1)</f>
        <v>1</v>
      </c>
      <c r="AZ5" s="63">
        <f>VLOOKUP(Data_Geotech[[#This Row],[Field Intact Rock Strength]],Table_FieldStrength[],2,FALSE)</f>
        <v>250</v>
      </c>
      <c r="BA5" s="63">
        <f>VLOOKUP(Data_Geotech[[#This Row],[Field Intact Rock Strength]],Table_FieldStrength[],3,FALSE)</f>
        <v>275</v>
      </c>
      <c r="BB5" s="63">
        <f>VLOOKUP(Data_Geotech[[#This Row],[Field Intact Rock Strength]],Table_FieldStrength[],4,FALSE)</f>
        <v>300</v>
      </c>
      <c r="BC5" s="63">
        <f>100-Data_Geotech[[#This Row],[RMR76]]</f>
        <v>25</v>
      </c>
      <c r="BD5" s="63" t="str">
        <f>LEFT(Data_Geotech[[#This Row],[Weathering/Alteration]],FIND("-",Data_Geotech[[#This Row],[Weathering/Alteration]])-2)</f>
        <v>W1/A1</v>
      </c>
    </row>
    <row r="6" spans="1:56" ht="15.75" hidden="1" thickBot="1" x14ac:dyDescent="0.3">
      <c r="A6" t="s">
        <v>26</v>
      </c>
      <c r="B6" s="16" t="str">
        <f>VLOOKUP(Data_Geotech[[#This Row],[Hole ID]],Data_Log[],2,FALSE)</f>
        <v>CGF-01</v>
      </c>
      <c r="C6" s="5">
        <v>52.46</v>
      </c>
      <c r="D6" s="5">
        <v>52.96</v>
      </c>
      <c r="E6" s="5">
        <f>(Data_Geotech[[#This Row],[To (m)]]-Data_Geotech[[#This Row],[From (m)]])/2+Data_Geotech[[#This Row],[From (m)]]</f>
        <v>52.71</v>
      </c>
      <c r="F6" s="13">
        <f>Data_Geotech[[#This Row],[To (m)]]-Data_Geotech[[#This Row],[From (m)]]</f>
        <v>0.5</v>
      </c>
      <c r="G6" s="5">
        <v>0.5</v>
      </c>
      <c r="H6" s="61">
        <f>Data_Geotech[[#This Row],[TCR (m)]]/Data_Geotech[[#This Row],[Run (m)]]*100</f>
        <v>100</v>
      </c>
      <c r="I6" s="5">
        <v>0.52</v>
      </c>
      <c r="J6" s="5">
        <v>0.52</v>
      </c>
      <c r="K6" s="5">
        <v>0.52</v>
      </c>
      <c r="L6" s="61">
        <f>Data_Geotech[[#This Row],[RQD (m)]]/Data_Geotech[[#This Row],[Run Reel (m)]]*100</f>
        <v>100</v>
      </c>
      <c r="M6" t="s">
        <v>584</v>
      </c>
      <c r="O6" t="s">
        <v>243</v>
      </c>
      <c r="P6" s="115" t="s">
        <v>416</v>
      </c>
      <c r="Q6" s="5" t="s">
        <v>313</v>
      </c>
      <c r="R6" s="5"/>
      <c r="S6" s="5"/>
      <c r="T6" s="5"/>
      <c r="U6" s="5"/>
      <c r="V6" s="6">
        <v>1</v>
      </c>
      <c r="W6" s="92">
        <f>SUMIFS(Discontinuities!$D$4:$D$9664,Discontinuities!$A$4:$A$9664,A6,Discontinuities!$C$4:$C$9664,"&gt;="&amp;C6,Discontinuities!$C$4:$C$9664,"&lt;"&amp;D6)
-SUMIFS(Discontinuities!$D$4:$D$9664,Discontinuities!$A$4:$A$9664,A6,Discontinuities!$C$4:$C$9664,"&gt;="&amp;C6,Discontinuities!$C$4:$C$9664,"&lt;"&amp;D6,Discontinuities!$E$4:$E$9664,"=BC")
-SUMIFS(Discontinuities!$D$4:$D$9664,Discontinuities!$A$4:$A$9664,A6,Discontinuities!$C$4:$C$9664,"&gt;="&amp;C6,Discontinuities!$C$4:$C$9664,"&lt;"&amp;D6,Discontinuities!$E$4:$E$9664,"=LC")
-SUMIFS(Discontinuities!$D$4:$D$9664,Discontinuities!$A$4:$A$9664,A6,Discontinuities!$C$4:$C$9664,"&gt;="&amp;C6,Discontinuities!$C$4:$C$9664,"&lt;"&amp;D6,Discontinuities!$E$4:$E$9664,"=FLT")</f>
        <v>1</v>
      </c>
      <c r="X6" t="s">
        <v>280</v>
      </c>
      <c r="AA6" s="12"/>
      <c r="AB6" s="43">
        <f>IFERROR(ROUND((Data_Geotech[[#This Row],[Fault (m)]]+Data_Geotech[[#This Row],[Broken Core (m)]]+Data_Geotech[[#This Row],[Lost Core (m)]])*30,0),0)</f>
        <v>0</v>
      </c>
      <c r="AC6" s="44">
        <f>IF(Data_Geotech[[#This Row],[Added fractures 
(BC, FLT, LC)]]+Data_Geotech[[#This Row],[Fracture per interval]]=0,99,1/((Data_Geotech[[#This Row],[Fracture per interval]]+Data_Geotech[[#This Row],[Added fractures 
(BC, FLT, LC)]])/Data_Geotech[[#This Row],[Run (m)]]))</f>
        <v>0.5</v>
      </c>
      <c r="AD6" s="155" t="str" cm="1">
        <f t="array" ref="AD6">IFERROR(_xlfn.XLOOKUP(1,(A6=PLT!$A$4:$A$8886)*(Geotech!C6&lt;=PLT!$F$4:$F$8886)*(Geotech!D6&gt;=PLT!$F$4:$F$8886)*("Valid"=PLT!$P$4:$P$8886),PLT!$V$4:$V$8886),"")</f>
        <v/>
      </c>
      <c r="AE6" s="156" t="str" cm="1">
        <f t="array" ref="AE6">IFERROR(_xlfn.XLOOKUP(1,(A6=PLT!$A$4:$A$8886)*(Geotech!C6&lt;=PLT!$F$4:$F$8886)*(Geotech!D6&gt;=PLT!$F$4:$F$8886)*(PLT!$V$4:$V$8886&lt;&gt;AD6)*("Valid"=PLT!$P$4:$P$7190),PLT!$V$4:$V$8886),"")</f>
        <v/>
      </c>
      <c r="AF6" s="156" t="str" cm="1">
        <f t="array" ref="AF6">IFERROR(_xlfn.XLOOKUP(1,(A6=PLT!$A$4:$A$8886)*(Geotech!C6&lt;=PLT!$F$4:$F$8886)*(Geotech!D6&gt;=PLT!$F$4:$F$8886)*(PLT!$V$4:$V$8886&lt;&gt;AD6)*(PLT!$V$4:$V$8886&lt;&gt;AE6)*("Valid"=PLT!$P$4:$P$7190),PLT!$V$4:$V$8886),"")</f>
        <v/>
      </c>
      <c r="AG6" s="44" t="str">
        <f>IFERROR(IF(AVERAGE(AD6:AF6)&gt;References!$BO$23,References!$BP$23,
IF(AVERAGE(AD6:AF6)&gt;References!$BO$22,References!$BP$22,
IF(AVERAGE(AD6:AF6)&gt;References!$BO$21,References!$BP$21,
IF(AVERAGE(AD6:AF6)&gt;References!$BO$20,References!$BP$20,
IF(AVERAGE(AD6:AF6)&gt;References!$BO$19,References!$BP$19,
IF(AVERAGE(AD6:AF6)&gt;References!$BO$18,References!$BP$18,
0)))))),"")</f>
        <v/>
      </c>
      <c r="AH6" s="43">
        <f>IF(Data_Geotech[[#This Row],[Is50]]="",VLOOKUP(Data_Geotech[[#This Row],[Field Intact Rock Strength]],Table_RMR76_Strength[],2,FALSE),Data_Geotech[[#This Row],[Is50]])</f>
        <v>15</v>
      </c>
      <c r="AI6" s="43">
        <f>IF(Data_Geotech[[#This Row],[RQD (%)]]&lt;=25,3,IF(Data_Geotech[[#This Row],[RQD (%)]]&lt;=50,8,IF(Data_Geotech[[#This Row],[RQD (%)]]&lt;=75,13,IF(Data_Geotech[[#This Row],[RQD (%)]]&lt;=90,17,20))))</f>
        <v>20</v>
      </c>
      <c r="AJ6" s="43">
        <f>IF(Data_Geotech[[#This Row],[Joint spacing (m)]]&lt;=0.05,5,IF(Data_Geotech[[#This Row],[Joint spacing (m)]]&lt;=0.3,10,IF(Data_Geotech[[#This Row],[Joint spacing (m)]]&lt;=1,20,IF(Data_Geotech[[#This Row],[Joint spacing (m)]]&lt;=3,25,30))))</f>
        <v>20</v>
      </c>
      <c r="AK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6" s="6">
        <v>10</v>
      </c>
      <c r="AM6" s="117">
        <f>IF(Data_Geotech[[#This Row],[FIRS Code]]="R",IFERROR(SUM(Data_Geotech[[#This Row],[RMR76 - Strength rating]:[RMR76 - Ground water rating]]),""),"")</f>
        <v>71</v>
      </c>
      <c r="AN6" s="39">
        <f>IF(Data_Geotech[[#This Row],[FIRS Code]]="R",(2*Data_Geotech[[#This Row],[RMR76 - Joint condition rating]])+(IF(Data_Geotech[[#This Row],[RQD (%)]]&gt;80,80/2,Data_Geotech[[#This Row],[RQD (%)]]/2)),"")</f>
        <v>52</v>
      </c>
      <c r="AO6" s="43" t="str">
        <f>LEFT(Data_Geotech[[#This Row],[Joint Set Rating]],FIND("-",Data_Geotech[[#This Row],[Joint Set Rating]],1)-2)</f>
        <v>1</v>
      </c>
      <c r="AP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0.25</v>
      </c>
      <c r="AQ6" s="5">
        <f t="shared" si="0"/>
        <v>1</v>
      </c>
      <c r="AR6" s="49">
        <f>IF(Data_Geotech[[#This Row],[FIRS Code]]="R",IFERROR((IF(Data_Geotech[[#This Row],[RQD (%)]]&lt;10,10,Data_Geotech[[#This Row],[RQD (%)]])/Data_Geotech[[#This Row],[Jn rating]])*Data_Geotech[[#This Row],[Jr/Ja]],""),"")</f>
        <v>25</v>
      </c>
      <c r="AS6" s="45">
        <f>IF(Data_Geotech[[#This Row],[FIRS Code]]="R",IFERROR((IF(Data_Geotech[[#This Row],[RQD (%)]]&lt;10,10,Data_Geotech[[#This Row],[RQD (%)]])/Data_Geotech[[#This Row],[Jn rating]])*Data_Geotech[[#This Row],[Jr/Ja]]*Data_Geotech[[#This Row],[Jw/SRF]],""),"")</f>
        <v>25</v>
      </c>
      <c r="AT6" s="12"/>
      <c r="AU6" s="13">
        <f>100-Data_Geotech[[#This Row],[RQD (%)]]</f>
        <v>0</v>
      </c>
      <c r="AV6" s="13">
        <f>100-Data_Geotech[[#This Row],[TCR (%)]]</f>
        <v>0</v>
      </c>
      <c r="AW6" s="62">
        <f>(Data_Geotech[[#This Row],[Fracture per interval]]+Data_Geotech[[#This Row],[Added fractures 
(BC, FLT, LC)]])/Data_Geotech[[#This Row],[TCR (m)]]</f>
        <v>2</v>
      </c>
      <c r="AX6" s="6" t="s">
        <v>109</v>
      </c>
      <c r="AY6" s="63">
        <f>7-MID(Data_Geotech[[#This Row],[Field Intact Rock Strength]],2,1)</f>
        <v>1</v>
      </c>
      <c r="AZ6" s="63">
        <f>VLOOKUP(Data_Geotech[[#This Row],[Field Intact Rock Strength]],Table_FieldStrength[],2,FALSE)</f>
        <v>250</v>
      </c>
      <c r="BA6" s="63">
        <f>VLOOKUP(Data_Geotech[[#This Row],[Field Intact Rock Strength]],Table_FieldStrength[],3,FALSE)</f>
        <v>275</v>
      </c>
      <c r="BB6" s="63">
        <f>VLOOKUP(Data_Geotech[[#This Row],[Field Intact Rock Strength]],Table_FieldStrength[],4,FALSE)</f>
        <v>300</v>
      </c>
      <c r="BC6" s="63">
        <f>100-Data_Geotech[[#This Row],[RMR76]]</f>
        <v>29</v>
      </c>
      <c r="BD6" s="63" t="str">
        <f>LEFT(Data_Geotech[[#This Row],[Weathering/Alteration]],FIND("-",Data_Geotech[[#This Row],[Weathering/Alteration]])-2)</f>
        <v>W1/A1</v>
      </c>
    </row>
    <row r="7" spans="1:56" ht="15.75" hidden="1" thickBot="1" x14ac:dyDescent="0.3">
      <c r="A7" t="s">
        <v>26</v>
      </c>
      <c r="B7" s="16" t="str">
        <f>VLOOKUP(Data_Geotech[[#This Row],[Hole ID]],Data_Log[],2,FALSE)</f>
        <v>CGF-01</v>
      </c>
      <c r="C7" s="5">
        <v>52.96</v>
      </c>
      <c r="D7" s="5">
        <v>54</v>
      </c>
      <c r="E7" s="5">
        <f>(Data_Geotech[[#This Row],[To (m)]]-Data_Geotech[[#This Row],[From (m)]])/2+Data_Geotech[[#This Row],[From (m)]]</f>
        <v>53.480000000000004</v>
      </c>
      <c r="F7" s="13">
        <f>Data_Geotech[[#This Row],[To (m)]]-Data_Geotech[[#This Row],[From (m)]]</f>
        <v>1.0399999999999991</v>
      </c>
      <c r="G7" s="5">
        <v>1.04</v>
      </c>
      <c r="H7" s="61">
        <f>Data_Geotech[[#This Row],[TCR (m)]]/Data_Geotech[[#This Row],[Run (m)]]*100</f>
        <v>100.00000000000009</v>
      </c>
      <c r="I7" s="5">
        <v>1.07</v>
      </c>
      <c r="J7" s="5">
        <v>1.07</v>
      </c>
      <c r="K7" s="5">
        <f>1.07-0.06</f>
        <v>1.01</v>
      </c>
      <c r="L7" s="61">
        <f>Data_Geotech[[#This Row],[RQD (m)]]/Data_Geotech[[#This Row],[Run Reel (m)]]*100</f>
        <v>94.392523364485982</v>
      </c>
      <c r="M7" t="s">
        <v>580</v>
      </c>
      <c r="O7" t="s">
        <v>278</v>
      </c>
      <c r="P7" s="115" t="s">
        <v>342</v>
      </c>
      <c r="Q7" s="5" t="s">
        <v>313</v>
      </c>
      <c r="R7" s="5"/>
      <c r="S7" s="5"/>
      <c r="T7" s="5"/>
      <c r="U7" s="5"/>
      <c r="V7" s="6">
        <v>3</v>
      </c>
      <c r="W7" s="92">
        <f>SUMIFS(Discontinuities!$D$4:$D$9664,Discontinuities!$A$4:$A$9664,A7,Discontinuities!$C$4:$C$9664,"&gt;="&amp;C7,Discontinuities!$C$4:$C$9664,"&lt;"&amp;D7)
-SUMIFS(Discontinuities!$D$4:$D$9664,Discontinuities!$A$4:$A$9664,A7,Discontinuities!$C$4:$C$9664,"&gt;="&amp;C7,Discontinuities!$C$4:$C$9664,"&lt;"&amp;D7,Discontinuities!$E$4:$E$9664,"=BC")
-SUMIFS(Discontinuities!$D$4:$D$9664,Discontinuities!$A$4:$A$9664,A7,Discontinuities!$C$4:$C$9664,"&gt;="&amp;C7,Discontinuities!$C$4:$C$9664,"&lt;"&amp;D7,Discontinuities!$E$4:$E$9664,"=LC")
-SUMIFS(Discontinuities!$D$4:$D$9664,Discontinuities!$A$4:$A$9664,A7,Discontinuities!$C$4:$C$9664,"&gt;="&amp;C7,Discontinuities!$C$4:$C$9664,"&lt;"&amp;D7,Discontinuities!$E$4:$E$9664,"=FLT")</f>
        <v>3</v>
      </c>
      <c r="X7" t="s">
        <v>345</v>
      </c>
      <c r="AA7" s="12"/>
      <c r="AB7" s="43">
        <f>IFERROR(ROUND((Data_Geotech[[#This Row],[Fault (m)]]+Data_Geotech[[#This Row],[Broken Core (m)]]+Data_Geotech[[#This Row],[Lost Core (m)]])*30,0),0)</f>
        <v>0</v>
      </c>
      <c r="AC7" s="44">
        <f>IF(Data_Geotech[[#This Row],[Added fractures 
(BC, FLT, LC)]]+Data_Geotech[[#This Row],[Fracture per interval]]=0,99,1/((Data_Geotech[[#This Row],[Fracture per interval]]+Data_Geotech[[#This Row],[Added fractures 
(BC, FLT, LC)]])/Data_Geotech[[#This Row],[Run (m)]]))</f>
        <v>0.3466666666666664</v>
      </c>
      <c r="AD7" s="155" cm="1">
        <f t="array" ref="AD7">IFERROR(_xlfn.XLOOKUP(1,(A7=PLT!$A$4:$A$8886)*(Geotech!C7&lt;=PLT!$F$4:$F$8886)*(Geotech!D7&gt;=PLT!$F$4:$F$8886)*("Valid"=PLT!$P$4:$P$8886),PLT!$V$4:$V$8886),"")</f>
        <v>0</v>
      </c>
      <c r="AE7" s="156" t="str" cm="1">
        <f t="array" ref="AE7">IFERROR(_xlfn.XLOOKUP(1,(A7=PLT!$A$4:$A$8886)*(Geotech!C7&lt;=PLT!$F$4:$F$8886)*(Geotech!D7&gt;=PLT!$F$4:$F$8886)*(PLT!$V$4:$V$8886&lt;&gt;AD7)*("Valid"=PLT!$P$4:$P$7190),PLT!$V$4:$V$8886),"")</f>
        <v/>
      </c>
      <c r="AF7" s="156" t="str" cm="1">
        <f t="array" ref="AF7">IFERROR(_xlfn.XLOOKUP(1,(A7=PLT!$A$4:$A$8886)*(Geotech!C7&lt;=PLT!$F$4:$F$8886)*(Geotech!D7&gt;=PLT!$F$4:$F$8886)*(PLT!$V$4:$V$8886&lt;&gt;AD7)*(PLT!$V$4:$V$8886&lt;&gt;AE7)*("Valid"=PLT!$P$4:$P$7190),PLT!$V$4:$V$8886),"")</f>
        <v/>
      </c>
      <c r="AG7" s="44">
        <f>IFERROR(IF(AVERAGE(AD7:AF7)&gt;References!$BO$23,References!$BP$23,
IF(AVERAGE(AD7:AF7)&gt;References!$BO$22,References!$BP$22,
IF(AVERAGE(AD7:AF7)&gt;References!$BO$21,References!$BP$21,
IF(AVERAGE(AD7:AF7)&gt;References!$BO$20,References!$BP$20,
IF(AVERAGE(AD7:AF7)&gt;References!$BO$19,References!$BP$19,
IF(AVERAGE(AD7:AF7)&gt;References!$BO$18,References!$BP$18,
0)))))),"")</f>
        <v>0</v>
      </c>
      <c r="AH7" s="43">
        <f>IF(Data_Geotech[[#This Row],[Is50]]="",VLOOKUP(Data_Geotech[[#This Row],[Field Intact Rock Strength]],Table_RMR76_Strength[],2,FALSE),Data_Geotech[[#This Row],[Is50]])</f>
        <v>0</v>
      </c>
      <c r="AI7" s="43">
        <f>IF(Data_Geotech[[#This Row],[RQD (%)]]&lt;=25,3,IF(Data_Geotech[[#This Row],[RQD (%)]]&lt;=50,8,IF(Data_Geotech[[#This Row],[RQD (%)]]&lt;=75,13,IF(Data_Geotech[[#This Row],[RQD (%)]]&lt;=90,17,20))))</f>
        <v>20</v>
      </c>
      <c r="AJ7" s="43">
        <f>IF(Data_Geotech[[#This Row],[Joint spacing (m)]]&lt;=0.05,5,IF(Data_Geotech[[#This Row],[Joint spacing (m)]]&lt;=0.3,10,IF(Data_Geotech[[#This Row],[Joint spacing (m)]]&lt;=1,20,IF(Data_Geotech[[#This Row],[Joint spacing (m)]]&lt;=3,25,30))))</f>
        <v>20</v>
      </c>
      <c r="AK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14.666666666666666</v>
      </c>
      <c r="AL7" s="6">
        <v>10</v>
      </c>
      <c r="AM7" s="117">
        <f>IF(Data_Geotech[[#This Row],[FIRS Code]]="R",IFERROR(SUM(Data_Geotech[[#This Row],[RMR76 - Strength rating]:[RMR76 - Ground water rating]]),""),"")</f>
        <v>64.666666666666657</v>
      </c>
      <c r="AN7" s="39">
        <f>IF(Data_Geotech[[#This Row],[FIRS Code]]="R",(2*Data_Geotech[[#This Row],[RMR76 - Joint condition rating]])+(IF(Data_Geotech[[#This Row],[RQD (%)]]&gt;80,80/2,Data_Geotech[[#This Row],[RQD (%)]]/2)),"")</f>
        <v>69.333333333333329</v>
      </c>
      <c r="AO7" s="43" t="str">
        <f>LEFT(Data_Geotech[[#This Row],[Joint Set Rating]],FIND("-",Data_Geotech[[#This Row],[Joint Set Rating]],1)-2)</f>
        <v>3</v>
      </c>
      <c r="AP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0.54166666666666663</v>
      </c>
      <c r="AQ7" s="5">
        <f t="shared" si="0"/>
        <v>1</v>
      </c>
      <c r="AR7" s="49">
        <f>IF(Data_Geotech[[#This Row],[FIRS Code]]="R",IFERROR((IF(Data_Geotech[[#This Row],[RQD (%)]]&lt;10,10,Data_Geotech[[#This Row],[RQD (%)]])/Data_Geotech[[#This Row],[Jn rating]])*Data_Geotech[[#This Row],[Jr/Ja]],""),"")</f>
        <v>17.043094496365523</v>
      </c>
      <c r="AS7" s="45">
        <f>IF(Data_Geotech[[#This Row],[FIRS Code]]="R",IFERROR((IF(Data_Geotech[[#This Row],[RQD (%)]]&lt;10,10,Data_Geotech[[#This Row],[RQD (%)]])/Data_Geotech[[#This Row],[Jn rating]])*Data_Geotech[[#This Row],[Jr/Ja]]*Data_Geotech[[#This Row],[Jw/SRF]],""),"")</f>
        <v>17.043094496365523</v>
      </c>
      <c r="AT7" s="12"/>
      <c r="AU7" s="13">
        <f>100-Data_Geotech[[#This Row],[RQD (%)]]</f>
        <v>5.6074766355140184</v>
      </c>
      <c r="AV7" s="13">
        <f>100-Data_Geotech[[#This Row],[TCR (%)]]</f>
        <v>0</v>
      </c>
      <c r="AW7" s="62">
        <f>(Data_Geotech[[#This Row],[Fracture per interval]]+Data_Geotech[[#This Row],[Added fractures 
(BC, FLT, LC)]])/Data_Geotech[[#This Row],[TCR (m)]]</f>
        <v>2.8846153846153846</v>
      </c>
      <c r="AX7" s="6" t="s">
        <v>109</v>
      </c>
      <c r="AY7" s="63">
        <f>7-MID(Data_Geotech[[#This Row],[Field Intact Rock Strength]],2,1)</f>
        <v>4</v>
      </c>
      <c r="AZ7" s="63">
        <f>VLOOKUP(Data_Geotech[[#This Row],[Field Intact Rock Strength]],Table_FieldStrength[],2,FALSE)</f>
        <v>25</v>
      </c>
      <c r="BA7" s="63">
        <f>VLOOKUP(Data_Geotech[[#This Row],[Field Intact Rock Strength]],Table_FieldStrength[],3,FALSE)</f>
        <v>37.5</v>
      </c>
      <c r="BB7" s="63">
        <f>VLOOKUP(Data_Geotech[[#This Row],[Field Intact Rock Strength]],Table_FieldStrength[],4,FALSE)</f>
        <v>50</v>
      </c>
      <c r="BC7" s="63">
        <f>100-Data_Geotech[[#This Row],[RMR76]]</f>
        <v>35.333333333333343</v>
      </c>
      <c r="BD7" s="63" t="str">
        <f>LEFT(Data_Geotech[[#This Row],[Weathering/Alteration]],FIND("-",Data_Geotech[[#This Row],[Weathering/Alteration]])-2)</f>
        <v>W2/A2</v>
      </c>
    </row>
    <row r="8" spans="1:56" ht="15.75" hidden="1" thickBot="1" x14ac:dyDescent="0.3">
      <c r="A8" t="s">
        <v>26</v>
      </c>
      <c r="B8" s="16" t="str">
        <f>VLOOKUP(Data_Geotech[[#This Row],[Hole ID]],Data_Log[],2,FALSE)</f>
        <v>CGF-01</v>
      </c>
      <c r="C8" s="5">
        <v>54</v>
      </c>
      <c r="D8" s="5">
        <v>54.9</v>
      </c>
      <c r="E8" s="5">
        <f>(Data_Geotech[[#This Row],[To (m)]]-Data_Geotech[[#This Row],[From (m)]])/2+Data_Geotech[[#This Row],[From (m)]]</f>
        <v>54.45</v>
      </c>
      <c r="F8" s="13">
        <f>Data_Geotech[[#This Row],[To (m)]]-Data_Geotech[[#This Row],[From (m)]]</f>
        <v>0.89999999999999858</v>
      </c>
      <c r="G8" s="5">
        <v>0.9</v>
      </c>
      <c r="H8" s="61">
        <f>Data_Geotech[[#This Row],[TCR (m)]]/Data_Geotech[[#This Row],[Run (m)]]*100</f>
        <v>100.00000000000016</v>
      </c>
      <c r="I8" s="5">
        <v>0.9</v>
      </c>
      <c r="J8" s="5">
        <v>0.9</v>
      </c>
      <c r="K8" s="5">
        <v>0.9</v>
      </c>
      <c r="L8" s="61">
        <f>Data_Geotech[[#This Row],[RQD (m)]]/Data_Geotech[[#This Row],[Run Reel (m)]]*100</f>
        <v>100</v>
      </c>
      <c r="M8" t="s">
        <v>580</v>
      </c>
      <c r="O8" t="s">
        <v>278</v>
      </c>
      <c r="P8" s="115" t="s">
        <v>397</v>
      </c>
      <c r="Q8" s="5" t="s">
        <v>346</v>
      </c>
      <c r="R8" s="5"/>
      <c r="S8" s="5"/>
      <c r="T8" s="5"/>
      <c r="U8" s="5"/>
      <c r="V8" s="6">
        <v>3</v>
      </c>
      <c r="W8" s="92">
        <f>SUMIFS(Discontinuities!$D$4:$D$9664,Discontinuities!$A$4:$A$9664,A8,Discontinuities!$C$4:$C$9664,"&gt;="&amp;C8,Discontinuities!$C$4:$C$9664,"&lt;"&amp;D8)
-SUMIFS(Discontinuities!$D$4:$D$9664,Discontinuities!$A$4:$A$9664,A8,Discontinuities!$C$4:$C$9664,"&gt;="&amp;C8,Discontinuities!$C$4:$C$9664,"&lt;"&amp;D8,Discontinuities!$E$4:$E$9664,"=BC")
-SUMIFS(Discontinuities!$D$4:$D$9664,Discontinuities!$A$4:$A$9664,A8,Discontinuities!$C$4:$C$9664,"&gt;="&amp;C8,Discontinuities!$C$4:$C$9664,"&lt;"&amp;D8,Discontinuities!$E$4:$E$9664,"=LC")
-SUMIFS(Discontinuities!$D$4:$D$9664,Discontinuities!$A$4:$A$9664,A8,Discontinuities!$C$4:$C$9664,"&gt;="&amp;C8,Discontinuities!$C$4:$C$9664,"&lt;"&amp;D8,Discontinuities!$E$4:$E$9664,"=FLT")</f>
        <v>3</v>
      </c>
      <c r="X8" t="s">
        <v>312</v>
      </c>
      <c r="AA8" s="12"/>
      <c r="AB8" s="43">
        <f>IFERROR(ROUND((Data_Geotech[[#This Row],[Fault (m)]]+Data_Geotech[[#This Row],[Broken Core (m)]]+Data_Geotech[[#This Row],[Lost Core (m)]])*30,0),0)</f>
        <v>0</v>
      </c>
      <c r="AC8" s="44">
        <f>IF(Data_Geotech[[#This Row],[Added fractures 
(BC, FLT, LC)]]+Data_Geotech[[#This Row],[Fracture per interval]]=0,99,1/((Data_Geotech[[#This Row],[Fracture per interval]]+Data_Geotech[[#This Row],[Added fractures 
(BC, FLT, LC)]])/Data_Geotech[[#This Row],[Run (m)]]))</f>
        <v>0.29999999999999949</v>
      </c>
      <c r="AD8" s="155" cm="1">
        <f t="array" ref="AD8">IFERROR(_xlfn.XLOOKUP(1,(A8=PLT!$A$4:$A$8886)*(Geotech!C8&lt;=PLT!$F$4:$F$8886)*(Geotech!D8&gt;=PLT!$F$4:$F$8886)*("Valid"=PLT!$P$4:$P$8886),PLT!$V$4:$V$8886),"")</f>
        <v>0</v>
      </c>
      <c r="AE8" s="156" t="str" cm="1">
        <f t="array" ref="AE8">IFERROR(_xlfn.XLOOKUP(1,(A8=PLT!$A$4:$A$8886)*(Geotech!C8&lt;=PLT!$F$4:$F$8886)*(Geotech!D8&gt;=PLT!$F$4:$F$8886)*(PLT!$V$4:$V$8886&lt;&gt;AD8)*("Valid"=PLT!$P$4:$P$7190),PLT!$V$4:$V$8886),"")</f>
        <v/>
      </c>
      <c r="AF8" s="156" t="str" cm="1">
        <f t="array" ref="AF8">IFERROR(_xlfn.XLOOKUP(1,(A8=PLT!$A$4:$A$8886)*(Geotech!C8&lt;=PLT!$F$4:$F$8886)*(Geotech!D8&gt;=PLT!$F$4:$F$8886)*(PLT!$V$4:$V$8886&lt;&gt;AD8)*(PLT!$V$4:$V$8886&lt;&gt;AE8)*("Valid"=PLT!$P$4:$P$7190),PLT!$V$4:$V$8886),"")</f>
        <v/>
      </c>
      <c r="AG8" s="44">
        <f>IFERROR(IF(AVERAGE(AD8:AF8)&gt;References!$BO$23,References!$BP$23,
IF(AVERAGE(AD8:AF8)&gt;References!$BO$22,References!$BP$22,
IF(AVERAGE(AD8:AF8)&gt;References!$BO$21,References!$BP$21,
IF(AVERAGE(AD8:AF8)&gt;References!$BO$20,References!$BP$20,
IF(AVERAGE(AD8:AF8)&gt;References!$BO$19,References!$BP$19,
IF(AVERAGE(AD8:AF8)&gt;References!$BO$18,References!$BP$18,
0)))))),"")</f>
        <v>0</v>
      </c>
      <c r="AH8" s="43">
        <f>IF(Data_Geotech[[#This Row],[Is50]]="",VLOOKUP(Data_Geotech[[#This Row],[Field Intact Rock Strength]],Table_RMR76_Strength[],2,FALSE),Data_Geotech[[#This Row],[Is50]])</f>
        <v>0</v>
      </c>
      <c r="AI8" s="43">
        <f>IF(Data_Geotech[[#This Row],[RQD (%)]]&lt;=25,3,IF(Data_Geotech[[#This Row],[RQD (%)]]&lt;=50,8,IF(Data_Geotech[[#This Row],[RQD (%)]]&lt;=75,13,IF(Data_Geotech[[#This Row],[RQD (%)]]&lt;=90,17,20))))</f>
        <v>20</v>
      </c>
      <c r="AJ8" s="43">
        <f>IF(Data_Geotech[[#This Row],[Joint spacing (m)]]&lt;=0.05,5,IF(Data_Geotech[[#This Row],[Joint spacing (m)]]&lt;=0.3,10,IF(Data_Geotech[[#This Row],[Joint spacing (m)]]&lt;=1,20,IF(Data_Geotech[[#This Row],[Joint spacing (m)]]&lt;=3,25,30))))</f>
        <v>10</v>
      </c>
      <c r="AK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8" s="6">
        <v>10</v>
      </c>
      <c r="AM8" s="117">
        <f>IF(Data_Geotech[[#This Row],[FIRS Code]]="R",IFERROR(SUM(Data_Geotech[[#This Row],[RMR76 - Strength rating]:[RMR76 - Ground water rating]]),""),"")</f>
        <v>60</v>
      </c>
      <c r="AN8" s="39">
        <f>IF(Data_Geotech[[#This Row],[FIRS Code]]="R",(2*Data_Geotech[[#This Row],[RMR76 - Joint condition rating]])+(IF(Data_Geotech[[#This Row],[RQD (%)]]&gt;80,80/2,Data_Geotech[[#This Row],[RQD (%)]]/2)),"")</f>
        <v>80</v>
      </c>
      <c r="AO8" s="43">
        <f>_xlfn.NUMBERVALUE(LEFT(Data_Geotech[[#This Row],[Joint Set Rating]],FIND("-",Data_Geotech[[#This Row],[Joint Set Rating]],1)-2))</f>
        <v>2</v>
      </c>
      <c r="AP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8" s="5">
        <f t="shared" si="0"/>
        <v>1</v>
      </c>
      <c r="AR8" s="49">
        <f>IF(Data_Geotech[[#This Row],[FIRS Code]]="R",IFERROR((IF(Data_Geotech[[#This Row],[RQD (%)]]&lt;10,10,Data_Geotech[[#This Row],[RQD (%)]])/Data_Geotech[[#This Row],[Jn rating]])*Data_Geotech[[#This Row],[Jr/Ja]],""),"")</f>
        <v>37.5</v>
      </c>
      <c r="AS8" s="45">
        <f>IF(Data_Geotech[[#This Row],[FIRS Code]]="R",IFERROR((IF(Data_Geotech[[#This Row],[RQD (%)]]&lt;10,10,Data_Geotech[[#This Row],[RQD (%)]])/Data_Geotech[[#This Row],[Jn rating]])*Data_Geotech[[#This Row],[Jr/Ja]]*Data_Geotech[[#This Row],[Jw/SRF]],""),"")</f>
        <v>37.5</v>
      </c>
      <c r="AT8" s="12"/>
      <c r="AU8" s="13">
        <f>100-Data_Geotech[[#This Row],[RQD (%)]]</f>
        <v>0</v>
      </c>
      <c r="AV8" s="13">
        <f>100-Data_Geotech[[#This Row],[TCR (%)]]</f>
        <v>-1.5631940186722204E-13</v>
      </c>
      <c r="AW8" s="62">
        <f>(Data_Geotech[[#This Row],[Fracture per interval]]+Data_Geotech[[#This Row],[Added fractures 
(BC, FLT, LC)]])/Data_Geotech[[#This Row],[TCR (m)]]</f>
        <v>3.333333333333333</v>
      </c>
      <c r="AX8" s="6" t="s">
        <v>109</v>
      </c>
      <c r="AY8" s="63">
        <f>7-MID(Data_Geotech[[#This Row],[Field Intact Rock Strength]],2,1)</f>
        <v>2</v>
      </c>
      <c r="AZ8" s="63">
        <f>VLOOKUP(Data_Geotech[[#This Row],[Field Intact Rock Strength]],Table_FieldStrength[],2,FALSE)</f>
        <v>100</v>
      </c>
      <c r="BA8" s="63">
        <f>VLOOKUP(Data_Geotech[[#This Row],[Field Intact Rock Strength]],Table_FieldStrength[],3,FALSE)</f>
        <v>175</v>
      </c>
      <c r="BB8" s="63">
        <f>VLOOKUP(Data_Geotech[[#This Row],[Field Intact Rock Strength]],Table_FieldStrength[],4,FALSE)</f>
        <v>250</v>
      </c>
      <c r="BC8" s="63">
        <f>100-Data_Geotech[[#This Row],[RMR76]]</f>
        <v>40</v>
      </c>
      <c r="BD8" s="63" t="str">
        <f>LEFT(Data_Geotech[[#This Row],[Weathering/Alteration]],FIND("-",Data_Geotech[[#This Row],[Weathering/Alteration]])-2)</f>
        <v>W2/A2</v>
      </c>
    </row>
    <row r="9" spans="1:56" ht="15.75" hidden="1" thickBot="1" x14ac:dyDescent="0.3">
      <c r="A9" t="s">
        <v>26</v>
      </c>
      <c r="B9" s="16" t="str">
        <f>VLOOKUP(Data_Geotech[[#This Row],[Hole ID]],Data_Log[],2,FALSE)</f>
        <v>CGF-01</v>
      </c>
      <c r="C9" s="5">
        <v>54.9</v>
      </c>
      <c r="D9" s="5">
        <v>55.38</v>
      </c>
      <c r="E9" s="5">
        <f>(Data_Geotech[[#This Row],[To (m)]]-Data_Geotech[[#This Row],[From (m)]])/2+Data_Geotech[[#This Row],[From (m)]]</f>
        <v>55.14</v>
      </c>
      <c r="F9" s="13">
        <f>Data_Geotech[[#This Row],[To (m)]]-Data_Geotech[[#This Row],[From (m)]]</f>
        <v>0.48000000000000398</v>
      </c>
      <c r="G9" s="5">
        <v>0.48</v>
      </c>
      <c r="H9" s="61">
        <f>Data_Geotech[[#This Row],[TCR (m)]]/Data_Geotech[[#This Row],[Run (m)]]*100</f>
        <v>99.999999999999162</v>
      </c>
      <c r="I9" s="5">
        <v>0.47</v>
      </c>
      <c r="J9" s="5">
        <v>0.47</v>
      </c>
      <c r="K9" s="5">
        <v>0.47</v>
      </c>
      <c r="L9" s="61">
        <f>Data_Geotech[[#This Row],[RQD (m)]]/Data_Geotech[[#This Row],[Run Reel (m)]]*100</f>
        <v>100</v>
      </c>
      <c r="M9" t="s">
        <v>584</v>
      </c>
      <c r="O9" t="s">
        <v>243</v>
      </c>
      <c r="P9" s="115" t="s">
        <v>416</v>
      </c>
      <c r="Q9" s="5" t="s">
        <v>281</v>
      </c>
      <c r="R9" s="5"/>
      <c r="S9" s="5"/>
      <c r="T9" s="5"/>
      <c r="U9" s="5"/>
      <c r="V9" s="6">
        <v>0</v>
      </c>
      <c r="W9" s="92">
        <f>SUMIFS(Discontinuities!$D$4:$D$9664,Discontinuities!$A$4:$A$9664,A9,Discontinuities!$C$4:$C$9664,"&gt;="&amp;C9,Discontinuities!$C$4:$C$9664,"&lt;"&amp;D9)
-SUMIFS(Discontinuities!$D$4:$D$9664,Discontinuities!$A$4:$A$9664,A9,Discontinuities!$C$4:$C$9664,"&gt;="&amp;C9,Discontinuities!$C$4:$C$9664,"&lt;"&amp;D9,Discontinuities!$E$4:$E$9664,"=BC")
-SUMIFS(Discontinuities!$D$4:$D$9664,Discontinuities!$A$4:$A$9664,A9,Discontinuities!$C$4:$C$9664,"&gt;="&amp;C9,Discontinuities!$C$4:$C$9664,"&lt;"&amp;D9,Discontinuities!$E$4:$E$9664,"=LC")
-SUMIFS(Discontinuities!$D$4:$D$9664,Discontinuities!$A$4:$A$9664,A9,Discontinuities!$C$4:$C$9664,"&gt;="&amp;C9,Discontinuities!$C$4:$C$9664,"&lt;"&amp;D9,Discontinuities!$E$4:$E$9664,"=FLT")</f>
        <v>0</v>
      </c>
      <c r="X9" t="s">
        <v>245</v>
      </c>
      <c r="AA9" s="12"/>
      <c r="AB9" s="43">
        <f>IFERROR(ROUND((Data_Geotech[[#This Row],[Fault (m)]]+Data_Geotech[[#This Row],[Broken Core (m)]]+Data_Geotech[[#This Row],[Lost Core (m)]])*30,0),0)</f>
        <v>0</v>
      </c>
      <c r="AC9" s="44">
        <f>IF(Data_Geotech[[#This Row],[Added fractures 
(BC, FLT, LC)]]+Data_Geotech[[#This Row],[Fracture per interval]]=0,99,1/((Data_Geotech[[#This Row],[Fracture per interval]]+Data_Geotech[[#This Row],[Added fractures 
(BC, FLT, LC)]])/Data_Geotech[[#This Row],[Run (m)]]))</f>
        <v>99</v>
      </c>
      <c r="AD9" s="155" cm="1">
        <f t="array" ref="AD9">IFERROR(_xlfn.XLOOKUP(1,(A9=PLT!$A$4:$A$8886)*(Geotech!C9&lt;=PLT!$F$4:$F$8886)*(Geotech!D9&gt;=PLT!$F$4:$F$8886)*("Valid"=PLT!$P$4:$P$8886),PLT!$V$4:$V$8886),"")</f>
        <v>0</v>
      </c>
      <c r="AE9" s="156" t="str" cm="1">
        <f t="array" ref="AE9">IFERROR(_xlfn.XLOOKUP(1,(A9=PLT!$A$4:$A$8886)*(Geotech!C9&lt;=PLT!$F$4:$F$8886)*(Geotech!D9&gt;=PLT!$F$4:$F$8886)*(PLT!$V$4:$V$8886&lt;&gt;AD9)*("Valid"=PLT!$P$4:$P$7190),PLT!$V$4:$V$8886),"")</f>
        <v/>
      </c>
      <c r="AF9" s="156" t="str" cm="1">
        <f t="array" ref="AF9">IFERROR(_xlfn.XLOOKUP(1,(A9=PLT!$A$4:$A$8886)*(Geotech!C9&lt;=PLT!$F$4:$F$8886)*(Geotech!D9&gt;=PLT!$F$4:$F$8886)*(PLT!$V$4:$V$8886&lt;&gt;AD9)*(PLT!$V$4:$V$8886&lt;&gt;AE9)*("Valid"=PLT!$P$4:$P$7190),PLT!$V$4:$V$8886),"")</f>
        <v/>
      </c>
      <c r="AG9" s="44">
        <f>IFERROR(IF(AVERAGE(AD9:AF9)&gt;References!$BO$23,References!$BP$23,
IF(AVERAGE(AD9:AF9)&gt;References!$BO$22,References!$BP$22,
IF(AVERAGE(AD9:AF9)&gt;References!$BO$21,References!$BP$21,
IF(AVERAGE(AD9:AF9)&gt;References!$BO$20,References!$BP$20,
IF(AVERAGE(AD9:AF9)&gt;References!$BO$19,References!$BP$19,
IF(AVERAGE(AD9:AF9)&gt;References!$BO$18,References!$BP$18,
0)))))),"")</f>
        <v>0</v>
      </c>
      <c r="AH9" s="43">
        <f>IF(Data_Geotech[[#This Row],[Is50]]="",VLOOKUP(Data_Geotech[[#This Row],[Field Intact Rock Strength]],Table_RMR76_Strength[],2,FALSE),Data_Geotech[[#This Row],[Is50]])</f>
        <v>0</v>
      </c>
      <c r="AI9" s="43">
        <f>IF(Data_Geotech[[#This Row],[RQD (%)]]&lt;=25,3,IF(Data_Geotech[[#This Row],[RQD (%)]]&lt;=50,8,IF(Data_Geotech[[#This Row],[RQD (%)]]&lt;=75,13,IF(Data_Geotech[[#This Row],[RQD (%)]]&lt;=90,17,20))))</f>
        <v>20</v>
      </c>
      <c r="AJ9" s="43">
        <f>IF(Data_Geotech[[#This Row],[Joint spacing (m)]]&lt;=0.05,5,IF(Data_Geotech[[#This Row],[Joint spacing (m)]]&lt;=0.3,10,IF(Data_Geotech[[#This Row],[Joint spacing (m)]]&lt;=1,20,IF(Data_Geotech[[#This Row],[Joint spacing (m)]]&lt;=3,25,30))))</f>
        <v>30</v>
      </c>
      <c r="AK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9" s="6">
        <v>10</v>
      </c>
      <c r="AM9" s="117">
        <f>IF(Data_Geotech[[#This Row],[FIRS Code]]="R",IFERROR(SUM(Data_Geotech[[#This Row],[RMR76 - Strength rating]:[RMR76 - Ground water rating]]),""),"")</f>
        <v>85</v>
      </c>
      <c r="AN9" s="39">
        <f>IF(Data_Geotech[[#This Row],[FIRS Code]]="R",(2*Data_Geotech[[#This Row],[RMR76 - Joint condition rating]])+(IF(Data_Geotech[[#This Row],[RQD (%)]]&gt;80,80/2,Data_Geotech[[#This Row],[RQD (%)]]/2)),"")</f>
        <v>90</v>
      </c>
      <c r="AO9" s="43" t="str">
        <f>LEFT(Data_Geotech[[#This Row],[Joint Set Rating]],FIND("-",Data_Geotech[[#This Row],[Joint Set Rating]],1)-2)</f>
        <v>0.5</v>
      </c>
      <c r="AP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9" s="5">
        <f t="shared" si="0"/>
        <v>1</v>
      </c>
      <c r="AR9" s="49" t="str">
        <f>IF(Data_Geotech[[#This Row],[FIRS Code]]="R",IFERROR((IF(Data_Geotech[[#This Row],[RQD (%)]]&lt;10,10,Data_Geotech[[#This Row],[RQD (%)]])/Data_Geotech[[#This Row],[Jn rating]])*Data_Geotech[[#This Row],[Jr/Ja]],""),"")</f>
        <v/>
      </c>
      <c r="AS9" s="45" t="str">
        <f>IF(Data_Geotech[[#This Row],[FIRS Code]]="R",IFERROR((IF(Data_Geotech[[#This Row],[RQD (%)]]&lt;10,10,Data_Geotech[[#This Row],[RQD (%)]])/Data_Geotech[[#This Row],[Jn rating]])*Data_Geotech[[#This Row],[Jr/Ja]]*Data_Geotech[[#This Row],[Jw/SRF]],""),"")</f>
        <v/>
      </c>
      <c r="AT9" s="12"/>
      <c r="AU9" s="13">
        <f>100-Data_Geotech[[#This Row],[RQD (%)]]</f>
        <v>0</v>
      </c>
      <c r="AV9" s="13">
        <f>100-Data_Geotech[[#This Row],[TCR (%)]]</f>
        <v>8.3844042819691822E-13</v>
      </c>
      <c r="AW9" s="62">
        <f>(Data_Geotech[[#This Row],[Fracture per interval]]+Data_Geotech[[#This Row],[Added fractures 
(BC, FLT, LC)]])/Data_Geotech[[#This Row],[TCR (m)]]</f>
        <v>0</v>
      </c>
      <c r="AX9" s="6" t="s">
        <v>109</v>
      </c>
      <c r="AY9" s="63">
        <f>7-MID(Data_Geotech[[#This Row],[Field Intact Rock Strength]],2,1)</f>
        <v>1</v>
      </c>
      <c r="AZ9" s="63">
        <f>VLOOKUP(Data_Geotech[[#This Row],[Field Intact Rock Strength]],Table_FieldStrength[],2,FALSE)</f>
        <v>250</v>
      </c>
      <c r="BA9" s="63">
        <f>VLOOKUP(Data_Geotech[[#This Row],[Field Intact Rock Strength]],Table_FieldStrength[],3,FALSE)</f>
        <v>275</v>
      </c>
      <c r="BB9" s="63">
        <f>VLOOKUP(Data_Geotech[[#This Row],[Field Intact Rock Strength]],Table_FieldStrength[],4,FALSE)</f>
        <v>300</v>
      </c>
      <c r="BC9" s="63">
        <f>100-Data_Geotech[[#This Row],[RMR76]]</f>
        <v>15</v>
      </c>
      <c r="BD9" s="63" t="str">
        <f>LEFT(Data_Geotech[[#This Row],[Weathering/Alteration]],FIND("-",Data_Geotech[[#This Row],[Weathering/Alteration]])-2)</f>
        <v>W1/A1</v>
      </c>
    </row>
    <row r="10" spans="1:56" ht="15.75" hidden="1" thickBot="1" x14ac:dyDescent="0.3">
      <c r="A10" t="s">
        <v>26</v>
      </c>
      <c r="B10" s="16" t="str">
        <f>VLOOKUP(Data_Geotech[[#This Row],[Hole ID]],Data_Log[],2,FALSE)</f>
        <v>CGF-01</v>
      </c>
      <c r="C10" s="5">
        <v>55.38</v>
      </c>
      <c r="D10" s="5">
        <v>56.93</v>
      </c>
      <c r="E10" s="5">
        <f>(Data_Geotech[[#This Row],[To (m)]]-Data_Geotech[[#This Row],[From (m)]])/2+Data_Geotech[[#This Row],[From (m)]]</f>
        <v>56.155000000000001</v>
      </c>
      <c r="F10" s="13">
        <f>Data_Geotech[[#This Row],[To (m)]]-Data_Geotech[[#This Row],[From (m)]]</f>
        <v>1.5499999999999972</v>
      </c>
      <c r="G10" s="5">
        <v>1.55</v>
      </c>
      <c r="H10" s="61">
        <f>Data_Geotech[[#This Row],[TCR (m)]]/Data_Geotech[[#This Row],[Run (m)]]*100</f>
        <v>100.00000000000017</v>
      </c>
      <c r="I10" s="5">
        <v>1.54</v>
      </c>
      <c r="J10" s="5">
        <v>1.54</v>
      </c>
      <c r="K10" s="5">
        <v>1.54</v>
      </c>
      <c r="L10" s="61">
        <f>Data_Geotech[[#This Row],[RQD (m)]]/Data_Geotech[[#This Row],[Run Reel (m)]]*100</f>
        <v>100</v>
      </c>
      <c r="M10" t="s">
        <v>580</v>
      </c>
      <c r="O10" t="s">
        <v>243</v>
      </c>
      <c r="P10" s="115" t="s">
        <v>416</v>
      </c>
      <c r="Q10" s="5" t="s">
        <v>313</v>
      </c>
      <c r="R10" s="5"/>
      <c r="S10" s="5"/>
      <c r="T10" s="5"/>
      <c r="U10" s="5"/>
      <c r="V10" s="6">
        <v>0</v>
      </c>
      <c r="W10" s="92">
        <f>SUMIFS(Discontinuities!$D$4:$D$9664,Discontinuities!$A$4:$A$9664,A10,Discontinuities!$C$4:$C$9664,"&gt;="&amp;C10,Discontinuities!$C$4:$C$9664,"&lt;"&amp;D10)
-SUMIFS(Discontinuities!$D$4:$D$9664,Discontinuities!$A$4:$A$9664,A10,Discontinuities!$C$4:$C$9664,"&gt;="&amp;C10,Discontinuities!$C$4:$C$9664,"&lt;"&amp;D10,Discontinuities!$E$4:$E$9664,"=BC")
-SUMIFS(Discontinuities!$D$4:$D$9664,Discontinuities!$A$4:$A$9664,A10,Discontinuities!$C$4:$C$9664,"&gt;="&amp;C10,Discontinuities!$C$4:$C$9664,"&lt;"&amp;D10,Discontinuities!$E$4:$E$9664,"=LC")
-SUMIFS(Discontinuities!$D$4:$D$9664,Discontinuities!$A$4:$A$9664,A10,Discontinuities!$C$4:$C$9664,"&gt;="&amp;C10,Discontinuities!$C$4:$C$9664,"&lt;"&amp;D10,Discontinuities!$E$4:$E$9664,"=FLT")</f>
        <v>0</v>
      </c>
      <c r="X10" t="s">
        <v>245</v>
      </c>
      <c r="AA10" s="12"/>
      <c r="AB10" s="43">
        <f>IFERROR(ROUND((Data_Geotech[[#This Row],[Fault (m)]]+Data_Geotech[[#This Row],[Broken Core (m)]]+Data_Geotech[[#This Row],[Lost Core (m)]])*30,0),0)</f>
        <v>0</v>
      </c>
      <c r="AC10" s="44">
        <f>IF(Data_Geotech[[#This Row],[Added fractures 
(BC, FLT, LC)]]+Data_Geotech[[#This Row],[Fracture per interval]]=0,99,1/((Data_Geotech[[#This Row],[Fracture per interval]]+Data_Geotech[[#This Row],[Added fractures 
(BC, FLT, LC)]])/Data_Geotech[[#This Row],[Run (m)]]))</f>
        <v>99</v>
      </c>
      <c r="AD10" s="155" cm="1">
        <f t="array" ref="AD10">IFERROR(_xlfn.XLOOKUP(1,(A10=PLT!$A$4:$A$8886)*(Geotech!C10&lt;=PLT!$F$4:$F$8886)*(Geotech!D10&gt;=PLT!$F$4:$F$8886)*("Valid"=PLT!$P$4:$P$8886),PLT!$V$4:$V$8886),"")</f>
        <v>0</v>
      </c>
      <c r="AE10" s="156" t="str" cm="1">
        <f t="array" ref="AE10">IFERROR(_xlfn.XLOOKUP(1,(A10=PLT!$A$4:$A$8886)*(Geotech!C10&lt;=PLT!$F$4:$F$8886)*(Geotech!D10&gt;=PLT!$F$4:$F$8886)*(PLT!$V$4:$V$8886&lt;&gt;AD10)*("Valid"=PLT!$P$4:$P$7190),PLT!$V$4:$V$8886),"")</f>
        <v/>
      </c>
      <c r="AF10" s="156" t="str" cm="1">
        <f t="array" ref="AF10">IFERROR(_xlfn.XLOOKUP(1,(A10=PLT!$A$4:$A$8886)*(Geotech!C10&lt;=PLT!$F$4:$F$8886)*(Geotech!D10&gt;=PLT!$F$4:$F$8886)*(PLT!$V$4:$V$8886&lt;&gt;AD10)*(PLT!$V$4:$V$8886&lt;&gt;AE10)*("Valid"=PLT!$P$4:$P$7190),PLT!$V$4:$V$8886),"")</f>
        <v/>
      </c>
      <c r="AG10" s="44">
        <f>IFERROR(IF(AVERAGE(AD10:AF10)&gt;References!$BO$23,References!$BP$23,
IF(AVERAGE(AD10:AF10)&gt;References!$BO$22,References!$BP$22,
IF(AVERAGE(AD10:AF10)&gt;References!$BO$21,References!$BP$21,
IF(AVERAGE(AD10:AF10)&gt;References!$BO$20,References!$BP$20,
IF(AVERAGE(AD10:AF10)&gt;References!$BO$19,References!$BP$19,
IF(AVERAGE(AD10:AF10)&gt;References!$BO$18,References!$BP$18,
0)))))),"")</f>
        <v>0</v>
      </c>
      <c r="AH10" s="43">
        <f>IF(Data_Geotech[[#This Row],[Is50]]="",VLOOKUP(Data_Geotech[[#This Row],[Field Intact Rock Strength]],Table_RMR76_Strength[],2,FALSE),Data_Geotech[[#This Row],[Is50]])</f>
        <v>0</v>
      </c>
      <c r="AI10" s="43">
        <f>IF(Data_Geotech[[#This Row],[RQD (%)]]&lt;=25,3,IF(Data_Geotech[[#This Row],[RQD (%)]]&lt;=50,8,IF(Data_Geotech[[#This Row],[RQD (%)]]&lt;=75,13,IF(Data_Geotech[[#This Row],[RQD (%)]]&lt;=90,17,20))))</f>
        <v>20</v>
      </c>
      <c r="AJ10" s="43">
        <f>IF(Data_Geotech[[#This Row],[Joint spacing (m)]]&lt;=0.05,5,IF(Data_Geotech[[#This Row],[Joint spacing (m)]]&lt;=0.3,10,IF(Data_Geotech[[#This Row],[Joint spacing (m)]]&lt;=1,20,IF(Data_Geotech[[#This Row],[Joint spacing (m)]]&lt;=3,25,30))))</f>
        <v>30</v>
      </c>
      <c r="AK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0" s="6">
        <v>10</v>
      </c>
      <c r="AM10" s="117">
        <f>IF(Data_Geotech[[#This Row],[FIRS Code]]="R",IFERROR(SUM(Data_Geotech[[#This Row],[RMR76 - Strength rating]:[RMR76 - Ground water rating]]),""),"")</f>
        <v>85</v>
      </c>
      <c r="AN10" s="39">
        <f>IF(Data_Geotech[[#This Row],[FIRS Code]]="R",(2*Data_Geotech[[#This Row],[RMR76 - Joint condition rating]])+(IF(Data_Geotech[[#This Row],[RQD (%)]]&gt;80,80/2,Data_Geotech[[#This Row],[RQD (%)]]/2)),"")</f>
        <v>90</v>
      </c>
      <c r="AO10" s="43" t="str">
        <f>LEFT(Data_Geotech[[#This Row],[Joint Set Rating]],FIND("-",Data_Geotech[[#This Row],[Joint Set Rating]],1)-2)</f>
        <v>0.5</v>
      </c>
      <c r="AP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0" s="5">
        <f t="shared" si="0"/>
        <v>1</v>
      </c>
      <c r="AR10" s="49" t="str">
        <f>IF(Data_Geotech[[#This Row],[FIRS Code]]="R",IFERROR((IF(Data_Geotech[[#This Row],[RQD (%)]]&lt;10,10,Data_Geotech[[#This Row],[RQD (%)]])/Data_Geotech[[#This Row],[Jn rating]])*Data_Geotech[[#This Row],[Jr/Ja]],""),"")</f>
        <v/>
      </c>
      <c r="AS10" s="45" t="str">
        <f>IF(Data_Geotech[[#This Row],[FIRS Code]]="R",IFERROR((IF(Data_Geotech[[#This Row],[RQD (%)]]&lt;10,10,Data_Geotech[[#This Row],[RQD (%)]])/Data_Geotech[[#This Row],[Jn rating]])*Data_Geotech[[#This Row],[Jr/Ja]]*Data_Geotech[[#This Row],[Jw/SRF]],""),"")</f>
        <v/>
      </c>
      <c r="AT10" s="12"/>
      <c r="AU10" s="13">
        <f>100-Data_Geotech[[#This Row],[RQD (%)]]</f>
        <v>0</v>
      </c>
      <c r="AV10" s="13">
        <f>100-Data_Geotech[[#This Row],[TCR (%)]]</f>
        <v>-1.7053025658242404E-13</v>
      </c>
      <c r="AW10" s="62">
        <f>(Data_Geotech[[#This Row],[Fracture per interval]]+Data_Geotech[[#This Row],[Added fractures 
(BC, FLT, LC)]])/Data_Geotech[[#This Row],[TCR (m)]]</f>
        <v>0</v>
      </c>
      <c r="AX10" s="6" t="s">
        <v>109</v>
      </c>
      <c r="AY10" s="63">
        <f>7-MID(Data_Geotech[[#This Row],[Field Intact Rock Strength]],2,1)</f>
        <v>1</v>
      </c>
      <c r="AZ10" s="63">
        <f>VLOOKUP(Data_Geotech[[#This Row],[Field Intact Rock Strength]],Table_FieldStrength[],2,FALSE)</f>
        <v>250</v>
      </c>
      <c r="BA10" s="63">
        <f>VLOOKUP(Data_Geotech[[#This Row],[Field Intact Rock Strength]],Table_FieldStrength[],3,FALSE)</f>
        <v>275</v>
      </c>
      <c r="BB10" s="63">
        <f>VLOOKUP(Data_Geotech[[#This Row],[Field Intact Rock Strength]],Table_FieldStrength[],4,FALSE)</f>
        <v>300</v>
      </c>
      <c r="BC10" s="63">
        <f>100-Data_Geotech[[#This Row],[RMR76]]</f>
        <v>15</v>
      </c>
      <c r="BD10" s="63" t="str">
        <f>LEFT(Data_Geotech[[#This Row],[Weathering/Alteration]],FIND("-",Data_Geotech[[#This Row],[Weathering/Alteration]])-2)</f>
        <v>W1/A1</v>
      </c>
    </row>
    <row r="11" spans="1:56" ht="15.75" hidden="1" thickBot="1" x14ac:dyDescent="0.3">
      <c r="A11" t="s">
        <v>26</v>
      </c>
      <c r="B11" s="16" t="str">
        <f>VLOOKUP(Data_Geotech[[#This Row],[Hole ID]],Data_Log[],2,FALSE)</f>
        <v>CGF-01</v>
      </c>
      <c r="C11" s="5">
        <v>56.93</v>
      </c>
      <c r="D11" s="5">
        <v>57.5</v>
      </c>
      <c r="E11" s="5">
        <f>(Data_Geotech[[#This Row],[To (m)]]-Data_Geotech[[#This Row],[From (m)]])/2+Data_Geotech[[#This Row],[From (m)]]</f>
        <v>57.215000000000003</v>
      </c>
      <c r="F11" s="13">
        <f>Data_Geotech[[#This Row],[To (m)]]-Data_Geotech[[#This Row],[From (m)]]</f>
        <v>0.57000000000000028</v>
      </c>
      <c r="G11" s="5">
        <v>0.56999999999999995</v>
      </c>
      <c r="H11" s="61">
        <f>Data_Geotech[[#This Row],[TCR (m)]]/Data_Geotech[[#This Row],[Run (m)]]*100</f>
        <v>99.999999999999943</v>
      </c>
      <c r="I11" s="151">
        <v>0.56000000000000005</v>
      </c>
      <c r="J11" s="151">
        <v>0.56000000000000005</v>
      </c>
      <c r="K11" s="5">
        <v>0.51</v>
      </c>
      <c r="L11" s="61">
        <f>Data_Geotech[[#This Row],[RQD (m)]]/Data_Geotech[[#This Row],[Run Reel (m)]]*100</f>
        <v>91.071428571428569</v>
      </c>
      <c r="M11" t="s">
        <v>580</v>
      </c>
      <c r="O11" t="s">
        <v>278</v>
      </c>
      <c r="P11" s="115" t="s">
        <v>397</v>
      </c>
      <c r="Q11" s="5" t="s">
        <v>346</v>
      </c>
      <c r="R11" s="5"/>
      <c r="S11" s="5"/>
      <c r="T11" s="5"/>
      <c r="U11" s="5"/>
      <c r="V11" s="6">
        <v>3</v>
      </c>
      <c r="W11" s="92">
        <f>SUMIFS(Discontinuities!$D$4:$D$9664,Discontinuities!$A$4:$A$9664,A11,Discontinuities!$C$4:$C$9664,"&gt;="&amp;C11,Discontinuities!$C$4:$C$9664,"&lt;"&amp;D11)
-SUMIFS(Discontinuities!$D$4:$D$9664,Discontinuities!$A$4:$A$9664,A11,Discontinuities!$C$4:$C$9664,"&gt;="&amp;C11,Discontinuities!$C$4:$C$9664,"&lt;"&amp;D11,Discontinuities!$E$4:$E$9664,"=BC")
-SUMIFS(Discontinuities!$D$4:$D$9664,Discontinuities!$A$4:$A$9664,A11,Discontinuities!$C$4:$C$9664,"&gt;="&amp;C11,Discontinuities!$C$4:$C$9664,"&lt;"&amp;D11,Discontinuities!$E$4:$E$9664,"=LC")
-SUMIFS(Discontinuities!$D$4:$D$9664,Discontinuities!$A$4:$A$9664,A11,Discontinuities!$C$4:$C$9664,"&gt;="&amp;C11,Discontinuities!$C$4:$C$9664,"&lt;"&amp;D11,Discontinuities!$E$4:$E$9664,"=FLT")</f>
        <v>3</v>
      </c>
      <c r="X11" t="s">
        <v>312</v>
      </c>
      <c r="AA11" s="12"/>
      <c r="AB11" s="43">
        <f>IFERROR(ROUND((Data_Geotech[[#This Row],[Fault (m)]]+Data_Geotech[[#This Row],[Broken Core (m)]]+Data_Geotech[[#This Row],[Lost Core (m)]])*30,0),0)</f>
        <v>0</v>
      </c>
      <c r="AC11" s="44">
        <f>IF(Data_Geotech[[#This Row],[Added fractures 
(BC, FLT, LC)]]+Data_Geotech[[#This Row],[Fracture per interval]]=0,99,1/((Data_Geotech[[#This Row],[Fracture per interval]]+Data_Geotech[[#This Row],[Added fractures 
(BC, FLT, LC)]])/Data_Geotech[[#This Row],[Run (m)]]))</f>
        <v>0.19000000000000009</v>
      </c>
      <c r="AD11" s="155" cm="1">
        <f t="array" ref="AD11">IFERROR(_xlfn.XLOOKUP(1,(A11=PLT!$A$4:$A$8886)*(Geotech!C11&lt;=PLT!$F$4:$F$8886)*(Geotech!D11&gt;=PLT!$F$4:$F$8886)*("Valid"=PLT!$P$4:$P$8886),PLT!$V$4:$V$8886),"")</f>
        <v>0</v>
      </c>
      <c r="AE11" s="156" t="str" cm="1">
        <f t="array" ref="AE11">IFERROR(_xlfn.XLOOKUP(1,(A11=PLT!$A$4:$A$8886)*(Geotech!C11&lt;=PLT!$F$4:$F$8886)*(Geotech!D11&gt;=PLT!$F$4:$F$8886)*(PLT!$V$4:$V$8886&lt;&gt;AD11)*("Valid"=PLT!$P$4:$P$7190),PLT!$V$4:$V$8886),"")</f>
        <v/>
      </c>
      <c r="AF11" s="156" t="str" cm="1">
        <f t="array" ref="AF11">IFERROR(_xlfn.XLOOKUP(1,(A11=PLT!$A$4:$A$8886)*(Geotech!C11&lt;=PLT!$F$4:$F$8886)*(Geotech!D11&gt;=PLT!$F$4:$F$8886)*(PLT!$V$4:$V$8886&lt;&gt;AD11)*(PLT!$V$4:$V$8886&lt;&gt;AE11)*("Valid"=PLT!$P$4:$P$7190),PLT!$V$4:$V$8886),"")</f>
        <v/>
      </c>
      <c r="AG11" s="44">
        <f>IFERROR(IF(AVERAGE(AD11:AF11)&gt;References!$BO$23,References!$BP$23,
IF(AVERAGE(AD11:AF11)&gt;References!$BO$22,References!$BP$22,
IF(AVERAGE(AD11:AF11)&gt;References!$BO$21,References!$BP$21,
IF(AVERAGE(AD11:AF11)&gt;References!$BO$20,References!$BP$20,
IF(AVERAGE(AD11:AF11)&gt;References!$BO$19,References!$BP$19,
IF(AVERAGE(AD11:AF11)&gt;References!$BO$18,References!$BP$18,
0)))))),"")</f>
        <v>0</v>
      </c>
      <c r="AH11" s="43">
        <f>IF(Data_Geotech[[#This Row],[Is50]]="",VLOOKUP(Data_Geotech[[#This Row],[Field Intact Rock Strength]],Table_RMR76_Strength[],2,FALSE),Data_Geotech[[#This Row],[Is50]])</f>
        <v>0</v>
      </c>
      <c r="AI11" s="43">
        <f>IF(Data_Geotech[[#This Row],[RQD (%)]]&lt;=25,3,IF(Data_Geotech[[#This Row],[RQD (%)]]&lt;=50,8,IF(Data_Geotech[[#This Row],[RQD (%)]]&lt;=75,13,IF(Data_Geotech[[#This Row],[RQD (%)]]&lt;=90,17,20))))</f>
        <v>20</v>
      </c>
      <c r="AJ11" s="43">
        <f>IF(Data_Geotech[[#This Row],[Joint spacing (m)]]&lt;=0.05,5,IF(Data_Geotech[[#This Row],[Joint spacing (m)]]&lt;=0.3,10,IF(Data_Geotech[[#This Row],[Joint spacing (m)]]&lt;=1,20,IF(Data_Geotech[[#This Row],[Joint spacing (m)]]&lt;=3,25,30))))</f>
        <v>10</v>
      </c>
      <c r="AK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14.666666666666666</v>
      </c>
      <c r="AL11" s="6">
        <v>10</v>
      </c>
      <c r="AM11" s="117">
        <f>IF(Data_Geotech[[#This Row],[FIRS Code]]="R",IFERROR(SUM(Data_Geotech[[#This Row],[RMR76 - Strength rating]:[RMR76 - Ground water rating]]),""),"")</f>
        <v>54.666666666666664</v>
      </c>
      <c r="AN11" s="39">
        <f>IF(Data_Geotech[[#This Row],[FIRS Code]]="R",(2*Data_Geotech[[#This Row],[RMR76 - Joint condition rating]])+(IF(Data_Geotech[[#This Row],[RQD (%)]]&gt;80,80/2,Data_Geotech[[#This Row],[RQD (%)]]/2)),"")</f>
        <v>69.333333333333329</v>
      </c>
      <c r="AO11" s="43" t="str">
        <f>LEFT(Data_Geotech[[#This Row],[Joint Set Rating]],FIND("-",Data_Geotech[[#This Row],[Joint Set Rating]],1)-2)</f>
        <v>2</v>
      </c>
      <c r="AP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0.58333333333333337</v>
      </c>
      <c r="AQ11" s="5">
        <f t="shared" si="0"/>
        <v>1</v>
      </c>
      <c r="AR11" s="49">
        <f>IF(Data_Geotech[[#This Row],[FIRS Code]]="R",IFERROR((IF(Data_Geotech[[#This Row],[RQD (%)]]&lt;10,10,Data_Geotech[[#This Row],[RQD (%)]])/Data_Geotech[[#This Row],[Jn rating]])*Data_Geotech[[#This Row],[Jr/Ja]],""),"")</f>
        <v>26.5625</v>
      </c>
      <c r="AS11" s="45">
        <f>IF(Data_Geotech[[#This Row],[FIRS Code]]="R",IFERROR((IF(Data_Geotech[[#This Row],[RQD (%)]]&lt;10,10,Data_Geotech[[#This Row],[RQD (%)]])/Data_Geotech[[#This Row],[Jn rating]])*Data_Geotech[[#This Row],[Jr/Ja]]*Data_Geotech[[#This Row],[Jw/SRF]],""),"")</f>
        <v>26.5625</v>
      </c>
      <c r="AT11" s="12"/>
      <c r="AU11" s="13">
        <f>100-Data_Geotech[[#This Row],[RQD (%)]]</f>
        <v>8.9285714285714306</v>
      </c>
      <c r="AV11" s="13">
        <f>100-Data_Geotech[[#This Row],[TCR (%)]]</f>
        <v>0</v>
      </c>
      <c r="AW11" s="62">
        <f>(Data_Geotech[[#This Row],[Fracture per interval]]+Data_Geotech[[#This Row],[Added fractures 
(BC, FLT, LC)]])/Data_Geotech[[#This Row],[TCR (m)]]</f>
        <v>5.2631578947368425</v>
      </c>
      <c r="AX11" s="6" t="s">
        <v>109</v>
      </c>
      <c r="AY11" s="63">
        <f>7-MID(Data_Geotech[[#This Row],[Field Intact Rock Strength]],2,1)</f>
        <v>2</v>
      </c>
      <c r="AZ11" s="63">
        <f>VLOOKUP(Data_Geotech[[#This Row],[Field Intact Rock Strength]],Table_FieldStrength[],2,FALSE)</f>
        <v>100</v>
      </c>
      <c r="BA11" s="63">
        <f>VLOOKUP(Data_Geotech[[#This Row],[Field Intact Rock Strength]],Table_FieldStrength[],3,FALSE)</f>
        <v>175</v>
      </c>
      <c r="BB11" s="63">
        <f>VLOOKUP(Data_Geotech[[#This Row],[Field Intact Rock Strength]],Table_FieldStrength[],4,FALSE)</f>
        <v>250</v>
      </c>
      <c r="BC11" s="63">
        <f>100-Data_Geotech[[#This Row],[RMR76]]</f>
        <v>45.333333333333336</v>
      </c>
      <c r="BD11" s="63" t="str">
        <f>LEFT(Data_Geotech[[#This Row],[Weathering/Alteration]],FIND("-",Data_Geotech[[#This Row],[Weathering/Alteration]])-2)</f>
        <v>W2/A2</v>
      </c>
    </row>
    <row r="12" spans="1:56" ht="15.75" hidden="1" thickBot="1" x14ac:dyDescent="0.3">
      <c r="A12" t="s">
        <v>26</v>
      </c>
      <c r="B12" s="16" t="str">
        <f>VLOOKUP(Data_Geotech[[#This Row],[Hole ID]],Data_Log[],2,FALSE)</f>
        <v>CGF-01</v>
      </c>
      <c r="C12" s="5">
        <v>57.5</v>
      </c>
      <c r="D12" s="5">
        <v>60</v>
      </c>
      <c r="E12" s="5">
        <f>(Data_Geotech[[#This Row],[To (m)]]-Data_Geotech[[#This Row],[From (m)]])/2+Data_Geotech[[#This Row],[From (m)]]</f>
        <v>58.75</v>
      </c>
      <c r="F12" s="13">
        <f>Data_Geotech[[#This Row],[To (m)]]-Data_Geotech[[#This Row],[From (m)]]</f>
        <v>2.5</v>
      </c>
      <c r="G12" s="5">
        <v>2.5</v>
      </c>
      <c r="H12" s="61">
        <f>Data_Geotech[[#This Row],[TCR (m)]]/Data_Geotech[[#This Row],[Run (m)]]*100</f>
        <v>100</v>
      </c>
      <c r="I12" s="151">
        <v>2.5</v>
      </c>
      <c r="J12" s="151">
        <v>2.5</v>
      </c>
      <c r="K12" s="5">
        <f>2.5-0.11-0.08</f>
        <v>2.31</v>
      </c>
      <c r="L12" s="61">
        <f>Data_Geotech[[#This Row],[RQD (m)]]/Data_Geotech[[#This Row],[Run Reel (m)]]*100</f>
        <v>92.4</v>
      </c>
      <c r="M12" t="s">
        <v>584</v>
      </c>
      <c r="O12" t="s">
        <v>278</v>
      </c>
      <c r="P12" s="115" t="s">
        <v>397</v>
      </c>
      <c r="Q12" s="5" t="s">
        <v>281</v>
      </c>
      <c r="R12" s="5"/>
      <c r="S12" s="5"/>
      <c r="T12" s="5"/>
      <c r="U12" s="5"/>
      <c r="V12" s="6">
        <v>6</v>
      </c>
      <c r="W12" s="92">
        <f>SUMIFS(Discontinuities!$D$4:$D$9664,Discontinuities!$A$4:$A$9664,A12,Discontinuities!$C$4:$C$9664,"&gt;="&amp;C12,Discontinuities!$C$4:$C$9664,"&lt;"&amp;D12)
-SUMIFS(Discontinuities!$D$4:$D$9664,Discontinuities!$A$4:$A$9664,A12,Discontinuities!$C$4:$C$9664,"&gt;="&amp;C12,Discontinuities!$C$4:$C$9664,"&lt;"&amp;D12,Discontinuities!$E$4:$E$9664,"=BC")
-SUMIFS(Discontinuities!$D$4:$D$9664,Discontinuities!$A$4:$A$9664,A12,Discontinuities!$C$4:$C$9664,"&gt;="&amp;C12,Discontinuities!$C$4:$C$9664,"&lt;"&amp;D12,Discontinuities!$E$4:$E$9664,"=LC")
-SUMIFS(Discontinuities!$D$4:$D$9664,Discontinuities!$A$4:$A$9664,A12,Discontinuities!$C$4:$C$9664,"&gt;="&amp;C12,Discontinuities!$C$4:$C$9664,"&lt;"&amp;D12,Discontinuities!$E$4:$E$9664,"=FLT")</f>
        <v>6</v>
      </c>
      <c r="X12" t="s">
        <v>400</v>
      </c>
      <c r="Z12" t="s">
        <v>587</v>
      </c>
      <c r="AA12" s="12"/>
      <c r="AB12" s="43">
        <f>IFERROR(ROUND((Data_Geotech[[#This Row],[Fault (m)]]+Data_Geotech[[#This Row],[Broken Core (m)]]+Data_Geotech[[#This Row],[Lost Core (m)]])*30,0),0)</f>
        <v>0</v>
      </c>
      <c r="AC12" s="44">
        <f>IF(Data_Geotech[[#This Row],[Added fractures 
(BC, FLT, LC)]]+Data_Geotech[[#This Row],[Fracture per interval]]=0,99,1/((Data_Geotech[[#This Row],[Fracture per interval]]+Data_Geotech[[#This Row],[Added fractures 
(BC, FLT, LC)]])/Data_Geotech[[#This Row],[Run (m)]]))</f>
        <v>0.41666666666666669</v>
      </c>
      <c r="AD12" s="155" cm="1">
        <f t="array" ref="AD12">IFERROR(_xlfn.XLOOKUP(1,(A12=PLT!$A$4:$A$8886)*(Geotech!C12&lt;=PLT!$F$4:$F$8886)*(Geotech!D12&gt;=PLT!$F$4:$F$8886)*("Valid"=PLT!$P$4:$P$8886),PLT!$V$4:$V$8886),"")</f>
        <v>0</v>
      </c>
      <c r="AE12" s="156" t="str" cm="1">
        <f t="array" ref="AE12">IFERROR(_xlfn.XLOOKUP(1,(A12=PLT!$A$4:$A$8886)*(Geotech!C12&lt;=PLT!$F$4:$F$8886)*(Geotech!D12&gt;=PLT!$F$4:$F$8886)*(PLT!$V$4:$V$8886&lt;&gt;AD12)*("Valid"=PLT!$P$4:$P$7190),PLT!$V$4:$V$8886),"")</f>
        <v/>
      </c>
      <c r="AF12" s="156" t="str" cm="1">
        <f t="array" ref="AF12">IFERROR(_xlfn.XLOOKUP(1,(A12=PLT!$A$4:$A$8886)*(Geotech!C12&lt;=PLT!$F$4:$F$8886)*(Geotech!D12&gt;=PLT!$F$4:$F$8886)*(PLT!$V$4:$V$8886&lt;&gt;AD12)*(PLT!$V$4:$V$8886&lt;&gt;AE12)*("Valid"=PLT!$P$4:$P$7190),PLT!$V$4:$V$8886),"")</f>
        <v/>
      </c>
      <c r="AG12" s="44">
        <f>IFERROR(IF(AVERAGE(AD12:AF12)&gt;References!$BO$23,References!$BP$23,
IF(AVERAGE(AD12:AF12)&gt;References!$BO$22,References!$BP$22,
IF(AVERAGE(AD12:AF12)&gt;References!$BO$21,References!$BP$21,
IF(AVERAGE(AD12:AF12)&gt;References!$BO$20,References!$BP$20,
IF(AVERAGE(AD12:AF12)&gt;References!$BO$19,References!$BP$19,
IF(AVERAGE(AD12:AF12)&gt;References!$BO$18,References!$BP$18,
0)))))),"")</f>
        <v>0</v>
      </c>
      <c r="AH12" s="43">
        <f>IF(Data_Geotech[[#This Row],[Is50]]="",VLOOKUP(Data_Geotech[[#This Row],[Field Intact Rock Strength]],Table_RMR76_Strength[],2,FALSE),Data_Geotech[[#This Row],[Is50]])</f>
        <v>0</v>
      </c>
      <c r="AI12" s="43">
        <f>IF(Data_Geotech[[#This Row],[RQD (%)]]&lt;=25,3,IF(Data_Geotech[[#This Row],[RQD (%)]]&lt;=50,8,IF(Data_Geotech[[#This Row],[RQD (%)]]&lt;=75,13,IF(Data_Geotech[[#This Row],[RQD (%)]]&lt;=90,17,20))))</f>
        <v>20</v>
      </c>
      <c r="AJ12" s="43">
        <f>IF(Data_Geotech[[#This Row],[Joint spacing (m)]]&lt;=0.05,5,IF(Data_Geotech[[#This Row],[Joint spacing (m)]]&lt;=0.3,10,IF(Data_Geotech[[#This Row],[Joint spacing (m)]]&lt;=1,20,IF(Data_Geotech[[#This Row],[Joint spacing (m)]]&lt;=3,25,30))))</f>
        <v>20</v>
      </c>
      <c r="AK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12" s="6">
        <v>10</v>
      </c>
      <c r="AM12" s="117">
        <f>IF(Data_Geotech[[#This Row],[FIRS Code]]="R",IFERROR(SUM(Data_Geotech[[#This Row],[RMR76 - Strength rating]:[RMR76 - Ground water rating]]),""),"")</f>
        <v>72.5</v>
      </c>
      <c r="AN12" s="39">
        <f>IF(Data_Geotech[[#This Row],[FIRS Code]]="R",(2*Data_Geotech[[#This Row],[RMR76 - Joint condition rating]])+(IF(Data_Geotech[[#This Row],[RQD (%)]]&gt;80,80/2,Data_Geotech[[#This Row],[RQD (%)]]/2)),"")</f>
        <v>85</v>
      </c>
      <c r="AO12" s="43" t="str">
        <f>LEFT(Data_Geotech[[#This Row],[Joint Set Rating]],FIND("-",Data_Geotech[[#This Row],[Joint Set Rating]],1)-2)</f>
        <v>6</v>
      </c>
      <c r="AP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12" s="5">
        <f t="shared" si="0"/>
        <v>1</v>
      </c>
      <c r="AR12" s="49">
        <f>IF(Data_Geotech[[#This Row],[FIRS Code]]="R",IFERROR((IF(Data_Geotech[[#This Row],[RQD (%)]]&lt;10,10,Data_Geotech[[#This Row],[RQD (%)]])/Data_Geotech[[#This Row],[Jn rating]])*Data_Geotech[[#This Row],[Jr/Ja]],""),"")</f>
        <v>17.324999999999999</v>
      </c>
      <c r="AS12" s="45">
        <f>IF(Data_Geotech[[#This Row],[FIRS Code]]="R",IFERROR((IF(Data_Geotech[[#This Row],[RQD (%)]]&lt;10,10,Data_Geotech[[#This Row],[RQD (%)]])/Data_Geotech[[#This Row],[Jn rating]])*Data_Geotech[[#This Row],[Jr/Ja]]*Data_Geotech[[#This Row],[Jw/SRF]],""),"")</f>
        <v>17.324999999999999</v>
      </c>
      <c r="AT12" s="12"/>
      <c r="AU12" s="13">
        <f>100-Data_Geotech[[#This Row],[RQD (%)]]</f>
        <v>7.5999999999999943</v>
      </c>
      <c r="AV12" s="13">
        <f>100-Data_Geotech[[#This Row],[TCR (%)]]</f>
        <v>0</v>
      </c>
      <c r="AW12" s="62">
        <f>(Data_Geotech[[#This Row],[Fracture per interval]]+Data_Geotech[[#This Row],[Added fractures 
(BC, FLT, LC)]])/Data_Geotech[[#This Row],[TCR (m)]]</f>
        <v>2.4</v>
      </c>
      <c r="AX12" s="6" t="s">
        <v>109</v>
      </c>
      <c r="AY12" s="63">
        <f>7-MID(Data_Geotech[[#This Row],[Field Intact Rock Strength]],2,1)</f>
        <v>2</v>
      </c>
      <c r="AZ12" s="63">
        <f>VLOOKUP(Data_Geotech[[#This Row],[Field Intact Rock Strength]],Table_FieldStrength[],2,FALSE)</f>
        <v>100</v>
      </c>
      <c r="BA12" s="63">
        <f>VLOOKUP(Data_Geotech[[#This Row],[Field Intact Rock Strength]],Table_FieldStrength[],3,FALSE)</f>
        <v>175</v>
      </c>
      <c r="BB12" s="63">
        <f>VLOOKUP(Data_Geotech[[#This Row],[Field Intact Rock Strength]],Table_FieldStrength[],4,FALSE)</f>
        <v>250</v>
      </c>
      <c r="BC12" s="63">
        <f>100-Data_Geotech[[#This Row],[RMR76]]</f>
        <v>27.5</v>
      </c>
      <c r="BD12" s="63" t="str">
        <f>LEFT(Data_Geotech[[#This Row],[Weathering/Alteration]],FIND("-",Data_Geotech[[#This Row],[Weathering/Alteration]])-2)</f>
        <v>W2/A2</v>
      </c>
    </row>
    <row r="13" spans="1:56" ht="15.75" hidden="1" thickBot="1" x14ac:dyDescent="0.3">
      <c r="A13" t="s">
        <v>26</v>
      </c>
      <c r="B13" s="16" t="str">
        <f>VLOOKUP(Data_Geotech[[#This Row],[Hole ID]],Data_Log[],2,FALSE)</f>
        <v>CGF-01</v>
      </c>
      <c r="C13" s="5">
        <v>60</v>
      </c>
      <c r="D13" s="5">
        <v>63.04</v>
      </c>
      <c r="E13" s="5">
        <f>(Data_Geotech[[#This Row],[To (m)]]-Data_Geotech[[#This Row],[From (m)]])/2+Data_Geotech[[#This Row],[From (m)]]</f>
        <v>61.519999999999996</v>
      </c>
      <c r="F13" s="13">
        <f>Data_Geotech[[#This Row],[To (m)]]-Data_Geotech[[#This Row],[From (m)]]</f>
        <v>3.0399999999999991</v>
      </c>
      <c r="G13" s="5">
        <v>3.04</v>
      </c>
      <c r="H13" s="61">
        <f>Data_Geotech[[#This Row],[TCR (m)]]/Data_Geotech[[#This Row],[Run (m)]]*100</f>
        <v>100.00000000000003</v>
      </c>
      <c r="I13" s="151">
        <v>3.07</v>
      </c>
      <c r="J13" s="151">
        <v>3.07</v>
      </c>
      <c r="K13" s="5">
        <v>3.01</v>
      </c>
      <c r="L13" s="61">
        <f>Data_Geotech[[#This Row],[RQD (m)]]/Data_Geotech[[#This Row],[Run Reel (m)]]*100</f>
        <v>98.045602605863195</v>
      </c>
      <c r="M13" t="s">
        <v>584</v>
      </c>
      <c r="O13" t="s">
        <v>278</v>
      </c>
      <c r="P13" s="115" t="s">
        <v>416</v>
      </c>
      <c r="Q13" s="5" t="s">
        <v>281</v>
      </c>
      <c r="R13" s="5"/>
      <c r="S13" s="5"/>
      <c r="T13" s="5"/>
      <c r="U13" s="5"/>
      <c r="V13" s="6">
        <v>7</v>
      </c>
      <c r="W13" s="92">
        <f>SUMIFS(Discontinuities!$D$4:$D$9664,Discontinuities!$A$4:$A$9664,A13,Discontinuities!$C$4:$C$9664,"&gt;="&amp;C13,Discontinuities!$C$4:$C$9664,"&lt;"&amp;D13)
-SUMIFS(Discontinuities!$D$4:$D$9664,Discontinuities!$A$4:$A$9664,A13,Discontinuities!$C$4:$C$9664,"&gt;="&amp;C13,Discontinuities!$C$4:$C$9664,"&lt;"&amp;D13,Discontinuities!$E$4:$E$9664,"=BC")
-SUMIFS(Discontinuities!$D$4:$D$9664,Discontinuities!$A$4:$A$9664,A13,Discontinuities!$C$4:$C$9664,"&gt;="&amp;C13,Discontinuities!$C$4:$C$9664,"&lt;"&amp;D13,Discontinuities!$E$4:$E$9664,"=LC")
-SUMIFS(Discontinuities!$D$4:$D$9664,Discontinuities!$A$4:$A$9664,A13,Discontinuities!$C$4:$C$9664,"&gt;="&amp;C13,Discontinuities!$C$4:$C$9664,"&lt;"&amp;D13,Discontinuities!$E$4:$E$9664,"=FLT")</f>
        <v>7</v>
      </c>
      <c r="X13" t="s">
        <v>400</v>
      </c>
      <c r="Z13" t="s">
        <v>587</v>
      </c>
      <c r="AA13" s="12"/>
      <c r="AB13" s="43">
        <f>IFERROR(ROUND((Data_Geotech[[#This Row],[Fault (m)]]+Data_Geotech[[#This Row],[Broken Core (m)]]+Data_Geotech[[#This Row],[Lost Core (m)]])*30,0),0)</f>
        <v>0</v>
      </c>
      <c r="AC13" s="44">
        <f>IF(Data_Geotech[[#This Row],[Added fractures 
(BC, FLT, LC)]]+Data_Geotech[[#This Row],[Fracture per interval]]=0,99,1/((Data_Geotech[[#This Row],[Fracture per interval]]+Data_Geotech[[#This Row],[Added fractures 
(BC, FLT, LC)]])/Data_Geotech[[#This Row],[Run (m)]]))</f>
        <v>0.43428571428571416</v>
      </c>
      <c r="AD13" s="155" cm="1">
        <f t="array" ref="AD13">IFERROR(_xlfn.XLOOKUP(1,(A13=PLT!$A$4:$A$8886)*(Geotech!C13&lt;=PLT!$F$4:$F$8886)*(Geotech!D13&gt;=PLT!$F$4:$F$8886)*("Valid"=PLT!$P$4:$P$8886),PLT!$V$4:$V$8886),"")</f>
        <v>0</v>
      </c>
      <c r="AE13" s="156" t="str" cm="1">
        <f t="array" ref="AE13">IFERROR(_xlfn.XLOOKUP(1,(A13=PLT!$A$4:$A$8886)*(Geotech!C13&lt;=PLT!$F$4:$F$8886)*(Geotech!D13&gt;=PLT!$F$4:$F$8886)*(PLT!$V$4:$V$8886&lt;&gt;AD13)*("Valid"=PLT!$P$4:$P$7190),PLT!$V$4:$V$8886),"")</f>
        <v/>
      </c>
      <c r="AF13" s="156" t="str" cm="1">
        <f t="array" ref="AF13">IFERROR(_xlfn.XLOOKUP(1,(A13=PLT!$A$4:$A$8886)*(Geotech!C13&lt;=PLT!$F$4:$F$8886)*(Geotech!D13&gt;=PLT!$F$4:$F$8886)*(PLT!$V$4:$V$8886&lt;&gt;AD13)*(PLT!$V$4:$V$8886&lt;&gt;AE13)*("Valid"=PLT!$P$4:$P$7190),PLT!$V$4:$V$8886),"")</f>
        <v/>
      </c>
      <c r="AG13" s="44">
        <f>IFERROR(IF(AVERAGE(AD13:AF13)&gt;References!$BO$23,References!$BP$23,
IF(AVERAGE(AD13:AF13)&gt;References!$BO$22,References!$BP$22,
IF(AVERAGE(AD13:AF13)&gt;References!$BO$21,References!$BP$21,
IF(AVERAGE(AD13:AF13)&gt;References!$BO$20,References!$BP$20,
IF(AVERAGE(AD13:AF13)&gt;References!$BO$19,References!$BP$19,
IF(AVERAGE(AD13:AF13)&gt;References!$BO$18,References!$BP$18,
0)))))),"")</f>
        <v>0</v>
      </c>
      <c r="AH13" s="43">
        <f>IF(Data_Geotech[[#This Row],[Is50]]="",VLOOKUP(Data_Geotech[[#This Row],[Field Intact Rock Strength]],Table_RMR76_Strength[],2,FALSE),Data_Geotech[[#This Row],[Is50]])</f>
        <v>0</v>
      </c>
      <c r="AI13" s="43">
        <f>IF(Data_Geotech[[#This Row],[RQD (%)]]&lt;=25,3,IF(Data_Geotech[[#This Row],[RQD (%)]]&lt;=50,8,IF(Data_Geotech[[#This Row],[RQD (%)]]&lt;=75,13,IF(Data_Geotech[[#This Row],[RQD (%)]]&lt;=90,17,20))))</f>
        <v>20</v>
      </c>
      <c r="AJ13" s="43">
        <f>IF(Data_Geotech[[#This Row],[Joint spacing (m)]]&lt;=0.05,5,IF(Data_Geotech[[#This Row],[Joint spacing (m)]]&lt;=0.3,10,IF(Data_Geotech[[#This Row],[Joint spacing (m)]]&lt;=1,20,IF(Data_Geotech[[#This Row],[Joint spacing (m)]]&lt;=3,25,30))))</f>
        <v>20</v>
      </c>
      <c r="AK1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22.142857142857142</v>
      </c>
      <c r="AL13" s="6">
        <v>10</v>
      </c>
      <c r="AM13" s="117">
        <f>IF(Data_Geotech[[#This Row],[FIRS Code]]="R",IFERROR(SUM(Data_Geotech[[#This Row],[RMR76 - Strength rating]:[RMR76 - Ground water rating]]),""),"")</f>
        <v>72.142857142857139</v>
      </c>
      <c r="AN13" s="39">
        <f>IF(Data_Geotech[[#This Row],[FIRS Code]]="R",(2*Data_Geotech[[#This Row],[RMR76 - Joint condition rating]])+(IF(Data_Geotech[[#This Row],[RQD (%)]]&gt;80,80/2,Data_Geotech[[#This Row],[RQD (%)]]/2)),"")</f>
        <v>84.285714285714278</v>
      </c>
      <c r="AO13" s="43" t="str">
        <f>LEFT(Data_Geotech[[#This Row],[Joint Set Rating]],FIND("-",Data_Geotech[[#This Row],[Joint Set Rating]],1)-2)</f>
        <v>6</v>
      </c>
      <c r="AP1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1.1071428571428572</v>
      </c>
      <c r="AQ13" s="5">
        <f t="shared" si="0"/>
        <v>1</v>
      </c>
      <c r="AR13" s="49">
        <f>IF(Data_Geotech[[#This Row],[FIRS Code]]="R",IFERROR((IF(Data_Geotech[[#This Row],[RQD (%)]]&lt;10,10,Data_Geotech[[#This Row],[RQD (%)]])/Data_Geotech[[#This Row],[Jn rating]])*Data_Geotech[[#This Row],[Jr/Ja]],""),"")</f>
        <v>18.091748099891422</v>
      </c>
      <c r="AS13" s="45">
        <f>IF(Data_Geotech[[#This Row],[FIRS Code]]="R",IFERROR((IF(Data_Geotech[[#This Row],[RQD (%)]]&lt;10,10,Data_Geotech[[#This Row],[RQD (%)]])/Data_Geotech[[#This Row],[Jn rating]])*Data_Geotech[[#This Row],[Jr/Ja]]*Data_Geotech[[#This Row],[Jw/SRF]],""),"")</f>
        <v>18.091748099891422</v>
      </c>
      <c r="AT13" s="12"/>
      <c r="AU13" s="13">
        <f>100-Data_Geotech[[#This Row],[RQD (%)]]</f>
        <v>1.9543973941368051</v>
      </c>
      <c r="AV13" s="13">
        <f>100-Data_Geotech[[#This Row],[TCR (%)]]</f>
        <v>0</v>
      </c>
      <c r="AW13" s="62">
        <f>(Data_Geotech[[#This Row],[Fracture per interval]]+Data_Geotech[[#This Row],[Added fractures 
(BC, FLT, LC)]])/Data_Geotech[[#This Row],[TCR (m)]]</f>
        <v>2.3026315789473686</v>
      </c>
      <c r="AX13" s="6" t="s">
        <v>109</v>
      </c>
      <c r="AY13" s="63">
        <f>7-MID(Data_Geotech[[#This Row],[Field Intact Rock Strength]],2,1)</f>
        <v>1</v>
      </c>
      <c r="AZ13" s="63">
        <f>VLOOKUP(Data_Geotech[[#This Row],[Field Intact Rock Strength]],Table_FieldStrength[],2,FALSE)</f>
        <v>250</v>
      </c>
      <c r="BA13" s="63">
        <f>VLOOKUP(Data_Geotech[[#This Row],[Field Intact Rock Strength]],Table_FieldStrength[],3,FALSE)</f>
        <v>275</v>
      </c>
      <c r="BB13" s="63">
        <f>VLOOKUP(Data_Geotech[[#This Row],[Field Intact Rock Strength]],Table_FieldStrength[],4,FALSE)</f>
        <v>300</v>
      </c>
      <c r="BC13" s="63">
        <f>100-Data_Geotech[[#This Row],[RMR76]]</f>
        <v>27.857142857142861</v>
      </c>
      <c r="BD13" s="63" t="str">
        <f>LEFT(Data_Geotech[[#This Row],[Weathering/Alteration]],FIND("-",Data_Geotech[[#This Row],[Weathering/Alteration]])-2)</f>
        <v>W2/A2</v>
      </c>
    </row>
    <row r="14" spans="1:56" ht="15.75" hidden="1" thickBot="1" x14ac:dyDescent="0.3">
      <c r="A14" t="s">
        <v>26</v>
      </c>
      <c r="B14" s="16" t="str">
        <f>VLOOKUP(Data_Geotech[[#This Row],[Hole ID]],Data_Log[],2,FALSE)</f>
        <v>CGF-01</v>
      </c>
      <c r="C14" s="5">
        <v>63.04</v>
      </c>
      <c r="D14" s="5">
        <v>63.5</v>
      </c>
      <c r="E14" s="5">
        <f>(Data_Geotech[[#This Row],[To (m)]]-Data_Geotech[[#This Row],[From (m)]])/2+Data_Geotech[[#This Row],[From (m)]]</f>
        <v>63.269999999999996</v>
      </c>
      <c r="F14" s="13">
        <f>Data_Geotech[[#This Row],[To (m)]]-Data_Geotech[[#This Row],[From (m)]]</f>
        <v>0.46000000000000085</v>
      </c>
      <c r="G14" s="5">
        <v>0.46</v>
      </c>
      <c r="H14" s="61">
        <f>Data_Geotech[[#This Row],[TCR (m)]]/Data_Geotech[[#This Row],[Run (m)]]*100</f>
        <v>99.999999999999829</v>
      </c>
      <c r="I14" s="151">
        <v>0.46</v>
      </c>
      <c r="J14" s="151">
        <v>0.46</v>
      </c>
      <c r="K14" s="5">
        <v>0.46</v>
      </c>
      <c r="L14" s="61">
        <f>Data_Geotech[[#This Row],[RQD (m)]]/Data_Geotech[[#This Row],[Run Reel (m)]]*100</f>
        <v>100</v>
      </c>
      <c r="M14" t="s">
        <v>584</v>
      </c>
      <c r="O14" t="s">
        <v>278</v>
      </c>
      <c r="P14" s="115" t="s">
        <v>342</v>
      </c>
      <c r="Q14" s="5" t="s">
        <v>313</v>
      </c>
      <c r="R14" s="5"/>
      <c r="S14" s="5"/>
      <c r="T14" s="5"/>
      <c r="U14" s="5"/>
      <c r="V14" s="6">
        <v>1</v>
      </c>
      <c r="W14" s="92">
        <f>SUMIFS(Discontinuities!$D$4:$D$9664,Discontinuities!$A$4:$A$9664,A14,Discontinuities!$C$4:$C$9664,"&gt;="&amp;C14,Discontinuities!$C$4:$C$9664,"&lt;"&amp;D14)
-SUMIFS(Discontinuities!$D$4:$D$9664,Discontinuities!$A$4:$A$9664,A14,Discontinuities!$C$4:$C$9664,"&gt;="&amp;C14,Discontinuities!$C$4:$C$9664,"&lt;"&amp;D14,Discontinuities!$E$4:$E$9664,"=BC")
-SUMIFS(Discontinuities!$D$4:$D$9664,Discontinuities!$A$4:$A$9664,A14,Discontinuities!$C$4:$C$9664,"&gt;="&amp;C14,Discontinuities!$C$4:$C$9664,"&lt;"&amp;D14,Discontinuities!$E$4:$E$9664,"=LC")
-SUMIFS(Discontinuities!$D$4:$D$9664,Discontinuities!$A$4:$A$9664,A14,Discontinuities!$C$4:$C$9664,"&gt;="&amp;C14,Discontinuities!$C$4:$C$9664,"&lt;"&amp;D14,Discontinuities!$E$4:$E$9664,"=FLT")</f>
        <v>1</v>
      </c>
      <c r="X14" t="s">
        <v>312</v>
      </c>
      <c r="AA14" s="12"/>
      <c r="AB14" s="43">
        <f>IFERROR(ROUND((Data_Geotech[[#This Row],[Fault (m)]]+Data_Geotech[[#This Row],[Broken Core (m)]]+Data_Geotech[[#This Row],[Lost Core (m)]])*30,0),0)</f>
        <v>0</v>
      </c>
      <c r="AC14" s="44">
        <f>IF(Data_Geotech[[#This Row],[Added fractures 
(BC, FLT, LC)]]+Data_Geotech[[#This Row],[Fracture per interval]]=0,99,1/((Data_Geotech[[#This Row],[Fracture per interval]]+Data_Geotech[[#This Row],[Added fractures 
(BC, FLT, LC)]])/Data_Geotech[[#This Row],[Run (m)]]))</f>
        <v>0.46000000000000085</v>
      </c>
      <c r="AD14" s="155" t="str" cm="1">
        <f t="array" ref="AD14">IFERROR(_xlfn.XLOOKUP(1,(A14=PLT!$A$4:$A$8886)*(Geotech!C14&lt;=PLT!$F$4:$F$8886)*(Geotech!D14&gt;=PLT!$F$4:$F$8886)*("Valid"=PLT!$P$4:$P$8886),PLT!$V$4:$V$8886),"")</f>
        <v/>
      </c>
      <c r="AE14" s="156" t="str" cm="1">
        <f t="array" ref="AE14">IFERROR(_xlfn.XLOOKUP(1,(A14=PLT!$A$4:$A$8886)*(Geotech!C14&lt;=PLT!$F$4:$F$8886)*(Geotech!D14&gt;=PLT!$F$4:$F$8886)*(PLT!$V$4:$V$8886&lt;&gt;AD14)*("Valid"=PLT!$P$4:$P$7190),PLT!$V$4:$V$8886),"")</f>
        <v/>
      </c>
      <c r="AF14" s="156" t="str" cm="1">
        <f t="array" ref="AF14">IFERROR(_xlfn.XLOOKUP(1,(A14=PLT!$A$4:$A$8886)*(Geotech!C14&lt;=PLT!$F$4:$F$8886)*(Geotech!D14&gt;=PLT!$F$4:$F$8886)*(PLT!$V$4:$V$8886&lt;&gt;AD14)*(PLT!$V$4:$V$8886&lt;&gt;AE14)*("Valid"=PLT!$P$4:$P$7190),PLT!$V$4:$V$8886),"")</f>
        <v/>
      </c>
      <c r="AG14" s="44" t="str">
        <f>IFERROR(IF(AVERAGE(AD14:AF14)&gt;References!$BO$23,References!$BP$23,
IF(AVERAGE(AD14:AF14)&gt;References!$BO$22,References!$BP$22,
IF(AVERAGE(AD14:AF14)&gt;References!$BO$21,References!$BP$21,
IF(AVERAGE(AD14:AF14)&gt;References!$BO$20,References!$BP$20,
IF(AVERAGE(AD14:AF14)&gt;References!$BO$19,References!$BP$19,
IF(AVERAGE(AD14:AF14)&gt;References!$BO$18,References!$BP$18,
0)))))),"")</f>
        <v/>
      </c>
      <c r="AH14" s="43">
        <f>IF(Data_Geotech[[#This Row],[Is50]]="",VLOOKUP(Data_Geotech[[#This Row],[Field Intact Rock Strength]],Table_RMR76_Strength[],2,FALSE),Data_Geotech[[#This Row],[Is50]])</f>
        <v>4</v>
      </c>
      <c r="AI14" s="43">
        <f>IF(Data_Geotech[[#This Row],[RQD (%)]]&lt;=25,3,IF(Data_Geotech[[#This Row],[RQD (%)]]&lt;=50,8,IF(Data_Geotech[[#This Row],[RQD (%)]]&lt;=75,13,IF(Data_Geotech[[#This Row],[RQD (%)]]&lt;=90,17,20))))</f>
        <v>20</v>
      </c>
      <c r="AJ14" s="43">
        <f>IF(Data_Geotech[[#This Row],[Joint spacing (m)]]&lt;=0.05,5,IF(Data_Geotech[[#This Row],[Joint spacing (m)]]&lt;=0.3,10,IF(Data_Geotech[[#This Row],[Joint spacing (m)]]&lt;=1,20,IF(Data_Geotech[[#This Row],[Joint spacing (m)]]&lt;=3,25,30))))</f>
        <v>20</v>
      </c>
      <c r="AK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14" s="6">
        <v>10</v>
      </c>
      <c r="AM14" s="117">
        <f>IF(Data_Geotech[[#This Row],[FIRS Code]]="R",IFERROR(SUM(Data_Geotech[[#This Row],[RMR76 - Strength rating]:[RMR76 - Ground water rating]]),""),"")</f>
        <v>66</v>
      </c>
      <c r="AN14" s="39">
        <f>IF(Data_Geotech[[#This Row],[FIRS Code]]="R",(2*Data_Geotech[[#This Row],[RMR76 - Joint condition rating]])+(IF(Data_Geotech[[#This Row],[RQD (%)]]&gt;80,80/2,Data_Geotech[[#This Row],[RQD (%)]]/2)),"")</f>
        <v>64</v>
      </c>
      <c r="AO14" s="43" t="str">
        <f>LEFT(Data_Geotech[[#This Row],[Joint Set Rating]],FIND("-",Data_Geotech[[#This Row],[Joint Set Rating]],1)-2)</f>
        <v>2</v>
      </c>
      <c r="AP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v>
      </c>
      <c r="AQ14" s="5">
        <f t="shared" si="0"/>
        <v>1</v>
      </c>
      <c r="AR14" s="49">
        <f>IF(Data_Geotech[[#This Row],[FIRS Code]]="R",IFERROR((IF(Data_Geotech[[#This Row],[RQD (%)]]&lt;10,10,Data_Geotech[[#This Row],[RQD (%)]])/Data_Geotech[[#This Row],[Jn rating]])*Data_Geotech[[#This Row],[Jr/Ja]],""),"")</f>
        <v>25</v>
      </c>
      <c r="AS14" s="45">
        <f>IF(Data_Geotech[[#This Row],[FIRS Code]]="R",IFERROR((IF(Data_Geotech[[#This Row],[RQD (%)]]&lt;10,10,Data_Geotech[[#This Row],[RQD (%)]])/Data_Geotech[[#This Row],[Jn rating]])*Data_Geotech[[#This Row],[Jr/Ja]]*Data_Geotech[[#This Row],[Jw/SRF]],""),"")</f>
        <v>25</v>
      </c>
      <c r="AT14" s="12"/>
      <c r="AU14" s="13">
        <f>100-Data_Geotech[[#This Row],[RQD (%)]]</f>
        <v>0</v>
      </c>
      <c r="AV14" s="13">
        <f>100-Data_Geotech[[#This Row],[TCR (%)]]</f>
        <v>1.7053025658242404E-13</v>
      </c>
      <c r="AW14" s="62">
        <f>(Data_Geotech[[#This Row],[Fracture per interval]]+Data_Geotech[[#This Row],[Added fractures 
(BC, FLT, LC)]])/Data_Geotech[[#This Row],[TCR (m)]]</f>
        <v>2.1739130434782608</v>
      </c>
      <c r="AX14" s="6" t="s">
        <v>109</v>
      </c>
      <c r="AY14" s="63">
        <f>7-MID(Data_Geotech[[#This Row],[Field Intact Rock Strength]],2,1)</f>
        <v>4</v>
      </c>
      <c r="AZ14" s="63">
        <f>VLOOKUP(Data_Geotech[[#This Row],[Field Intact Rock Strength]],Table_FieldStrength[],2,FALSE)</f>
        <v>25</v>
      </c>
      <c r="BA14" s="63">
        <f>VLOOKUP(Data_Geotech[[#This Row],[Field Intact Rock Strength]],Table_FieldStrength[],3,FALSE)</f>
        <v>37.5</v>
      </c>
      <c r="BB14" s="63">
        <f>VLOOKUP(Data_Geotech[[#This Row],[Field Intact Rock Strength]],Table_FieldStrength[],4,FALSE)</f>
        <v>50</v>
      </c>
      <c r="BC14" s="63">
        <f>100-Data_Geotech[[#This Row],[RMR76]]</f>
        <v>34</v>
      </c>
      <c r="BD14" s="63" t="str">
        <f>LEFT(Data_Geotech[[#This Row],[Weathering/Alteration]],FIND("-",Data_Geotech[[#This Row],[Weathering/Alteration]])-2)</f>
        <v>W2/A2</v>
      </c>
    </row>
    <row r="15" spans="1:56" ht="15.75" hidden="1" thickBot="1" x14ac:dyDescent="0.3">
      <c r="A15" t="s">
        <v>26</v>
      </c>
      <c r="B15" s="16" t="str">
        <f>VLOOKUP(Data_Geotech[[#This Row],[Hole ID]],Data_Log[],2,FALSE)</f>
        <v>CGF-01</v>
      </c>
      <c r="C15" s="5">
        <v>63.5</v>
      </c>
      <c r="D15" s="5">
        <v>66.069999999999993</v>
      </c>
      <c r="E15" s="5">
        <f>(Data_Geotech[[#This Row],[To (m)]]-Data_Geotech[[#This Row],[From (m)]])/2+Data_Geotech[[#This Row],[From (m)]]</f>
        <v>64.784999999999997</v>
      </c>
      <c r="F15" s="13">
        <f>Data_Geotech[[#This Row],[To (m)]]-Data_Geotech[[#This Row],[From (m)]]</f>
        <v>2.5699999999999932</v>
      </c>
      <c r="G15" s="5">
        <v>2.57</v>
      </c>
      <c r="H15" s="61">
        <f>Data_Geotech[[#This Row],[TCR (m)]]/Data_Geotech[[#This Row],[Run (m)]]*100</f>
        <v>100.00000000000027</v>
      </c>
      <c r="I15" s="151">
        <v>2.64</v>
      </c>
      <c r="J15" s="151">
        <v>2.64</v>
      </c>
      <c r="K15" s="5">
        <v>2.59</v>
      </c>
      <c r="L15" s="61">
        <f>Data_Geotech[[#This Row],[RQD (m)]]/Data_Geotech[[#This Row],[Run Reel (m)]]*100</f>
        <v>98.106060606060595</v>
      </c>
      <c r="M15" t="s">
        <v>580</v>
      </c>
      <c r="O15" t="s">
        <v>278</v>
      </c>
      <c r="P15" s="115" t="s">
        <v>397</v>
      </c>
      <c r="Q15" s="5" t="s">
        <v>313</v>
      </c>
      <c r="R15" s="5"/>
      <c r="S15" s="5">
        <v>0.05</v>
      </c>
      <c r="T15" s="5"/>
      <c r="U15" s="5"/>
      <c r="V15" s="6">
        <v>4</v>
      </c>
      <c r="W15" s="92">
        <f>SUMIFS(Discontinuities!$D$4:$D$9664,Discontinuities!$A$4:$A$9664,A15,Discontinuities!$C$4:$C$9664,"&gt;="&amp;C15,Discontinuities!$C$4:$C$9664,"&lt;"&amp;D15)
-SUMIFS(Discontinuities!$D$4:$D$9664,Discontinuities!$A$4:$A$9664,A15,Discontinuities!$C$4:$C$9664,"&gt;="&amp;C15,Discontinuities!$C$4:$C$9664,"&lt;"&amp;D15,Discontinuities!$E$4:$E$9664,"=BC")
-SUMIFS(Discontinuities!$D$4:$D$9664,Discontinuities!$A$4:$A$9664,A15,Discontinuities!$C$4:$C$9664,"&gt;="&amp;C15,Discontinuities!$C$4:$C$9664,"&lt;"&amp;D15,Discontinuities!$E$4:$E$9664,"=LC")
-SUMIFS(Discontinuities!$D$4:$D$9664,Discontinuities!$A$4:$A$9664,A15,Discontinuities!$C$4:$C$9664,"&gt;="&amp;C15,Discontinuities!$C$4:$C$9664,"&lt;"&amp;D15,Discontinuities!$E$4:$E$9664,"=FLT")</f>
        <v>4</v>
      </c>
      <c r="X15" t="s">
        <v>345</v>
      </c>
      <c r="AA15" s="12"/>
      <c r="AB15" s="43">
        <f>IFERROR(ROUND((Data_Geotech[[#This Row],[Fault (m)]]+Data_Geotech[[#This Row],[Broken Core (m)]]+Data_Geotech[[#This Row],[Lost Core (m)]])*30,0),0)</f>
        <v>2</v>
      </c>
      <c r="AC15" s="44">
        <f>IF(Data_Geotech[[#This Row],[Added fractures 
(BC, FLT, LC)]]+Data_Geotech[[#This Row],[Fracture per interval]]=0,99,1/((Data_Geotech[[#This Row],[Fracture per interval]]+Data_Geotech[[#This Row],[Added fractures 
(BC, FLT, LC)]])/Data_Geotech[[#This Row],[Run (m)]]))</f>
        <v>0.42833333333333218</v>
      </c>
      <c r="AD15" s="155" cm="1">
        <f t="array" ref="AD15">IFERROR(_xlfn.XLOOKUP(1,(A15=PLT!$A$4:$A$8886)*(Geotech!C15&lt;=PLT!$F$4:$F$8886)*(Geotech!D15&gt;=PLT!$F$4:$F$8886)*("Valid"=PLT!$P$4:$P$8886),PLT!$V$4:$V$8886),"")</f>
        <v>0</v>
      </c>
      <c r="AE15" s="156" t="str" cm="1">
        <f t="array" ref="AE15">IFERROR(_xlfn.XLOOKUP(1,(A15=PLT!$A$4:$A$8886)*(Geotech!C15&lt;=PLT!$F$4:$F$8886)*(Geotech!D15&gt;=PLT!$F$4:$F$8886)*(PLT!$V$4:$V$8886&lt;&gt;AD15)*("Valid"=PLT!$P$4:$P$7190),PLT!$V$4:$V$8886),"")</f>
        <v/>
      </c>
      <c r="AF15" s="156" t="str" cm="1">
        <f t="array" ref="AF15">IFERROR(_xlfn.XLOOKUP(1,(A15=PLT!$A$4:$A$8886)*(Geotech!C15&lt;=PLT!$F$4:$F$8886)*(Geotech!D15&gt;=PLT!$F$4:$F$8886)*(PLT!$V$4:$V$8886&lt;&gt;AD15)*(PLT!$V$4:$V$8886&lt;&gt;AE15)*("Valid"=PLT!$P$4:$P$7190),PLT!$V$4:$V$8886),"")</f>
        <v/>
      </c>
      <c r="AG15" s="44">
        <f>IFERROR(IF(AVERAGE(AD15:AF15)&gt;References!$BO$23,References!$BP$23,
IF(AVERAGE(AD15:AF15)&gt;References!$BO$22,References!$BP$22,
IF(AVERAGE(AD15:AF15)&gt;References!$BO$21,References!$BP$21,
IF(AVERAGE(AD15:AF15)&gt;References!$BO$20,References!$BP$20,
IF(AVERAGE(AD15:AF15)&gt;References!$BO$19,References!$BP$19,
IF(AVERAGE(AD15:AF15)&gt;References!$BO$18,References!$BP$18,
0)))))),"")</f>
        <v>0</v>
      </c>
      <c r="AH15" s="43">
        <f>IF(Data_Geotech[[#This Row],[Is50]]="",VLOOKUP(Data_Geotech[[#This Row],[Field Intact Rock Strength]],Table_RMR76_Strength[],2,FALSE),Data_Geotech[[#This Row],[Is50]])</f>
        <v>0</v>
      </c>
      <c r="AI15" s="43">
        <f>IF(Data_Geotech[[#This Row],[RQD (%)]]&lt;=25,3,IF(Data_Geotech[[#This Row],[RQD (%)]]&lt;=50,8,IF(Data_Geotech[[#This Row],[RQD (%)]]&lt;=75,13,IF(Data_Geotech[[#This Row],[RQD (%)]]&lt;=90,17,20))))</f>
        <v>20</v>
      </c>
      <c r="AJ15" s="43">
        <f>IF(Data_Geotech[[#This Row],[Joint spacing (m)]]&lt;=0.05,5,IF(Data_Geotech[[#This Row],[Joint spacing (m)]]&lt;=0.3,10,IF(Data_Geotech[[#This Row],[Joint spacing (m)]]&lt;=1,20,IF(Data_Geotech[[#This Row],[Joint spacing (m)]]&lt;=3,25,30))))</f>
        <v>20</v>
      </c>
      <c r="AK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15" s="6">
        <v>10</v>
      </c>
      <c r="AM15" s="117">
        <f>IF(Data_Geotech[[#This Row],[FIRS Code]]="R",IFERROR(SUM(Data_Geotech[[#This Row],[RMR76 - Strength rating]:[RMR76 - Ground water rating]]),""),"")</f>
        <v>66</v>
      </c>
      <c r="AN15" s="39">
        <f>IF(Data_Geotech[[#This Row],[FIRS Code]]="R",(2*Data_Geotech[[#This Row],[RMR76 - Joint condition rating]])+(IF(Data_Geotech[[#This Row],[RQD (%)]]&gt;80,80/2,Data_Geotech[[#This Row],[RQD (%)]]/2)),"")</f>
        <v>72</v>
      </c>
      <c r="AO15" s="43" t="str">
        <f>LEFT(Data_Geotech[[#This Row],[Joint Set Rating]],FIND("-",Data_Geotech[[#This Row],[Joint Set Rating]],1)-2)</f>
        <v>3</v>
      </c>
      <c r="AP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0.71875</v>
      </c>
      <c r="AQ15" s="5">
        <f t="shared" si="0"/>
        <v>1</v>
      </c>
      <c r="AR15" s="49">
        <f>IF(Data_Geotech[[#This Row],[FIRS Code]]="R",IFERROR((IF(Data_Geotech[[#This Row],[RQD (%)]]&lt;10,10,Data_Geotech[[#This Row],[RQD (%)]])/Data_Geotech[[#This Row],[Jn rating]])*Data_Geotech[[#This Row],[Jr/Ja]],""),"")</f>
        <v>23.504577020202021</v>
      </c>
      <c r="AS15" s="45">
        <f>IF(Data_Geotech[[#This Row],[FIRS Code]]="R",IFERROR((IF(Data_Geotech[[#This Row],[RQD (%)]]&lt;10,10,Data_Geotech[[#This Row],[RQD (%)]])/Data_Geotech[[#This Row],[Jn rating]])*Data_Geotech[[#This Row],[Jr/Ja]]*Data_Geotech[[#This Row],[Jw/SRF]],""),"")</f>
        <v>23.504577020202021</v>
      </c>
      <c r="AT15" s="12"/>
      <c r="AU15" s="13">
        <f>100-Data_Geotech[[#This Row],[RQD (%)]]</f>
        <v>1.8939393939394051</v>
      </c>
      <c r="AV15" s="13">
        <f>100-Data_Geotech[[#This Row],[TCR (%)]]</f>
        <v>-2.7000623958883807E-13</v>
      </c>
      <c r="AW15" s="62">
        <f>(Data_Geotech[[#This Row],[Fracture per interval]]+Data_Geotech[[#This Row],[Added fractures 
(BC, FLT, LC)]])/Data_Geotech[[#This Row],[TCR (m)]]</f>
        <v>2.3346303501945527</v>
      </c>
      <c r="AX15" s="6" t="s">
        <v>109</v>
      </c>
      <c r="AY15" s="63">
        <f>7-MID(Data_Geotech[[#This Row],[Field Intact Rock Strength]],2,1)</f>
        <v>2</v>
      </c>
      <c r="AZ15" s="63">
        <f>VLOOKUP(Data_Geotech[[#This Row],[Field Intact Rock Strength]],Table_FieldStrength[],2,FALSE)</f>
        <v>100</v>
      </c>
      <c r="BA15" s="63">
        <f>VLOOKUP(Data_Geotech[[#This Row],[Field Intact Rock Strength]],Table_FieldStrength[],3,FALSE)</f>
        <v>175</v>
      </c>
      <c r="BB15" s="63">
        <f>VLOOKUP(Data_Geotech[[#This Row],[Field Intact Rock Strength]],Table_FieldStrength[],4,FALSE)</f>
        <v>250</v>
      </c>
      <c r="BC15" s="63">
        <f>100-Data_Geotech[[#This Row],[RMR76]]</f>
        <v>34</v>
      </c>
      <c r="BD15" s="63" t="str">
        <f>LEFT(Data_Geotech[[#This Row],[Weathering/Alteration]],FIND("-",Data_Geotech[[#This Row],[Weathering/Alteration]])-2)</f>
        <v>W2/A2</v>
      </c>
    </row>
    <row r="16" spans="1:56" ht="15.75" hidden="1" thickBot="1" x14ac:dyDescent="0.3">
      <c r="A16" t="s">
        <v>26</v>
      </c>
      <c r="B16" s="16" t="str">
        <f>VLOOKUP(Data_Geotech[[#This Row],[Hole ID]],Data_Log[],2,FALSE)</f>
        <v>CGF-01</v>
      </c>
      <c r="C16" s="5">
        <v>66.069999999999993</v>
      </c>
      <c r="D16" s="5">
        <v>68.98</v>
      </c>
      <c r="E16" s="5">
        <f>(Data_Geotech[[#This Row],[To (m)]]-Data_Geotech[[#This Row],[From (m)]])/2+Data_Geotech[[#This Row],[From (m)]]</f>
        <v>67.525000000000006</v>
      </c>
      <c r="F16" s="13">
        <f>Data_Geotech[[#This Row],[To (m)]]-Data_Geotech[[#This Row],[From (m)]]</f>
        <v>2.9100000000000108</v>
      </c>
      <c r="G16" s="5">
        <v>2.91</v>
      </c>
      <c r="H16" s="61">
        <f>Data_Geotech[[#This Row],[TCR (m)]]/Data_Geotech[[#This Row],[Run (m)]]*100</f>
        <v>99.999999999999631</v>
      </c>
      <c r="I16" s="151">
        <v>2.94</v>
      </c>
      <c r="J16" s="151">
        <v>2.94</v>
      </c>
      <c r="K16" s="5">
        <v>2.85</v>
      </c>
      <c r="L16" s="61">
        <f>Data_Geotech[[#This Row],[RQD (m)]]/Data_Geotech[[#This Row],[Run Reel (m)]]*100</f>
        <v>96.938775510204096</v>
      </c>
      <c r="M16" t="s">
        <v>580</v>
      </c>
      <c r="O16" t="s">
        <v>243</v>
      </c>
      <c r="P16" s="115" t="s">
        <v>416</v>
      </c>
      <c r="Q16" s="5" t="s">
        <v>313</v>
      </c>
      <c r="R16" s="5"/>
      <c r="S16" s="5"/>
      <c r="T16" s="5"/>
      <c r="U16" s="5"/>
      <c r="V16" s="6">
        <v>5</v>
      </c>
      <c r="W16" s="92">
        <f>SUMIFS(Discontinuities!$D$4:$D$9664,Discontinuities!$A$4:$A$9664,A16,Discontinuities!$C$4:$C$9664,"&gt;="&amp;C16,Discontinuities!$C$4:$C$9664,"&lt;"&amp;D16)
-SUMIFS(Discontinuities!$D$4:$D$9664,Discontinuities!$A$4:$A$9664,A16,Discontinuities!$C$4:$C$9664,"&gt;="&amp;C16,Discontinuities!$C$4:$C$9664,"&lt;"&amp;D16,Discontinuities!$E$4:$E$9664,"=BC")
-SUMIFS(Discontinuities!$D$4:$D$9664,Discontinuities!$A$4:$A$9664,A16,Discontinuities!$C$4:$C$9664,"&gt;="&amp;C16,Discontinuities!$C$4:$C$9664,"&lt;"&amp;D16,Discontinuities!$E$4:$E$9664,"=LC")
-SUMIFS(Discontinuities!$D$4:$D$9664,Discontinuities!$A$4:$A$9664,A16,Discontinuities!$C$4:$C$9664,"&gt;="&amp;C16,Discontinuities!$C$4:$C$9664,"&lt;"&amp;D16,Discontinuities!$E$4:$E$9664,"=FLT")</f>
        <v>5</v>
      </c>
      <c r="X16" t="s">
        <v>345</v>
      </c>
      <c r="AA16" s="12"/>
      <c r="AB16" s="43">
        <f>IFERROR(ROUND((Data_Geotech[[#This Row],[Fault (m)]]+Data_Geotech[[#This Row],[Broken Core (m)]]+Data_Geotech[[#This Row],[Lost Core (m)]])*30,0),0)</f>
        <v>0</v>
      </c>
      <c r="AC16" s="44">
        <f>IF(Data_Geotech[[#This Row],[Added fractures 
(BC, FLT, LC)]]+Data_Geotech[[#This Row],[Fracture per interval]]=0,99,1/((Data_Geotech[[#This Row],[Fracture per interval]]+Data_Geotech[[#This Row],[Added fractures 
(BC, FLT, LC)]])/Data_Geotech[[#This Row],[Run (m)]]))</f>
        <v>0.58200000000000218</v>
      </c>
      <c r="AD16" s="155" cm="1">
        <f t="array" ref="AD16">IFERROR(_xlfn.XLOOKUP(1,(A16=PLT!$A$4:$A$8886)*(Geotech!C16&lt;=PLT!$F$4:$F$8886)*(Geotech!D16&gt;=PLT!$F$4:$F$8886)*("Valid"=PLT!$P$4:$P$8886),PLT!$V$4:$V$8886),"")</f>
        <v>0</v>
      </c>
      <c r="AE16" s="156" t="str" cm="1">
        <f t="array" ref="AE16">IFERROR(_xlfn.XLOOKUP(1,(A16=PLT!$A$4:$A$8886)*(Geotech!C16&lt;=PLT!$F$4:$F$8886)*(Geotech!D16&gt;=PLT!$F$4:$F$8886)*(PLT!$V$4:$V$8886&lt;&gt;AD16)*("Valid"=PLT!$P$4:$P$7190),PLT!$V$4:$V$8886),"")</f>
        <v/>
      </c>
      <c r="AF16" s="156" t="str" cm="1">
        <f t="array" ref="AF16">IFERROR(_xlfn.XLOOKUP(1,(A16=PLT!$A$4:$A$8886)*(Geotech!C16&lt;=PLT!$F$4:$F$8886)*(Geotech!D16&gt;=PLT!$F$4:$F$8886)*(PLT!$V$4:$V$8886&lt;&gt;AD16)*(PLT!$V$4:$V$8886&lt;&gt;AE16)*("Valid"=PLT!$P$4:$P$7190),PLT!$V$4:$V$8886),"")</f>
        <v/>
      </c>
      <c r="AG16" s="44">
        <f>IFERROR(IF(AVERAGE(AD16:AF16)&gt;References!$BO$23,References!$BP$23,
IF(AVERAGE(AD16:AF16)&gt;References!$BO$22,References!$BP$22,
IF(AVERAGE(AD16:AF16)&gt;References!$BO$21,References!$BP$21,
IF(AVERAGE(AD16:AF16)&gt;References!$BO$20,References!$BP$20,
IF(AVERAGE(AD16:AF16)&gt;References!$BO$19,References!$BP$19,
IF(AVERAGE(AD16:AF16)&gt;References!$BO$18,References!$BP$18,
0)))))),"")</f>
        <v>0</v>
      </c>
      <c r="AH16" s="43">
        <f>IF(Data_Geotech[[#This Row],[Is50]]="",VLOOKUP(Data_Geotech[[#This Row],[Field Intact Rock Strength]],Table_RMR76_Strength[],2,FALSE),Data_Geotech[[#This Row],[Is50]])</f>
        <v>0</v>
      </c>
      <c r="AI16" s="43">
        <f>IF(Data_Geotech[[#This Row],[RQD (%)]]&lt;=25,3,IF(Data_Geotech[[#This Row],[RQD (%)]]&lt;=50,8,IF(Data_Geotech[[#This Row],[RQD (%)]]&lt;=75,13,IF(Data_Geotech[[#This Row],[RQD (%)]]&lt;=90,17,20))))</f>
        <v>20</v>
      </c>
      <c r="AJ16" s="43">
        <f>IF(Data_Geotech[[#This Row],[Joint spacing (m)]]&lt;=0.05,5,IF(Data_Geotech[[#This Row],[Joint spacing (m)]]&lt;=0.3,10,IF(Data_Geotech[[#This Row],[Joint spacing (m)]]&lt;=1,20,IF(Data_Geotech[[#This Row],[Joint spacing (m)]]&lt;=3,25,30))))</f>
        <v>20</v>
      </c>
      <c r="AK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21.4</v>
      </c>
      <c r="AL16" s="6">
        <v>10</v>
      </c>
      <c r="AM16" s="117">
        <f>IF(Data_Geotech[[#This Row],[FIRS Code]]="R",IFERROR(SUM(Data_Geotech[[#This Row],[RMR76 - Strength rating]:[RMR76 - Ground water rating]]),""),"")</f>
        <v>71.400000000000006</v>
      </c>
      <c r="AN16" s="39">
        <f>IF(Data_Geotech[[#This Row],[FIRS Code]]="R",(2*Data_Geotech[[#This Row],[RMR76 - Joint condition rating]])+(IF(Data_Geotech[[#This Row],[RQD (%)]]&gt;80,80/2,Data_Geotech[[#This Row],[RQD (%)]]/2)),"")</f>
        <v>82.8</v>
      </c>
      <c r="AO16" s="43" t="str">
        <f>LEFT(Data_Geotech[[#This Row],[Joint Set Rating]],FIND("-",Data_Geotech[[#This Row],[Joint Set Rating]],1)-2)</f>
        <v>3</v>
      </c>
      <c r="AP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1.45</v>
      </c>
      <c r="AQ16" s="5">
        <f t="shared" si="0"/>
        <v>1</v>
      </c>
      <c r="AR16" s="49">
        <f>IF(Data_Geotech[[#This Row],[FIRS Code]]="R",IFERROR((IF(Data_Geotech[[#This Row],[RQD (%)]]&lt;10,10,Data_Geotech[[#This Row],[RQD (%)]])/Data_Geotech[[#This Row],[Jn rating]])*Data_Geotech[[#This Row],[Jr/Ja]],""),"")</f>
        <v>46.853741496598651</v>
      </c>
      <c r="AS16" s="45">
        <f>IF(Data_Geotech[[#This Row],[FIRS Code]]="R",IFERROR((IF(Data_Geotech[[#This Row],[RQD (%)]]&lt;10,10,Data_Geotech[[#This Row],[RQD (%)]])/Data_Geotech[[#This Row],[Jn rating]])*Data_Geotech[[#This Row],[Jr/Ja]]*Data_Geotech[[#This Row],[Jw/SRF]],""),"")</f>
        <v>46.853741496598651</v>
      </c>
      <c r="AT16" s="12"/>
      <c r="AU16" s="13">
        <f>100-Data_Geotech[[#This Row],[RQD (%)]]</f>
        <v>3.0612244897959044</v>
      </c>
      <c r="AV16" s="13">
        <f>100-Data_Geotech[[#This Row],[TCR (%)]]</f>
        <v>3.694822225952521E-13</v>
      </c>
      <c r="AW16" s="62">
        <f>(Data_Geotech[[#This Row],[Fracture per interval]]+Data_Geotech[[#This Row],[Added fractures 
(BC, FLT, LC)]])/Data_Geotech[[#This Row],[TCR (m)]]</f>
        <v>1.7182130584192439</v>
      </c>
      <c r="AX16" s="6" t="s">
        <v>109</v>
      </c>
      <c r="AY16" s="63">
        <f>7-MID(Data_Geotech[[#This Row],[Field Intact Rock Strength]],2,1)</f>
        <v>1</v>
      </c>
      <c r="AZ16" s="63">
        <f>VLOOKUP(Data_Geotech[[#This Row],[Field Intact Rock Strength]],Table_FieldStrength[],2,FALSE)</f>
        <v>250</v>
      </c>
      <c r="BA16" s="63">
        <f>VLOOKUP(Data_Geotech[[#This Row],[Field Intact Rock Strength]],Table_FieldStrength[],3,FALSE)</f>
        <v>275</v>
      </c>
      <c r="BB16" s="63">
        <f>VLOOKUP(Data_Geotech[[#This Row],[Field Intact Rock Strength]],Table_FieldStrength[],4,FALSE)</f>
        <v>300</v>
      </c>
      <c r="BC16" s="63">
        <f>100-Data_Geotech[[#This Row],[RMR76]]</f>
        <v>28.599999999999994</v>
      </c>
      <c r="BD16" s="63" t="str">
        <f>LEFT(Data_Geotech[[#This Row],[Weathering/Alteration]],FIND("-",Data_Geotech[[#This Row],[Weathering/Alteration]])-2)</f>
        <v>W1/A1</v>
      </c>
    </row>
    <row r="17" spans="1:56" ht="15.75" hidden="1" thickBot="1" x14ac:dyDescent="0.3">
      <c r="A17" t="s">
        <v>26</v>
      </c>
      <c r="B17" s="16" t="str">
        <f>VLOOKUP(Data_Geotech[[#This Row],[Hole ID]],Data_Log[],2,FALSE)</f>
        <v>CGF-01</v>
      </c>
      <c r="C17" s="5">
        <v>68.98</v>
      </c>
      <c r="D17" s="5">
        <v>69.5</v>
      </c>
      <c r="E17" s="5">
        <f>(Data_Geotech[[#This Row],[To (m)]]-Data_Geotech[[#This Row],[From (m)]])/2+Data_Geotech[[#This Row],[From (m)]]</f>
        <v>69.240000000000009</v>
      </c>
      <c r="F17" s="13">
        <f>Data_Geotech[[#This Row],[To (m)]]-Data_Geotech[[#This Row],[From (m)]]</f>
        <v>0.51999999999999602</v>
      </c>
      <c r="G17" s="5">
        <v>0.52</v>
      </c>
      <c r="H17" s="61">
        <f>Data_Geotech[[#This Row],[TCR (m)]]/Data_Geotech[[#This Row],[Run (m)]]*100</f>
        <v>100.00000000000078</v>
      </c>
      <c r="I17" s="151">
        <v>0.51</v>
      </c>
      <c r="J17" s="151">
        <v>0.51</v>
      </c>
      <c r="K17" s="5">
        <v>0.51</v>
      </c>
      <c r="L17" s="61">
        <f>Data_Geotech[[#This Row],[RQD (m)]]/Data_Geotech[[#This Row],[Run Reel (m)]]*100</f>
        <v>100</v>
      </c>
      <c r="M17" t="s">
        <v>580</v>
      </c>
      <c r="O17" t="s">
        <v>243</v>
      </c>
      <c r="P17" s="115" t="s">
        <v>370</v>
      </c>
      <c r="Q17" s="5" t="s">
        <v>313</v>
      </c>
      <c r="R17" s="5"/>
      <c r="S17" s="5"/>
      <c r="T17" s="5"/>
      <c r="U17" s="5"/>
      <c r="V17" s="6">
        <v>1</v>
      </c>
      <c r="W17" s="92">
        <f>SUMIFS(Discontinuities!$D$4:$D$9664,Discontinuities!$A$4:$A$9664,A17,Discontinuities!$C$4:$C$9664,"&gt;="&amp;C17,Discontinuities!$C$4:$C$9664,"&lt;"&amp;D17)
-SUMIFS(Discontinuities!$D$4:$D$9664,Discontinuities!$A$4:$A$9664,A17,Discontinuities!$C$4:$C$9664,"&gt;="&amp;C17,Discontinuities!$C$4:$C$9664,"&lt;"&amp;D17,Discontinuities!$E$4:$E$9664,"=BC")
-SUMIFS(Discontinuities!$D$4:$D$9664,Discontinuities!$A$4:$A$9664,A17,Discontinuities!$C$4:$C$9664,"&gt;="&amp;C17,Discontinuities!$C$4:$C$9664,"&lt;"&amp;D17,Discontinuities!$E$4:$E$9664,"=LC")
-SUMIFS(Discontinuities!$D$4:$D$9664,Discontinuities!$A$4:$A$9664,A17,Discontinuities!$C$4:$C$9664,"&gt;="&amp;C17,Discontinuities!$C$4:$C$9664,"&lt;"&amp;D17,Discontinuities!$E$4:$E$9664,"=FLT")</f>
        <v>1</v>
      </c>
      <c r="X17" t="s">
        <v>280</v>
      </c>
      <c r="AA17" s="12"/>
      <c r="AB17" s="43">
        <f>IFERROR(ROUND((Data_Geotech[[#This Row],[Fault (m)]]+Data_Geotech[[#This Row],[Broken Core (m)]]+Data_Geotech[[#This Row],[Lost Core (m)]])*30,0),0)</f>
        <v>0</v>
      </c>
      <c r="AC17" s="44">
        <f>IF(Data_Geotech[[#This Row],[Added fractures 
(BC, FLT, LC)]]+Data_Geotech[[#This Row],[Fracture per interval]]=0,99,1/((Data_Geotech[[#This Row],[Fracture per interval]]+Data_Geotech[[#This Row],[Added fractures 
(BC, FLT, LC)]])/Data_Geotech[[#This Row],[Run (m)]]))</f>
        <v>0.51999999999999602</v>
      </c>
      <c r="AD17" s="155" cm="1">
        <f t="array" ref="AD17">IFERROR(_xlfn.XLOOKUP(1,(A17=PLT!$A$4:$A$8886)*(Geotech!C17&lt;=PLT!$F$4:$F$8886)*(Geotech!D17&gt;=PLT!$F$4:$F$8886)*("Valid"=PLT!$P$4:$P$8886),PLT!$V$4:$V$8886),"")</f>
        <v>0</v>
      </c>
      <c r="AE17" s="156" t="str" cm="1">
        <f t="array" ref="AE17">IFERROR(_xlfn.XLOOKUP(1,(A17=PLT!$A$4:$A$8886)*(Geotech!C17&lt;=PLT!$F$4:$F$8886)*(Geotech!D17&gt;=PLT!$F$4:$F$8886)*(PLT!$V$4:$V$8886&lt;&gt;AD17)*("Valid"=PLT!$P$4:$P$7190),PLT!$V$4:$V$8886),"")</f>
        <v/>
      </c>
      <c r="AF17" s="156" t="str" cm="1">
        <f t="array" ref="AF17">IFERROR(_xlfn.XLOOKUP(1,(A17=PLT!$A$4:$A$8886)*(Geotech!C17&lt;=PLT!$F$4:$F$8886)*(Geotech!D17&gt;=PLT!$F$4:$F$8886)*(PLT!$V$4:$V$8886&lt;&gt;AD17)*(PLT!$V$4:$V$8886&lt;&gt;AE17)*("Valid"=PLT!$P$4:$P$7190),PLT!$V$4:$V$8886),"")</f>
        <v/>
      </c>
      <c r="AG17" s="44">
        <f>IFERROR(IF(AVERAGE(AD17:AF17)&gt;References!$BO$23,References!$BP$23,
IF(AVERAGE(AD17:AF17)&gt;References!$BO$22,References!$BP$22,
IF(AVERAGE(AD17:AF17)&gt;References!$BO$21,References!$BP$21,
IF(AVERAGE(AD17:AF17)&gt;References!$BO$20,References!$BP$20,
IF(AVERAGE(AD17:AF17)&gt;References!$BO$19,References!$BP$19,
IF(AVERAGE(AD17:AF17)&gt;References!$BO$18,References!$BP$18,
0)))))),"")</f>
        <v>0</v>
      </c>
      <c r="AH17" s="43">
        <f>IF(Data_Geotech[[#This Row],[Is50]]="",VLOOKUP(Data_Geotech[[#This Row],[Field Intact Rock Strength]],Table_RMR76_Strength[],2,FALSE),Data_Geotech[[#This Row],[Is50]])</f>
        <v>0</v>
      </c>
      <c r="AI17" s="43">
        <f>IF(Data_Geotech[[#This Row],[RQD (%)]]&lt;=25,3,IF(Data_Geotech[[#This Row],[RQD (%)]]&lt;=50,8,IF(Data_Geotech[[#This Row],[RQD (%)]]&lt;=75,13,IF(Data_Geotech[[#This Row],[RQD (%)]]&lt;=90,17,20))))</f>
        <v>20</v>
      </c>
      <c r="AJ17" s="43">
        <f>IF(Data_Geotech[[#This Row],[Joint spacing (m)]]&lt;=0.05,5,IF(Data_Geotech[[#This Row],[Joint spacing (m)]]&lt;=0.3,10,IF(Data_Geotech[[#This Row],[Joint spacing (m)]]&lt;=1,20,IF(Data_Geotech[[#This Row],[Joint spacing (m)]]&lt;=3,25,30))))</f>
        <v>20</v>
      </c>
      <c r="AK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7" s="6">
        <v>10</v>
      </c>
      <c r="AM17" s="117">
        <f>IF(Data_Geotech[[#This Row],[FIRS Code]]="R",IFERROR(SUM(Data_Geotech[[#This Row],[RMR76 - Strength rating]:[RMR76 - Ground water rating]]),""),"")</f>
        <v>75</v>
      </c>
      <c r="AN17" s="39">
        <f>IF(Data_Geotech[[#This Row],[FIRS Code]]="R",(2*Data_Geotech[[#This Row],[RMR76 - Joint condition rating]])+(IF(Data_Geotech[[#This Row],[RQD (%)]]&gt;80,80/2,Data_Geotech[[#This Row],[RQD (%)]]/2)),"")</f>
        <v>90</v>
      </c>
      <c r="AO17" s="43" t="str">
        <f>LEFT(Data_Geotech[[#This Row],[Joint Set Rating]],FIND("-",Data_Geotech[[#This Row],[Joint Set Rating]],1)-2)</f>
        <v>1</v>
      </c>
      <c r="AP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17" s="5">
        <f t="shared" si="0"/>
        <v>1</v>
      </c>
      <c r="AR17" s="49">
        <f>IF(Data_Geotech[[#This Row],[FIRS Code]]="R",IFERROR((IF(Data_Geotech[[#This Row],[RQD (%)]]&lt;10,10,Data_Geotech[[#This Row],[RQD (%)]])/Data_Geotech[[#This Row],[Jn rating]])*Data_Geotech[[#This Row],[Jr/Ja]],""),"")</f>
        <v>150</v>
      </c>
      <c r="AS17" s="45">
        <f>IF(Data_Geotech[[#This Row],[FIRS Code]]="R",IFERROR((IF(Data_Geotech[[#This Row],[RQD (%)]]&lt;10,10,Data_Geotech[[#This Row],[RQD (%)]])/Data_Geotech[[#This Row],[Jn rating]])*Data_Geotech[[#This Row],[Jr/Ja]]*Data_Geotech[[#This Row],[Jw/SRF]],""),"")</f>
        <v>150</v>
      </c>
      <c r="AT17" s="12"/>
      <c r="AU17" s="13">
        <f>100-Data_Geotech[[#This Row],[RQD (%)]]</f>
        <v>0</v>
      </c>
      <c r="AV17" s="13">
        <f>100-Data_Geotech[[#This Row],[TCR (%)]]</f>
        <v>-7.815970093361102E-13</v>
      </c>
      <c r="AW17" s="62">
        <f>(Data_Geotech[[#This Row],[Fracture per interval]]+Data_Geotech[[#This Row],[Added fractures 
(BC, FLT, LC)]])/Data_Geotech[[#This Row],[TCR (m)]]</f>
        <v>1.9230769230769229</v>
      </c>
      <c r="AX17" s="6" t="s">
        <v>109</v>
      </c>
      <c r="AY17" s="63">
        <f>7-MID(Data_Geotech[[#This Row],[Field Intact Rock Strength]],2,1)</f>
        <v>3</v>
      </c>
      <c r="AZ17" s="63">
        <f>VLOOKUP(Data_Geotech[[#This Row],[Field Intact Rock Strength]],Table_FieldStrength[],2,FALSE)</f>
        <v>50</v>
      </c>
      <c r="BA17" s="63">
        <f>VLOOKUP(Data_Geotech[[#This Row],[Field Intact Rock Strength]],Table_FieldStrength[],3,FALSE)</f>
        <v>75</v>
      </c>
      <c r="BB17" s="63">
        <f>VLOOKUP(Data_Geotech[[#This Row],[Field Intact Rock Strength]],Table_FieldStrength[],4,FALSE)</f>
        <v>100</v>
      </c>
      <c r="BC17" s="63">
        <f>100-Data_Geotech[[#This Row],[RMR76]]</f>
        <v>25</v>
      </c>
      <c r="BD17" s="63" t="str">
        <f>LEFT(Data_Geotech[[#This Row],[Weathering/Alteration]],FIND("-",Data_Geotech[[#This Row],[Weathering/Alteration]])-2)</f>
        <v>W1/A1</v>
      </c>
    </row>
    <row r="18" spans="1:56" ht="15.75" hidden="1" thickBot="1" x14ac:dyDescent="0.3">
      <c r="A18" t="s">
        <v>26</v>
      </c>
      <c r="B18" s="16" t="str">
        <f>VLOOKUP(Data_Geotech[[#This Row],[Hole ID]],Data_Log[],2,FALSE)</f>
        <v>CGF-01</v>
      </c>
      <c r="C18" s="5">
        <v>69.5</v>
      </c>
      <c r="D18" s="5">
        <v>72.06</v>
      </c>
      <c r="E18" s="5">
        <f>(Data_Geotech[[#This Row],[To (m)]]-Data_Geotech[[#This Row],[From (m)]])/2+Data_Geotech[[#This Row],[From (m)]]</f>
        <v>70.78</v>
      </c>
      <c r="F18" s="13">
        <f>Data_Geotech[[#This Row],[To (m)]]-Data_Geotech[[#This Row],[From (m)]]</f>
        <v>2.5600000000000023</v>
      </c>
      <c r="G18" s="5">
        <v>2.56</v>
      </c>
      <c r="H18" s="61">
        <f>Data_Geotech[[#This Row],[TCR (m)]]/Data_Geotech[[#This Row],[Run (m)]]*100</f>
        <v>99.999999999999915</v>
      </c>
      <c r="I18" s="151">
        <v>2.58</v>
      </c>
      <c r="J18" s="151">
        <v>2.58</v>
      </c>
      <c r="K18" s="5">
        <v>2.58</v>
      </c>
      <c r="L18" s="61">
        <f>Data_Geotech[[#This Row],[RQD (m)]]/Data_Geotech[[#This Row],[Run Reel (m)]]*100</f>
        <v>100</v>
      </c>
      <c r="M18" t="s">
        <v>584</v>
      </c>
      <c r="O18" t="s">
        <v>243</v>
      </c>
      <c r="P18" s="115" t="s">
        <v>342</v>
      </c>
      <c r="Q18" s="5" t="s">
        <v>281</v>
      </c>
      <c r="R18" s="5"/>
      <c r="S18" s="5"/>
      <c r="T18" s="5"/>
      <c r="U18" s="5"/>
      <c r="V18" s="6">
        <v>8</v>
      </c>
      <c r="W18" s="92">
        <f>SUMIFS(Discontinuities!$D$4:$D$9664,Discontinuities!$A$4:$A$9664,A18,Discontinuities!$C$4:$C$9664,"&gt;="&amp;C18,Discontinuities!$C$4:$C$9664,"&lt;"&amp;D18)
-SUMIFS(Discontinuities!$D$4:$D$9664,Discontinuities!$A$4:$A$9664,A18,Discontinuities!$C$4:$C$9664,"&gt;="&amp;C18,Discontinuities!$C$4:$C$9664,"&lt;"&amp;D18,Discontinuities!$E$4:$E$9664,"=BC")
-SUMIFS(Discontinuities!$D$4:$D$9664,Discontinuities!$A$4:$A$9664,A18,Discontinuities!$C$4:$C$9664,"&gt;="&amp;C18,Discontinuities!$C$4:$C$9664,"&lt;"&amp;D18,Discontinuities!$E$4:$E$9664,"=LC")
-SUMIFS(Discontinuities!$D$4:$D$9664,Discontinuities!$A$4:$A$9664,A18,Discontinuities!$C$4:$C$9664,"&gt;="&amp;C18,Discontinuities!$C$4:$C$9664,"&lt;"&amp;D18,Discontinuities!$E$4:$E$9664,"=FLT")</f>
        <v>8</v>
      </c>
      <c r="X18" t="s">
        <v>345</v>
      </c>
      <c r="AA18" s="12"/>
      <c r="AB18" s="43">
        <f>IFERROR(ROUND((Data_Geotech[[#This Row],[Fault (m)]]+Data_Geotech[[#This Row],[Broken Core (m)]]+Data_Geotech[[#This Row],[Lost Core (m)]])*30,0),0)</f>
        <v>0</v>
      </c>
      <c r="AC18" s="44">
        <f>IF(Data_Geotech[[#This Row],[Added fractures 
(BC, FLT, LC)]]+Data_Geotech[[#This Row],[Fracture per interval]]=0,99,1/((Data_Geotech[[#This Row],[Fracture per interval]]+Data_Geotech[[#This Row],[Added fractures 
(BC, FLT, LC)]])/Data_Geotech[[#This Row],[Run (m)]]))</f>
        <v>0.32000000000000028</v>
      </c>
      <c r="AD18" s="155" cm="1">
        <f t="array" ref="AD18">IFERROR(_xlfn.XLOOKUP(1,(A18=PLT!$A$4:$A$8886)*(Geotech!C18&lt;=PLT!$F$4:$F$8886)*(Geotech!D18&gt;=PLT!$F$4:$F$8886)*("Valid"=PLT!$P$4:$P$8886),PLT!$V$4:$V$8886),"")</f>
        <v>0</v>
      </c>
      <c r="AE18" s="156" t="str" cm="1">
        <f t="array" ref="AE18">IFERROR(_xlfn.XLOOKUP(1,(A18=PLT!$A$4:$A$8886)*(Geotech!C18&lt;=PLT!$F$4:$F$8886)*(Geotech!D18&gt;=PLT!$F$4:$F$8886)*(PLT!$V$4:$V$8886&lt;&gt;AD18)*("Valid"=PLT!$P$4:$P$7190),PLT!$V$4:$V$8886),"")</f>
        <v/>
      </c>
      <c r="AF18" s="156" t="str" cm="1">
        <f t="array" ref="AF18">IFERROR(_xlfn.XLOOKUP(1,(A18=PLT!$A$4:$A$8886)*(Geotech!C18&lt;=PLT!$F$4:$F$8886)*(Geotech!D18&gt;=PLT!$F$4:$F$8886)*(PLT!$V$4:$V$8886&lt;&gt;AD18)*(PLT!$V$4:$V$8886&lt;&gt;AE18)*("Valid"=PLT!$P$4:$P$7190),PLT!$V$4:$V$8886),"")</f>
        <v/>
      </c>
      <c r="AG18" s="44">
        <f>IFERROR(IF(AVERAGE(AD18:AF18)&gt;References!$BO$23,References!$BP$23,
IF(AVERAGE(AD18:AF18)&gt;References!$BO$22,References!$BP$22,
IF(AVERAGE(AD18:AF18)&gt;References!$BO$21,References!$BP$21,
IF(AVERAGE(AD18:AF18)&gt;References!$BO$20,References!$BP$20,
IF(AVERAGE(AD18:AF18)&gt;References!$BO$19,References!$BP$19,
IF(AVERAGE(AD18:AF18)&gt;References!$BO$18,References!$BP$18,
0)))))),"")</f>
        <v>0</v>
      </c>
      <c r="AH18" s="43">
        <f>IF(Data_Geotech[[#This Row],[Is50]]="",VLOOKUP(Data_Geotech[[#This Row],[Field Intact Rock Strength]],Table_RMR76_Strength[],2,FALSE),Data_Geotech[[#This Row],[Is50]])</f>
        <v>0</v>
      </c>
      <c r="AI18" s="43">
        <f>IF(Data_Geotech[[#This Row],[RQD (%)]]&lt;=25,3,IF(Data_Geotech[[#This Row],[RQD (%)]]&lt;=50,8,IF(Data_Geotech[[#This Row],[RQD (%)]]&lt;=75,13,IF(Data_Geotech[[#This Row],[RQD (%)]]&lt;=90,17,20))))</f>
        <v>20</v>
      </c>
      <c r="AJ18" s="43">
        <f>IF(Data_Geotech[[#This Row],[Joint spacing (m)]]&lt;=0.05,5,IF(Data_Geotech[[#This Row],[Joint spacing (m)]]&lt;=0.3,10,IF(Data_Geotech[[#This Row],[Joint spacing (m)]]&lt;=1,20,IF(Data_Geotech[[#This Row],[Joint spacing (m)]]&lt;=3,25,30))))</f>
        <v>20</v>
      </c>
      <c r="AK1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18.25</v>
      </c>
      <c r="AL18" s="6">
        <v>10</v>
      </c>
      <c r="AM18" s="117">
        <f>IF(Data_Geotech[[#This Row],[FIRS Code]]="R",IFERROR(SUM(Data_Geotech[[#This Row],[RMR76 - Strength rating]:[RMR76 - Ground water rating]]),""),"")</f>
        <v>68.25</v>
      </c>
      <c r="AN18" s="39">
        <f>IF(Data_Geotech[[#This Row],[FIRS Code]]="R",(2*Data_Geotech[[#This Row],[RMR76 - Joint condition rating]])+(IF(Data_Geotech[[#This Row],[RQD (%)]]&gt;80,80/2,Data_Geotech[[#This Row],[RQD (%)]]/2)),"")</f>
        <v>76.5</v>
      </c>
      <c r="AO18" s="43" t="str">
        <f>LEFT(Data_Geotech[[#This Row],[Joint Set Rating]],FIND("-",Data_Geotech[[#This Row],[Joint Set Rating]],1)-2)</f>
        <v>3</v>
      </c>
      <c r="AP1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0.9375</v>
      </c>
      <c r="AQ18" s="5">
        <f t="shared" si="0"/>
        <v>1</v>
      </c>
      <c r="AR18" s="49">
        <f>IF(Data_Geotech[[#This Row],[FIRS Code]]="R",IFERROR((IF(Data_Geotech[[#This Row],[RQD (%)]]&lt;10,10,Data_Geotech[[#This Row],[RQD (%)]])/Data_Geotech[[#This Row],[Jn rating]])*Data_Geotech[[#This Row],[Jr/Ja]],""),"")</f>
        <v>31.250000000000004</v>
      </c>
      <c r="AS18" s="45">
        <f>IF(Data_Geotech[[#This Row],[FIRS Code]]="R",IFERROR((IF(Data_Geotech[[#This Row],[RQD (%)]]&lt;10,10,Data_Geotech[[#This Row],[RQD (%)]])/Data_Geotech[[#This Row],[Jn rating]])*Data_Geotech[[#This Row],[Jr/Ja]]*Data_Geotech[[#This Row],[Jw/SRF]],""),"")</f>
        <v>31.250000000000004</v>
      </c>
      <c r="AT18" s="12"/>
      <c r="AU18" s="13">
        <f>100-Data_Geotech[[#This Row],[RQD (%)]]</f>
        <v>0</v>
      </c>
      <c r="AV18" s="13">
        <f>100-Data_Geotech[[#This Row],[TCR (%)]]</f>
        <v>0</v>
      </c>
      <c r="AW18" s="62">
        <f>(Data_Geotech[[#This Row],[Fracture per interval]]+Data_Geotech[[#This Row],[Added fractures 
(BC, FLT, LC)]])/Data_Geotech[[#This Row],[TCR (m)]]</f>
        <v>3.125</v>
      </c>
      <c r="AX18" s="6" t="s">
        <v>109</v>
      </c>
      <c r="AY18" s="63">
        <f>7-MID(Data_Geotech[[#This Row],[Field Intact Rock Strength]],2,1)</f>
        <v>4</v>
      </c>
      <c r="AZ18" s="63">
        <f>VLOOKUP(Data_Geotech[[#This Row],[Field Intact Rock Strength]],Table_FieldStrength[],2,FALSE)</f>
        <v>25</v>
      </c>
      <c r="BA18" s="63">
        <f>VLOOKUP(Data_Geotech[[#This Row],[Field Intact Rock Strength]],Table_FieldStrength[],3,FALSE)</f>
        <v>37.5</v>
      </c>
      <c r="BB18" s="63">
        <f>VLOOKUP(Data_Geotech[[#This Row],[Field Intact Rock Strength]],Table_FieldStrength[],4,FALSE)</f>
        <v>50</v>
      </c>
      <c r="BC18" s="63">
        <f>100-Data_Geotech[[#This Row],[RMR76]]</f>
        <v>31.75</v>
      </c>
      <c r="BD18" s="63" t="str">
        <f>LEFT(Data_Geotech[[#This Row],[Weathering/Alteration]],FIND("-",Data_Geotech[[#This Row],[Weathering/Alteration]])-2)</f>
        <v>W1/A1</v>
      </c>
    </row>
    <row r="19" spans="1:56" s="91" customFormat="1" ht="15.75" hidden="1" thickBot="1" x14ac:dyDescent="0.3">
      <c r="A19" s="91" t="s">
        <v>26</v>
      </c>
      <c r="B19" s="167" t="str">
        <f>VLOOKUP(Data_Geotech[[#This Row],[Hole ID]],Data_Log[],2,FALSE)</f>
        <v>CGF-01</v>
      </c>
      <c r="C19" s="155">
        <v>72.06</v>
      </c>
      <c r="D19" s="155">
        <v>74.22</v>
      </c>
      <c r="E19" s="155">
        <f>(Data_Geotech[[#This Row],[To (m)]]-Data_Geotech[[#This Row],[From (m)]])/2+Data_Geotech[[#This Row],[From (m)]]</f>
        <v>73.14</v>
      </c>
      <c r="F19" s="155">
        <f>Data_Geotech[[#This Row],[To (m)]]-Data_Geotech[[#This Row],[From (m)]]</f>
        <v>2.1599999999999966</v>
      </c>
      <c r="G19" s="155">
        <v>2.16</v>
      </c>
      <c r="H19" s="168">
        <f>Data_Geotech[[#This Row],[TCR (m)]]/Data_Geotech[[#This Row],[Run (m)]]*100</f>
        <v>100.00000000000016</v>
      </c>
      <c r="I19" s="168">
        <v>2.17</v>
      </c>
      <c r="J19" s="168">
        <v>2.17</v>
      </c>
      <c r="K19" s="155">
        <v>2.17</v>
      </c>
      <c r="L19" s="168">
        <f>Data_Geotech[[#This Row],[RQD (m)]]/Data_Geotech[[#This Row],[Run Reel (m)]]*100</f>
        <v>100</v>
      </c>
      <c r="M19" s="91" t="s">
        <v>584</v>
      </c>
      <c r="O19" s="91" t="s">
        <v>243</v>
      </c>
      <c r="P19" s="169" t="s">
        <v>397</v>
      </c>
      <c r="Q19" s="155" t="s">
        <v>281</v>
      </c>
      <c r="R19" s="155"/>
      <c r="S19" s="155"/>
      <c r="T19" s="155"/>
      <c r="U19" s="155"/>
      <c r="V19" s="148">
        <v>4</v>
      </c>
      <c r="W19" s="170">
        <f>SUMIFS(Discontinuities!$D$4:$D$9664,Discontinuities!$A$4:$A$9664,A19,Discontinuities!$C$4:$C$9664,"&gt;="&amp;C19,Discontinuities!$C$4:$C$9664,"&lt;"&amp;D19)
-SUMIFS(Discontinuities!$D$4:$D$9664,Discontinuities!$A$4:$A$9664,A19,Discontinuities!$C$4:$C$9664,"&gt;="&amp;C19,Discontinuities!$C$4:$C$9664,"&lt;"&amp;D19,Discontinuities!$E$4:$E$9664,"=BC")
-SUMIFS(Discontinuities!$D$4:$D$9664,Discontinuities!$A$4:$A$9664,A19,Discontinuities!$C$4:$C$9664,"&gt;="&amp;C19,Discontinuities!$C$4:$C$9664,"&lt;"&amp;D19,Discontinuities!$E$4:$E$9664,"=LC")
-SUMIFS(Discontinuities!$D$4:$D$9664,Discontinuities!$A$4:$A$9664,A19,Discontinuities!$C$4:$C$9664,"&gt;="&amp;C19,Discontinuities!$C$4:$C$9664,"&lt;"&amp;D19,Discontinuities!$E$4:$E$9664,"=FLT")</f>
        <v>4</v>
      </c>
      <c r="X19" s="91" t="s">
        <v>345</v>
      </c>
      <c r="Y19" s="148"/>
      <c r="AB19" s="171">
        <f>IFERROR(ROUND((Data_Geotech[[#This Row],[Fault (m)]]+Data_Geotech[[#This Row],[Broken Core (m)]]+Data_Geotech[[#This Row],[Lost Core (m)]])*30,0),0)</f>
        <v>0</v>
      </c>
      <c r="AC19" s="172">
        <f>IF(Data_Geotech[[#This Row],[Added fractures 
(BC, FLT, LC)]]+Data_Geotech[[#This Row],[Fracture per interval]]=0,99,1/((Data_Geotech[[#This Row],[Fracture per interval]]+Data_Geotech[[#This Row],[Added fractures 
(BC, FLT, LC)]])/Data_Geotech[[#This Row],[Run (m)]]))</f>
        <v>0.53999999999999915</v>
      </c>
      <c r="AD19" s="155" cm="1">
        <f t="array" ref="AD19">IFERROR(_xlfn.XLOOKUP(1,(A19=PLT!$A$4:$A$8886)*(Geotech!C19&lt;=PLT!$F$4:$F$8886)*(Geotech!D19&gt;=PLT!$F$4:$F$8886)*("Valid"=PLT!$P$4:$P$8886),PLT!$V$4:$V$8886),"")</f>
        <v>0</v>
      </c>
      <c r="AE19" s="156" t="str" cm="1">
        <f t="array" ref="AE19">IFERROR(_xlfn.XLOOKUP(1,(A19=PLT!$A$4:$A$8886)*(Geotech!C19&lt;=PLT!$F$4:$F$8886)*(Geotech!D19&gt;=PLT!$F$4:$F$8886)*(PLT!$V$4:$V$8886&lt;&gt;AD19)*("Valid"=PLT!$P$4:$P$7190),PLT!$V$4:$V$8886),"")</f>
        <v/>
      </c>
      <c r="AF19" s="156" t="str" cm="1">
        <f t="array" ref="AF19">IFERROR(_xlfn.XLOOKUP(1,(A19=PLT!$A$4:$A$8886)*(Geotech!C19&lt;=PLT!$F$4:$F$8886)*(Geotech!D19&gt;=PLT!$F$4:$F$8886)*(PLT!$V$4:$V$8886&lt;&gt;AD19)*(PLT!$V$4:$V$8886&lt;&gt;AE19)*("Valid"=PLT!$P$4:$P$7190),PLT!$V$4:$V$8886),"")</f>
        <v/>
      </c>
      <c r="AG19" s="172">
        <f>IFERROR(IF(AVERAGE(AD19:AF19)&gt;References!$BO$23,References!$BP$23,
IF(AVERAGE(AD19:AF19)&gt;References!$BO$22,References!$BP$22,
IF(AVERAGE(AD19:AF19)&gt;References!$BO$21,References!$BP$21,
IF(AVERAGE(AD19:AF19)&gt;References!$BO$20,References!$BP$20,
IF(AVERAGE(AD19:AF19)&gt;References!$BO$19,References!$BP$19,
IF(AVERAGE(AD19:AF19)&gt;References!$BO$18,References!$BP$18,
0)))))),"")</f>
        <v>0</v>
      </c>
      <c r="AH19" s="171">
        <f>IF(Data_Geotech[[#This Row],[Is50]]="",VLOOKUP(Data_Geotech[[#This Row],[Field Intact Rock Strength]],Table_RMR76_Strength[],2,FALSE),Data_Geotech[[#This Row],[Is50]])</f>
        <v>0</v>
      </c>
      <c r="AI19" s="171">
        <f>IF(Data_Geotech[[#This Row],[RQD (%)]]&lt;=25,3,IF(Data_Geotech[[#This Row],[RQD (%)]]&lt;=50,8,IF(Data_Geotech[[#This Row],[RQD (%)]]&lt;=75,13,IF(Data_Geotech[[#This Row],[RQD (%)]]&lt;=90,17,20))))</f>
        <v>20</v>
      </c>
      <c r="AJ19" s="171">
        <f>IF(Data_Geotech[[#This Row],[Joint spacing (m)]]&lt;=0.05,5,IF(Data_Geotech[[#This Row],[Joint spacing (m)]]&lt;=0.3,10,IF(Data_Geotech[[#This Row],[Joint spacing (m)]]&lt;=1,20,IF(Data_Geotech[[#This Row],[Joint spacing (m)]]&lt;=3,25,30))))</f>
        <v>20</v>
      </c>
      <c r="AK19"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23.75</v>
      </c>
      <c r="AL19" s="148">
        <v>10</v>
      </c>
      <c r="AM19" s="173">
        <f>IF(Data_Geotech[[#This Row],[FIRS Code]]="R",IFERROR(SUM(Data_Geotech[[#This Row],[RMR76 - Strength rating]:[RMR76 - Ground water rating]]),""),"")</f>
        <v>73.75</v>
      </c>
      <c r="AN19" s="174">
        <f>IF(Data_Geotech[[#This Row],[FIRS Code]]="R",(2*Data_Geotech[[#This Row],[RMR76 - Joint condition rating]])+(IF(Data_Geotech[[#This Row],[RQD (%)]]&gt;80,80/2,Data_Geotech[[#This Row],[RQD (%)]]/2)),"")</f>
        <v>87.5</v>
      </c>
      <c r="AO19" s="171" t="str">
        <f>LEFT(Data_Geotech[[#This Row],[Joint Set Rating]],FIND("-",Data_Geotech[[#This Row],[Joint Set Rating]],1)-2)</f>
        <v>3</v>
      </c>
      <c r="AP19"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1.375</v>
      </c>
      <c r="AQ19" s="155">
        <f t="shared" si="0"/>
        <v>1</v>
      </c>
      <c r="AR19" s="175">
        <f>IF(Data_Geotech[[#This Row],[FIRS Code]]="R",IFERROR((IF(Data_Geotech[[#This Row],[RQD (%)]]&lt;10,10,Data_Geotech[[#This Row],[RQD (%)]])/Data_Geotech[[#This Row],[Jn rating]])*Data_Geotech[[#This Row],[Jr/Ja]],""),"")</f>
        <v>45.833333333333336</v>
      </c>
      <c r="AS19" s="176">
        <f>IF(Data_Geotech[[#This Row],[FIRS Code]]="R",IFERROR((IF(Data_Geotech[[#This Row],[RQD (%)]]&lt;10,10,Data_Geotech[[#This Row],[RQD (%)]])/Data_Geotech[[#This Row],[Jn rating]])*Data_Geotech[[#This Row],[Jr/Ja]]*Data_Geotech[[#This Row],[Jw/SRF]],""),"")</f>
        <v>45.833333333333336</v>
      </c>
      <c r="AU19" s="155">
        <f>100-Data_Geotech[[#This Row],[RQD (%)]]</f>
        <v>0</v>
      </c>
      <c r="AV19" s="155">
        <f>100-Data_Geotech[[#This Row],[TCR (%)]]</f>
        <v>-1.5631940186722204E-13</v>
      </c>
      <c r="AW19" s="170">
        <f>(Data_Geotech[[#This Row],[Fracture per interval]]+Data_Geotech[[#This Row],[Added fractures 
(BC, FLT, LC)]])/Data_Geotech[[#This Row],[TCR (m)]]</f>
        <v>1.8518518518518516</v>
      </c>
      <c r="AX19" s="148" t="s">
        <v>109</v>
      </c>
      <c r="AY19" s="148">
        <f>7-MID(Data_Geotech[[#This Row],[Field Intact Rock Strength]],2,1)</f>
        <v>2</v>
      </c>
      <c r="AZ19" s="148">
        <f>VLOOKUP(Data_Geotech[[#This Row],[Field Intact Rock Strength]],Table_FieldStrength[],2,FALSE)</f>
        <v>100</v>
      </c>
      <c r="BA19" s="148">
        <f>VLOOKUP(Data_Geotech[[#This Row],[Field Intact Rock Strength]],Table_FieldStrength[],3,FALSE)</f>
        <v>175</v>
      </c>
      <c r="BB19" s="148">
        <f>VLOOKUP(Data_Geotech[[#This Row],[Field Intact Rock Strength]],Table_FieldStrength[],4,FALSE)</f>
        <v>250</v>
      </c>
      <c r="BC19" s="148">
        <f>100-Data_Geotech[[#This Row],[RMR76]]</f>
        <v>26.25</v>
      </c>
      <c r="BD19" s="148" t="str">
        <f>LEFT(Data_Geotech[[#This Row],[Weathering/Alteration]],FIND("-",Data_Geotech[[#This Row],[Weathering/Alteration]])-2)</f>
        <v>W1/A1</v>
      </c>
    </row>
    <row r="20" spans="1:56" ht="15.75" hidden="1" thickBot="1" x14ac:dyDescent="0.3">
      <c r="A20" t="s">
        <v>26</v>
      </c>
      <c r="B20" s="16" t="str">
        <f>VLOOKUP(Data_Geotech[[#This Row],[Hole ID]],Data_Log[],2,FALSE)</f>
        <v>CGF-01</v>
      </c>
      <c r="C20" s="5">
        <v>74.22</v>
      </c>
      <c r="D20" s="5">
        <v>74.98</v>
      </c>
      <c r="E20" s="5">
        <f>(Data_Geotech[[#This Row],[To (m)]]-Data_Geotech[[#This Row],[From (m)]])/2+Data_Geotech[[#This Row],[From (m)]]</f>
        <v>74.599999999999994</v>
      </c>
      <c r="F20" s="13">
        <f>Data_Geotech[[#This Row],[To (m)]]-Data_Geotech[[#This Row],[From (m)]]</f>
        <v>0.76000000000000512</v>
      </c>
      <c r="G20" s="5">
        <v>0.76</v>
      </c>
      <c r="H20" s="61">
        <f>Data_Geotech[[#This Row],[TCR (m)]]/Data_Geotech[[#This Row],[Run (m)]]*100</f>
        <v>99.999999999999318</v>
      </c>
      <c r="I20" s="151">
        <v>0.96</v>
      </c>
      <c r="J20" s="151">
        <v>0.96</v>
      </c>
      <c r="K20" s="5">
        <v>0.79</v>
      </c>
      <c r="L20" s="61">
        <f>Data_Geotech[[#This Row],[RQD (m)]]/Data_Geotech[[#This Row],[Run Reel (m)]]*100</f>
        <v>82.291666666666671</v>
      </c>
      <c r="M20" t="s">
        <v>584</v>
      </c>
      <c r="O20" t="s">
        <v>310</v>
      </c>
      <c r="P20" s="115" t="s">
        <v>416</v>
      </c>
      <c r="Q20" s="5" t="s">
        <v>281</v>
      </c>
      <c r="R20" s="5"/>
      <c r="S20" s="5">
        <v>0.17</v>
      </c>
      <c r="T20" s="5"/>
      <c r="U20" s="5"/>
      <c r="V20" s="6">
        <v>0</v>
      </c>
      <c r="W20" s="92">
        <f>SUMIFS(Discontinuities!$D$4:$D$9664,Discontinuities!$A$4:$A$9664,A20,Discontinuities!$C$4:$C$9664,"&gt;="&amp;C20,Discontinuities!$C$4:$C$9664,"&lt;"&amp;D20)
-SUMIFS(Discontinuities!$D$4:$D$9664,Discontinuities!$A$4:$A$9664,A20,Discontinuities!$C$4:$C$9664,"&gt;="&amp;C20,Discontinuities!$C$4:$C$9664,"&lt;"&amp;D20,Discontinuities!$E$4:$E$9664,"=BC")
-SUMIFS(Discontinuities!$D$4:$D$9664,Discontinuities!$A$4:$A$9664,A20,Discontinuities!$C$4:$C$9664,"&gt;="&amp;C20,Discontinuities!$C$4:$C$9664,"&lt;"&amp;D20,Discontinuities!$E$4:$E$9664,"=LC")
-SUMIFS(Discontinuities!$D$4:$D$9664,Discontinuities!$A$4:$A$9664,A20,Discontinuities!$C$4:$C$9664,"&gt;="&amp;C20,Discontinuities!$C$4:$C$9664,"&lt;"&amp;D20,Discontinuities!$E$4:$E$9664,"=FLT")</f>
        <v>0</v>
      </c>
      <c r="X20" t="s">
        <v>245</v>
      </c>
      <c r="Z20" t="s">
        <v>588</v>
      </c>
      <c r="AA20" s="12"/>
      <c r="AB20" s="43">
        <f>IFERROR(ROUND((Data_Geotech[[#This Row],[Fault (m)]]+Data_Geotech[[#This Row],[Broken Core (m)]]+Data_Geotech[[#This Row],[Lost Core (m)]])*30,0),0)</f>
        <v>5</v>
      </c>
      <c r="AC20" s="44">
        <f>IF(Data_Geotech[[#This Row],[Added fractures 
(BC, FLT, LC)]]+Data_Geotech[[#This Row],[Fracture per interval]]=0,99,1/((Data_Geotech[[#This Row],[Fracture per interval]]+Data_Geotech[[#This Row],[Added fractures 
(BC, FLT, LC)]])/Data_Geotech[[#This Row],[Run (m)]]))</f>
        <v>0.15200000000000102</v>
      </c>
      <c r="AD20" s="155" t="str" cm="1">
        <f t="array" ref="AD20">IFERROR(_xlfn.XLOOKUP(1,(A20=PLT!$A$4:$A$8886)*(Geotech!C20&lt;=PLT!$F$4:$F$8886)*(Geotech!D20&gt;=PLT!$F$4:$F$8886)*("Valid"=PLT!$P$4:$P$8886),PLT!$V$4:$V$8886),"")</f>
        <v/>
      </c>
      <c r="AE20" s="156" t="str" cm="1">
        <f t="array" ref="AE20">IFERROR(_xlfn.XLOOKUP(1,(A20=PLT!$A$4:$A$8886)*(Geotech!C20&lt;=PLT!$F$4:$F$8886)*(Geotech!D20&gt;=PLT!$F$4:$F$8886)*(PLT!$V$4:$V$8886&lt;&gt;AD20)*("Valid"=PLT!$P$4:$P$7190),PLT!$V$4:$V$8886),"")</f>
        <v/>
      </c>
      <c r="AF20" s="156" t="str" cm="1">
        <f t="array" ref="AF20">IFERROR(_xlfn.XLOOKUP(1,(A20=PLT!$A$4:$A$8886)*(Geotech!C20&lt;=PLT!$F$4:$F$8886)*(Geotech!D20&gt;=PLT!$F$4:$F$8886)*(PLT!$V$4:$V$8886&lt;&gt;AD20)*(PLT!$V$4:$V$8886&lt;&gt;AE20)*("Valid"=PLT!$P$4:$P$7190),PLT!$V$4:$V$8886),"")</f>
        <v/>
      </c>
      <c r="AG20" s="44" t="str">
        <f>IFERROR(IF(AVERAGE(AD20:AF20)&gt;References!$BO$23,References!$BP$23,
IF(AVERAGE(AD20:AF20)&gt;References!$BO$22,References!$BP$22,
IF(AVERAGE(AD20:AF20)&gt;References!$BO$21,References!$BP$21,
IF(AVERAGE(AD20:AF20)&gt;References!$BO$20,References!$BP$20,
IF(AVERAGE(AD20:AF20)&gt;References!$BO$19,References!$BP$19,
IF(AVERAGE(AD20:AF20)&gt;References!$BO$18,References!$BP$18,
0)))))),"")</f>
        <v/>
      </c>
      <c r="AH20" s="43">
        <f>IF(Data_Geotech[[#This Row],[Is50]]="",VLOOKUP(Data_Geotech[[#This Row],[Field Intact Rock Strength]],Table_RMR76_Strength[],2,FALSE),Data_Geotech[[#This Row],[Is50]])</f>
        <v>15</v>
      </c>
      <c r="AI20" s="43">
        <f>IF(Data_Geotech[[#This Row],[RQD (%)]]&lt;=25,3,IF(Data_Geotech[[#This Row],[RQD (%)]]&lt;=50,8,IF(Data_Geotech[[#This Row],[RQD (%)]]&lt;=75,13,IF(Data_Geotech[[#This Row],[RQD (%)]]&lt;=90,17,20))))</f>
        <v>17</v>
      </c>
      <c r="AJ20" s="43">
        <f>IF(Data_Geotech[[#This Row],[Joint spacing (m)]]&lt;=0.05,5,IF(Data_Geotech[[#This Row],[Joint spacing (m)]]&lt;=0.3,10,IF(Data_Geotech[[#This Row],[Joint spacing (m)]]&lt;=1,20,IF(Data_Geotech[[#This Row],[Joint spacing (m)]]&lt;=3,25,30))))</f>
        <v>10</v>
      </c>
      <c r="AK2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20" s="6">
        <v>10</v>
      </c>
      <c r="AM20" s="117">
        <f>IF(Data_Geotech[[#This Row],[FIRS Code]]="R",IFERROR(SUM(Data_Geotech[[#This Row],[RMR76 - Strength rating]:[RMR76 - Ground water rating]]),""),"")</f>
        <v>58</v>
      </c>
      <c r="AN20" s="39">
        <f>IF(Data_Geotech[[#This Row],[FIRS Code]]="R",(2*Data_Geotech[[#This Row],[RMR76 - Joint condition rating]])+(IF(Data_Geotech[[#This Row],[RQD (%)]]&gt;80,80/2,Data_Geotech[[#This Row],[RQD (%)]]/2)),"")</f>
        <v>52</v>
      </c>
      <c r="AO20" s="43" t="str">
        <f>LEFT(Data_Geotech[[#This Row],[Joint Set Rating]],FIND("-",Data_Geotech[[#This Row],[Joint Set Rating]],1)-2)</f>
        <v>0.5</v>
      </c>
      <c r="AP2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0.25</v>
      </c>
      <c r="AQ20" s="5">
        <f t="shared" si="0"/>
        <v>1</v>
      </c>
      <c r="AR20" s="49" t="str">
        <f>IF(Data_Geotech[[#This Row],[FIRS Code]]="R",IFERROR((IF(Data_Geotech[[#This Row],[RQD (%)]]&lt;10,10,Data_Geotech[[#This Row],[RQD (%)]])/Data_Geotech[[#This Row],[Jn rating]])*Data_Geotech[[#This Row],[Jr/Ja]],""),"")</f>
        <v/>
      </c>
      <c r="AS20" s="45" t="str">
        <f>IF(Data_Geotech[[#This Row],[FIRS Code]]="R",IFERROR((IF(Data_Geotech[[#This Row],[RQD (%)]]&lt;10,10,Data_Geotech[[#This Row],[RQD (%)]])/Data_Geotech[[#This Row],[Jn rating]])*Data_Geotech[[#This Row],[Jr/Ja]]*Data_Geotech[[#This Row],[Jw/SRF]],""),"")</f>
        <v/>
      </c>
      <c r="AT20" s="12"/>
      <c r="AU20" s="13">
        <f>100-Data_Geotech[[#This Row],[RQD (%)]]</f>
        <v>17.708333333333329</v>
      </c>
      <c r="AV20" s="13">
        <f>100-Data_Geotech[[#This Row],[TCR (%)]]</f>
        <v>6.8212102632969618E-13</v>
      </c>
      <c r="AW20" s="62">
        <f>(Data_Geotech[[#This Row],[Fracture per interval]]+Data_Geotech[[#This Row],[Added fractures 
(BC, FLT, LC)]])/Data_Geotech[[#This Row],[TCR (m)]]</f>
        <v>6.5789473684210522</v>
      </c>
      <c r="AX20" s="6" t="s">
        <v>109</v>
      </c>
      <c r="AY20" s="63">
        <f>7-MID(Data_Geotech[[#This Row],[Field Intact Rock Strength]],2,1)</f>
        <v>1</v>
      </c>
      <c r="AZ20" s="63">
        <f>VLOOKUP(Data_Geotech[[#This Row],[Field Intact Rock Strength]],Table_FieldStrength[],2,FALSE)</f>
        <v>250</v>
      </c>
      <c r="BA20" s="63">
        <f>VLOOKUP(Data_Geotech[[#This Row],[Field Intact Rock Strength]],Table_FieldStrength[],3,FALSE)</f>
        <v>275</v>
      </c>
      <c r="BB20" s="63">
        <f>VLOOKUP(Data_Geotech[[#This Row],[Field Intact Rock Strength]],Table_FieldStrength[],4,FALSE)</f>
        <v>300</v>
      </c>
      <c r="BC20" s="63">
        <f>100-Data_Geotech[[#This Row],[RMR76]]</f>
        <v>42</v>
      </c>
      <c r="BD20" s="63" t="str">
        <f>LEFT(Data_Geotech[[#This Row],[Weathering/Alteration]],FIND("-",Data_Geotech[[#This Row],[Weathering/Alteration]])-2)</f>
        <v>W3/A3</v>
      </c>
    </row>
    <row r="21" spans="1:56" ht="15.75" hidden="1" thickBot="1" x14ac:dyDescent="0.3">
      <c r="A21" t="s">
        <v>26</v>
      </c>
      <c r="B21" s="16" t="str">
        <f>VLOOKUP(Data_Geotech[[#This Row],[Hole ID]],Data_Log[],2,FALSE)</f>
        <v>CGF-01</v>
      </c>
      <c r="C21" s="5">
        <v>74.98</v>
      </c>
      <c r="D21" s="5">
        <v>75.53</v>
      </c>
      <c r="E21" s="5">
        <f>(Data_Geotech[[#This Row],[To (m)]]-Data_Geotech[[#This Row],[From (m)]])/2+Data_Geotech[[#This Row],[From (m)]]</f>
        <v>75.254999999999995</v>
      </c>
      <c r="F21" s="13">
        <f>Data_Geotech[[#This Row],[To (m)]]-Data_Geotech[[#This Row],[From (m)]]</f>
        <v>0.54999999999999716</v>
      </c>
      <c r="G21" s="5">
        <v>0.55000000000000004</v>
      </c>
      <c r="H21" s="61">
        <f>Data_Geotech[[#This Row],[TCR (m)]]/Data_Geotech[[#This Row],[Run (m)]]*100</f>
        <v>100.00000000000054</v>
      </c>
      <c r="I21" s="151">
        <v>0.54</v>
      </c>
      <c r="J21" s="151">
        <v>0.54</v>
      </c>
      <c r="K21" s="5">
        <v>0.54</v>
      </c>
      <c r="L21" s="61">
        <f>Data_Geotech[[#This Row],[RQD (m)]]/Data_Geotech[[#This Row],[Run Reel (m)]]*100</f>
        <v>100</v>
      </c>
      <c r="M21" t="s">
        <v>584</v>
      </c>
      <c r="O21" t="s">
        <v>310</v>
      </c>
      <c r="P21" s="115" t="s">
        <v>416</v>
      </c>
      <c r="Q21" s="5" t="s">
        <v>246</v>
      </c>
      <c r="R21" s="5"/>
      <c r="S21" s="5"/>
      <c r="T21" s="5"/>
      <c r="U21" s="5"/>
      <c r="V21" s="6">
        <v>1</v>
      </c>
      <c r="W21" s="92">
        <f>SUMIFS(Discontinuities!$D$4:$D$9664,Discontinuities!$A$4:$A$9664,A21,Discontinuities!$C$4:$C$9664,"&gt;="&amp;C21,Discontinuities!$C$4:$C$9664,"&lt;"&amp;D21)
-SUMIFS(Discontinuities!$D$4:$D$9664,Discontinuities!$A$4:$A$9664,A21,Discontinuities!$C$4:$C$9664,"&gt;="&amp;C21,Discontinuities!$C$4:$C$9664,"&lt;"&amp;D21,Discontinuities!$E$4:$E$9664,"=BC")
-SUMIFS(Discontinuities!$D$4:$D$9664,Discontinuities!$A$4:$A$9664,A21,Discontinuities!$C$4:$C$9664,"&gt;="&amp;C21,Discontinuities!$C$4:$C$9664,"&lt;"&amp;D21,Discontinuities!$E$4:$E$9664,"=LC")
-SUMIFS(Discontinuities!$D$4:$D$9664,Discontinuities!$A$4:$A$9664,A21,Discontinuities!$C$4:$C$9664,"&gt;="&amp;C21,Discontinuities!$C$4:$C$9664,"&lt;"&amp;D21,Discontinuities!$E$4:$E$9664,"=FLT")</f>
        <v>1</v>
      </c>
      <c r="X21" t="s">
        <v>312</v>
      </c>
      <c r="Z21" t="s">
        <v>588</v>
      </c>
      <c r="AA21" s="12"/>
      <c r="AB21" s="43">
        <f>IFERROR(ROUND((Data_Geotech[[#This Row],[Fault (m)]]+Data_Geotech[[#This Row],[Broken Core (m)]]+Data_Geotech[[#This Row],[Lost Core (m)]])*30,0),0)</f>
        <v>0</v>
      </c>
      <c r="AC21" s="44">
        <f>IF(Data_Geotech[[#This Row],[Added fractures 
(BC, FLT, LC)]]+Data_Geotech[[#This Row],[Fracture per interval]]=0,99,1/((Data_Geotech[[#This Row],[Fracture per interval]]+Data_Geotech[[#This Row],[Added fractures 
(BC, FLT, LC)]])/Data_Geotech[[#This Row],[Run (m)]]))</f>
        <v>0.54999999999999716</v>
      </c>
      <c r="AD21" s="155" cm="1">
        <f t="array" ref="AD21">IFERROR(_xlfn.XLOOKUP(1,(A21=PLT!$A$4:$A$8886)*(Geotech!C21&lt;=PLT!$F$4:$F$8886)*(Geotech!D21&gt;=PLT!$F$4:$F$8886)*("Valid"=PLT!$P$4:$P$8886),PLT!$V$4:$V$8886),"")</f>
        <v>0</v>
      </c>
      <c r="AE21" s="156" t="str" cm="1">
        <f t="array" ref="AE21">IFERROR(_xlfn.XLOOKUP(1,(A21=PLT!$A$4:$A$8886)*(Geotech!C21&lt;=PLT!$F$4:$F$8886)*(Geotech!D21&gt;=PLT!$F$4:$F$8886)*(PLT!$V$4:$V$8886&lt;&gt;AD21)*("Valid"=PLT!$P$4:$P$7190),PLT!$V$4:$V$8886),"")</f>
        <v/>
      </c>
      <c r="AF21" s="156" t="str" cm="1">
        <f t="array" ref="AF21">IFERROR(_xlfn.XLOOKUP(1,(A21=PLT!$A$4:$A$8886)*(Geotech!C21&lt;=PLT!$F$4:$F$8886)*(Geotech!D21&gt;=PLT!$F$4:$F$8886)*(PLT!$V$4:$V$8886&lt;&gt;AD21)*(PLT!$V$4:$V$8886&lt;&gt;AE21)*("Valid"=PLT!$P$4:$P$7190),PLT!$V$4:$V$8886),"")</f>
        <v/>
      </c>
      <c r="AG21" s="44">
        <f>IFERROR(IF(AVERAGE(AD21:AF21)&gt;References!$BO$23,References!$BP$23,
IF(AVERAGE(AD21:AF21)&gt;References!$BO$22,References!$BP$22,
IF(AVERAGE(AD21:AF21)&gt;References!$BO$21,References!$BP$21,
IF(AVERAGE(AD21:AF21)&gt;References!$BO$20,References!$BP$20,
IF(AVERAGE(AD21:AF21)&gt;References!$BO$19,References!$BP$19,
IF(AVERAGE(AD21:AF21)&gt;References!$BO$18,References!$BP$18,
0)))))),"")</f>
        <v>0</v>
      </c>
      <c r="AH21" s="43">
        <f>IF(Data_Geotech[[#This Row],[Is50]]="",VLOOKUP(Data_Geotech[[#This Row],[Field Intact Rock Strength]],Table_RMR76_Strength[],2,FALSE),Data_Geotech[[#This Row],[Is50]])</f>
        <v>0</v>
      </c>
      <c r="AI21" s="43">
        <f>IF(Data_Geotech[[#This Row],[RQD (%)]]&lt;=25,3,IF(Data_Geotech[[#This Row],[RQD (%)]]&lt;=50,8,IF(Data_Geotech[[#This Row],[RQD (%)]]&lt;=75,13,IF(Data_Geotech[[#This Row],[RQD (%)]]&lt;=90,17,20))))</f>
        <v>20</v>
      </c>
      <c r="AJ21" s="43">
        <f>IF(Data_Geotech[[#This Row],[Joint spacing (m)]]&lt;=0.05,5,IF(Data_Geotech[[#This Row],[Joint spacing (m)]]&lt;=0.3,10,IF(Data_Geotech[[#This Row],[Joint spacing (m)]]&lt;=1,20,IF(Data_Geotech[[#This Row],[Joint spacing (m)]]&lt;=3,25,30))))</f>
        <v>20</v>
      </c>
      <c r="AK2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 s="6">
        <v>10</v>
      </c>
      <c r="AM21" s="117">
        <f>IF(Data_Geotech[[#This Row],[FIRS Code]]="R",IFERROR(SUM(Data_Geotech[[#This Row],[RMR76 - Strength rating]:[RMR76 - Ground water rating]]),""),"")</f>
        <v>75</v>
      </c>
      <c r="AN21" s="39">
        <f>IF(Data_Geotech[[#This Row],[FIRS Code]]="R",(2*Data_Geotech[[#This Row],[RMR76 - Joint condition rating]])+(IF(Data_Geotech[[#This Row],[RQD (%)]]&gt;80,80/2,Data_Geotech[[#This Row],[RQD (%)]]/2)),"")</f>
        <v>90</v>
      </c>
      <c r="AO21" s="43" t="str">
        <f>LEFT(Data_Geotech[[#This Row],[Joint Set Rating]],FIND("-",Data_Geotech[[#This Row],[Joint Set Rating]],1)-2)</f>
        <v>2</v>
      </c>
      <c r="AP2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21" s="5">
        <f t="shared" si="0"/>
        <v>1</v>
      </c>
      <c r="AR21" s="49">
        <f>IF(Data_Geotech[[#This Row],[FIRS Code]]="R",IFERROR((IF(Data_Geotech[[#This Row],[RQD (%)]]&lt;10,10,Data_Geotech[[#This Row],[RQD (%)]])/Data_Geotech[[#This Row],[Jn rating]])*Data_Geotech[[#This Row],[Jr/Ja]],""),"")</f>
        <v>75</v>
      </c>
      <c r="AS21" s="45">
        <f>IF(Data_Geotech[[#This Row],[FIRS Code]]="R",IFERROR((IF(Data_Geotech[[#This Row],[RQD (%)]]&lt;10,10,Data_Geotech[[#This Row],[RQD (%)]])/Data_Geotech[[#This Row],[Jn rating]])*Data_Geotech[[#This Row],[Jr/Ja]]*Data_Geotech[[#This Row],[Jw/SRF]],""),"")</f>
        <v>75</v>
      </c>
      <c r="AT21" s="12"/>
      <c r="AU21" s="13">
        <f>100-Data_Geotech[[#This Row],[RQD (%)]]</f>
        <v>0</v>
      </c>
      <c r="AV21" s="13">
        <f>100-Data_Geotech[[#This Row],[TCR (%)]]</f>
        <v>-5.4001247917767614E-13</v>
      </c>
      <c r="AW21" s="62">
        <f>(Data_Geotech[[#This Row],[Fracture per interval]]+Data_Geotech[[#This Row],[Added fractures 
(BC, FLT, LC)]])/Data_Geotech[[#This Row],[TCR (m)]]</f>
        <v>1.8181818181818181</v>
      </c>
      <c r="AX21" s="6" t="s">
        <v>109</v>
      </c>
      <c r="AY21" s="63">
        <f>7-MID(Data_Geotech[[#This Row],[Field Intact Rock Strength]],2,1)</f>
        <v>1</v>
      </c>
      <c r="AZ21" s="63">
        <f>VLOOKUP(Data_Geotech[[#This Row],[Field Intact Rock Strength]],Table_FieldStrength[],2,FALSE)</f>
        <v>250</v>
      </c>
      <c r="BA21" s="63">
        <f>VLOOKUP(Data_Geotech[[#This Row],[Field Intact Rock Strength]],Table_FieldStrength[],3,FALSE)</f>
        <v>275</v>
      </c>
      <c r="BB21" s="63">
        <f>VLOOKUP(Data_Geotech[[#This Row],[Field Intact Rock Strength]],Table_FieldStrength[],4,FALSE)</f>
        <v>300</v>
      </c>
      <c r="BC21" s="63">
        <f>100-Data_Geotech[[#This Row],[RMR76]]</f>
        <v>25</v>
      </c>
      <c r="BD21" s="63" t="str">
        <f>LEFT(Data_Geotech[[#This Row],[Weathering/Alteration]],FIND("-",Data_Geotech[[#This Row],[Weathering/Alteration]])-2)</f>
        <v>W3/A3</v>
      </c>
    </row>
    <row r="22" spans="1:56" ht="15.75" hidden="1" thickBot="1" x14ac:dyDescent="0.3">
      <c r="A22" t="s">
        <v>26</v>
      </c>
      <c r="B22" s="16" t="str">
        <f>VLOOKUP(Data_Geotech[[#This Row],[Hole ID]],Data_Log[],2,FALSE)</f>
        <v>CGF-01</v>
      </c>
      <c r="C22" s="5">
        <v>75.53</v>
      </c>
      <c r="D22" s="5">
        <v>77.849999999999994</v>
      </c>
      <c r="E22" s="5">
        <f>(Data_Geotech[[#This Row],[To (m)]]-Data_Geotech[[#This Row],[From (m)]])/2+Data_Geotech[[#This Row],[From (m)]]</f>
        <v>76.69</v>
      </c>
      <c r="F22" s="13">
        <f>Data_Geotech[[#This Row],[To (m)]]-Data_Geotech[[#This Row],[From (m)]]</f>
        <v>2.3199999999999932</v>
      </c>
      <c r="G22" s="5">
        <v>2.3199999999999998</v>
      </c>
      <c r="H22" s="61">
        <f>Data_Geotech[[#This Row],[TCR (m)]]/Data_Geotech[[#This Row],[Run (m)]]*100</f>
        <v>100.00000000000028</v>
      </c>
      <c r="I22" s="151">
        <v>2.35</v>
      </c>
      <c r="J22" s="151">
        <v>2.35</v>
      </c>
      <c r="K22" s="5">
        <v>2.35</v>
      </c>
      <c r="L22" s="61">
        <f>Data_Geotech[[#This Row],[RQD (m)]]/Data_Geotech[[#This Row],[Run Reel (m)]]*100</f>
        <v>100</v>
      </c>
      <c r="M22" t="s">
        <v>584</v>
      </c>
      <c r="O22" t="s">
        <v>243</v>
      </c>
      <c r="P22" s="115" t="s">
        <v>397</v>
      </c>
      <c r="Q22" s="5" t="s">
        <v>281</v>
      </c>
      <c r="R22" s="5"/>
      <c r="S22" s="5"/>
      <c r="T22" s="5"/>
      <c r="U22" s="5"/>
      <c r="V22" s="6">
        <v>7</v>
      </c>
      <c r="W22" s="92">
        <f>SUMIFS(Discontinuities!$D$4:$D$9664,Discontinuities!$A$4:$A$9664,A22,Discontinuities!$C$4:$C$9664,"&gt;="&amp;C22,Discontinuities!$C$4:$C$9664,"&lt;"&amp;D22)
-SUMIFS(Discontinuities!$D$4:$D$9664,Discontinuities!$A$4:$A$9664,A22,Discontinuities!$C$4:$C$9664,"&gt;="&amp;C22,Discontinuities!$C$4:$C$9664,"&lt;"&amp;D22,Discontinuities!$E$4:$E$9664,"=BC")
-SUMIFS(Discontinuities!$D$4:$D$9664,Discontinuities!$A$4:$A$9664,A22,Discontinuities!$C$4:$C$9664,"&gt;="&amp;C22,Discontinuities!$C$4:$C$9664,"&lt;"&amp;D22,Discontinuities!$E$4:$E$9664,"=LC")
-SUMIFS(Discontinuities!$D$4:$D$9664,Discontinuities!$A$4:$A$9664,A22,Discontinuities!$C$4:$C$9664,"&gt;="&amp;C22,Discontinuities!$C$4:$C$9664,"&lt;"&amp;D22,Discontinuities!$E$4:$E$9664,"=FLT")</f>
        <v>7</v>
      </c>
      <c r="X22" t="s">
        <v>312</v>
      </c>
      <c r="AA22" s="12"/>
      <c r="AB22" s="43">
        <f>IFERROR(ROUND((Data_Geotech[[#This Row],[Fault (m)]]+Data_Geotech[[#This Row],[Broken Core (m)]]+Data_Geotech[[#This Row],[Lost Core (m)]])*30,0),0)</f>
        <v>0</v>
      </c>
      <c r="AC22" s="44">
        <f>IF(Data_Geotech[[#This Row],[Added fractures 
(BC, FLT, LC)]]+Data_Geotech[[#This Row],[Fracture per interval]]=0,99,1/((Data_Geotech[[#This Row],[Fracture per interval]]+Data_Geotech[[#This Row],[Added fractures 
(BC, FLT, LC)]])/Data_Geotech[[#This Row],[Run (m)]]))</f>
        <v>0.33142857142857046</v>
      </c>
      <c r="AD22" s="155" cm="1">
        <f t="array" ref="AD22">IFERROR(_xlfn.XLOOKUP(1,(A22=PLT!$A$4:$A$8886)*(Geotech!C22&lt;=PLT!$F$4:$F$8886)*(Geotech!D22&gt;=PLT!$F$4:$F$8886)*("Valid"=PLT!$P$4:$P$8886),PLT!$V$4:$V$8886),"")</f>
        <v>0</v>
      </c>
      <c r="AE22" s="156" t="str" cm="1">
        <f t="array" ref="AE22">IFERROR(_xlfn.XLOOKUP(1,(A22=PLT!$A$4:$A$8886)*(Geotech!C22&lt;=PLT!$F$4:$F$8886)*(Geotech!D22&gt;=PLT!$F$4:$F$8886)*(PLT!$V$4:$V$8886&lt;&gt;AD22)*("Valid"=PLT!$P$4:$P$7190),PLT!$V$4:$V$8886),"")</f>
        <v/>
      </c>
      <c r="AF22" s="156" t="str" cm="1">
        <f t="array" ref="AF22">IFERROR(_xlfn.XLOOKUP(1,(A22=PLT!$A$4:$A$8886)*(Geotech!C22&lt;=PLT!$F$4:$F$8886)*(Geotech!D22&gt;=PLT!$F$4:$F$8886)*(PLT!$V$4:$V$8886&lt;&gt;AD22)*(PLT!$V$4:$V$8886&lt;&gt;AE22)*("Valid"=PLT!$P$4:$P$7190),PLT!$V$4:$V$8886),"")</f>
        <v/>
      </c>
      <c r="AG22" s="44">
        <f>IFERROR(IF(AVERAGE(AD22:AF22)&gt;References!$BO$23,References!$BP$23,
IF(AVERAGE(AD22:AF22)&gt;References!$BO$22,References!$BP$22,
IF(AVERAGE(AD22:AF22)&gt;References!$BO$21,References!$BP$21,
IF(AVERAGE(AD22:AF22)&gt;References!$BO$20,References!$BP$20,
IF(AVERAGE(AD22:AF22)&gt;References!$BO$19,References!$BP$19,
IF(AVERAGE(AD22:AF22)&gt;References!$BO$18,References!$BP$18,
0)))))),"")</f>
        <v>0</v>
      </c>
      <c r="AH22" s="43">
        <f>IF(Data_Geotech[[#This Row],[Is50]]="",VLOOKUP(Data_Geotech[[#This Row],[Field Intact Rock Strength]],Table_RMR76_Strength[],2,FALSE),Data_Geotech[[#This Row],[Is50]])</f>
        <v>0</v>
      </c>
      <c r="AI22" s="43">
        <f>IF(Data_Geotech[[#This Row],[RQD (%)]]&lt;=25,3,IF(Data_Geotech[[#This Row],[RQD (%)]]&lt;=50,8,IF(Data_Geotech[[#This Row],[RQD (%)]]&lt;=75,13,IF(Data_Geotech[[#This Row],[RQD (%)]]&lt;=90,17,20))))</f>
        <v>20</v>
      </c>
      <c r="AJ22" s="43">
        <f>IF(Data_Geotech[[#This Row],[Joint spacing (m)]]&lt;=0.05,5,IF(Data_Geotech[[#This Row],[Joint spacing (m)]]&lt;=0.3,10,IF(Data_Geotech[[#This Row],[Joint spacing (m)]]&lt;=1,20,IF(Data_Geotech[[#This Row],[Joint spacing (m)]]&lt;=3,25,30))))</f>
        <v>20</v>
      </c>
      <c r="AK2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20.571428571428573</v>
      </c>
      <c r="AL22" s="6">
        <v>10</v>
      </c>
      <c r="AM22" s="117">
        <f>IF(Data_Geotech[[#This Row],[FIRS Code]]="R",IFERROR(SUM(Data_Geotech[[#This Row],[RMR76 - Strength rating]:[RMR76 - Ground water rating]]),""),"")</f>
        <v>70.571428571428569</v>
      </c>
      <c r="AN22" s="39">
        <f>IF(Data_Geotech[[#This Row],[FIRS Code]]="R",(2*Data_Geotech[[#This Row],[RMR76 - Joint condition rating]])+(IF(Data_Geotech[[#This Row],[RQD (%)]]&gt;80,80/2,Data_Geotech[[#This Row],[RQD (%)]]/2)),"")</f>
        <v>81.142857142857139</v>
      </c>
      <c r="AO22" s="43" t="str">
        <f>LEFT(Data_Geotech[[#This Row],[Joint Set Rating]],FIND("-",Data_Geotech[[#This Row],[Joint Set Rating]],1)-2)</f>
        <v>2</v>
      </c>
      <c r="AP2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1.1428571428571428</v>
      </c>
      <c r="AQ22" s="5">
        <f t="shared" si="0"/>
        <v>1</v>
      </c>
      <c r="AR22" s="49">
        <f>IF(Data_Geotech[[#This Row],[FIRS Code]]="R",IFERROR((IF(Data_Geotech[[#This Row],[RQD (%)]]&lt;10,10,Data_Geotech[[#This Row],[RQD (%)]])/Data_Geotech[[#This Row],[Jn rating]])*Data_Geotech[[#This Row],[Jr/Ja]],""),"")</f>
        <v>57.142857142857139</v>
      </c>
      <c r="AS22" s="45">
        <f>IF(Data_Geotech[[#This Row],[FIRS Code]]="R",IFERROR((IF(Data_Geotech[[#This Row],[RQD (%)]]&lt;10,10,Data_Geotech[[#This Row],[RQD (%)]])/Data_Geotech[[#This Row],[Jn rating]])*Data_Geotech[[#This Row],[Jr/Ja]]*Data_Geotech[[#This Row],[Jw/SRF]],""),"")</f>
        <v>57.142857142857139</v>
      </c>
      <c r="AT22" s="12"/>
      <c r="AU22" s="13">
        <f>100-Data_Geotech[[#This Row],[RQD (%)]]</f>
        <v>0</v>
      </c>
      <c r="AV22" s="13">
        <f>100-Data_Geotech[[#This Row],[TCR (%)]]</f>
        <v>-2.8421709430404007E-13</v>
      </c>
      <c r="AW22" s="62">
        <f>(Data_Geotech[[#This Row],[Fracture per interval]]+Data_Geotech[[#This Row],[Added fractures 
(BC, FLT, LC)]])/Data_Geotech[[#This Row],[TCR (m)]]</f>
        <v>3.0172413793103452</v>
      </c>
      <c r="AX22" s="6" t="s">
        <v>109</v>
      </c>
      <c r="AY22" s="63">
        <f>7-MID(Data_Geotech[[#This Row],[Field Intact Rock Strength]],2,1)</f>
        <v>2</v>
      </c>
      <c r="AZ22" s="63">
        <f>VLOOKUP(Data_Geotech[[#This Row],[Field Intact Rock Strength]],Table_FieldStrength[],2,FALSE)</f>
        <v>100</v>
      </c>
      <c r="BA22" s="63">
        <f>VLOOKUP(Data_Geotech[[#This Row],[Field Intact Rock Strength]],Table_FieldStrength[],3,FALSE)</f>
        <v>175</v>
      </c>
      <c r="BB22" s="63">
        <f>VLOOKUP(Data_Geotech[[#This Row],[Field Intact Rock Strength]],Table_FieldStrength[],4,FALSE)</f>
        <v>250</v>
      </c>
      <c r="BC22" s="63">
        <f>100-Data_Geotech[[#This Row],[RMR76]]</f>
        <v>29.428571428571431</v>
      </c>
      <c r="BD22" s="63" t="str">
        <f>LEFT(Data_Geotech[[#This Row],[Weathering/Alteration]],FIND("-",Data_Geotech[[#This Row],[Weathering/Alteration]])-2)</f>
        <v>W1/A1</v>
      </c>
    </row>
    <row r="23" spans="1:56" ht="15.75" hidden="1" thickBot="1" x14ac:dyDescent="0.3">
      <c r="A23" t="s">
        <v>26</v>
      </c>
      <c r="B23" s="16" t="str">
        <f>VLOOKUP(Data_Geotech[[#This Row],[Hole ID]],Data_Log[],2,FALSE)</f>
        <v>CGF-01</v>
      </c>
      <c r="C23" s="5">
        <v>77.849999999999994</v>
      </c>
      <c r="D23" s="5">
        <v>80.86</v>
      </c>
      <c r="E23" s="5">
        <f>(Data_Geotech[[#This Row],[To (m)]]-Data_Geotech[[#This Row],[From (m)]])/2+Data_Geotech[[#This Row],[From (m)]]</f>
        <v>79.35499999999999</v>
      </c>
      <c r="F23" s="13">
        <f>Data_Geotech[[#This Row],[To (m)]]-Data_Geotech[[#This Row],[From (m)]]</f>
        <v>3.0100000000000051</v>
      </c>
      <c r="G23" s="5">
        <v>2.91</v>
      </c>
      <c r="H23" s="61">
        <f>Data_Geotech[[#This Row],[TCR (m)]]/Data_Geotech[[#This Row],[Run (m)]]*100</f>
        <v>96.677740863787221</v>
      </c>
      <c r="I23" s="151">
        <v>2.97</v>
      </c>
      <c r="J23" s="151">
        <v>2.97</v>
      </c>
      <c r="K23" s="5">
        <v>2.97</v>
      </c>
      <c r="L23" s="61">
        <f>Data_Geotech[[#This Row],[RQD (m)]]/Data_Geotech[[#This Row],[Run Reel (m)]]*100</f>
        <v>100</v>
      </c>
      <c r="M23" t="s">
        <v>584</v>
      </c>
      <c r="O23" t="s">
        <v>243</v>
      </c>
      <c r="P23" s="115" t="s">
        <v>370</v>
      </c>
      <c r="Q23" s="5" t="s">
        <v>281</v>
      </c>
      <c r="R23" s="5"/>
      <c r="S23" s="5"/>
      <c r="T23" s="5"/>
      <c r="U23" s="5"/>
      <c r="V23" s="6">
        <v>5</v>
      </c>
      <c r="W23" s="92">
        <f>SUMIFS(Discontinuities!$D$4:$D$9664,Discontinuities!$A$4:$A$9664,A23,Discontinuities!$C$4:$C$9664,"&gt;="&amp;C23,Discontinuities!$C$4:$C$9664,"&lt;"&amp;D23)
-SUMIFS(Discontinuities!$D$4:$D$9664,Discontinuities!$A$4:$A$9664,A23,Discontinuities!$C$4:$C$9664,"&gt;="&amp;C23,Discontinuities!$C$4:$C$9664,"&lt;"&amp;D23,Discontinuities!$E$4:$E$9664,"=BC")
-SUMIFS(Discontinuities!$D$4:$D$9664,Discontinuities!$A$4:$A$9664,A23,Discontinuities!$C$4:$C$9664,"&gt;="&amp;C23,Discontinuities!$C$4:$C$9664,"&lt;"&amp;D23,Discontinuities!$E$4:$E$9664,"=LC")
-SUMIFS(Discontinuities!$D$4:$D$9664,Discontinuities!$A$4:$A$9664,A23,Discontinuities!$C$4:$C$9664,"&gt;="&amp;C23,Discontinuities!$C$4:$C$9664,"&lt;"&amp;D23,Discontinuities!$E$4:$E$9664,"=FLT")</f>
        <v>5</v>
      </c>
      <c r="X23" t="s">
        <v>312</v>
      </c>
      <c r="AA23" s="12"/>
      <c r="AB23" s="43">
        <f>IFERROR(ROUND((Data_Geotech[[#This Row],[Fault (m)]]+Data_Geotech[[#This Row],[Broken Core (m)]]+Data_Geotech[[#This Row],[Lost Core (m)]])*30,0),0)</f>
        <v>0</v>
      </c>
      <c r="AC23" s="44">
        <f>IF(Data_Geotech[[#This Row],[Added fractures 
(BC, FLT, LC)]]+Data_Geotech[[#This Row],[Fracture per interval]]=0,99,1/((Data_Geotech[[#This Row],[Fracture per interval]]+Data_Geotech[[#This Row],[Added fractures 
(BC, FLT, LC)]])/Data_Geotech[[#This Row],[Run (m)]]))</f>
        <v>0.60200000000000109</v>
      </c>
      <c r="AD23" s="155" cm="1">
        <f t="array" ref="AD23">IFERROR(_xlfn.XLOOKUP(1,(A23=PLT!$A$4:$A$8886)*(Geotech!C23&lt;=PLT!$F$4:$F$8886)*(Geotech!D23&gt;=PLT!$F$4:$F$8886)*("Valid"=PLT!$P$4:$P$8886),PLT!$V$4:$V$8886),"")</f>
        <v>0</v>
      </c>
      <c r="AE23" s="156" t="str" cm="1">
        <f t="array" ref="AE23">IFERROR(_xlfn.XLOOKUP(1,(A23=PLT!$A$4:$A$8886)*(Geotech!C23&lt;=PLT!$F$4:$F$8886)*(Geotech!D23&gt;=PLT!$F$4:$F$8886)*(PLT!$V$4:$V$8886&lt;&gt;AD23)*("Valid"=PLT!$P$4:$P$7190),PLT!$V$4:$V$8886),"")</f>
        <v/>
      </c>
      <c r="AF23" s="156" t="str" cm="1">
        <f t="array" ref="AF23">IFERROR(_xlfn.XLOOKUP(1,(A23=PLT!$A$4:$A$8886)*(Geotech!C23&lt;=PLT!$F$4:$F$8886)*(Geotech!D23&gt;=PLT!$F$4:$F$8886)*(PLT!$V$4:$V$8886&lt;&gt;AD23)*(PLT!$V$4:$V$8886&lt;&gt;AE23)*("Valid"=PLT!$P$4:$P$7190),PLT!$V$4:$V$8886),"")</f>
        <v/>
      </c>
      <c r="AG23" s="44">
        <f>IFERROR(IF(AVERAGE(AD23:AF23)&gt;References!$BO$23,References!$BP$23,
IF(AVERAGE(AD23:AF23)&gt;References!$BO$22,References!$BP$22,
IF(AVERAGE(AD23:AF23)&gt;References!$BO$21,References!$BP$21,
IF(AVERAGE(AD23:AF23)&gt;References!$BO$20,References!$BP$20,
IF(AVERAGE(AD23:AF23)&gt;References!$BO$19,References!$BP$19,
IF(AVERAGE(AD23:AF23)&gt;References!$BO$18,References!$BP$18,
0)))))),"")</f>
        <v>0</v>
      </c>
      <c r="AH23" s="43">
        <f>IF(Data_Geotech[[#This Row],[Is50]]="",VLOOKUP(Data_Geotech[[#This Row],[Field Intact Rock Strength]],Table_RMR76_Strength[],2,FALSE),Data_Geotech[[#This Row],[Is50]])</f>
        <v>0</v>
      </c>
      <c r="AI23" s="43">
        <f>IF(Data_Geotech[[#This Row],[RQD (%)]]&lt;=25,3,IF(Data_Geotech[[#This Row],[RQD (%)]]&lt;=50,8,IF(Data_Geotech[[#This Row],[RQD (%)]]&lt;=75,13,IF(Data_Geotech[[#This Row],[RQD (%)]]&lt;=90,17,20))))</f>
        <v>20</v>
      </c>
      <c r="AJ23" s="43">
        <f>IF(Data_Geotech[[#This Row],[Joint spacing (m)]]&lt;=0.05,5,IF(Data_Geotech[[#This Row],[Joint spacing (m)]]&lt;=0.3,10,IF(Data_Geotech[[#This Row],[Joint spacing (m)]]&lt;=1,20,IF(Data_Geotech[[#This Row],[Joint spacing (m)]]&lt;=3,25,30))))</f>
        <v>20</v>
      </c>
      <c r="AK2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20.399999999999999</v>
      </c>
      <c r="AL23" s="6">
        <v>10</v>
      </c>
      <c r="AM23" s="117">
        <f>IF(Data_Geotech[[#This Row],[FIRS Code]]="R",IFERROR(SUM(Data_Geotech[[#This Row],[RMR76 - Strength rating]:[RMR76 - Ground water rating]]),""),"")</f>
        <v>70.400000000000006</v>
      </c>
      <c r="AN23" s="39">
        <f>IF(Data_Geotech[[#This Row],[FIRS Code]]="R",(2*Data_Geotech[[#This Row],[RMR76 - Joint condition rating]])+(IF(Data_Geotech[[#This Row],[RQD (%)]]&gt;80,80/2,Data_Geotech[[#This Row],[RQD (%)]]/2)),"")</f>
        <v>80.8</v>
      </c>
      <c r="AO23" s="43" t="str">
        <f>LEFT(Data_Geotech[[#This Row],[Joint Set Rating]],FIND("-",Data_Geotech[[#This Row],[Joint Set Rating]],1)-2)</f>
        <v>2</v>
      </c>
      <c r="AP2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1.05</v>
      </c>
      <c r="AQ23" s="5">
        <f t="shared" si="0"/>
        <v>1</v>
      </c>
      <c r="AR23" s="49">
        <f>IF(Data_Geotech[[#This Row],[FIRS Code]]="R",IFERROR((IF(Data_Geotech[[#This Row],[RQD (%)]]&lt;10,10,Data_Geotech[[#This Row],[RQD (%)]])/Data_Geotech[[#This Row],[Jn rating]])*Data_Geotech[[#This Row],[Jr/Ja]],""),"")</f>
        <v>52.5</v>
      </c>
      <c r="AS23" s="45">
        <f>IF(Data_Geotech[[#This Row],[FIRS Code]]="R",IFERROR((IF(Data_Geotech[[#This Row],[RQD (%)]]&lt;10,10,Data_Geotech[[#This Row],[RQD (%)]])/Data_Geotech[[#This Row],[Jn rating]])*Data_Geotech[[#This Row],[Jr/Ja]]*Data_Geotech[[#This Row],[Jw/SRF]],""),"")</f>
        <v>52.5</v>
      </c>
      <c r="AT23" s="12"/>
      <c r="AU23" s="13">
        <f>100-Data_Geotech[[#This Row],[RQD (%)]]</f>
        <v>0</v>
      </c>
      <c r="AV23" s="13">
        <f>100-Data_Geotech[[#This Row],[TCR (%)]]</f>
        <v>3.3222591362127787</v>
      </c>
      <c r="AW23" s="62">
        <f>(Data_Geotech[[#This Row],[Fracture per interval]]+Data_Geotech[[#This Row],[Added fractures 
(BC, FLT, LC)]])/Data_Geotech[[#This Row],[TCR (m)]]</f>
        <v>1.7182130584192439</v>
      </c>
      <c r="AX23" s="6" t="s">
        <v>109</v>
      </c>
      <c r="AY23" s="63">
        <f>7-MID(Data_Geotech[[#This Row],[Field Intact Rock Strength]],2,1)</f>
        <v>3</v>
      </c>
      <c r="AZ23" s="63">
        <f>VLOOKUP(Data_Geotech[[#This Row],[Field Intact Rock Strength]],Table_FieldStrength[],2,FALSE)</f>
        <v>50</v>
      </c>
      <c r="BA23" s="63">
        <f>VLOOKUP(Data_Geotech[[#This Row],[Field Intact Rock Strength]],Table_FieldStrength[],3,FALSE)</f>
        <v>75</v>
      </c>
      <c r="BB23" s="63">
        <f>VLOOKUP(Data_Geotech[[#This Row],[Field Intact Rock Strength]],Table_FieldStrength[],4,FALSE)</f>
        <v>100</v>
      </c>
      <c r="BC23" s="63">
        <f>100-Data_Geotech[[#This Row],[RMR76]]</f>
        <v>29.599999999999994</v>
      </c>
      <c r="BD23" s="63" t="str">
        <f>LEFT(Data_Geotech[[#This Row],[Weathering/Alteration]],FIND("-",Data_Geotech[[#This Row],[Weathering/Alteration]])-2)</f>
        <v>W1/A1</v>
      </c>
    </row>
    <row r="24" spans="1:56" ht="15.75" hidden="1" thickBot="1" x14ac:dyDescent="0.3">
      <c r="A24" t="s">
        <v>26</v>
      </c>
      <c r="B24" s="16" t="str">
        <f>VLOOKUP(Data_Geotech[[#This Row],[Hole ID]],Data_Log[],2,FALSE)</f>
        <v>CGF-01</v>
      </c>
      <c r="C24" s="5">
        <v>80.86</v>
      </c>
      <c r="D24" s="5">
        <v>83.93</v>
      </c>
      <c r="E24" s="5">
        <f>(Data_Geotech[[#This Row],[To (m)]]-Data_Geotech[[#This Row],[From (m)]])/2+Data_Geotech[[#This Row],[From (m)]]</f>
        <v>82.39500000000001</v>
      </c>
      <c r="F24" s="13">
        <f>Data_Geotech[[#This Row],[To (m)]]-Data_Geotech[[#This Row],[From (m)]]</f>
        <v>3.0700000000000074</v>
      </c>
      <c r="G24" s="5">
        <v>3.07</v>
      </c>
      <c r="H24" s="61">
        <f>Data_Geotech[[#This Row],[TCR (m)]]/Data_Geotech[[#This Row],[Run (m)]]*100</f>
        <v>99.999999999999758</v>
      </c>
      <c r="I24" s="151">
        <v>3.03</v>
      </c>
      <c r="J24" s="151">
        <v>3.03</v>
      </c>
      <c r="K24" s="5">
        <v>2.88</v>
      </c>
      <c r="L24" s="61">
        <f>Data_Geotech[[#This Row],[RQD (m)]]/Data_Geotech[[#This Row],[Run Reel (m)]]*100</f>
        <v>95.049504950495063</v>
      </c>
      <c r="M24" t="s">
        <v>584</v>
      </c>
      <c r="O24" t="s">
        <v>243</v>
      </c>
      <c r="P24" s="115" t="s">
        <v>397</v>
      </c>
      <c r="Q24" s="5" t="s">
        <v>281</v>
      </c>
      <c r="R24" s="5"/>
      <c r="S24" s="5"/>
      <c r="T24" s="5"/>
      <c r="U24" s="5"/>
      <c r="V24" s="6">
        <v>8</v>
      </c>
      <c r="W24" s="92">
        <f>SUMIFS(Discontinuities!$D$4:$D$9664,Discontinuities!$A$4:$A$9664,A24,Discontinuities!$C$4:$C$9664,"&gt;="&amp;C24,Discontinuities!$C$4:$C$9664,"&lt;"&amp;D24)
-SUMIFS(Discontinuities!$D$4:$D$9664,Discontinuities!$A$4:$A$9664,A24,Discontinuities!$C$4:$C$9664,"&gt;="&amp;C24,Discontinuities!$C$4:$C$9664,"&lt;"&amp;D24,Discontinuities!$E$4:$E$9664,"=BC")
-SUMIFS(Discontinuities!$D$4:$D$9664,Discontinuities!$A$4:$A$9664,A24,Discontinuities!$C$4:$C$9664,"&gt;="&amp;C24,Discontinuities!$C$4:$C$9664,"&lt;"&amp;D24,Discontinuities!$E$4:$E$9664,"=LC")
-SUMIFS(Discontinuities!$D$4:$D$9664,Discontinuities!$A$4:$A$9664,A24,Discontinuities!$C$4:$C$9664,"&gt;="&amp;C24,Discontinuities!$C$4:$C$9664,"&lt;"&amp;D24,Discontinuities!$E$4:$E$9664,"=FLT")</f>
        <v>8</v>
      </c>
      <c r="X24" t="s">
        <v>312</v>
      </c>
      <c r="AA24" s="12"/>
      <c r="AB24" s="43">
        <f>IFERROR(ROUND((Data_Geotech[[#This Row],[Fault (m)]]+Data_Geotech[[#This Row],[Broken Core (m)]]+Data_Geotech[[#This Row],[Lost Core (m)]])*30,0),0)</f>
        <v>0</v>
      </c>
      <c r="AC24" s="44">
        <f>IF(Data_Geotech[[#This Row],[Added fractures 
(BC, FLT, LC)]]+Data_Geotech[[#This Row],[Fracture per interval]]=0,99,1/((Data_Geotech[[#This Row],[Fracture per interval]]+Data_Geotech[[#This Row],[Added fractures 
(BC, FLT, LC)]])/Data_Geotech[[#This Row],[Run (m)]]))</f>
        <v>0.38375000000000092</v>
      </c>
      <c r="AD24" s="155" cm="1">
        <f t="array" ref="AD24">IFERROR(_xlfn.XLOOKUP(1,(A24=PLT!$A$4:$A$8886)*(Geotech!C24&lt;=PLT!$F$4:$F$8886)*(Geotech!D24&gt;=PLT!$F$4:$F$8886)*("Valid"=PLT!$P$4:$P$8886),PLT!$V$4:$V$8886),"")</f>
        <v>0</v>
      </c>
      <c r="AE24" s="156" t="str" cm="1">
        <f t="array" ref="AE24">IFERROR(_xlfn.XLOOKUP(1,(A24=PLT!$A$4:$A$8886)*(Geotech!C24&lt;=PLT!$F$4:$F$8886)*(Geotech!D24&gt;=PLT!$F$4:$F$8886)*(PLT!$V$4:$V$8886&lt;&gt;AD24)*("Valid"=PLT!$P$4:$P$7190),PLT!$V$4:$V$8886),"")</f>
        <v/>
      </c>
      <c r="AF24" s="156" t="str" cm="1">
        <f t="array" ref="AF24">IFERROR(_xlfn.XLOOKUP(1,(A24=PLT!$A$4:$A$8886)*(Geotech!C24&lt;=PLT!$F$4:$F$8886)*(Geotech!D24&gt;=PLT!$F$4:$F$8886)*(PLT!$V$4:$V$8886&lt;&gt;AD24)*(PLT!$V$4:$V$8886&lt;&gt;AE24)*("Valid"=PLT!$P$4:$P$7190),PLT!$V$4:$V$8886),"")</f>
        <v/>
      </c>
      <c r="AG24" s="44">
        <f>IFERROR(IF(AVERAGE(AD24:AF24)&gt;References!$BO$23,References!$BP$23,
IF(AVERAGE(AD24:AF24)&gt;References!$BO$22,References!$BP$22,
IF(AVERAGE(AD24:AF24)&gt;References!$BO$21,References!$BP$21,
IF(AVERAGE(AD24:AF24)&gt;References!$BO$20,References!$BP$20,
IF(AVERAGE(AD24:AF24)&gt;References!$BO$19,References!$BP$19,
IF(AVERAGE(AD24:AF24)&gt;References!$BO$18,References!$BP$18,
0)))))),"")</f>
        <v>0</v>
      </c>
      <c r="AH24" s="43">
        <f>IF(Data_Geotech[[#This Row],[Is50]]="",VLOOKUP(Data_Geotech[[#This Row],[Field Intact Rock Strength]],Table_RMR76_Strength[],2,FALSE),Data_Geotech[[#This Row],[Is50]])</f>
        <v>0</v>
      </c>
      <c r="AI24" s="43">
        <f>IF(Data_Geotech[[#This Row],[RQD (%)]]&lt;=25,3,IF(Data_Geotech[[#This Row],[RQD (%)]]&lt;=50,8,IF(Data_Geotech[[#This Row],[RQD (%)]]&lt;=75,13,IF(Data_Geotech[[#This Row],[RQD (%)]]&lt;=90,17,20))))</f>
        <v>20</v>
      </c>
      <c r="AJ24" s="43">
        <f>IF(Data_Geotech[[#This Row],[Joint spacing (m)]]&lt;=0.05,5,IF(Data_Geotech[[#This Row],[Joint spacing (m)]]&lt;=0.3,10,IF(Data_Geotech[[#This Row],[Joint spacing (m)]]&lt;=1,20,IF(Data_Geotech[[#This Row],[Joint spacing (m)]]&lt;=3,25,30))))</f>
        <v>20</v>
      </c>
      <c r="AK2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20.875</v>
      </c>
      <c r="AL24" s="6">
        <v>10</v>
      </c>
      <c r="AM24" s="117">
        <f>IF(Data_Geotech[[#This Row],[FIRS Code]]="R",IFERROR(SUM(Data_Geotech[[#This Row],[RMR76 - Strength rating]:[RMR76 - Ground water rating]]),""),"")</f>
        <v>70.875</v>
      </c>
      <c r="AN24" s="39">
        <f>IF(Data_Geotech[[#This Row],[FIRS Code]]="R",(2*Data_Geotech[[#This Row],[RMR76 - Joint condition rating]])+(IF(Data_Geotech[[#This Row],[RQD (%)]]&gt;80,80/2,Data_Geotech[[#This Row],[RQD (%)]]/2)),"")</f>
        <v>81.75</v>
      </c>
      <c r="AO24" s="43" t="str">
        <f>LEFT(Data_Geotech[[#This Row],[Joint Set Rating]],FIND("-",Data_Geotech[[#This Row],[Joint Set Rating]],1)-2)</f>
        <v>2</v>
      </c>
      <c r="AP2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1.28125</v>
      </c>
      <c r="AQ24" s="5">
        <f t="shared" si="0"/>
        <v>1</v>
      </c>
      <c r="AR24" s="49">
        <f>IF(Data_Geotech[[#This Row],[FIRS Code]]="R",IFERROR((IF(Data_Geotech[[#This Row],[RQD (%)]]&lt;10,10,Data_Geotech[[#This Row],[RQD (%)]])/Data_Geotech[[#This Row],[Jn rating]])*Data_Geotech[[#This Row],[Jr/Ja]],""),"")</f>
        <v>60.891089108910897</v>
      </c>
      <c r="AS24" s="45">
        <f>IF(Data_Geotech[[#This Row],[FIRS Code]]="R",IFERROR((IF(Data_Geotech[[#This Row],[RQD (%)]]&lt;10,10,Data_Geotech[[#This Row],[RQD (%)]])/Data_Geotech[[#This Row],[Jn rating]])*Data_Geotech[[#This Row],[Jr/Ja]]*Data_Geotech[[#This Row],[Jw/SRF]],""),"")</f>
        <v>60.891089108910897</v>
      </c>
      <c r="AT24" s="12"/>
      <c r="AU24" s="13">
        <f>100-Data_Geotech[[#This Row],[RQD (%)]]</f>
        <v>4.9504950495049371</v>
      </c>
      <c r="AV24" s="13">
        <f>100-Data_Geotech[[#This Row],[TCR (%)]]</f>
        <v>2.4158453015843406E-13</v>
      </c>
      <c r="AW24" s="62">
        <f>(Data_Geotech[[#This Row],[Fracture per interval]]+Data_Geotech[[#This Row],[Added fractures 
(BC, FLT, LC)]])/Data_Geotech[[#This Row],[TCR (m)]]</f>
        <v>2.6058631921824107</v>
      </c>
      <c r="AX24" s="6" t="s">
        <v>109</v>
      </c>
      <c r="AY24" s="63">
        <f>7-MID(Data_Geotech[[#This Row],[Field Intact Rock Strength]],2,1)</f>
        <v>2</v>
      </c>
      <c r="AZ24" s="63">
        <f>VLOOKUP(Data_Geotech[[#This Row],[Field Intact Rock Strength]],Table_FieldStrength[],2,FALSE)</f>
        <v>100</v>
      </c>
      <c r="BA24" s="63">
        <f>VLOOKUP(Data_Geotech[[#This Row],[Field Intact Rock Strength]],Table_FieldStrength[],3,FALSE)</f>
        <v>175</v>
      </c>
      <c r="BB24" s="63">
        <f>VLOOKUP(Data_Geotech[[#This Row],[Field Intact Rock Strength]],Table_FieldStrength[],4,FALSE)</f>
        <v>250</v>
      </c>
      <c r="BC24" s="63">
        <f>100-Data_Geotech[[#This Row],[RMR76]]</f>
        <v>29.125</v>
      </c>
      <c r="BD24" s="63" t="str">
        <f>LEFT(Data_Geotech[[#This Row],[Weathering/Alteration]],FIND("-",Data_Geotech[[#This Row],[Weathering/Alteration]])-2)</f>
        <v>W1/A1</v>
      </c>
    </row>
    <row r="25" spans="1:56" ht="15.75" hidden="1" thickBot="1" x14ac:dyDescent="0.3">
      <c r="A25" t="s">
        <v>26</v>
      </c>
      <c r="B25" s="16" t="str">
        <f>VLOOKUP(Data_Geotech[[#This Row],[Hole ID]],Data_Log[],2,FALSE)</f>
        <v>CGF-01</v>
      </c>
      <c r="C25" s="5">
        <v>83.93</v>
      </c>
      <c r="D25" s="5">
        <v>86.98</v>
      </c>
      <c r="E25" s="5">
        <f>(Data_Geotech[[#This Row],[To (m)]]-Data_Geotech[[#This Row],[From (m)]])/2+Data_Geotech[[#This Row],[From (m)]]</f>
        <v>85.455000000000013</v>
      </c>
      <c r="F25" s="13">
        <f>Data_Geotech[[#This Row],[To (m)]]-Data_Geotech[[#This Row],[From (m)]]</f>
        <v>3.0499999999999972</v>
      </c>
      <c r="G25" s="5">
        <v>3.05</v>
      </c>
      <c r="H25" s="61">
        <f>Data_Geotech[[#This Row],[TCR (m)]]/Data_Geotech[[#This Row],[Run (m)]]*100</f>
        <v>100.00000000000009</v>
      </c>
      <c r="I25" s="151">
        <v>3.05</v>
      </c>
      <c r="J25" s="151">
        <v>3.05</v>
      </c>
      <c r="K25" s="5">
        <v>3.05</v>
      </c>
      <c r="L25" s="61">
        <f>Data_Geotech[[#This Row],[RQD (m)]]/Data_Geotech[[#This Row],[Run Reel (m)]]*100</f>
        <v>100</v>
      </c>
      <c r="M25" t="s">
        <v>584</v>
      </c>
      <c r="O25" t="s">
        <v>243</v>
      </c>
      <c r="P25" s="115" t="s">
        <v>370</v>
      </c>
      <c r="Q25" s="5" t="s">
        <v>313</v>
      </c>
      <c r="R25" s="5"/>
      <c r="S25" s="5"/>
      <c r="T25" s="5"/>
      <c r="U25" s="5"/>
      <c r="V25" s="6">
        <v>10</v>
      </c>
      <c r="W25" s="92">
        <f>SUMIFS(Discontinuities!$D$4:$D$9664,Discontinuities!$A$4:$A$9664,A25,Discontinuities!$C$4:$C$9664,"&gt;="&amp;C25,Discontinuities!$C$4:$C$9664,"&lt;"&amp;D25)
-SUMIFS(Discontinuities!$D$4:$D$9664,Discontinuities!$A$4:$A$9664,A25,Discontinuities!$C$4:$C$9664,"&gt;="&amp;C25,Discontinuities!$C$4:$C$9664,"&lt;"&amp;D25,Discontinuities!$E$4:$E$9664,"=BC")
-SUMIFS(Discontinuities!$D$4:$D$9664,Discontinuities!$A$4:$A$9664,A25,Discontinuities!$C$4:$C$9664,"&gt;="&amp;C25,Discontinuities!$C$4:$C$9664,"&lt;"&amp;D25,Discontinuities!$E$4:$E$9664,"=LC")
-SUMIFS(Discontinuities!$D$4:$D$9664,Discontinuities!$A$4:$A$9664,A25,Discontinuities!$C$4:$C$9664,"&gt;="&amp;C25,Discontinuities!$C$4:$C$9664,"&lt;"&amp;D25,Discontinuities!$E$4:$E$9664,"=FLT")</f>
        <v>10</v>
      </c>
      <c r="X25" t="s">
        <v>345</v>
      </c>
      <c r="AA25" s="12"/>
      <c r="AB25" s="43">
        <f>IFERROR(ROUND((Data_Geotech[[#This Row],[Fault (m)]]+Data_Geotech[[#This Row],[Broken Core (m)]]+Data_Geotech[[#This Row],[Lost Core (m)]])*30,0),0)</f>
        <v>0</v>
      </c>
      <c r="AC25" s="44">
        <f>IF(Data_Geotech[[#This Row],[Added fractures 
(BC, FLT, LC)]]+Data_Geotech[[#This Row],[Fracture per interval]]=0,99,1/((Data_Geotech[[#This Row],[Fracture per interval]]+Data_Geotech[[#This Row],[Added fractures 
(BC, FLT, LC)]])/Data_Geotech[[#This Row],[Run (m)]]))</f>
        <v>0.30499999999999972</v>
      </c>
      <c r="AD25" s="155" cm="1">
        <f t="array" ref="AD25">IFERROR(_xlfn.XLOOKUP(1,(A25=PLT!$A$4:$A$8886)*(Geotech!C25&lt;=PLT!$F$4:$F$8886)*(Geotech!D25&gt;=PLT!$F$4:$F$8886)*("Valid"=PLT!$P$4:$P$8886),PLT!$V$4:$V$8886),"")</f>
        <v>0</v>
      </c>
      <c r="AE25" s="156" t="str" cm="1">
        <f t="array" ref="AE25">IFERROR(_xlfn.XLOOKUP(1,(A25=PLT!$A$4:$A$8886)*(Geotech!C25&lt;=PLT!$F$4:$F$8886)*(Geotech!D25&gt;=PLT!$F$4:$F$8886)*(PLT!$V$4:$V$8886&lt;&gt;AD25)*("Valid"=PLT!$P$4:$P$7190),PLT!$V$4:$V$8886),"")</f>
        <v/>
      </c>
      <c r="AF25" s="156" t="str" cm="1">
        <f t="array" ref="AF25">IFERROR(_xlfn.XLOOKUP(1,(A25=PLT!$A$4:$A$8886)*(Geotech!C25&lt;=PLT!$F$4:$F$8886)*(Geotech!D25&gt;=PLT!$F$4:$F$8886)*(PLT!$V$4:$V$8886&lt;&gt;AD25)*(PLT!$V$4:$V$8886&lt;&gt;AE25)*("Valid"=PLT!$P$4:$P$7190),PLT!$V$4:$V$8886),"")</f>
        <v/>
      </c>
      <c r="AG25" s="44">
        <f>IFERROR(IF(AVERAGE(AD25:AF25)&gt;References!$BO$23,References!$BP$23,
IF(AVERAGE(AD25:AF25)&gt;References!$BO$22,References!$BP$22,
IF(AVERAGE(AD25:AF25)&gt;References!$BO$21,References!$BP$21,
IF(AVERAGE(AD25:AF25)&gt;References!$BO$20,References!$BP$20,
IF(AVERAGE(AD25:AF25)&gt;References!$BO$19,References!$BP$19,
IF(AVERAGE(AD25:AF25)&gt;References!$BO$18,References!$BP$18,
0)))))),"")</f>
        <v>0</v>
      </c>
      <c r="AH25" s="43">
        <f>IF(Data_Geotech[[#This Row],[Is50]]="",VLOOKUP(Data_Geotech[[#This Row],[Field Intact Rock Strength]],Table_RMR76_Strength[],2,FALSE),Data_Geotech[[#This Row],[Is50]])</f>
        <v>0</v>
      </c>
      <c r="AI25" s="43">
        <f>IF(Data_Geotech[[#This Row],[RQD (%)]]&lt;=25,3,IF(Data_Geotech[[#This Row],[RQD (%)]]&lt;=50,8,IF(Data_Geotech[[#This Row],[RQD (%)]]&lt;=75,13,IF(Data_Geotech[[#This Row],[RQD (%)]]&lt;=90,17,20))))</f>
        <v>20</v>
      </c>
      <c r="AJ25" s="43">
        <f>IF(Data_Geotech[[#This Row],[Joint spacing (m)]]&lt;=0.05,5,IF(Data_Geotech[[#This Row],[Joint spacing (m)]]&lt;=0.3,10,IF(Data_Geotech[[#This Row],[Joint spacing (m)]]&lt;=1,20,IF(Data_Geotech[[#This Row],[Joint spacing (m)]]&lt;=3,25,30))))</f>
        <v>20</v>
      </c>
      <c r="AK2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v>
      </c>
      <c r="AL25" s="6">
        <v>10</v>
      </c>
      <c r="AM25" s="117">
        <f>IF(Data_Geotech[[#This Row],[FIRS Code]]="R",IFERROR(SUM(Data_Geotech[[#This Row],[RMR76 - Strength rating]:[RMR76 - Ground water rating]]),""),"")</f>
        <v>73</v>
      </c>
      <c r="AN25" s="39">
        <f>IF(Data_Geotech[[#This Row],[FIRS Code]]="R",(2*Data_Geotech[[#This Row],[RMR76 - Joint condition rating]])+(IF(Data_Geotech[[#This Row],[RQD (%)]]&gt;80,80/2,Data_Geotech[[#This Row],[RQD (%)]]/2)),"")</f>
        <v>86</v>
      </c>
      <c r="AO25" s="43" t="str">
        <f>LEFT(Data_Geotech[[#This Row],[Joint Set Rating]],FIND("-",Data_Geotech[[#This Row],[Joint Set Rating]],1)-2)</f>
        <v>3</v>
      </c>
      <c r="AP2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1.7250000000000001</v>
      </c>
      <c r="AQ25" s="5">
        <f t="shared" si="0"/>
        <v>1</v>
      </c>
      <c r="AR25" s="49">
        <f>IF(Data_Geotech[[#This Row],[FIRS Code]]="R",IFERROR((IF(Data_Geotech[[#This Row],[RQD (%)]]&lt;10,10,Data_Geotech[[#This Row],[RQD (%)]])/Data_Geotech[[#This Row],[Jn rating]])*Data_Geotech[[#This Row],[Jr/Ja]],""),"")</f>
        <v>57.500000000000007</v>
      </c>
      <c r="AS25" s="45">
        <f>IF(Data_Geotech[[#This Row],[FIRS Code]]="R",IFERROR((IF(Data_Geotech[[#This Row],[RQD (%)]]&lt;10,10,Data_Geotech[[#This Row],[RQD (%)]])/Data_Geotech[[#This Row],[Jn rating]])*Data_Geotech[[#This Row],[Jr/Ja]]*Data_Geotech[[#This Row],[Jw/SRF]],""),"")</f>
        <v>57.500000000000007</v>
      </c>
      <c r="AT25" s="12"/>
      <c r="AU25" s="13">
        <f>100-Data_Geotech[[#This Row],[RQD (%)]]</f>
        <v>0</v>
      </c>
      <c r="AV25" s="13">
        <f>100-Data_Geotech[[#This Row],[TCR (%)]]</f>
        <v>0</v>
      </c>
      <c r="AW25" s="62">
        <f>(Data_Geotech[[#This Row],[Fracture per interval]]+Data_Geotech[[#This Row],[Added fractures 
(BC, FLT, LC)]])/Data_Geotech[[#This Row],[TCR (m)]]</f>
        <v>3.278688524590164</v>
      </c>
      <c r="AX25" s="6" t="s">
        <v>109</v>
      </c>
      <c r="AY25" s="63">
        <f>7-MID(Data_Geotech[[#This Row],[Field Intact Rock Strength]],2,1)</f>
        <v>3</v>
      </c>
      <c r="AZ25" s="63">
        <f>VLOOKUP(Data_Geotech[[#This Row],[Field Intact Rock Strength]],Table_FieldStrength[],2,FALSE)</f>
        <v>50</v>
      </c>
      <c r="BA25" s="63">
        <f>VLOOKUP(Data_Geotech[[#This Row],[Field Intact Rock Strength]],Table_FieldStrength[],3,FALSE)</f>
        <v>75</v>
      </c>
      <c r="BB25" s="63">
        <f>VLOOKUP(Data_Geotech[[#This Row],[Field Intact Rock Strength]],Table_FieldStrength[],4,FALSE)</f>
        <v>100</v>
      </c>
      <c r="BC25" s="63">
        <f>100-Data_Geotech[[#This Row],[RMR76]]</f>
        <v>27</v>
      </c>
      <c r="BD25" s="63" t="str">
        <f>LEFT(Data_Geotech[[#This Row],[Weathering/Alteration]],FIND("-",Data_Geotech[[#This Row],[Weathering/Alteration]])-2)</f>
        <v>W1/A1</v>
      </c>
    </row>
    <row r="26" spans="1:56" ht="15.75" hidden="1" thickBot="1" x14ac:dyDescent="0.3">
      <c r="A26" t="s">
        <v>26</v>
      </c>
      <c r="B26" s="16" t="str">
        <f>VLOOKUP(Data_Geotech[[#This Row],[Hole ID]],Data_Log[],2,FALSE)</f>
        <v>CGF-01</v>
      </c>
      <c r="C26" s="5">
        <v>86.98</v>
      </c>
      <c r="D26" s="5">
        <v>89.94</v>
      </c>
      <c r="E26" s="5">
        <f>(Data_Geotech[[#This Row],[To (m)]]-Data_Geotech[[#This Row],[From (m)]])/2+Data_Geotech[[#This Row],[From (m)]]</f>
        <v>88.460000000000008</v>
      </c>
      <c r="F26" s="13">
        <f>Data_Geotech[[#This Row],[To (m)]]-Data_Geotech[[#This Row],[From (m)]]</f>
        <v>2.9599999999999937</v>
      </c>
      <c r="G26" s="5">
        <v>2.96</v>
      </c>
      <c r="H26" s="61">
        <f>Data_Geotech[[#This Row],[TCR (m)]]/Data_Geotech[[#This Row],[Run (m)]]*100</f>
        <v>100.0000000000002</v>
      </c>
      <c r="I26" s="151">
        <v>3</v>
      </c>
      <c r="J26" s="151">
        <v>3</v>
      </c>
      <c r="K26" s="5">
        <v>3</v>
      </c>
      <c r="L26" s="61">
        <f>Data_Geotech[[#This Row],[RQD (m)]]/Data_Geotech[[#This Row],[Run Reel (m)]]*100</f>
        <v>100</v>
      </c>
      <c r="M26" t="s">
        <v>584</v>
      </c>
      <c r="O26" t="s">
        <v>243</v>
      </c>
      <c r="P26" s="115" t="s">
        <v>397</v>
      </c>
      <c r="Q26" s="5" t="s">
        <v>313</v>
      </c>
      <c r="R26" s="5"/>
      <c r="S26" s="5"/>
      <c r="T26" s="5"/>
      <c r="U26" s="5"/>
      <c r="V26" s="6">
        <v>1</v>
      </c>
      <c r="W26" s="92">
        <f>SUMIFS(Discontinuities!$D$4:$D$9664,Discontinuities!$A$4:$A$9664,A26,Discontinuities!$C$4:$C$9664,"&gt;="&amp;C26,Discontinuities!$C$4:$C$9664,"&lt;"&amp;D26)
-SUMIFS(Discontinuities!$D$4:$D$9664,Discontinuities!$A$4:$A$9664,A26,Discontinuities!$C$4:$C$9664,"&gt;="&amp;C26,Discontinuities!$C$4:$C$9664,"&lt;"&amp;D26,Discontinuities!$E$4:$E$9664,"=BC")
-SUMIFS(Discontinuities!$D$4:$D$9664,Discontinuities!$A$4:$A$9664,A26,Discontinuities!$C$4:$C$9664,"&gt;="&amp;C26,Discontinuities!$C$4:$C$9664,"&lt;"&amp;D26,Discontinuities!$E$4:$E$9664,"=LC")
-SUMIFS(Discontinuities!$D$4:$D$9664,Discontinuities!$A$4:$A$9664,A26,Discontinuities!$C$4:$C$9664,"&gt;="&amp;C26,Discontinuities!$C$4:$C$9664,"&lt;"&amp;D26,Discontinuities!$E$4:$E$9664,"=FLT")</f>
        <v>1</v>
      </c>
      <c r="X26" t="s">
        <v>373</v>
      </c>
      <c r="AA26" s="12"/>
      <c r="AB26" s="43">
        <f>IFERROR(ROUND((Data_Geotech[[#This Row],[Fault (m)]]+Data_Geotech[[#This Row],[Broken Core (m)]]+Data_Geotech[[#This Row],[Lost Core (m)]])*30,0),0)</f>
        <v>0</v>
      </c>
      <c r="AC26" s="44">
        <f>IF(Data_Geotech[[#This Row],[Added fractures 
(BC, FLT, LC)]]+Data_Geotech[[#This Row],[Fracture per interval]]=0,99,1/((Data_Geotech[[#This Row],[Fracture per interval]]+Data_Geotech[[#This Row],[Added fractures 
(BC, FLT, LC)]])/Data_Geotech[[#This Row],[Run (m)]]))</f>
        <v>2.9599999999999937</v>
      </c>
      <c r="AD26" s="155" cm="1">
        <f t="array" ref="AD26">IFERROR(_xlfn.XLOOKUP(1,(A26=PLT!$A$4:$A$8886)*(Geotech!C26&lt;=PLT!$F$4:$F$8886)*(Geotech!D26&gt;=PLT!$F$4:$F$8886)*("Valid"=PLT!$P$4:$P$8886),PLT!$V$4:$V$8886),"")</f>
        <v>0</v>
      </c>
      <c r="AE26" s="156" t="str" cm="1">
        <f t="array" ref="AE26">IFERROR(_xlfn.XLOOKUP(1,(A26=PLT!$A$4:$A$8886)*(Geotech!C26&lt;=PLT!$F$4:$F$8886)*(Geotech!D26&gt;=PLT!$F$4:$F$8886)*(PLT!$V$4:$V$8886&lt;&gt;AD26)*("Valid"=PLT!$P$4:$P$7190),PLT!$V$4:$V$8886),"")</f>
        <v/>
      </c>
      <c r="AF26" s="156" t="str" cm="1">
        <f t="array" ref="AF26">IFERROR(_xlfn.XLOOKUP(1,(A26=PLT!$A$4:$A$8886)*(Geotech!C26&lt;=PLT!$F$4:$F$8886)*(Geotech!D26&gt;=PLT!$F$4:$F$8886)*(PLT!$V$4:$V$8886&lt;&gt;AD26)*(PLT!$V$4:$V$8886&lt;&gt;AE26)*("Valid"=PLT!$P$4:$P$7190),PLT!$V$4:$V$8886),"")</f>
        <v/>
      </c>
      <c r="AG26" s="44">
        <f>IFERROR(IF(AVERAGE(AD26:AF26)&gt;References!$BO$23,References!$BP$23,
IF(AVERAGE(AD26:AF26)&gt;References!$BO$22,References!$BP$22,
IF(AVERAGE(AD26:AF26)&gt;References!$BO$21,References!$BP$21,
IF(AVERAGE(AD26:AF26)&gt;References!$BO$20,References!$BP$20,
IF(AVERAGE(AD26:AF26)&gt;References!$BO$19,References!$BP$19,
IF(AVERAGE(AD26:AF26)&gt;References!$BO$18,References!$BP$18,
0)))))),"")</f>
        <v>0</v>
      </c>
      <c r="AH26" s="43">
        <f>IF(Data_Geotech[[#This Row],[Is50]]="",VLOOKUP(Data_Geotech[[#This Row],[Field Intact Rock Strength]],Table_RMR76_Strength[],2,FALSE),Data_Geotech[[#This Row],[Is50]])</f>
        <v>0</v>
      </c>
      <c r="AI26" s="43">
        <f>IF(Data_Geotech[[#This Row],[RQD (%)]]&lt;=25,3,IF(Data_Geotech[[#This Row],[RQD (%)]]&lt;=50,8,IF(Data_Geotech[[#This Row],[RQD (%)]]&lt;=75,13,IF(Data_Geotech[[#This Row],[RQD (%)]]&lt;=90,17,20))))</f>
        <v>20</v>
      </c>
      <c r="AJ26" s="43">
        <f>IF(Data_Geotech[[#This Row],[Joint spacing (m)]]&lt;=0.05,5,IF(Data_Geotech[[#This Row],[Joint spacing (m)]]&lt;=0.3,10,IF(Data_Geotech[[#This Row],[Joint spacing (m)]]&lt;=1,20,IF(Data_Geotech[[#This Row],[Joint spacing (m)]]&lt;=3,25,30))))</f>
        <v>25</v>
      </c>
      <c r="AK2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 s="6">
        <v>10</v>
      </c>
      <c r="AM26" s="117">
        <f>IF(Data_Geotech[[#This Row],[FIRS Code]]="R",IFERROR(SUM(Data_Geotech[[#This Row],[RMR76 - Strength rating]:[RMR76 - Ground water rating]]),""),"")</f>
        <v>80</v>
      </c>
      <c r="AN26" s="39">
        <f>IF(Data_Geotech[[#This Row],[FIRS Code]]="R",(2*Data_Geotech[[#This Row],[RMR76 - Joint condition rating]])+(IF(Data_Geotech[[#This Row],[RQD (%)]]&gt;80,80/2,Data_Geotech[[#This Row],[RQD (%)]]/2)),"")</f>
        <v>90</v>
      </c>
      <c r="AO26" s="43" t="str">
        <f>LEFT(Data_Geotech[[#This Row],[Joint Set Rating]],FIND("-",Data_Geotech[[#This Row],[Joint Set Rating]],1)-2)</f>
        <v>4</v>
      </c>
      <c r="AP2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26" s="5">
        <f t="shared" si="0"/>
        <v>1</v>
      </c>
      <c r="AR26" s="49">
        <f>IF(Data_Geotech[[#This Row],[FIRS Code]]="R",IFERROR((IF(Data_Geotech[[#This Row],[RQD (%)]]&lt;10,10,Data_Geotech[[#This Row],[RQD (%)]])/Data_Geotech[[#This Row],[Jn rating]])*Data_Geotech[[#This Row],[Jr/Ja]],""),"")</f>
        <v>37.5</v>
      </c>
      <c r="AS26" s="45">
        <f>IF(Data_Geotech[[#This Row],[FIRS Code]]="R",IFERROR((IF(Data_Geotech[[#This Row],[RQD (%)]]&lt;10,10,Data_Geotech[[#This Row],[RQD (%)]])/Data_Geotech[[#This Row],[Jn rating]])*Data_Geotech[[#This Row],[Jr/Ja]]*Data_Geotech[[#This Row],[Jw/SRF]],""),"")</f>
        <v>37.5</v>
      </c>
      <c r="AT26" s="12"/>
      <c r="AU26" s="13">
        <f>100-Data_Geotech[[#This Row],[RQD (%)]]</f>
        <v>0</v>
      </c>
      <c r="AV26" s="13">
        <f>100-Data_Geotech[[#This Row],[TCR (%)]]</f>
        <v>-1.9895196601282805E-13</v>
      </c>
      <c r="AW26" s="62">
        <f>(Data_Geotech[[#This Row],[Fracture per interval]]+Data_Geotech[[#This Row],[Added fractures 
(BC, FLT, LC)]])/Data_Geotech[[#This Row],[TCR (m)]]</f>
        <v>0.33783783783783783</v>
      </c>
      <c r="AX26" s="6" t="s">
        <v>109</v>
      </c>
      <c r="AY26" s="63">
        <f>7-MID(Data_Geotech[[#This Row],[Field Intact Rock Strength]],2,1)</f>
        <v>2</v>
      </c>
      <c r="AZ26" s="63">
        <f>VLOOKUP(Data_Geotech[[#This Row],[Field Intact Rock Strength]],Table_FieldStrength[],2,FALSE)</f>
        <v>100</v>
      </c>
      <c r="BA26" s="63">
        <f>VLOOKUP(Data_Geotech[[#This Row],[Field Intact Rock Strength]],Table_FieldStrength[],3,FALSE)</f>
        <v>175</v>
      </c>
      <c r="BB26" s="63">
        <f>VLOOKUP(Data_Geotech[[#This Row],[Field Intact Rock Strength]],Table_FieldStrength[],4,FALSE)</f>
        <v>250</v>
      </c>
      <c r="BC26" s="63">
        <f>100-Data_Geotech[[#This Row],[RMR76]]</f>
        <v>20</v>
      </c>
      <c r="BD26" s="63" t="str">
        <f>LEFT(Data_Geotech[[#This Row],[Weathering/Alteration]],FIND("-",Data_Geotech[[#This Row],[Weathering/Alteration]])-2)</f>
        <v>W1/A1</v>
      </c>
    </row>
    <row r="27" spans="1:56" ht="15.75" hidden="1" thickBot="1" x14ac:dyDescent="0.3">
      <c r="A27" t="s">
        <v>26</v>
      </c>
      <c r="B27" s="16" t="str">
        <f>VLOOKUP(Data_Geotech[[#This Row],[Hole ID]],Data_Log[],2,FALSE)</f>
        <v>CGF-01</v>
      </c>
      <c r="C27" s="5">
        <v>89.94</v>
      </c>
      <c r="D27" s="5">
        <v>92.97</v>
      </c>
      <c r="E27" s="5">
        <f>(Data_Geotech[[#This Row],[To (m)]]-Data_Geotech[[#This Row],[From (m)]])/2+Data_Geotech[[#This Row],[From (m)]]</f>
        <v>91.454999999999998</v>
      </c>
      <c r="F27" s="13">
        <f>Data_Geotech[[#This Row],[To (m)]]-Data_Geotech[[#This Row],[From (m)]]</f>
        <v>3.0300000000000011</v>
      </c>
      <c r="G27" s="5">
        <v>3.03</v>
      </c>
      <c r="H27" s="61">
        <f>Data_Geotech[[#This Row],[TCR (m)]]/Data_Geotech[[#This Row],[Run (m)]]*100</f>
        <v>99.999999999999957</v>
      </c>
      <c r="I27" s="151">
        <v>3.04</v>
      </c>
      <c r="J27" s="151">
        <v>3.04</v>
      </c>
      <c r="K27" s="5">
        <v>2.97</v>
      </c>
      <c r="L27" s="61">
        <f>Data_Geotech[[#This Row],[RQD (m)]]/Data_Geotech[[#This Row],[Run Reel (m)]]*100</f>
        <v>97.69736842105263</v>
      </c>
      <c r="M27" t="s">
        <v>584</v>
      </c>
      <c r="O27" t="s">
        <v>243</v>
      </c>
      <c r="P27" s="115" t="s">
        <v>397</v>
      </c>
      <c r="Q27" s="5" t="s">
        <v>313</v>
      </c>
      <c r="R27" s="5"/>
      <c r="S27" s="5"/>
      <c r="T27" s="5"/>
      <c r="U27" s="5"/>
      <c r="V27" s="6">
        <v>4</v>
      </c>
      <c r="W27" s="92">
        <f>SUMIFS(Discontinuities!$D$4:$D$9664,Discontinuities!$A$4:$A$9664,A27,Discontinuities!$C$4:$C$9664,"&gt;="&amp;C27,Discontinuities!$C$4:$C$9664,"&lt;"&amp;D27)
-SUMIFS(Discontinuities!$D$4:$D$9664,Discontinuities!$A$4:$A$9664,A27,Discontinuities!$C$4:$C$9664,"&gt;="&amp;C27,Discontinuities!$C$4:$C$9664,"&lt;"&amp;D27,Discontinuities!$E$4:$E$9664,"=BC")
-SUMIFS(Discontinuities!$D$4:$D$9664,Discontinuities!$A$4:$A$9664,A27,Discontinuities!$C$4:$C$9664,"&gt;="&amp;C27,Discontinuities!$C$4:$C$9664,"&lt;"&amp;D27,Discontinuities!$E$4:$E$9664,"=LC")
-SUMIFS(Discontinuities!$D$4:$D$9664,Discontinuities!$A$4:$A$9664,A27,Discontinuities!$C$4:$C$9664,"&gt;="&amp;C27,Discontinuities!$C$4:$C$9664,"&lt;"&amp;D27,Discontinuities!$E$4:$E$9664,"=FLT")</f>
        <v>4</v>
      </c>
      <c r="X27" t="s">
        <v>312</v>
      </c>
      <c r="AA27" s="12"/>
      <c r="AB27" s="43">
        <f>IFERROR(ROUND((Data_Geotech[[#This Row],[Fault (m)]]+Data_Geotech[[#This Row],[Broken Core (m)]]+Data_Geotech[[#This Row],[Lost Core (m)]])*30,0),0)</f>
        <v>0</v>
      </c>
      <c r="AC27" s="44">
        <f>IF(Data_Geotech[[#This Row],[Added fractures 
(BC, FLT, LC)]]+Data_Geotech[[#This Row],[Fracture per interval]]=0,99,1/((Data_Geotech[[#This Row],[Fracture per interval]]+Data_Geotech[[#This Row],[Added fractures 
(BC, FLT, LC)]])/Data_Geotech[[#This Row],[Run (m)]]))</f>
        <v>0.75750000000000028</v>
      </c>
      <c r="AD27" s="155" cm="1">
        <f t="array" ref="AD27">IFERROR(_xlfn.XLOOKUP(1,(A27=PLT!$A$4:$A$8886)*(Geotech!C27&lt;=PLT!$F$4:$F$8886)*(Geotech!D27&gt;=PLT!$F$4:$F$8886)*("Valid"=PLT!$P$4:$P$8886),PLT!$V$4:$V$8886),"")</f>
        <v>0</v>
      </c>
      <c r="AE27" s="156" t="str" cm="1">
        <f t="array" ref="AE27">IFERROR(_xlfn.XLOOKUP(1,(A27=PLT!$A$4:$A$8886)*(Geotech!C27&lt;=PLT!$F$4:$F$8886)*(Geotech!D27&gt;=PLT!$F$4:$F$8886)*(PLT!$V$4:$V$8886&lt;&gt;AD27)*("Valid"=PLT!$P$4:$P$7190),PLT!$V$4:$V$8886),"")</f>
        <v/>
      </c>
      <c r="AF27" s="156" t="str" cm="1">
        <f t="array" ref="AF27">IFERROR(_xlfn.XLOOKUP(1,(A27=PLT!$A$4:$A$8886)*(Geotech!C27&lt;=PLT!$F$4:$F$8886)*(Geotech!D27&gt;=PLT!$F$4:$F$8886)*(PLT!$V$4:$V$8886&lt;&gt;AD27)*(PLT!$V$4:$V$8886&lt;&gt;AE27)*("Valid"=PLT!$P$4:$P$7190),PLT!$V$4:$V$8886),"")</f>
        <v/>
      </c>
      <c r="AG27" s="44">
        <f>IFERROR(IF(AVERAGE(AD27:AF27)&gt;References!$BO$23,References!$BP$23,
IF(AVERAGE(AD27:AF27)&gt;References!$BO$22,References!$BP$22,
IF(AVERAGE(AD27:AF27)&gt;References!$BO$21,References!$BP$21,
IF(AVERAGE(AD27:AF27)&gt;References!$BO$20,References!$BP$20,
IF(AVERAGE(AD27:AF27)&gt;References!$BO$19,References!$BP$19,
IF(AVERAGE(AD27:AF27)&gt;References!$BO$18,References!$BP$18,
0)))))),"")</f>
        <v>0</v>
      </c>
      <c r="AH27" s="43">
        <f>IF(Data_Geotech[[#This Row],[Is50]]="",VLOOKUP(Data_Geotech[[#This Row],[Field Intact Rock Strength]],Table_RMR76_Strength[],2,FALSE),Data_Geotech[[#This Row],[Is50]])</f>
        <v>0</v>
      </c>
      <c r="AI27" s="43">
        <f>IF(Data_Geotech[[#This Row],[RQD (%)]]&lt;=25,3,IF(Data_Geotech[[#This Row],[RQD (%)]]&lt;=50,8,IF(Data_Geotech[[#This Row],[RQD (%)]]&lt;=75,13,IF(Data_Geotech[[#This Row],[RQD (%)]]&lt;=90,17,20))))</f>
        <v>20</v>
      </c>
      <c r="AJ27" s="43">
        <f>IF(Data_Geotech[[#This Row],[Joint spacing (m)]]&lt;=0.05,5,IF(Data_Geotech[[#This Row],[Joint spacing (m)]]&lt;=0.3,10,IF(Data_Geotech[[#This Row],[Joint spacing (m)]]&lt;=1,20,IF(Data_Geotech[[#This Row],[Joint spacing (m)]]&lt;=3,25,30))))</f>
        <v>20</v>
      </c>
      <c r="AK2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27" s="6">
        <v>10</v>
      </c>
      <c r="AM27" s="117">
        <f>IF(Data_Geotech[[#This Row],[FIRS Code]]="R",IFERROR(SUM(Data_Geotech[[#This Row],[RMR76 - Strength rating]:[RMR76 - Ground water rating]]),""),"")</f>
        <v>68.5</v>
      </c>
      <c r="AN27" s="39">
        <f>IF(Data_Geotech[[#This Row],[FIRS Code]]="R",(2*Data_Geotech[[#This Row],[RMR76 - Joint condition rating]])+(IF(Data_Geotech[[#This Row],[RQD (%)]]&gt;80,80/2,Data_Geotech[[#This Row],[RQD (%)]]/2)),"")</f>
        <v>77</v>
      </c>
      <c r="AO27" s="43" t="str">
        <f>LEFT(Data_Geotech[[#This Row],[Joint Set Rating]],FIND("-",Data_Geotech[[#This Row],[Joint Set Rating]],1)-2)</f>
        <v>2</v>
      </c>
      <c r="AP2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1.375</v>
      </c>
      <c r="AQ27" s="5">
        <f t="shared" si="0"/>
        <v>1</v>
      </c>
      <c r="AR27" s="49">
        <f>IF(Data_Geotech[[#This Row],[FIRS Code]]="R",IFERROR((IF(Data_Geotech[[#This Row],[RQD (%)]]&lt;10,10,Data_Geotech[[#This Row],[RQD (%)]])/Data_Geotech[[#This Row],[Jn rating]])*Data_Geotech[[#This Row],[Jr/Ja]],""),"")</f>
        <v>67.166940789473685</v>
      </c>
      <c r="AS27" s="45">
        <f>IF(Data_Geotech[[#This Row],[FIRS Code]]="R",IFERROR((IF(Data_Geotech[[#This Row],[RQD (%)]]&lt;10,10,Data_Geotech[[#This Row],[RQD (%)]])/Data_Geotech[[#This Row],[Jn rating]])*Data_Geotech[[#This Row],[Jr/Ja]]*Data_Geotech[[#This Row],[Jw/SRF]],""),"")</f>
        <v>67.166940789473685</v>
      </c>
      <c r="AT27" s="12"/>
      <c r="AU27" s="13">
        <f>100-Data_Geotech[[#This Row],[RQD (%)]]</f>
        <v>2.3026315789473699</v>
      </c>
      <c r="AV27" s="13">
        <f>100-Data_Geotech[[#This Row],[TCR (%)]]</f>
        <v>0</v>
      </c>
      <c r="AW27" s="62">
        <f>(Data_Geotech[[#This Row],[Fracture per interval]]+Data_Geotech[[#This Row],[Added fractures 
(BC, FLT, LC)]])/Data_Geotech[[#This Row],[TCR (m)]]</f>
        <v>1.3201320132013201</v>
      </c>
      <c r="AX27" s="6" t="s">
        <v>109</v>
      </c>
      <c r="AY27" s="63">
        <f>7-MID(Data_Geotech[[#This Row],[Field Intact Rock Strength]],2,1)</f>
        <v>2</v>
      </c>
      <c r="AZ27" s="63">
        <f>VLOOKUP(Data_Geotech[[#This Row],[Field Intact Rock Strength]],Table_FieldStrength[],2,FALSE)</f>
        <v>100</v>
      </c>
      <c r="BA27" s="63">
        <f>VLOOKUP(Data_Geotech[[#This Row],[Field Intact Rock Strength]],Table_FieldStrength[],3,FALSE)</f>
        <v>175</v>
      </c>
      <c r="BB27" s="63">
        <f>VLOOKUP(Data_Geotech[[#This Row],[Field Intact Rock Strength]],Table_FieldStrength[],4,FALSE)</f>
        <v>250</v>
      </c>
      <c r="BC27" s="63">
        <f>100-Data_Geotech[[#This Row],[RMR76]]</f>
        <v>31.5</v>
      </c>
      <c r="BD27" s="63" t="str">
        <f>LEFT(Data_Geotech[[#This Row],[Weathering/Alteration]],FIND("-",Data_Geotech[[#This Row],[Weathering/Alteration]])-2)</f>
        <v>W1/A1</v>
      </c>
    </row>
    <row r="28" spans="1:56" ht="15.75" hidden="1" thickBot="1" x14ac:dyDescent="0.3">
      <c r="A28" t="s">
        <v>26</v>
      </c>
      <c r="B28" s="16" t="str">
        <f>VLOOKUP(Data_Geotech[[#This Row],[Hole ID]],Data_Log[],2,FALSE)</f>
        <v>CGF-01</v>
      </c>
      <c r="C28" s="5">
        <v>92.9</v>
      </c>
      <c r="D28" s="5">
        <v>95.97</v>
      </c>
      <c r="E28" s="5">
        <f>(Data_Geotech[[#This Row],[To (m)]]-Data_Geotech[[#This Row],[From (m)]])/2+Data_Geotech[[#This Row],[From (m)]]</f>
        <v>94.435000000000002</v>
      </c>
      <c r="F28" s="13">
        <f>Data_Geotech[[#This Row],[To (m)]]-Data_Geotech[[#This Row],[From (m)]]</f>
        <v>3.0699999999999932</v>
      </c>
      <c r="G28" s="5">
        <v>3.07</v>
      </c>
      <c r="H28" s="61">
        <f>Data_Geotech[[#This Row],[TCR (m)]]/Data_Geotech[[#This Row],[Run (m)]]*100</f>
        <v>100.00000000000023</v>
      </c>
      <c r="I28" s="151">
        <v>3.06</v>
      </c>
      <c r="J28" s="151">
        <v>3.06</v>
      </c>
      <c r="K28" s="5">
        <v>3.06</v>
      </c>
      <c r="L28" s="61">
        <f>Data_Geotech[[#This Row],[RQD (m)]]/Data_Geotech[[#This Row],[Run Reel (m)]]*100</f>
        <v>100</v>
      </c>
      <c r="M28" t="s">
        <v>584</v>
      </c>
      <c r="O28" t="s">
        <v>243</v>
      </c>
      <c r="P28" s="115" t="s">
        <v>342</v>
      </c>
      <c r="Q28" s="5" t="s">
        <v>281</v>
      </c>
      <c r="R28" s="5"/>
      <c r="S28" s="5"/>
      <c r="T28" s="5"/>
      <c r="U28" s="5"/>
      <c r="V28" s="6">
        <v>4</v>
      </c>
      <c r="W28" s="92">
        <f>SUMIFS(Discontinuities!$D$4:$D$9664,Discontinuities!$A$4:$A$9664,A28,Discontinuities!$C$4:$C$9664,"&gt;="&amp;C28,Discontinuities!$C$4:$C$9664,"&lt;"&amp;D28)
-SUMIFS(Discontinuities!$D$4:$D$9664,Discontinuities!$A$4:$A$9664,A28,Discontinuities!$C$4:$C$9664,"&gt;="&amp;C28,Discontinuities!$C$4:$C$9664,"&lt;"&amp;D28,Discontinuities!$E$4:$E$9664,"=BC")
-SUMIFS(Discontinuities!$D$4:$D$9664,Discontinuities!$A$4:$A$9664,A28,Discontinuities!$C$4:$C$9664,"&gt;="&amp;C28,Discontinuities!$C$4:$C$9664,"&lt;"&amp;D28,Discontinuities!$E$4:$E$9664,"=LC")
-SUMIFS(Discontinuities!$D$4:$D$9664,Discontinuities!$A$4:$A$9664,A28,Discontinuities!$C$4:$C$9664,"&gt;="&amp;C28,Discontinuities!$C$4:$C$9664,"&lt;"&amp;D28,Discontinuities!$E$4:$E$9664,"=FLT")</f>
        <v>4</v>
      </c>
      <c r="X28" t="s">
        <v>312</v>
      </c>
      <c r="AA28" s="12"/>
      <c r="AB28" s="43">
        <f>IFERROR(ROUND((Data_Geotech[[#This Row],[Fault (m)]]+Data_Geotech[[#This Row],[Broken Core (m)]]+Data_Geotech[[#This Row],[Lost Core (m)]])*30,0),0)</f>
        <v>0</v>
      </c>
      <c r="AC28" s="44">
        <f>IF(Data_Geotech[[#This Row],[Added fractures 
(BC, FLT, LC)]]+Data_Geotech[[#This Row],[Fracture per interval]]=0,99,1/((Data_Geotech[[#This Row],[Fracture per interval]]+Data_Geotech[[#This Row],[Added fractures 
(BC, FLT, LC)]])/Data_Geotech[[#This Row],[Run (m)]]))</f>
        <v>0.76749999999999841</v>
      </c>
      <c r="AD28" s="155" cm="1">
        <f t="array" ref="AD28">IFERROR(_xlfn.XLOOKUP(1,(A28=PLT!$A$4:$A$8886)*(Geotech!C28&lt;=PLT!$F$4:$F$8886)*(Geotech!D28&gt;=PLT!$F$4:$F$8886)*("Valid"=PLT!$P$4:$P$8886),PLT!$V$4:$V$8886),"")</f>
        <v>0</v>
      </c>
      <c r="AE28" s="156" t="str" cm="1">
        <f t="array" ref="AE28">IFERROR(_xlfn.XLOOKUP(1,(A28=PLT!$A$4:$A$8886)*(Geotech!C28&lt;=PLT!$F$4:$F$8886)*(Geotech!D28&gt;=PLT!$F$4:$F$8886)*(PLT!$V$4:$V$8886&lt;&gt;AD28)*("Valid"=PLT!$P$4:$P$7190),PLT!$V$4:$V$8886),"")</f>
        <v/>
      </c>
      <c r="AF28" s="156" t="str" cm="1">
        <f t="array" ref="AF28">IFERROR(_xlfn.XLOOKUP(1,(A28=PLT!$A$4:$A$8886)*(Geotech!C28&lt;=PLT!$F$4:$F$8886)*(Geotech!D28&gt;=PLT!$F$4:$F$8886)*(PLT!$V$4:$V$8886&lt;&gt;AD28)*(PLT!$V$4:$V$8886&lt;&gt;AE28)*("Valid"=PLT!$P$4:$P$7190),PLT!$V$4:$V$8886),"")</f>
        <v/>
      </c>
      <c r="AG28" s="44">
        <f>IFERROR(IF(AVERAGE(AD28:AF28)&gt;References!$BO$23,References!$BP$23,
IF(AVERAGE(AD28:AF28)&gt;References!$BO$22,References!$BP$22,
IF(AVERAGE(AD28:AF28)&gt;References!$BO$21,References!$BP$21,
IF(AVERAGE(AD28:AF28)&gt;References!$BO$20,References!$BP$20,
IF(AVERAGE(AD28:AF28)&gt;References!$BO$19,References!$BP$19,
IF(AVERAGE(AD28:AF28)&gt;References!$BO$18,References!$BP$18,
0)))))),"")</f>
        <v>0</v>
      </c>
      <c r="AH28" s="43">
        <f>IF(Data_Geotech[[#This Row],[Is50]]="",VLOOKUP(Data_Geotech[[#This Row],[Field Intact Rock Strength]],Table_RMR76_Strength[],2,FALSE),Data_Geotech[[#This Row],[Is50]])</f>
        <v>0</v>
      </c>
      <c r="AI28" s="43">
        <f>IF(Data_Geotech[[#This Row],[RQD (%)]]&lt;=25,3,IF(Data_Geotech[[#This Row],[RQD (%)]]&lt;=50,8,IF(Data_Geotech[[#This Row],[RQD (%)]]&lt;=75,13,IF(Data_Geotech[[#This Row],[RQD (%)]]&lt;=90,17,20))))</f>
        <v>20</v>
      </c>
      <c r="AJ28" s="43">
        <f>IF(Data_Geotech[[#This Row],[Joint spacing (m)]]&lt;=0.05,5,IF(Data_Geotech[[#This Row],[Joint spacing (m)]]&lt;=0.3,10,IF(Data_Geotech[[#This Row],[Joint spacing (m)]]&lt;=1,20,IF(Data_Geotech[[#This Row],[Joint spacing (m)]]&lt;=3,25,30))))</f>
        <v>20</v>
      </c>
      <c r="AK2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20.5</v>
      </c>
      <c r="AL28" s="6">
        <v>10</v>
      </c>
      <c r="AM28" s="117">
        <f>IF(Data_Geotech[[#This Row],[FIRS Code]]="R",IFERROR(SUM(Data_Geotech[[#This Row],[RMR76 - Strength rating]:[RMR76 - Ground water rating]]),""),"")</f>
        <v>70.5</v>
      </c>
      <c r="AN28" s="39">
        <f>IF(Data_Geotech[[#This Row],[FIRS Code]]="R",(2*Data_Geotech[[#This Row],[RMR76 - Joint condition rating]])+(IF(Data_Geotech[[#This Row],[RQD (%)]]&gt;80,80/2,Data_Geotech[[#This Row],[RQD (%)]]/2)),"")</f>
        <v>81</v>
      </c>
      <c r="AO28" s="43" t="str">
        <f>LEFT(Data_Geotech[[#This Row],[Joint Set Rating]],FIND("-",Data_Geotech[[#This Row],[Joint Set Rating]],1)-2)</f>
        <v>2</v>
      </c>
      <c r="AP2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1.375</v>
      </c>
      <c r="AQ28" s="5">
        <f t="shared" si="0"/>
        <v>1</v>
      </c>
      <c r="AR28" s="49">
        <f>IF(Data_Geotech[[#This Row],[FIRS Code]]="R",IFERROR((IF(Data_Geotech[[#This Row],[RQD (%)]]&lt;10,10,Data_Geotech[[#This Row],[RQD (%)]])/Data_Geotech[[#This Row],[Jn rating]])*Data_Geotech[[#This Row],[Jr/Ja]],""),"")</f>
        <v>68.75</v>
      </c>
      <c r="AS28" s="45">
        <f>IF(Data_Geotech[[#This Row],[FIRS Code]]="R",IFERROR((IF(Data_Geotech[[#This Row],[RQD (%)]]&lt;10,10,Data_Geotech[[#This Row],[RQD (%)]])/Data_Geotech[[#This Row],[Jn rating]])*Data_Geotech[[#This Row],[Jr/Ja]]*Data_Geotech[[#This Row],[Jw/SRF]],""),"")</f>
        <v>68.75</v>
      </c>
      <c r="AT28" s="12"/>
      <c r="AU28" s="13">
        <f>100-Data_Geotech[[#This Row],[RQD (%)]]</f>
        <v>0</v>
      </c>
      <c r="AV28" s="13">
        <f>100-Data_Geotech[[#This Row],[TCR (%)]]</f>
        <v>-2.2737367544323206E-13</v>
      </c>
      <c r="AW28" s="62">
        <f>(Data_Geotech[[#This Row],[Fracture per interval]]+Data_Geotech[[#This Row],[Added fractures 
(BC, FLT, LC)]])/Data_Geotech[[#This Row],[TCR (m)]]</f>
        <v>1.3029315960912053</v>
      </c>
      <c r="AX28" s="6" t="s">
        <v>109</v>
      </c>
      <c r="AY28" s="63">
        <f>7-MID(Data_Geotech[[#This Row],[Field Intact Rock Strength]],2,1)</f>
        <v>4</v>
      </c>
      <c r="AZ28" s="63">
        <f>VLOOKUP(Data_Geotech[[#This Row],[Field Intact Rock Strength]],Table_FieldStrength[],2,FALSE)</f>
        <v>25</v>
      </c>
      <c r="BA28" s="63">
        <f>VLOOKUP(Data_Geotech[[#This Row],[Field Intact Rock Strength]],Table_FieldStrength[],3,FALSE)</f>
        <v>37.5</v>
      </c>
      <c r="BB28" s="63">
        <f>VLOOKUP(Data_Geotech[[#This Row],[Field Intact Rock Strength]],Table_FieldStrength[],4,FALSE)</f>
        <v>50</v>
      </c>
      <c r="BC28" s="63">
        <f>100-Data_Geotech[[#This Row],[RMR76]]</f>
        <v>29.5</v>
      </c>
      <c r="BD28" s="63" t="str">
        <f>LEFT(Data_Geotech[[#This Row],[Weathering/Alteration]],FIND("-",Data_Geotech[[#This Row],[Weathering/Alteration]])-2)</f>
        <v>W1/A1</v>
      </c>
    </row>
    <row r="29" spans="1:56" ht="15.75" hidden="1" thickBot="1" x14ac:dyDescent="0.3">
      <c r="A29" t="s">
        <v>26</v>
      </c>
      <c r="B29" s="16" t="str">
        <f>VLOOKUP(Data_Geotech[[#This Row],[Hole ID]],Data_Log[],2,FALSE)</f>
        <v>CGF-01</v>
      </c>
      <c r="C29" s="5">
        <v>95.97</v>
      </c>
      <c r="D29" s="5">
        <v>98.95</v>
      </c>
      <c r="E29" s="5">
        <f>(Data_Geotech[[#This Row],[To (m)]]-Data_Geotech[[#This Row],[From (m)]])/2+Data_Geotech[[#This Row],[From (m)]]</f>
        <v>97.460000000000008</v>
      </c>
      <c r="F29" s="13">
        <f>Data_Geotech[[#This Row],[To (m)]]-Data_Geotech[[#This Row],[From (m)]]</f>
        <v>2.980000000000004</v>
      </c>
      <c r="G29" s="5">
        <v>2.98</v>
      </c>
      <c r="H29" s="61">
        <f>Data_Geotech[[#This Row],[TCR (m)]]/Data_Geotech[[#This Row],[Run (m)]]*100</f>
        <v>99.999999999999872</v>
      </c>
      <c r="I29" s="151">
        <v>2.96</v>
      </c>
      <c r="J29" s="151">
        <v>2.96</v>
      </c>
      <c r="K29" s="5">
        <v>2.96</v>
      </c>
      <c r="L29" s="61">
        <f>Data_Geotech[[#This Row],[RQD (m)]]/Data_Geotech[[#This Row],[Run Reel (m)]]*100</f>
        <v>100</v>
      </c>
      <c r="M29" t="s">
        <v>584</v>
      </c>
      <c r="O29" t="s">
        <v>243</v>
      </c>
      <c r="P29" s="115" t="s">
        <v>397</v>
      </c>
      <c r="Q29" s="5" t="s">
        <v>313</v>
      </c>
      <c r="R29" s="5"/>
      <c r="S29" s="5"/>
      <c r="T29" s="5"/>
      <c r="U29" s="5"/>
      <c r="V29" s="6">
        <v>6</v>
      </c>
      <c r="W29" s="92">
        <f>SUMIFS(Discontinuities!$D$4:$D$9664,Discontinuities!$A$4:$A$9664,A29,Discontinuities!$C$4:$C$9664,"&gt;="&amp;C29,Discontinuities!$C$4:$C$9664,"&lt;"&amp;D29)
-SUMIFS(Discontinuities!$D$4:$D$9664,Discontinuities!$A$4:$A$9664,A29,Discontinuities!$C$4:$C$9664,"&gt;="&amp;C29,Discontinuities!$C$4:$C$9664,"&lt;"&amp;D29,Discontinuities!$E$4:$E$9664,"=BC")
-SUMIFS(Discontinuities!$D$4:$D$9664,Discontinuities!$A$4:$A$9664,A29,Discontinuities!$C$4:$C$9664,"&gt;="&amp;C29,Discontinuities!$C$4:$C$9664,"&lt;"&amp;D29,Discontinuities!$E$4:$E$9664,"=LC")
-SUMIFS(Discontinuities!$D$4:$D$9664,Discontinuities!$A$4:$A$9664,A29,Discontinuities!$C$4:$C$9664,"&gt;="&amp;C29,Discontinuities!$C$4:$C$9664,"&lt;"&amp;D29,Discontinuities!$E$4:$E$9664,"=FLT")</f>
        <v>6</v>
      </c>
      <c r="X29" t="s">
        <v>373</v>
      </c>
      <c r="AA29" s="12"/>
      <c r="AB29" s="43">
        <f>IFERROR(ROUND((Data_Geotech[[#This Row],[Fault (m)]]+Data_Geotech[[#This Row],[Broken Core (m)]]+Data_Geotech[[#This Row],[Lost Core (m)]])*30,0),0)</f>
        <v>0</v>
      </c>
      <c r="AC29" s="44">
        <f>IF(Data_Geotech[[#This Row],[Added fractures 
(BC, FLT, LC)]]+Data_Geotech[[#This Row],[Fracture per interval]]=0,99,1/((Data_Geotech[[#This Row],[Fracture per interval]]+Data_Geotech[[#This Row],[Added fractures 
(BC, FLT, LC)]])/Data_Geotech[[#This Row],[Run (m)]]))</f>
        <v>0.49666666666666737</v>
      </c>
      <c r="AD29" s="155" cm="1">
        <f t="array" ref="AD29">IFERROR(_xlfn.XLOOKUP(1,(A29=PLT!$A$4:$A$8886)*(Geotech!C29&lt;=PLT!$F$4:$F$8886)*(Geotech!D29&gt;=PLT!$F$4:$F$8886)*("Valid"=PLT!$P$4:$P$8886),PLT!$V$4:$V$8886),"")</f>
        <v>0</v>
      </c>
      <c r="AE29" s="156" t="str" cm="1">
        <f t="array" ref="AE29">IFERROR(_xlfn.XLOOKUP(1,(A29=PLT!$A$4:$A$8886)*(Geotech!C29&lt;=PLT!$F$4:$F$8886)*(Geotech!D29&gt;=PLT!$F$4:$F$8886)*(PLT!$V$4:$V$8886&lt;&gt;AD29)*("Valid"=PLT!$P$4:$P$7190),PLT!$V$4:$V$8886),"")</f>
        <v/>
      </c>
      <c r="AF29" s="156" t="str" cm="1">
        <f t="array" ref="AF29">IFERROR(_xlfn.XLOOKUP(1,(A29=PLT!$A$4:$A$8886)*(Geotech!C29&lt;=PLT!$F$4:$F$8886)*(Geotech!D29&gt;=PLT!$F$4:$F$8886)*(PLT!$V$4:$V$8886&lt;&gt;AD29)*(PLT!$V$4:$V$8886&lt;&gt;AE29)*("Valid"=PLT!$P$4:$P$7190),PLT!$V$4:$V$8886),"")</f>
        <v/>
      </c>
      <c r="AG29" s="44">
        <f>IFERROR(IF(AVERAGE(AD29:AF29)&gt;References!$BO$23,References!$BP$23,
IF(AVERAGE(AD29:AF29)&gt;References!$BO$22,References!$BP$22,
IF(AVERAGE(AD29:AF29)&gt;References!$BO$21,References!$BP$21,
IF(AVERAGE(AD29:AF29)&gt;References!$BO$20,References!$BP$20,
IF(AVERAGE(AD29:AF29)&gt;References!$BO$19,References!$BP$19,
IF(AVERAGE(AD29:AF29)&gt;References!$BO$18,References!$BP$18,
0)))))),"")</f>
        <v>0</v>
      </c>
      <c r="AH29" s="43">
        <f>IF(Data_Geotech[[#This Row],[Is50]]="",VLOOKUP(Data_Geotech[[#This Row],[Field Intact Rock Strength]],Table_RMR76_Strength[],2,FALSE),Data_Geotech[[#This Row],[Is50]])</f>
        <v>0</v>
      </c>
      <c r="AI29" s="43">
        <f>IF(Data_Geotech[[#This Row],[RQD (%)]]&lt;=25,3,IF(Data_Geotech[[#This Row],[RQD (%)]]&lt;=50,8,IF(Data_Geotech[[#This Row],[RQD (%)]]&lt;=75,13,IF(Data_Geotech[[#This Row],[RQD (%)]]&lt;=90,17,20))))</f>
        <v>20</v>
      </c>
      <c r="AJ29" s="43">
        <f>IF(Data_Geotech[[#This Row],[Joint spacing (m)]]&lt;=0.05,5,IF(Data_Geotech[[#This Row],[Joint spacing (m)]]&lt;=0.3,10,IF(Data_Geotech[[#This Row],[Joint spacing (m)]]&lt;=1,20,IF(Data_Geotech[[#This Row],[Joint spacing (m)]]&lt;=3,25,30))))</f>
        <v>20</v>
      </c>
      <c r="AK2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13.5</v>
      </c>
      <c r="AL29" s="6">
        <v>10</v>
      </c>
      <c r="AM29" s="117">
        <f>IF(Data_Geotech[[#This Row],[FIRS Code]]="R",IFERROR(SUM(Data_Geotech[[#This Row],[RMR76 - Strength rating]:[RMR76 - Ground water rating]]),""),"")</f>
        <v>63.5</v>
      </c>
      <c r="AN29" s="39">
        <f>IF(Data_Geotech[[#This Row],[FIRS Code]]="R",(2*Data_Geotech[[#This Row],[RMR76 - Joint condition rating]])+(IF(Data_Geotech[[#This Row],[RQD (%)]]&gt;80,80/2,Data_Geotech[[#This Row],[RQD (%)]]/2)),"")</f>
        <v>67</v>
      </c>
      <c r="AO29" s="43" t="str">
        <f>LEFT(Data_Geotech[[#This Row],[Joint Set Rating]],FIND("-",Data_Geotech[[#This Row],[Joint Set Rating]],1)-2)</f>
        <v>4</v>
      </c>
      <c r="AP2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1.0694444444444444</v>
      </c>
      <c r="AQ29" s="5">
        <f t="shared" si="0"/>
        <v>1</v>
      </c>
      <c r="AR29" s="49">
        <f>IF(Data_Geotech[[#This Row],[FIRS Code]]="R",IFERROR((IF(Data_Geotech[[#This Row],[RQD (%)]]&lt;10,10,Data_Geotech[[#This Row],[RQD (%)]])/Data_Geotech[[#This Row],[Jn rating]])*Data_Geotech[[#This Row],[Jr/Ja]],""),"")</f>
        <v>26.736111111111111</v>
      </c>
      <c r="AS29" s="45">
        <f>IF(Data_Geotech[[#This Row],[FIRS Code]]="R",IFERROR((IF(Data_Geotech[[#This Row],[RQD (%)]]&lt;10,10,Data_Geotech[[#This Row],[RQD (%)]])/Data_Geotech[[#This Row],[Jn rating]])*Data_Geotech[[#This Row],[Jr/Ja]]*Data_Geotech[[#This Row],[Jw/SRF]],""),"")</f>
        <v>26.736111111111111</v>
      </c>
      <c r="AT29" s="12"/>
      <c r="AU29" s="13">
        <f>100-Data_Geotech[[#This Row],[RQD (%)]]</f>
        <v>0</v>
      </c>
      <c r="AV29" s="13">
        <f>100-Data_Geotech[[#This Row],[TCR (%)]]</f>
        <v>1.2789769243681803E-13</v>
      </c>
      <c r="AW29" s="62">
        <f>(Data_Geotech[[#This Row],[Fracture per interval]]+Data_Geotech[[#This Row],[Added fractures 
(BC, FLT, LC)]])/Data_Geotech[[#This Row],[TCR (m)]]</f>
        <v>2.0134228187919465</v>
      </c>
      <c r="AX29" s="6" t="s">
        <v>109</v>
      </c>
      <c r="AY29" s="63">
        <f>7-MID(Data_Geotech[[#This Row],[Field Intact Rock Strength]],2,1)</f>
        <v>2</v>
      </c>
      <c r="AZ29" s="63">
        <f>VLOOKUP(Data_Geotech[[#This Row],[Field Intact Rock Strength]],Table_FieldStrength[],2,FALSE)</f>
        <v>100</v>
      </c>
      <c r="BA29" s="63">
        <f>VLOOKUP(Data_Geotech[[#This Row],[Field Intact Rock Strength]],Table_FieldStrength[],3,FALSE)</f>
        <v>175</v>
      </c>
      <c r="BB29" s="63">
        <f>VLOOKUP(Data_Geotech[[#This Row],[Field Intact Rock Strength]],Table_FieldStrength[],4,FALSE)</f>
        <v>250</v>
      </c>
      <c r="BC29" s="63">
        <f>100-Data_Geotech[[#This Row],[RMR76]]</f>
        <v>36.5</v>
      </c>
      <c r="BD29" s="63" t="str">
        <f>LEFT(Data_Geotech[[#This Row],[Weathering/Alteration]],FIND("-",Data_Geotech[[#This Row],[Weathering/Alteration]])-2)</f>
        <v>W1/A1</v>
      </c>
    </row>
    <row r="30" spans="1:56" ht="15.75" hidden="1" thickBot="1" x14ac:dyDescent="0.3">
      <c r="A30" t="s">
        <v>26</v>
      </c>
      <c r="B30" s="16" t="str">
        <f>VLOOKUP(Data_Geotech[[#This Row],[Hole ID]],Data_Log[],2,FALSE)</f>
        <v>CGF-01</v>
      </c>
      <c r="C30" s="5">
        <v>98.95</v>
      </c>
      <c r="D30" s="5">
        <v>101.96</v>
      </c>
      <c r="E30" s="5">
        <f>(Data_Geotech[[#This Row],[To (m)]]-Data_Geotech[[#This Row],[From (m)]])/2+Data_Geotech[[#This Row],[From (m)]]</f>
        <v>100.455</v>
      </c>
      <c r="F30" s="13">
        <f>Data_Geotech[[#This Row],[To (m)]]-Data_Geotech[[#This Row],[From (m)]]</f>
        <v>3.0099999999999909</v>
      </c>
      <c r="G30" s="5">
        <v>3.01</v>
      </c>
      <c r="H30" s="61">
        <f>Data_Geotech[[#This Row],[TCR (m)]]/Data_Geotech[[#This Row],[Run (m)]]*100</f>
        <v>100.00000000000028</v>
      </c>
      <c r="I30" s="151">
        <v>3.01</v>
      </c>
      <c r="J30" s="151">
        <v>3.01</v>
      </c>
      <c r="K30" s="5">
        <v>3.01</v>
      </c>
      <c r="L30" s="61">
        <f>Data_Geotech[[#This Row],[RQD (m)]]/Data_Geotech[[#This Row],[Run Reel (m)]]*100</f>
        <v>100</v>
      </c>
      <c r="M30" t="s">
        <v>584</v>
      </c>
      <c r="O30" t="s">
        <v>243</v>
      </c>
      <c r="P30" s="115" t="s">
        <v>397</v>
      </c>
      <c r="Q30" s="5" t="s">
        <v>313</v>
      </c>
      <c r="R30" s="5"/>
      <c r="S30" s="5"/>
      <c r="T30" s="5"/>
      <c r="U30" s="5"/>
      <c r="V30" s="6">
        <v>5</v>
      </c>
      <c r="W30" s="92">
        <f>SUMIFS(Discontinuities!$D$4:$D$9664,Discontinuities!$A$4:$A$9664,A30,Discontinuities!$C$4:$C$9664,"&gt;="&amp;C30,Discontinuities!$C$4:$C$9664,"&lt;"&amp;D30)
-SUMIFS(Discontinuities!$D$4:$D$9664,Discontinuities!$A$4:$A$9664,A30,Discontinuities!$C$4:$C$9664,"&gt;="&amp;C30,Discontinuities!$C$4:$C$9664,"&lt;"&amp;D30,Discontinuities!$E$4:$E$9664,"=BC")
-SUMIFS(Discontinuities!$D$4:$D$9664,Discontinuities!$A$4:$A$9664,A30,Discontinuities!$C$4:$C$9664,"&gt;="&amp;C30,Discontinuities!$C$4:$C$9664,"&lt;"&amp;D30,Discontinuities!$E$4:$E$9664,"=LC")
-SUMIFS(Discontinuities!$D$4:$D$9664,Discontinuities!$A$4:$A$9664,A30,Discontinuities!$C$4:$C$9664,"&gt;="&amp;C30,Discontinuities!$C$4:$C$9664,"&lt;"&amp;D30,Discontinuities!$E$4:$E$9664,"=FLT")</f>
        <v>5</v>
      </c>
      <c r="X30" t="s">
        <v>373</v>
      </c>
      <c r="AA30" s="12"/>
      <c r="AB30" s="43">
        <f>IFERROR(ROUND((Data_Geotech[[#This Row],[Fault (m)]]+Data_Geotech[[#This Row],[Broken Core (m)]]+Data_Geotech[[#This Row],[Lost Core (m)]])*30,0),0)</f>
        <v>0</v>
      </c>
      <c r="AC30" s="44">
        <f>IF(Data_Geotech[[#This Row],[Added fractures 
(BC, FLT, LC)]]+Data_Geotech[[#This Row],[Fracture per interval]]=0,99,1/((Data_Geotech[[#This Row],[Fracture per interval]]+Data_Geotech[[#This Row],[Added fractures 
(BC, FLT, LC)]])/Data_Geotech[[#This Row],[Run (m)]]))</f>
        <v>0.6019999999999982</v>
      </c>
      <c r="AD30" s="155" t="str" cm="1">
        <f t="array" ref="AD30">IFERROR(_xlfn.XLOOKUP(1,(A30=PLT!$A$4:$A$8886)*(Geotech!C30&lt;=PLT!$F$4:$F$8886)*(Geotech!D30&gt;=PLT!$F$4:$F$8886)*("Valid"=PLT!$P$4:$P$8886),PLT!$V$4:$V$8886),"")</f>
        <v/>
      </c>
      <c r="AE30" s="156" t="str" cm="1">
        <f t="array" ref="AE30">IFERROR(_xlfn.XLOOKUP(1,(A30=PLT!$A$4:$A$8886)*(Geotech!C30&lt;=PLT!$F$4:$F$8886)*(Geotech!D30&gt;=PLT!$F$4:$F$8886)*(PLT!$V$4:$V$8886&lt;&gt;AD30)*("Valid"=PLT!$P$4:$P$7190),PLT!$V$4:$V$8886),"")</f>
        <v/>
      </c>
      <c r="AF30" s="156" t="str" cm="1">
        <f t="array" ref="AF30">IFERROR(_xlfn.XLOOKUP(1,(A30=PLT!$A$4:$A$8886)*(Geotech!C30&lt;=PLT!$F$4:$F$8886)*(Geotech!D30&gt;=PLT!$F$4:$F$8886)*(PLT!$V$4:$V$8886&lt;&gt;AD30)*(PLT!$V$4:$V$8886&lt;&gt;AE30)*("Valid"=PLT!$P$4:$P$7190),PLT!$V$4:$V$8886),"")</f>
        <v/>
      </c>
      <c r="AG30" s="44" t="str">
        <f>IFERROR(IF(AVERAGE(AD30:AF30)&gt;References!$BO$23,References!$BP$23,
IF(AVERAGE(AD30:AF30)&gt;References!$BO$22,References!$BP$22,
IF(AVERAGE(AD30:AF30)&gt;References!$BO$21,References!$BP$21,
IF(AVERAGE(AD30:AF30)&gt;References!$BO$20,References!$BP$20,
IF(AVERAGE(AD30:AF30)&gt;References!$BO$19,References!$BP$19,
IF(AVERAGE(AD30:AF30)&gt;References!$BO$18,References!$BP$18,
0)))))),"")</f>
        <v/>
      </c>
      <c r="AH30" s="43">
        <f>IF(Data_Geotech[[#This Row],[Is50]]="",VLOOKUP(Data_Geotech[[#This Row],[Field Intact Rock Strength]],Table_RMR76_Strength[],2,FALSE),Data_Geotech[[#This Row],[Is50]])</f>
        <v>12</v>
      </c>
      <c r="AI30" s="43">
        <f>IF(Data_Geotech[[#This Row],[RQD (%)]]&lt;=25,3,IF(Data_Geotech[[#This Row],[RQD (%)]]&lt;=50,8,IF(Data_Geotech[[#This Row],[RQD (%)]]&lt;=75,13,IF(Data_Geotech[[#This Row],[RQD (%)]]&lt;=90,17,20))))</f>
        <v>20</v>
      </c>
      <c r="AJ30" s="43">
        <f>IF(Data_Geotech[[#This Row],[Joint spacing (m)]]&lt;=0.05,5,IF(Data_Geotech[[#This Row],[Joint spacing (m)]]&lt;=0.3,10,IF(Data_Geotech[[#This Row],[Joint spacing (m)]]&lt;=1,20,IF(Data_Geotech[[#This Row],[Joint spacing (m)]]&lt;=3,25,30))))</f>
        <v>20</v>
      </c>
      <c r="AK3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18.8</v>
      </c>
      <c r="AL30" s="6">
        <v>10</v>
      </c>
      <c r="AM30" s="117">
        <f>IF(Data_Geotech[[#This Row],[FIRS Code]]="R",IFERROR(SUM(Data_Geotech[[#This Row],[RMR76 - Strength rating]:[RMR76 - Ground water rating]]),""),"")</f>
        <v>80.8</v>
      </c>
      <c r="AN30" s="39">
        <f>IF(Data_Geotech[[#This Row],[FIRS Code]]="R",(2*Data_Geotech[[#This Row],[RMR76 - Joint condition rating]])+(IF(Data_Geotech[[#This Row],[RQD (%)]]&gt;80,80/2,Data_Geotech[[#This Row],[RQD (%)]]/2)),"")</f>
        <v>77.599999999999994</v>
      </c>
      <c r="AO30" s="43" t="str">
        <f>LEFT(Data_Geotech[[#This Row],[Joint Set Rating]],FIND("-",Data_Geotech[[#This Row],[Joint Set Rating]],1)-2)</f>
        <v>4</v>
      </c>
      <c r="AP3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1.8333333333333333</v>
      </c>
      <c r="AQ30" s="5">
        <f t="shared" si="0"/>
        <v>1</v>
      </c>
      <c r="AR30" s="49">
        <f>IF(Data_Geotech[[#This Row],[FIRS Code]]="R",IFERROR((IF(Data_Geotech[[#This Row],[RQD (%)]]&lt;10,10,Data_Geotech[[#This Row],[RQD (%)]])/Data_Geotech[[#This Row],[Jn rating]])*Data_Geotech[[#This Row],[Jr/Ja]],""),"")</f>
        <v>45.833333333333329</v>
      </c>
      <c r="AS30" s="45">
        <f>IF(Data_Geotech[[#This Row],[FIRS Code]]="R",IFERROR((IF(Data_Geotech[[#This Row],[RQD (%)]]&lt;10,10,Data_Geotech[[#This Row],[RQD (%)]])/Data_Geotech[[#This Row],[Jn rating]])*Data_Geotech[[#This Row],[Jr/Ja]]*Data_Geotech[[#This Row],[Jw/SRF]],""),"")</f>
        <v>45.833333333333329</v>
      </c>
      <c r="AT30" s="12"/>
      <c r="AU30" s="13">
        <f>100-Data_Geotech[[#This Row],[RQD (%)]]</f>
        <v>0</v>
      </c>
      <c r="AV30" s="13">
        <f>100-Data_Geotech[[#This Row],[TCR (%)]]</f>
        <v>-2.8421709430404007E-13</v>
      </c>
      <c r="AW30" s="62">
        <f>(Data_Geotech[[#This Row],[Fracture per interval]]+Data_Geotech[[#This Row],[Added fractures 
(BC, FLT, LC)]])/Data_Geotech[[#This Row],[TCR (m)]]</f>
        <v>1.6611295681063125</v>
      </c>
      <c r="AX30" s="6" t="s">
        <v>109</v>
      </c>
      <c r="AY30" s="63">
        <f>7-MID(Data_Geotech[[#This Row],[Field Intact Rock Strength]],2,1)</f>
        <v>2</v>
      </c>
      <c r="AZ30" s="63">
        <f>VLOOKUP(Data_Geotech[[#This Row],[Field Intact Rock Strength]],Table_FieldStrength[],2,FALSE)</f>
        <v>100</v>
      </c>
      <c r="BA30" s="63">
        <f>VLOOKUP(Data_Geotech[[#This Row],[Field Intact Rock Strength]],Table_FieldStrength[],3,FALSE)</f>
        <v>175</v>
      </c>
      <c r="BB30" s="63">
        <f>VLOOKUP(Data_Geotech[[#This Row],[Field Intact Rock Strength]],Table_FieldStrength[],4,FALSE)</f>
        <v>250</v>
      </c>
      <c r="BC30" s="63">
        <f>100-Data_Geotech[[#This Row],[RMR76]]</f>
        <v>19.200000000000003</v>
      </c>
      <c r="BD30" s="63" t="str">
        <f>LEFT(Data_Geotech[[#This Row],[Weathering/Alteration]],FIND("-",Data_Geotech[[#This Row],[Weathering/Alteration]])-2)</f>
        <v>W1/A1</v>
      </c>
    </row>
    <row r="31" spans="1:56" ht="15.75" hidden="1" thickBot="1" x14ac:dyDescent="0.3">
      <c r="A31" t="s">
        <v>26</v>
      </c>
      <c r="B31" s="16" t="str">
        <f>VLOOKUP(Data_Geotech[[#This Row],[Hole ID]],Data_Log[],2,FALSE)</f>
        <v>CGF-01</v>
      </c>
      <c r="C31" s="5">
        <v>101.96</v>
      </c>
      <c r="D31" s="5">
        <v>104.96</v>
      </c>
      <c r="E31" s="5">
        <f>(Data_Geotech[[#This Row],[To (m)]]-Data_Geotech[[#This Row],[From (m)]])/2+Data_Geotech[[#This Row],[From (m)]]</f>
        <v>103.46</v>
      </c>
      <c r="F31" s="13">
        <f>Data_Geotech[[#This Row],[To (m)]]-Data_Geotech[[#This Row],[From (m)]]</f>
        <v>3</v>
      </c>
      <c r="G31" s="5">
        <v>3</v>
      </c>
      <c r="H31" s="61">
        <f>Data_Geotech[[#This Row],[TCR (m)]]/Data_Geotech[[#This Row],[Run (m)]]*100</f>
        <v>100</v>
      </c>
      <c r="I31" s="151">
        <v>3.05</v>
      </c>
      <c r="J31" s="151">
        <v>3.05</v>
      </c>
      <c r="K31" s="5">
        <v>2.97</v>
      </c>
      <c r="L31" s="61">
        <f>Data_Geotech[[#This Row],[RQD (m)]]/Data_Geotech[[#This Row],[Run Reel (m)]]*100</f>
        <v>97.377049180327873</v>
      </c>
      <c r="M31" t="s">
        <v>584</v>
      </c>
      <c r="O31" t="s">
        <v>243</v>
      </c>
      <c r="P31" s="115" t="s">
        <v>342</v>
      </c>
      <c r="Q31" s="5" t="s">
        <v>281</v>
      </c>
      <c r="R31" s="5"/>
      <c r="S31" s="5"/>
      <c r="T31" s="5"/>
      <c r="U31" s="5"/>
      <c r="V31" s="6">
        <v>8</v>
      </c>
      <c r="W31" s="92">
        <f>SUMIFS(Discontinuities!$D$4:$D$9664,Discontinuities!$A$4:$A$9664,A31,Discontinuities!$C$4:$C$9664,"&gt;="&amp;C31,Discontinuities!$C$4:$C$9664,"&lt;"&amp;D31)
-SUMIFS(Discontinuities!$D$4:$D$9664,Discontinuities!$A$4:$A$9664,A31,Discontinuities!$C$4:$C$9664,"&gt;="&amp;C31,Discontinuities!$C$4:$C$9664,"&lt;"&amp;D31,Discontinuities!$E$4:$E$9664,"=BC")
-SUMIFS(Discontinuities!$D$4:$D$9664,Discontinuities!$A$4:$A$9664,A31,Discontinuities!$C$4:$C$9664,"&gt;="&amp;C31,Discontinuities!$C$4:$C$9664,"&lt;"&amp;D31,Discontinuities!$E$4:$E$9664,"=LC")
-SUMIFS(Discontinuities!$D$4:$D$9664,Discontinuities!$A$4:$A$9664,A31,Discontinuities!$C$4:$C$9664,"&gt;="&amp;C31,Discontinuities!$C$4:$C$9664,"&lt;"&amp;D31,Discontinuities!$E$4:$E$9664,"=FLT")</f>
        <v>8</v>
      </c>
      <c r="X31" t="s">
        <v>373</v>
      </c>
      <c r="AA31" s="12"/>
      <c r="AB31" s="43">
        <f>IFERROR(ROUND((Data_Geotech[[#This Row],[Fault (m)]]+Data_Geotech[[#This Row],[Broken Core (m)]]+Data_Geotech[[#This Row],[Lost Core (m)]])*30,0),0)</f>
        <v>0</v>
      </c>
      <c r="AC31" s="44">
        <f>IF(Data_Geotech[[#This Row],[Added fractures 
(BC, FLT, LC)]]+Data_Geotech[[#This Row],[Fracture per interval]]=0,99,1/((Data_Geotech[[#This Row],[Fracture per interval]]+Data_Geotech[[#This Row],[Added fractures 
(BC, FLT, LC)]])/Data_Geotech[[#This Row],[Run (m)]]))</f>
        <v>0.375</v>
      </c>
      <c r="AD31" s="155" cm="1">
        <f t="array" ref="AD31">IFERROR(_xlfn.XLOOKUP(1,(A31=PLT!$A$4:$A$8886)*(Geotech!C31&lt;=PLT!$F$4:$F$8886)*(Geotech!D31&gt;=PLT!$F$4:$F$8886)*("Valid"=PLT!$P$4:$P$8886),PLT!$V$4:$V$8886),"")</f>
        <v>0</v>
      </c>
      <c r="AE31" s="156" t="str" cm="1">
        <f t="array" ref="AE31">IFERROR(_xlfn.XLOOKUP(1,(A31=PLT!$A$4:$A$8886)*(Geotech!C31&lt;=PLT!$F$4:$F$8886)*(Geotech!D31&gt;=PLT!$F$4:$F$8886)*(PLT!$V$4:$V$8886&lt;&gt;AD31)*("Valid"=PLT!$P$4:$P$7190),PLT!$V$4:$V$8886),"")</f>
        <v/>
      </c>
      <c r="AF31" s="156" t="str" cm="1">
        <f t="array" ref="AF31">IFERROR(_xlfn.XLOOKUP(1,(A31=PLT!$A$4:$A$8886)*(Geotech!C31&lt;=PLT!$F$4:$F$8886)*(Geotech!D31&gt;=PLT!$F$4:$F$8886)*(PLT!$V$4:$V$8886&lt;&gt;AD31)*(PLT!$V$4:$V$8886&lt;&gt;AE31)*("Valid"=PLT!$P$4:$P$7190),PLT!$V$4:$V$8886),"")</f>
        <v/>
      </c>
      <c r="AG31" s="44">
        <f>IFERROR(IF(AVERAGE(AD31:AF31)&gt;References!$BO$23,References!$BP$23,
IF(AVERAGE(AD31:AF31)&gt;References!$BO$22,References!$BP$22,
IF(AVERAGE(AD31:AF31)&gt;References!$BO$21,References!$BP$21,
IF(AVERAGE(AD31:AF31)&gt;References!$BO$20,References!$BP$20,
IF(AVERAGE(AD31:AF31)&gt;References!$BO$19,References!$BP$19,
IF(AVERAGE(AD31:AF31)&gt;References!$BO$18,References!$BP$18,
0)))))),"")</f>
        <v>0</v>
      </c>
      <c r="AH31" s="43">
        <f>IF(Data_Geotech[[#This Row],[Is50]]="",VLOOKUP(Data_Geotech[[#This Row],[Field Intact Rock Strength]],Table_RMR76_Strength[],2,FALSE),Data_Geotech[[#This Row],[Is50]])</f>
        <v>0</v>
      </c>
      <c r="AI31" s="43">
        <f>IF(Data_Geotech[[#This Row],[RQD (%)]]&lt;=25,3,IF(Data_Geotech[[#This Row],[RQD (%)]]&lt;=50,8,IF(Data_Geotech[[#This Row],[RQD (%)]]&lt;=75,13,IF(Data_Geotech[[#This Row],[RQD (%)]]&lt;=90,17,20))))</f>
        <v>20</v>
      </c>
      <c r="AJ31" s="43">
        <f>IF(Data_Geotech[[#This Row],[Joint spacing (m)]]&lt;=0.05,5,IF(Data_Geotech[[#This Row],[Joint spacing (m)]]&lt;=0.3,10,IF(Data_Geotech[[#This Row],[Joint spacing (m)]]&lt;=1,20,IF(Data_Geotech[[#This Row],[Joint spacing (m)]]&lt;=3,25,30))))</f>
        <v>20</v>
      </c>
      <c r="AK3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21.5</v>
      </c>
      <c r="AL31" s="6">
        <v>10</v>
      </c>
      <c r="AM31" s="117">
        <f>IF(Data_Geotech[[#This Row],[FIRS Code]]="R",IFERROR(SUM(Data_Geotech[[#This Row],[RMR76 - Strength rating]:[RMR76 - Ground water rating]]),""),"")</f>
        <v>71.5</v>
      </c>
      <c r="AN31" s="39">
        <f>IF(Data_Geotech[[#This Row],[FIRS Code]]="R",(2*Data_Geotech[[#This Row],[RMR76 - Joint condition rating]])+(IF(Data_Geotech[[#This Row],[RQD (%)]]&gt;80,80/2,Data_Geotech[[#This Row],[RQD (%)]]/2)),"")</f>
        <v>83</v>
      </c>
      <c r="AO31" s="43" t="str">
        <f>LEFT(Data_Geotech[[#This Row],[Joint Set Rating]],FIND("-",Data_Geotech[[#This Row],[Joint Set Rating]],1)-2)</f>
        <v>4</v>
      </c>
      <c r="AP3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1.6041666666666665</v>
      </c>
      <c r="AQ31" s="5">
        <f t="shared" si="0"/>
        <v>1</v>
      </c>
      <c r="AR31" s="49">
        <f>IF(Data_Geotech[[#This Row],[FIRS Code]]="R",IFERROR((IF(Data_Geotech[[#This Row],[RQD (%)]]&lt;10,10,Data_Geotech[[#This Row],[RQD (%)]])/Data_Geotech[[#This Row],[Jn rating]])*Data_Geotech[[#This Row],[Jr/Ja]],""),"")</f>
        <v>39.052254098360656</v>
      </c>
      <c r="AS31" s="45">
        <f>IF(Data_Geotech[[#This Row],[FIRS Code]]="R",IFERROR((IF(Data_Geotech[[#This Row],[RQD (%)]]&lt;10,10,Data_Geotech[[#This Row],[RQD (%)]])/Data_Geotech[[#This Row],[Jn rating]])*Data_Geotech[[#This Row],[Jr/Ja]]*Data_Geotech[[#This Row],[Jw/SRF]],""),"")</f>
        <v>39.052254098360656</v>
      </c>
      <c r="AT31" s="12"/>
      <c r="AU31" s="13">
        <f>100-Data_Geotech[[#This Row],[RQD (%)]]</f>
        <v>2.622950819672127</v>
      </c>
      <c r="AV31" s="13">
        <f>100-Data_Geotech[[#This Row],[TCR (%)]]</f>
        <v>0</v>
      </c>
      <c r="AW31" s="62">
        <f>(Data_Geotech[[#This Row],[Fracture per interval]]+Data_Geotech[[#This Row],[Added fractures 
(BC, FLT, LC)]])/Data_Geotech[[#This Row],[TCR (m)]]</f>
        <v>2.6666666666666665</v>
      </c>
      <c r="AX31" s="6" t="s">
        <v>109</v>
      </c>
      <c r="AY31" s="63">
        <f>7-MID(Data_Geotech[[#This Row],[Field Intact Rock Strength]],2,1)</f>
        <v>4</v>
      </c>
      <c r="AZ31" s="63">
        <f>VLOOKUP(Data_Geotech[[#This Row],[Field Intact Rock Strength]],Table_FieldStrength[],2,FALSE)</f>
        <v>25</v>
      </c>
      <c r="BA31" s="63">
        <f>VLOOKUP(Data_Geotech[[#This Row],[Field Intact Rock Strength]],Table_FieldStrength[],3,FALSE)</f>
        <v>37.5</v>
      </c>
      <c r="BB31" s="63">
        <f>VLOOKUP(Data_Geotech[[#This Row],[Field Intact Rock Strength]],Table_FieldStrength[],4,FALSE)</f>
        <v>50</v>
      </c>
      <c r="BC31" s="63">
        <f>100-Data_Geotech[[#This Row],[RMR76]]</f>
        <v>28.5</v>
      </c>
      <c r="BD31" s="63" t="str">
        <f>LEFT(Data_Geotech[[#This Row],[Weathering/Alteration]],FIND("-",Data_Geotech[[#This Row],[Weathering/Alteration]])-2)</f>
        <v>W1/A1</v>
      </c>
    </row>
    <row r="32" spans="1:56" ht="15.75" hidden="1" thickBot="1" x14ac:dyDescent="0.3">
      <c r="A32" t="s">
        <v>26</v>
      </c>
      <c r="B32" s="16" t="str">
        <f>VLOOKUP(Data_Geotech[[#This Row],[Hole ID]],Data_Log[],2,FALSE)</f>
        <v>CGF-01</v>
      </c>
      <c r="C32" s="5">
        <v>104.96</v>
      </c>
      <c r="D32" s="5">
        <v>108</v>
      </c>
      <c r="E32" s="5">
        <f>(Data_Geotech[[#This Row],[To (m)]]-Data_Geotech[[#This Row],[From (m)]])/2+Data_Geotech[[#This Row],[From (m)]]</f>
        <v>106.47999999999999</v>
      </c>
      <c r="F32" s="13">
        <f>Data_Geotech[[#This Row],[To (m)]]-Data_Geotech[[#This Row],[From (m)]]</f>
        <v>3.0400000000000063</v>
      </c>
      <c r="G32" s="5">
        <v>3.04</v>
      </c>
      <c r="H32" s="61">
        <f>Data_Geotech[[#This Row],[TCR (m)]]/Data_Geotech[[#This Row],[Run (m)]]*100</f>
        <v>99.999999999999801</v>
      </c>
      <c r="I32" s="151">
        <v>3.04</v>
      </c>
      <c r="J32" s="151">
        <v>3.04</v>
      </c>
      <c r="K32" s="5">
        <v>3.04</v>
      </c>
      <c r="L32" s="61">
        <f>Data_Geotech[[#This Row],[RQD (m)]]/Data_Geotech[[#This Row],[Run Reel (m)]]*100</f>
        <v>100</v>
      </c>
      <c r="M32" t="s">
        <v>584</v>
      </c>
      <c r="O32" t="s">
        <v>243</v>
      </c>
      <c r="P32" s="115" t="s">
        <v>397</v>
      </c>
      <c r="Q32" s="5" t="s">
        <v>281</v>
      </c>
      <c r="R32" s="5"/>
      <c r="S32" s="5"/>
      <c r="T32" s="5"/>
      <c r="U32" s="5"/>
      <c r="V32" s="6">
        <v>4</v>
      </c>
      <c r="W32" s="92">
        <f>SUMIFS(Discontinuities!$D$4:$D$9664,Discontinuities!$A$4:$A$9664,A32,Discontinuities!$C$4:$C$9664,"&gt;="&amp;C32,Discontinuities!$C$4:$C$9664,"&lt;"&amp;D32)
-SUMIFS(Discontinuities!$D$4:$D$9664,Discontinuities!$A$4:$A$9664,A32,Discontinuities!$C$4:$C$9664,"&gt;="&amp;C32,Discontinuities!$C$4:$C$9664,"&lt;"&amp;D32,Discontinuities!$E$4:$E$9664,"=BC")
-SUMIFS(Discontinuities!$D$4:$D$9664,Discontinuities!$A$4:$A$9664,A32,Discontinuities!$C$4:$C$9664,"&gt;="&amp;C32,Discontinuities!$C$4:$C$9664,"&lt;"&amp;D32,Discontinuities!$E$4:$E$9664,"=LC")
-SUMIFS(Discontinuities!$D$4:$D$9664,Discontinuities!$A$4:$A$9664,A32,Discontinuities!$C$4:$C$9664,"&gt;="&amp;C32,Discontinuities!$C$4:$C$9664,"&lt;"&amp;D32,Discontinuities!$E$4:$E$9664,"=FLT")</f>
        <v>4</v>
      </c>
      <c r="X32" t="s">
        <v>345</v>
      </c>
      <c r="AA32" s="12"/>
      <c r="AB32" s="43">
        <f>IFERROR(ROUND((Data_Geotech[[#This Row],[Fault (m)]]+Data_Geotech[[#This Row],[Broken Core (m)]]+Data_Geotech[[#This Row],[Lost Core (m)]])*30,0),0)</f>
        <v>0</v>
      </c>
      <c r="AC32" s="44">
        <f>IF(Data_Geotech[[#This Row],[Added fractures 
(BC, FLT, LC)]]+Data_Geotech[[#This Row],[Fracture per interval]]=0,99,1/((Data_Geotech[[#This Row],[Fracture per interval]]+Data_Geotech[[#This Row],[Added fractures 
(BC, FLT, LC)]])/Data_Geotech[[#This Row],[Run (m)]]))</f>
        <v>0.76000000000000156</v>
      </c>
      <c r="AD32" s="155" cm="1">
        <f t="array" ref="AD32">IFERROR(_xlfn.XLOOKUP(1,(A32=PLT!$A$4:$A$8886)*(Geotech!C32&lt;=PLT!$F$4:$F$8886)*(Geotech!D32&gt;=PLT!$F$4:$F$8886)*("Valid"=PLT!$P$4:$P$8886),PLT!$V$4:$V$8886),"")</f>
        <v>0</v>
      </c>
      <c r="AE32" s="156" t="str" cm="1">
        <f t="array" ref="AE32">IFERROR(_xlfn.XLOOKUP(1,(A32=PLT!$A$4:$A$8886)*(Geotech!C32&lt;=PLT!$F$4:$F$8886)*(Geotech!D32&gt;=PLT!$F$4:$F$8886)*(PLT!$V$4:$V$8886&lt;&gt;AD32)*("Valid"=PLT!$P$4:$P$7190),PLT!$V$4:$V$8886),"")</f>
        <v/>
      </c>
      <c r="AF32" s="156" t="str" cm="1">
        <f t="array" ref="AF32">IFERROR(_xlfn.XLOOKUP(1,(A32=PLT!$A$4:$A$8886)*(Geotech!C32&lt;=PLT!$F$4:$F$8886)*(Geotech!D32&gt;=PLT!$F$4:$F$8886)*(PLT!$V$4:$V$8886&lt;&gt;AD32)*(PLT!$V$4:$V$8886&lt;&gt;AE32)*("Valid"=PLT!$P$4:$P$7190),PLT!$V$4:$V$8886),"")</f>
        <v/>
      </c>
      <c r="AG32" s="44">
        <f>IFERROR(IF(AVERAGE(AD32:AF32)&gt;References!$BO$23,References!$BP$23,
IF(AVERAGE(AD32:AF32)&gt;References!$BO$22,References!$BP$22,
IF(AVERAGE(AD32:AF32)&gt;References!$BO$21,References!$BP$21,
IF(AVERAGE(AD32:AF32)&gt;References!$BO$20,References!$BP$20,
IF(AVERAGE(AD32:AF32)&gt;References!$BO$19,References!$BP$19,
IF(AVERAGE(AD32:AF32)&gt;References!$BO$18,References!$BP$18,
0)))))),"")</f>
        <v>0</v>
      </c>
      <c r="AH32" s="43">
        <f>IF(Data_Geotech[[#This Row],[Is50]]="",VLOOKUP(Data_Geotech[[#This Row],[Field Intact Rock Strength]],Table_RMR76_Strength[],2,FALSE),Data_Geotech[[#This Row],[Is50]])</f>
        <v>0</v>
      </c>
      <c r="AI32" s="43">
        <f>IF(Data_Geotech[[#This Row],[RQD (%)]]&lt;=25,3,IF(Data_Geotech[[#This Row],[RQD (%)]]&lt;=50,8,IF(Data_Geotech[[#This Row],[RQD (%)]]&lt;=75,13,IF(Data_Geotech[[#This Row],[RQD (%)]]&lt;=90,17,20))))</f>
        <v>20</v>
      </c>
      <c r="AJ32" s="43">
        <f>IF(Data_Geotech[[#This Row],[Joint spacing (m)]]&lt;=0.05,5,IF(Data_Geotech[[#This Row],[Joint spacing (m)]]&lt;=0.3,10,IF(Data_Geotech[[#This Row],[Joint spacing (m)]]&lt;=1,20,IF(Data_Geotech[[#This Row],[Joint spacing (m)]]&lt;=3,25,30))))</f>
        <v>20</v>
      </c>
      <c r="AK3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21.25</v>
      </c>
      <c r="AL32" s="6">
        <v>10</v>
      </c>
      <c r="AM32" s="117">
        <f>IF(Data_Geotech[[#This Row],[FIRS Code]]="R",IFERROR(SUM(Data_Geotech[[#This Row],[RMR76 - Strength rating]:[RMR76 - Ground water rating]]),""),"")</f>
        <v>71.25</v>
      </c>
      <c r="AN32" s="39">
        <f>IF(Data_Geotech[[#This Row],[FIRS Code]]="R",(2*Data_Geotech[[#This Row],[RMR76 - Joint condition rating]])+(IF(Data_Geotech[[#This Row],[RQD (%)]]&gt;80,80/2,Data_Geotech[[#This Row],[RQD (%)]]/2)),"")</f>
        <v>82.5</v>
      </c>
      <c r="AO32" s="43" t="str">
        <f>LEFT(Data_Geotech[[#This Row],[Joint Set Rating]],FIND("-",Data_Geotech[[#This Row],[Joint Set Rating]],1)-2)</f>
        <v>3</v>
      </c>
      <c r="AP3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1.5625</v>
      </c>
      <c r="AQ32" s="5">
        <f t="shared" si="0"/>
        <v>1</v>
      </c>
      <c r="AR32" s="49">
        <f>IF(Data_Geotech[[#This Row],[FIRS Code]]="R",IFERROR((IF(Data_Geotech[[#This Row],[RQD (%)]]&lt;10,10,Data_Geotech[[#This Row],[RQD (%)]])/Data_Geotech[[#This Row],[Jn rating]])*Data_Geotech[[#This Row],[Jr/Ja]],""),"")</f>
        <v>52.083333333333336</v>
      </c>
      <c r="AS32" s="45">
        <f>IF(Data_Geotech[[#This Row],[FIRS Code]]="R",IFERROR((IF(Data_Geotech[[#This Row],[RQD (%)]]&lt;10,10,Data_Geotech[[#This Row],[RQD (%)]])/Data_Geotech[[#This Row],[Jn rating]])*Data_Geotech[[#This Row],[Jr/Ja]]*Data_Geotech[[#This Row],[Jw/SRF]],""),"")</f>
        <v>52.083333333333336</v>
      </c>
      <c r="AT32" s="12"/>
      <c r="AU32" s="13">
        <f>100-Data_Geotech[[#This Row],[RQD (%)]]</f>
        <v>0</v>
      </c>
      <c r="AV32" s="13">
        <f>100-Data_Geotech[[#This Row],[TCR (%)]]</f>
        <v>1.9895196601282805E-13</v>
      </c>
      <c r="AW32" s="62">
        <f>(Data_Geotech[[#This Row],[Fracture per interval]]+Data_Geotech[[#This Row],[Added fractures 
(BC, FLT, LC)]])/Data_Geotech[[#This Row],[TCR (m)]]</f>
        <v>1.3157894736842106</v>
      </c>
      <c r="AX32" s="6" t="s">
        <v>109</v>
      </c>
      <c r="AY32" s="63">
        <f>7-MID(Data_Geotech[[#This Row],[Field Intact Rock Strength]],2,1)</f>
        <v>2</v>
      </c>
      <c r="AZ32" s="63">
        <f>VLOOKUP(Data_Geotech[[#This Row],[Field Intact Rock Strength]],Table_FieldStrength[],2,FALSE)</f>
        <v>100</v>
      </c>
      <c r="BA32" s="63">
        <f>VLOOKUP(Data_Geotech[[#This Row],[Field Intact Rock Strength]],Table_FieldStrength[],3,FALSE)</f>
        <v>175</v>
      </c>
      <c r="BB32" s="63">
        <f>VLOOKUP(Data_Geotech[[#This Row],[Field Intact Rock Strength]],Table_FieldStrength[],4,FALSE)</f>
        <v>250</v>
      </c>
      <c r="BC32" s="63">
        <f>100-Data_Geotech[[#This Row],[RMR76]]</f>
        <v>28.75</v>
      </c>
      <c r="BD32" s="63" t="str">
        <f>LEFT(Data_Geotech[[#This Row],[Weathering/Alteration]],FIND("-",Data_Geotech[[#This Row],[Weathering/Alteration]])-2)</f>
        <v>W1/A1</v>
      </c>
    </row>
    <row r="33" spans="1:56" ht="15.75" hidden="1" thickBot="1" x14ac:dyDescent="0.3">
      <c r="A33" t="s">
        <v>26</v>
      </c>
      <c r="B33" s="16" t="str">
        <f>VLOOKUP(Data_Geotech[[#This Row],[Hole ID]],Data_Log[],2,FALSE)</f>
        <v>CGF-01</v>
      </c>
      <c r="C33" s="5">
        <v>108</v>
      </c>
      <c r="D33" s="5">
        <v>110.97</v>
      </c>
      <c r="E33" s="5">
        <f>(Data_Geotech[[#This Row],[To (m)]]-Data_Geotech[[#This Row],[From (m)]])/2+Data_Geotech[[#This Row],[From (m)]]</f>
        <v>109.485</v>
      </c>
      <c r="F33" s="13">
        <f>Data_Geotech[[#This Row],[To (m)]]-Data_Geotech[[#This Row],[From (m)]]</f>
        <v>2.9699999999999989</v>
      </c>
      <c r="G33" s="5">
        <v>2.97</v>
      </c>
      <c r="H33" s="61">
        <f>Data_Geotech[[#This Row],[TCR (m)]]/Data_Geotech[[#This Row],[Run (m)]]*100</f>
        <v>100.00000000000004</v>
      </c>
      <c r="I33" s="151">
        <v>2.97</v>
      </c>
      <c r="J33" s="151">
        <v>2.97</v>
      </c>
      <c r="K33" s="5">
        <f>2.97-0.15-0.06</f>
        <v>2.7600000000000002</v>
      </c>
      <c r="L33" s="61">
        <f>Data_Geotech[[#This Row],[RQD (m)]]/Data_Geotech[[#This Row],[Run Reel (m)]]*100</f>
        <v>92.929292929292927</v>
      </c>
      <c r="M33" t="s">
        <v>584</v>
      </c>
      <c r="O33" t="s">
        <v>243</v>
      </c>
      <c r="P33" s="115" t="s">
        <v>370</v>
      </c>
      <c r="Q33" s="5" t="s">
        <v>281</v>
      </c>
      <c r="R33" s="5"/>
      <c r="S33" s="5"/>
      <c r="T33" s="5"/>
      <c r="U33" s="5"/>
      <c r="V33" s="6">
        <v>8</v>
      </c>
      <c r="W33" s="92">
        <f>SUMIFS(Discontinuities!$D$4:$D$9664,Discontinuities!$A$4:$A$9664,A33,Discontinuities!$C$4:$C$9664,"&gt;="&amp;C33,Discontinuities!$C$4:$C$9664,"&lt;"&amp;D33)
-SUMIFS(Discontinuities!$D$4:$D$9664,Discontinuities!$A$4:$A$9664,A33,Discontinuities!$C$4:$C$9664,"&gt;="&amp;C33,Discontinuities!$C$4:$C$9664,"&lt;"&amp;D33,Discontinuities!$E$4:$E$9664,"=BC")
-SUMIFS(Discontinuities!$D$4:$D$9664,Discontinuities!$A$4:$A$9664,A33,Discontinuities!$C$4:$C$9664,"&gt;="&amp;C33,Discontinuities!$C$4:$C$9664,"&lt;"&amp;D33,Discontinuities!$E$4:$E$9664,"=LC")
-SUMIFS(Discontinuities!$D$4:$D$9664,Discontinuities!$A$4:$A$9664,A33,Discontinuities!$C$4:$C$9664,"&gt;="&amp;C33,Discontinuities!$C$4:$C$9664,"&lt;"&amp;D33,Discontinuities!$E$4:$E$9664,"=FLT")</f>
        <v>8</v>
      </c>
      <c r="X33" t="s">
        <v>432</v>
      </c>
      <c r="AA33" s="12"/>
      <c r="AB33" s="43">
        <f>IFERROR(ROUND((Data_Geotech[[#This Row],[Fault (m)]]+Data_Geotech[[#This Row],[Broken Core (m)]]+Data_Geotech[[#This Row],[Lost Core (m)]])*30,0),0)</f>
        <v>0</v>
      </c>
      <c r="AC33" s="44">
        <f>IF(Data_Geotech[[#This Row],[Added fractures 
(BC, FLT, LC)]]+Data_Geotech[[#This Row],[Fracture per interval]]=0,99,1/((Data_Geotech[[#This Row],[Fracture per interval]]+Data_Geotech[[#This Row],[Added fractures 
(BC, FLT, LC)]])/Data_Geotech[[#This Row],[Run (m)]]))</f>
        <v>0.37124999999999986</v>
      </c>
      <c r="AD33" s="155" cm="1">
        <f t="array" ref="AD33">IFERROR(_xlfn.XLOOKUP(1,(A33=PLT!$A$4:$A$8886)*(Geotech!C33&lt;=PLT!$F$4:$F$8886)*(Geotech!D33&gt;=PLT!$F$4:$F$8886)*("Valid"=PLT!$P$4:$P$8886),PLT!$V$4:$V$8886),"")</f>
        <v>0</v>
      </c>
      <c r="AE33" s="156" t="str" cm="1">
        <f t="array" ref="AE33">IFERROR(_xlfn.XLOOKUP(1,(A33=PLT!$A$4:$A$8886)*(Geotech!C33&lt;=PLT!$F$4:$F$8886)*(Geotech!D33&gt;=PLT!$F$4:$F$8886)*(PLT!$V$4:$V$8886&lt;&gt;AD33)*("Valid"=PLT!$P$4:$P$7190),PLT!$V$4:$V$8886),"")</f>
        <v/>
      </c>
      <c r="AF33" s="156" t="str" cm="1">
        <f t="array" ref="AF33">IFERROR(_xlfn.XLOOKUP(1,(A33=PLT!$A$4:$A$8886)*(Geotech!C33&lt;=PLT!$F$4:$F$8886)*(Geotech!D33&gt;=PLT!$F$4:$F$8886)*(PLT!$V$4:$V$8886&lt;&gt;AD33)*(PLT!$V$4:$V$8886&lt;&gt;AE33)*("Valid"=PLT!$P$4:$P$7190),PLT!$V$4:$V$8886),"")</f>
        <v/>
      </c>
      <c r="AG33" s="44">
        <f>IFERROR(IF(AVERAGE(AD33:AF33)&gt;References!$BO$23,References!$BP$23,
IF(AVERAGE(AD33:AF33)&gt;References!$BO$22,References!$BP$22,
IF(AVERAGE(AD33:AF33)&gt;References!$BO$21,References!$BP$21,
IF(AVERAGE(AD33:AF33)&gt;References!$BO$20,References!$BP$20,
IF(AVERAGE(AD33:AF33)&gt;References!$BO$19,References!$BP$19,
IF(AVERAGE(AD33:AF33)&gt;References!$BO$18,References!$BP$18,
0)))))),"")</f>
        <v>0</v>
      </c>
      <c r="AH33" s="43">
        <f>IF(Data_Geotech[[#This Row],[Is50]]="",VLOOKUP(Data_Geotech[[#This Row],[Field Intact Rock Strength]],Table_RMR76_Strength[],2,FALSE),Data_Geotech[[#This Row],[Is50]])</f>
        <v>0</v>
      </c>
      <c r="AI33" s="43">
        <f>IF(Data_Geotech[[#This Row],[RQD (%)]]&lt;=25,3,IF(Data_Geotech[[#This Row],[RQD (%)]]&lt;=50,8,IF(Data_Geotech[[#This Row],[RQD (%)]]&lt;=75,13,IF(Data_Geotech[[#This Row],[RQD (%)]]&lt;=90,17,20))))</f>
        <v>20</v>
      </c>
      <c r="AJ33" s="43">
        <f>IF(Data_Geotech[[#This Row],[Joint spacing (m)]]&lt;=0.05,5,IF(Data_Geotech[[#This Row],[Joint spacing (m)]]&lt;=0.3,10,IF(Data_Geotech[[#This Row],[Joint spacing (m)]]&lt;=1,20,IF(Data_Geotech[[#This Row],[Joint spacing (m)]]&lt;=3,25,30))))</f>
        <v>20</v>
      </c>
      <c r="AK3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23.125</v>
      </c>
      <c r="AL33" s="6">
        <v>10</v>
      </c>
      <c r="AM33" s="117">
        <f>IF(Data_Geotech[[#This Row],[FIRS Code]]="R",IFERROR(SUM(Data_Geotech[[#This Row],[RMR76 - Strength rating]:[RMR76 - Ground water rating]]),""),"")</f>
        <v>73.125</v>
      </c>
      <c r="AN33" s="39">
        <f>IF(Data_Geotech[[#This Row],[FIRS Code]]="R",(2*Data_Geotech[[#This Row],[RMR76 - Joint condition rating]])+(IF(Data_Geotech[[#This Row],[RQD (%)]]&gt;80,80/2,Data_Geotech[[#This Row],[RQD (%)]]/2)),"")</f>
        <v>86.25</v>
      </c>
      <c r="AO33" s="43" t="str">
        <f>LEFT(Data_Geotech[[#This Row],[Joint Set Rating]],FIND("-",Data_Geotech[[#This Row],[Joint Set Rating]],1)-2)</f>
        <v>12</v>
      </c>
      <c r="AP3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1.65625</v>
      </c>
      <c r="AQ33" s="5">
        <f t="shared" si="0"/>
        <v>1</v>
      </c>
      <c r="AR33" s="49">
        <f>IF(Data_Geotech[[#This Row],[FIRS Code]]="R",IFERROR((IF(Data_Geotech[[#This Row],[RQD (%)]]&lt;10,10,Data_Geotech[[#This Row],[RQD (%)]])/Data_Geotech[[#This Row],[Jn rating]])*Data_Geotech[[#This Row],[Jr/Ja]],""),"")</f>
        <v>12.826178451178452</v>
      </c>
      <c r="AS33" s="45">
        <f>IF(Data_Geotech[[#This Row],[FIRS Code]]="R",IFERROR((IF(Data_Geotech[[#This Row],[RQD (%)]]&lt;10,10,Data_Geotech[[#This Row],[RQD (%)]])/Data_Geotech[[#This Row],[Jn rating]])*Data_Geotech[[#This Row],[Jr/Ja]]*Data_Geotech[[#This Row],[Jw/SRF]],""),"")</f>
        <v>12.826178451178452</v>
      </c>
      <c r="AT33" s="12"/>
      <c r="AU33" s="13">
        <f>100-Data_Geotech[[#This Row],[RQD (%)]]</f>
        <v>7.0707070707070727</v>
      </c>
      <c r="AV33" s="13">
        <f>100-Data_Geotech[[#This Row],[TCR (%)]]</f>
        <v>0</v>
      </c>
      <c r="AW33" s="62">
        <f>(Data_Geotech[[#This Row],[Fracture per interval]]+Data_Geotech[[#This Row],[Added fractures 
(BC, FLT, LC)]])/Data_Geotech[[#This Row],[TCR (m)]]</f>
        <v>2.6936026936026933</v>
      </c>
      <c r="AX33" s="6" t="s">
        <v>109</v>
      </c>
      <c r="AY33" s="63">
        <f>7-MID(Data_Geotech[[#This Row],[Field Intact Rock Strength]],2,1)</f>
        <v>3</v>
      </c>
      <c r="AZ33" s="63">
        <f>VLOOKUP(Data_Geotech[[#This Row],[Field Intact Rock Strength]],Table_FieldStrength[],2,FALSE)</f>
        <v>50</v>
      </c>
      <c r="BA33" s="63">
        <f>VLOOKUP(Data_Geotech[[#This Row],[Field Intact Rock Strength]],Table_FieldStrength[],3,FALSE)</f>
        <v>75</v>
      </c>
      <c r="BB33" s="63">
        <f>VLOOKUP(Data_Geotech[[#This Row],[Field Intact Rock Strength]],Table_FieldStrength[],4,FALSE)</f>
        <v>100</v>
      </c>
      <c r="BC33" s="63">
        <f>100-Data_Geotech[[#This Row],[RMR76]]</f>
        <v>26.875</v>
      </c>
      <c r="BD33" s="63" t="str">
        <f>LEFT(Data_Geotech[[#This Row],[Weathering/Alteration]],FIND("-",Data_Geotech[[#This Row],[Weathering/Alteration]])-2)</f>
        <v>W1/A1</v>
      </c>
    </row>
    <row r="34" spans="1:56" ht="15.75" hidden="1" thickBot="1" x14ac:dyDescent="0.3">
      <c r="A34" t="s">
        <v>26</v>
      </c>
      <c r="B34" s="16" t="str">
        <f>VLOOKUP(Data_Geotech[[#This Row],[Hole ID]],Data_Log[],2,FALSE)</f>
        <v>CGF-01</v>
      </c>
      <c r="C34" s="5">
        <v>110.97</v>
      </c>
      <c r="D34" s="5">
        <v>114</v>
      </c>
      <c r="E34" s="5">
        <f>(Data_Geotech[[#This Row],[To (m)]]-Data_Geotech[[#This Row],[From (m)]])/2+Data_Geotech[[#This Row],[From (m)]]</f>
        <v>112.485</v>
      </c>
      <c r="F34" s="13">
        <f>Data_Geotech[[#This Row],[To (m)]]-Data_Geotech[[#This Row],[From (m)]]</f>
        <v>3.0300000000000011</v>
      </c>
      <c r="G34" s="5">
        <v>3.03</v>
      </c>
      <c r="H34" s="61">
        <f>Data_Geotech[[#This Row],[TCR (m)]]/Data_Geotech[[#This Row],[Run (m)]]*100</f>
        <v>99.999999999999957</v>
      </c>
      <c r="I34" s="151">
        <v>3.01</v>
      </c>
      <c r="J34" s="151">
        <v>3.01</v>
      </c>
      <c r="K34" s="5">
        <v>3.01</v>
      </c>
      <c r="L34" s="61">
        <f>Data_Geotech[[#This Row],[RQD (m)]]/Data_Geotech[[#This Row],[Run Reel (m)]]*100</f>
        <v>100</v>
      </c>
      <c r="M34" t="s">
        <v>584</v>
      </c>
      <c r="O34" t="s">
        <v>243</v>
      </c>
      <c r="P34" s="115" t="s">
        <v>397</v>
      </c>
      <c r="Q34" s="5" t="s">
        <v>313</v>
      </c>
      <c r="R34" s="5"/>
      <c r="S34" s="5"/>
      <c r="T34" s="5"/>
      <c r="U34" s="5"/>
      <c r="V34" s="6">
        <v>5</v>
      </c>
      <c r="W34" s="92">
        <f>SUMIFS(Discontinuities!$D$4:$D$9664,Discontinuities!$A$4:$A$9664,A34,Discontinuities!$C$4:$C$9664,"&gt;="&amp;C34,Discontinuities!$C$4:$C$9664,"&lt;"&amp;D34)
-SUMIFS(Discontinuities!$D$4:$D$9664,Discontinuities!$A$4:$A$9664,A34,Discontinuities!$C$4:$C$9664,"&gt;="&amp;C34,Discontinuities!$C$4:$C$9664,"&lt;"&amp;D34,Discontinuities!$E$4:$E$9664,"=BC")
-SUMIFS(Discontinuities!$D$4:$D$9664,Discontinuities!$A$4:$A$9664,A34,Discontinuities!$C$4:$C$9664,"&gt;="&amp;C34,Discontinuities!$C$4:$C$9664,"&lt;"&amp;D34,Discontinuities!$E$4:$E$9664,"=LC")
-SUMIFS(Discontinuities!$D$4:$D$9664,Discontinuities!$A$4:$A$9664,A34,Discontinuities!$C$4:$C$9664,"&gt;="&amp;C34,Discontinuities!$C$4:$C$9664,"&lt;"&amp;D34,Discontinuities!$E$4:$E$9664,"=FLT")</f>
        <v>5</v>
      </c>
      <c r="X34" t="s">
        <v>312</v>
      </c>
      <c r="AA34" s="12"/>
      <c r="AB34" s="43">
        <f>IFERROR(ROUND((Data_Geotech[[#This Row],[Fault (m)]]+Data_Geotech[[#This Row],[Broken Core (m)]]+Data_Geotech[[#This Row],[Lost Core (m)]])*30,0),0)</f>
        <v>0</v>
      </c>
      <c r="AC34" s="44">
        <f>IF(Data_Geotech[[#This Row],[Added fractures 
(BC, FLT, LC)]]+Data_Geotech[[#This Row],[Fracture per interval]]=0,99,1/((Data_Geotech[[#This Row],[Fracture per interval]]+Data_Geotech[[#This Row],[Added fractures 
(BC, FLT, LC)]])/Data_Geotech[[#This Row],[Run (m)]]))</f>
        <v>0.60600000000000021</v>
      </c>
      <c r="AD34" s="155" cm="1">
        <f t="array" ref="AD34">IFERROR(_xlfn.XLOOKUP(1,(A34=PLT!$A$4:$A$8886)*(Geotech!C34&lt;=PLT!$F$4:$F$8886)*(Geotech!D34&gt;=PLT!$F$4:$F$8886)*("Valid"=PLT!$P$4:$P$8886),PLT!$V$4:$V$8886),"")</f>
        <v>0</v>
      </c>
      <c r="AE34" s="156" t="str" cm="1">
        <f t="array" ref="AE34">IFERROR(_xlfn.XLOOKUP(1,(A34=PLT!$A$4:$A$8886)*(Geotech!C34&lt;=PLT!$F$4:$F$8886)*(Geotech!D34&gt;=PLT!$F$4:$F$8886)*(PLT!$V$4:$V$8886&lt;&gt;AD34)*("Valid"=PLT!$P$4:$P$7190),PLT!$V$4:$V$8886),"")</f>
        <v/>
      </c>
      <c r="AF34" s="156" t="str" cm="1">
        <f t="array" ref="AF34">IFERROR(_xlfn.XLOOKUP(1,(A34=PLT!$A$4:$A$8886)*(Geotech!C34&lt;=PLT!$F$4:$F$8886)*(Geotech!D34&gt;=PLT!$F$4:$F$8886)*(PLT!$V$4:$V$8886&lt;&gt;AD34)*(PLT!$V$4:$V$8886&lt;&gt;AE34)*("Valid"=PLT!$P$4:$P$7190),PLT!$V$4:$V$8886),"")</f>
        <v/>
      </c>
      <c r="AG34" s="44">
        <f>IFERROR(IF(AVERAGE(AD34:AF34)&gt;References!$BO$23,References!$BP$23,
IF(AVERAGE(AD34:AF34)&gt;References!$BO$22,References!$BP$22,
IF(AVERAGE(AD34:AF34)&gt;References!$BO$21,References!$BP$21,
IF(AVERAGE(AD34:AF34)&gt;References!$BO$20,References!$BP$20,
IF(AVERAGE(AD34:AF34)&gt;References!$BO$19,References!$BP$19,
IF(AVERAGE(AD34:AF34)&gt;References!$BO$18,References!$BP$18,
0)))))),"")</f>
        <v>0</v>
      </c>
      <c r="AH34" s="43">
        <f>IF(Data_Geotech[[#This Row],[Is50]]="",VLOOKUP(Data_Geotech[[#This Row],[Field Intact Rock Strength]],Table_RMR76_Strength[],2,FALSE),Data_Geotech[[#This Row],[Is50]])</f>
        <v>0</v>
      </c>
      <c r="AI34" s="43">
        <f>IF(Data_Geotech[[#This Row],[RQD (%)]]&lt;=25,3,IF(Data_Geotech[[#This Row],[RQD (%)]]&lt;=50,8,IF(Data_Geotech[[#This Row],[RQD (%)]]&lt;=75,13,IF(Data_Geotech[[#This Row],[RQD (%)]]&lt;=90,17,20))))</f>
        <v>20</v>
      </c>
      <c r="AJ34" s="43">
        <f>IF(Data_Geotech[[#This Row],[Joint spacing (m)]]&lt;=0.05,5,IF(Data_Geotech[[#This Row],[Joint spacing (m)]]&lt;=0.3,10,IF(Data_Geotech[[#This Row],[Joint spacing (m)]]&lt;=1,20,IF(Data_Geotech[[#This Row],[Joint spacing (m)]]&lt;=3,25,30))))</f>
        <v>20</v>
      </c>
      <c r="AK3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18.399999999999999</v>
      </c>
      <c r="AL34" s="6">
        <v>10</v>
      </c>
      <c r="AM34" s="117">
        <f>IF(Data_Geotech[[#This Row],[FIRS Code]]="R",IFERROR(SUM(Data_Geotech[[#This Row],[RMR76 - Strength rating]:[RMR76 - Ground water rating]]),""),"")</f>
        <v>68.400000000000006</v>
      </c>
      <c r="AN34" s="39">
        <f>IF(Data_Geotech[[#This Row],[FIRS Code]]="R",(2*Data_Geotech[[#This Row],[RMR76 - Joint condition rating]])+(IF(Data_Geotech[[#This Row],[RQD (%)]]&gt;80,80/2,Data_Geotech[[#This Row],[RQD (%)]]/2)),"")</f>
        <v>76.8</v>
      </c>
      <c r="AO34" s="43" t="str">
        <f>LEFT(Data_Geotech[[#This Row],[Joint Set Rating]],FIND("-",Data_Geotech[[#This Row],[Joint Set Rating]],1)-2)</f>
        <v>2</v>
      </c>
      <c r="AP3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34" s="5">
        <f t="shared" si="0"/>
        <v>1</v>
      </c>
      <c r="AR34" s="49">
        <f>IF(Data_Geotech[[#This Row],[FIRS Code]]="R",IFERROR((IF(Data_Geotech[[#This Row],[RQD (%)]]&lt;10,10,Data_Geotech[[#This Row],[RQD (%)]])/Data_Geotech[[#This Row],[Jn rating]])*Data_Geotech[[#This Row],[Jr/Ja]],""),"")</f>
        <v>37.5</v>
      </c>
      <c r="AS34" s="45">
        <f>IF(Data_Geotech[[#This Row],[FIRS Code]]="R",IFERROR((IF(Data_Geotech[[#This Row],[RQD (%)]]&lt;10,10,Data_Geotech[[#This Row],[RQD (%)]])/Data_Geotech[[#This Row],[Jn rating]])*Data_Geotech[[#This Row],[Jr/Ja]]*Data_Geotech[[#This Row],[Jw/SRF]],""),"")</f>
        <v>37.5</v>
      </c>
      <c r="AT34" s="12"/>
      <c r="AU34" s="13">
        <f>100-Data_Geotech[[#This Row],[RQD (%)]]</f>
        <v>0</v>
      </c>
      <c r="AV34" s="13">
        <f>100-Data_Geotech[[#This Row],[TCR (%)]]</f>
        <v>0</v>
      </c>
      <c r="AW34" s="62">
        <f>(Data_Geotech[[#This Row],[Fracture per interval]]+Data_Geotech[[#This Row],[Added fractures 
(BC, FLT, LC)]])/Data_Geotech[[#This Row],[TCR (m)]]</f>
        <v>1.6501650165016504</v>
      </c>
      <c r="AX34" s="6" t="s">
        <v>109</v>
      </c>
      <c r="AY34" s="63">
        <f>7-MID(Data_Geotech[[#This Row],[Field Intact Rock Strength]],2,1)</f>
        <v>2</v>
      </c>
      <c r="AZ34" s="63">
        <f>VLOOKUP(Data_Geotech[[#This Row],[Field Intact Rock Strength]],Table_FieldStrength[],2,FALSE)</f>
        <v>100</v>
      </c>
      <c r="BA34" s="63">
        <f>VLOOKUP(Data_Geotech[[#This Row],[Field Intact Rock Strength]],Table_FieldStrength[],3,FALSE)</f>
        <v>175</v>
      </c>
      <c r="BB34" s="63">
        <f>VLOOKUP(Data_Geotech[[#This Row],[Field Intact Rock Strength]],Table_FieldStrength[],4,FALSE)</f>
        <v>250</v>
      </c>
      <c r="BC34" s="63">
        <f>100-Data_Geotech[[#This Row],[RMR76]]</f>
        <v>31.599999999999994</v>
      </c>
      <c r="BD34" s="63" t="str">
        <f>LEFT(Data_Geotech[[#This Row],[Weathering/Alteration]],FIND("-",Data_Geotech[[#This Row],[Weathering/Alteration]])-2)</f>
        <v>W1/A1</v>
      </c>
    </row>
    <row r="35" spans="1:56" s="91" customFormat="1" ht="15.75" hidden="1" thickBot="1" x14ac:dyDescent="0.3">
      <c r="A35" s="91" t="s">
        <v>26</v>
      </c>
      <c r="B35" s="167" t="str">
        <f>VLOOKUP(Data_Geotech[[#This Row],[Hole ID]],Data_Log[],2,FALSE)</f>
        <v>CGF-01</v>
      </c>
      <c r="C35" s="155">
        <v>114</v>
      </c>
      <c r="D35" s="155">
        <v>117</v>
      </c>
      <c r="E35" s="155">
        <f>(Data_Geotech[[#This Row],[To (m)]]-Data_Geotech[[#This Row],[From (m)]])/2+Data_Geotech[[#This Row],[From (m)]]</f>
        <v>115.5</v>
      </c>
      <c r="F35" s="155">
        <f>Data_Geotech[[#This Row],[To (m)]]-Data_Geotech[[#This Row],[From (m)]]</f>
        <v>3</v>
      </c>
      <c r="G35" s="155">
        <v>3</v>
      </c>
      <c r="H35" s="168">
        <f>Data_Geotech[[#This Row],[TCR (m)]]/Data_Geotech[[#This Row],[Run (m)]]*100</f>
        <v>100</v>
      </c>
      <c r="I35" s="168">
        <v>3</v>
      </c>
      <c r="J35" s="168">
        <v>3</v>
      </c>
      <c r="K35" s="155">
        <v>2.92</v>
      </c>
      <c r="L35" s="168">
        <f>Data_Geotech[[#This Row],[RQD (m)]]/Data_Geotech[[#This Row],[Run Reel (m)]]*100</f>
        <v>97.333333333333329</v>
      </c>
      <c r="M35" s="91" t="s">
        <v>590</v>
      </c>
      <c r="O35" s="91" t="s">
        <v>243</v>
      </c>
      <c r="P35" s="169" t="s">
        <v>370</v>
      </c>
      <c r="Q35" s="155" t="s">
        <v>346</v>
      </c>
      <c r="R35" s="155"/>
      <c r="S35" s="155"/>
      <c r="T35" s="155"/>
      <c r="U35" s="155"/>
      <c r="V35" s="148">
        <v>9</v>
      </c>
      <c r="W35" s="170">
        <f>SUMIFS(Discontinuities!$D$4:$D$9664,Discontinuities!$A$4:$A$9664,A35,Discontinuities!$C$4:$C$9664,"&gt;="&amp;C35,Discontinuities!$C$4:$C$9664,"&lt;"&amp;D35)
-SUMIFS(Discontinuities!$D$4:$D$9664,Discontinuities!$A$4:$A$9664,A35,Discontinuities!$C$4:$C$9664,"&gt;="&amp;C35,Discontinuities!$C$4:$C$9664,"&lt;"&amp;D35,Discontinuities!$E$4:$E$9664,"=BC")
-SUMIFS(Discontinuities!$D$4:$D$9664,Discontinuities!$A$4:$A$9664,A35,Discontinuities!$C$4:$C$9664,"&gt;="&amp;C35,Discontinuities!$C$4:$C$9664,"&lt;"&amp;D35,Discontinuities!$E$4:$E$9664,"=LC")
-SUMIFS(Discontinuities!$D$4:$D$9664,Discontinuities!$A$4:$A$9664,A35,Discontinuities!$C$4:$C$9664,"&gt;="&amp;C35,Discontinuities!$C$4:$C$9664,"&lt;"&amp;D35,Discontinuities!$E$4:$E$9664,"=FLT")</f>
        <v>9</v>
      </c>
      <c r="X35" s="91" t="s">
        <v>373</v>
      </c>
      <c r="Y35" s="148"/>
      <c r="Z35" s="91" t="s">
        <v>589</v>
      </c>
      <c r="AB35" s="171">
        <f>IFERROR(ROUND((Data_Geotech[[#This Row],[Fault (m)]]+Data_Geotech[[#This Row],[Broken Core (m)]]+Data_Geotech[[#This Row],[Lost Core (m)]])*30,0),0)</f>
        <v>0</v>
      </c>
      <c r="AC35" s="172">
        <f>IF(Data_Geotech[[#This Row],[Added fractures 
(BC, FLT, LC)]]+Data_Geotech[[#This Row],[Fracture per interval]]=0,99,1/((Data_Geotech[[#This Row],[Fracture per interval]]+Data_Geotech[[#This Row],[Added fractures 
(BC, FLT, LC)]])/Data_Geotech[[#This Row],[Run (m)]]))</f>
        <v>0.33333333333333331</v>
      </c>
      <c r="AD35" s="155" cm="1">
        <f t="array" ref="AD35">IFERROR(_xlfn.XLOOKUP(1,(A35=PLT!$A$4:$A$8886)*(Geotech!C35&lt;=PLT!$F$4:$F$8886)*(Geotech!D35&gt;=PLT!$F$4:$F$8886)*("Valid"=PLT!$P$4:$P$8886),PLT!$V$4:$V$8886),"")</f>
        <v>0</v>
      </c>
      <c r="AE35" s="156" t="str" cm="1">
        <f t="array" ref="AE35">IFERROR(_xlfn.XLOOKUP(1,(A35=PLT!$A$4:$A$8886)*(Geotech!C35&lt;=PLT!$F$4:$F$8886)*(Geotech!D35&gt;=PLT!$F$4:$F$8886)*(PLT!$V$4:$V$8886&lt;&gt;AD35)*("Valid"=PLT!$P$4:$P$7190),PLT!$V$4:$V$8886),"")</f>
        <v/>
      </c>
      <c r="AF35" s="156" t="str" cm="1">
        <f t="array" ref="AF35">IFERROR(_xlfn.XLOOKUP(1,(A35=PLT!$A$4:$A$8886)*(Geotech!C35&lt;=PLT!$F$4:$F$8886)*(Geotech!D35&gt;=PLT!$F$4:$F$8886)*(PLT!$V$4:$V$8886&lt;&gt;AD35)*(PLT!$V$4:$V$8886&lt;&gt;AE35)*("Valid"=PLT!$P$4:$P$7190),PLT!$V$4:$V$8886),"")</f>
        <v/>
      </c>
      <c r="AG35" s="172">
        <f>IFERROR(IF(AVERAGE(AD35:AF35)&gt;References!$BO$23,References!$BP$23,
IF(AVERAGE(AD35:AF35)&gt;References!$BO$22,References!$BP$22,
IF(AVERAGE(AD35:AF35)&gt;References!$BO$21,References!$BP$21,
IF(AVERAGE(AD35:AF35)&gt;References!$BO$20,References!$BP$20,
IF(AVERAGE(AD35:AF35)&gt;References!$BO$19,References!$BP$19,
IF(AVERAGE(AD35:AF35)&gt;References!$BO$18,References!$BP$18,
0)))))),"")</f>
        <v>0</v>
      </c>
      <c r="AH35" s="171">
        <f>IF(Data_Geotech[[#This Row],[Is50]]="",VLOOKUP(Data_Geotech[[#This Row],[Field Intact Rock Strength]],Table_RMR76_Strength[],2,FALSE),Data_Geotech[[#This Row],[Is50]])</f>
        <v>0</v>
      </c>
      <c r="AI35" s="171">
        <f>IF(Data_Geotech[[#This Row],[RQD (%)]]&lt;=25,3,IF(Data_Geotech[[#This Row],[RQD (%)]]&lt;=50,8,IF(Data_Geotech[[#This Row],[RQD (%)]]&lt;=75,13,IF(Data_Geotech[[#This Row],[RQD (%)]]&lt;=90,17,20))))</f>
        <v>20</v>
      </c>
      <c r="AJ35" s="171">
        <f>IF(Data_Geotech[[#This Row],[Joint spacing (m)]]&lt;=0.05,5,IF(Data_Geotech[[#This Row],[Joint spacing (m)]]&lt;=0.3,10,IF(Data_Geotech[[#This Row],[Joint spacing (m)]]&lt;=1,20,IF(Data_Geotech[[#This Row],[Joint spacing (m)]]&lt;=3,25,30))))</f>
        <v>20</v>
      </c>
      <c r="AK35"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 s="148">
        <v>10</v>
      </c>
      <c r="AM35" s="173">
        <f>IF(Data_Geotech[[#This Row],[FIRS Code]]="R",IFERROR(SUM(Data_Geotech[[#This Row],[RMR76 - Strength rating]:[RMR76 - Ground water rating]]),""),"")</f>
        <v>75</v>
      </c>
      <c r="AN35" s="174">
        <f>IF(Data_Geotech[[#This Row],[FIRS Code]]="R",(2*Data_Geotech[[#This Row],[RMR76 - Joint condition rating]])+(IF(Data_Geotech[[#This Row],[RQD (%)]]&gt;80,80/2,Data_Geotech[[#This Row],[RQD (%)]]/2)),"")</f>
        <v>90</v>
      </c>
      <c r="AO35" s="171" t="str">
        <f>LEFT(Data_Geotech[[#This Row],[Joint Set Rating]],FIND("-",Data_Geotech[[#This Row],[Joint Set Rating]],1)-2)</f>
        <v>4</v>
      </c>
      <c r="AP35"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1.8333333333333333</v>
      </c>
      <c r="AQ35" s="155">
        <f t="shared" si="0"/>
        <v>1</v>
      </c>
      <c r="AR35" s="175">
        <f>IF(Data_Geotech[[#This Row],[FIRS Code]]="R",IFERROR((IF(Data_Geotech[[#This Row],[RQD (%)]]&lt;10,10,Data_Geotech[[#This Row],[RQD (%)]])/Data_Geotech[[#This Row],[Jn rating]])*Data_Geotech[[#This Row],[Jr/Ja]],""),"")</f>
        <v>44.611111111111107</v>
      </c>
      <c r="AS35" s="176">
        <f>IF(Data_Geotech[[#This Row],[FIRS Code]]="R",IFERROR((IF(Data_Geotech[[#This Row],[RQD (%)]]&lt;10,10,Data_Geotech[[#This Row],[RQD (%)]])/Data_Geotech[[#This Row],[Jn rating]])*Data_Geotech[[#This Row],[Jr/Ja]]*Data_Geotech[[#This Row],[Jw/SRF]],""),"")</f>
        <v>44.611111111111107</v>
      </c>
      <c r="AU35" s="155">
        <f>100-Data_Geotech[[#This Row],[RQD (%)]]</f>
        <v>2.6666666666666714</v>
      </c>
      <c r="AV35" s="155">
        <f>100-Data_Geotech[[#This Row],[TCR (%)]]</f>
        <v>0</v>
      </c>
      <c r="AW35" s="170">
        <f>(Data_Geotech[[#This Row],[Fracture per interval]]+Data_Geotech[[#This Row],[Added fractures 
(BC, FLT, LC)]])/Data_Geotech[[#This Row],[TCR (m)]]</f>
        <v>3</v>
      </c>
      <c r="AX35" s="148" t="s">
        <v>109</v>
      </c>
      <c r="AY35" s="148">
        <f>7-MID(Data_Geotech[[#This Row],[Field Intact Rock Strength]],2,1)</f>
        <v>3</v>
      </c>
      <c r="AZ35" s="148">
        <f>VLOOKUP(Data_Geotech[[#This Row],[Field Intact Rock Strength]],Table_FieldStrength[],2,FALSE)</f>
        <v>50</v>
      </c>
      <c r="BA35" s="148">
        <f>VLOOKUP(Data_Geotech[[#This Row],[Field Intact Rock Strength]],Table_FieldStrength[],3,FALSE)</f>
        <v>75</v>
      </c>
      <c r="BB35" s="148">
        <f>VLOOKUP(Data_Geotech[[#This Row],[Field Intact Rock Strength]],Table_FieldStrength[],4,FALSE)</f>
        <v>100</v>
      </c>
      <c r="BC35" s="148">
        <f>100-Data_Geotech[[#This Row],[RMR76]]</f>
        <v>25</v>
      </c>
      <c r="BD35" s="148" t="str">
        <f>LEFT(Data_Geotech[[#This Row],[Weathering/Alteration]],FIND("-",Data_Geotech[[#This Row],[Weathering/Alteration]])-2)</f>
        <v>W1/A1</v>
      </c>
    </row>
    <row r="36" spans="1:56" ht="15.75" hidden="1" thickBot="1" x14ac:dyDescent="0.3">
      <c r="A36" t="s">
        <v>26</v>
      </c>
      <c r="B36" s="16" t="str">
        <f>VLOOKUP(Data_Geotech[[#This Row],[Hole ID]],Data_Log[],2,FALSE)</f>
        <v>CGF-01</v>
      </c>
      <c r="C36" s="5">
        <v>117</v>
      </c>
      <c r="D36" s="5">
        <v>117.68</v>
      </c>
      <c r="E36" s="5">
        <f>(Data_Geotech[[#This Row],[To (m)]]-Data_Geotech[[#This Row],[From (m)]])/2+Data_Geotech[[#This Row],[From (m)]]</f>
        <v>117.34</v>
      </c>
      <c r="F36" s="13">
        <f>Data_Geotech[[#This Row],[To (m)]]-Data_Geotech[[#This Row],[From (m)]]</f>
        <v>0.68000000000000682</v>
      </c>
      <c r="G36" s="5">
        <v>0.68</v>
      </c>
      <c r="H36" s="61">
        <f>Data_Geotech[[#This Row],[TCR (m)]]/Data_Geotech[[#This Row],[Run (m)]]*100</f>
        <v>99.999999999999005</v>
      </c>
      <c r="I36" s="151">
        <v>0.68</v>
      </c>
      <c r="J36" s="151">
        <v>0.68</v>
      </c>
      <c r="K36" s="5">
        <v>0.68</v>
      </c>
      <c r="L36" s="61">
        <f>Data_Geotech[[#This Row],[RQD (m)]]/Data_Geotech[[#This Row],[Run Reel (m)]]*100</f>
        <v>100</v>
      </c>
      <c r="M36" t="s">
        <v>590</v>
      </c>
      <c r="O36" t="s">
        <v>243</v>
      </c>
      <c r="P36" s="115" t="s">
        <v>342</v>
      </c>
      <c r="Q36" s="5" t="s">
        <v>281</v>
      </c>
      <c r="R36" s="5"/>
      <c r="S36" s="5"/>
      <c r="T36" s="5"/>
      <c r="U36" s="5"/>
      <c r="V36" s="6">
        <v>1</v>
      </c>
      <c r="W36" s="92">
        <f>SUMIFS(Discontinuities!$D$4:$D$9664,Discontinuities!$A$4:$A$9664,A36,Discontinuities!$C$4:$C$9664,"&gt;="&amp;C36,Discontinuities!$C$4:$C$9664,"&lt;"&amp;D36)
-SUMIFS(Discontinuities!$D$4:$D$9664,Discontinuities!$A$4:$A$9664,A36,Discontinuities!$C$4:$C$9664,"&gt;="&amp;C36,Discontinuities!$C$4:$C$9664,"&lt;"&amp;D36,Discontinuities!$E$4:$E$9664,"=BC")
-SUMIFS(Discontinuities!$D$4:$D$9664,Discontinuities!$A$4:$A$9664,A36,Discontinuities!$C$4:$C$9664,"&gt;="&amp;C36,Discontinuities!$C$4:$C$9664,"&lt;"&amp;D36,Discontinuities!$E$4:$E$9664,"=LC")
-SUMIFS(Discontinuities!$D$4:$D$9664,Discontinuities!$A$4:$A$9664,A36,Discontinuities!$C$4:$C$9664,"&gt;="&amp;C36,Discontinuities!$C$4:$C$9664,"&lt;"&amp;D36,Discontinuities!$E$4:$E$9664,"=FLT")</f>
        <v>1</v>
      </c>
      <c r="X36" t="s">
        <v>280</v>
      </c>
      <c r="Z36" t="s">
        <v>589</v>
      </c>
      <c r="AA36" s="12"/>
      <c r="AB36" s="43">
        <f>IFERROR(ROUND((Data_Geotech[[#This Row],[Fault (m)]]+Data_Geotech[[#This Row],[Broken Core (m)]]+Data_Geotech[[#This Row],[Lost Core (m)]])*30,0),0)</f>
        <v>0</v>
      </c>
      <c r="AC36" s="44">
        <f>IF(Data_Geotech[[#This Row],[Added fractures 
(BC, FLT, LC)]]+Data_Geotech[[#This Row],[Fracture per interval]]=0,99,1/((Data_Geotech[[#This Row],[Fracture per interval]]+Data_Geotech[[#This Row],[Added fractures 
(BC, FLT, LC)]])/Data_Geotech[[#This Row],[Run (m)]]))</f>
        <v>0.68000000000000682</v>
      </c>
      <c r="AD36" s="155" cm="1">
        <f t="array" ref="AD36">IFERROR(_xlfn.XLOOKUP(1,(A36=PLT!$A$4:$A$8886)*(Geotech!C36&lt;=PLT!$F$4:$F$8886)*(Geotech!D36&gt;=PLT!$F$4:$F$8886)*("Valid"=PLT!$P$4:$P$8886),PLT!$V$4:$V$8886),"")</f>
        <v>0</v>
      </c>
      <c r="AE36" s="156" t="str" cm="1">
        <f t="array" ref="AE36">IFERROR(_xlfn.XLOOKUP(1,(A36=PLT!$A$4:$A$8886)*(Geotech!C36&lt;=PLT!$F$4:$F$8886)*(Geotech!D36&gt;=PLT!$F$4:$F$8886)*(PLT!$V$4:$V$8886&lt;&gt;AD36)*("Valid"=PLT!$P$4:$P$7190),PLT!$V$4:$V$8886),"")</f>
        <v/>
      </c>
      <c r="AF36" s="156" t="str" cm="1">
        <f t="array" ref="AF36">IFERROR(_xlfn.XLOOKUP(1,(A36=PLT!$A$4:$A$8886)*(Geotech!C36&lt;=PLT!$F$4:$F$8886)*(Geotech!D36&gt;=PLT!$F$4:$F$8886)*(PLT!$V$4:$V$8886&lt;&gt;AD36)*(PLT!$V$4:$V$8886&lt;&gt;AE36)*("Valid"=PLT!$P$4:$P$7190),PLT!$V$4:$V$8886),"")</f>
        <v/>
      </c>
      <c r="AG36" s="44">
        <f>IFERROR(IF(AVERAGE(AD36:AF36)&gt;References!$BO$23,References!$BP$23,
IF(AVERAGE(AD36:AF36)&gt;References!$BO$22,References!$BP$22,
IF(AVERAGE(AD36:AF36)&gt;References!$BO$21,References!$BP$21,
IF(AVERAGE(AD36:AF36)&gt;References!$BO$20,References!$BP$20,
IF(AVERAGE(AD36:AF36)&gt;References!$BO$19,References!$BP$19,
IF(AVERAGE(AD36:AF36)&gt;References!$BO$18,References!$BP$18,
0)))))),"")</f>
        <v>0</v>
      </c>
      <c r="AH36" s="43">
        <f>IF(Data_Geotech[[#This Row],[Is50]]="",VLOOKUP(Data_Geotech[[#This Row],[Field Intact Rock Strength]],Table_RMR76_Strength[],2,FALSE),Data_Geotech[[#This Row],[Is50]])</f>
        <v>0</v>
      </c>
      <c r="AI36" s="43">
        <f>IF(Data_Geotech[[#This Row],[RQD (%)]]&lt;=25,3,IF(Data_Geotech[[#This Row],[RQD (%)]]&lt;=50,8,IF(Data_Geotech[[#This Row],[RQD (%)]]&lt;=75,13,IF(Data_Geotech[[#This Row],[RQD (%)]]&lt;=90,17,20))))</f>
        <v>20</v>
      </c>
      <c r="AJ36" s="43">
        <f>IF(Data_Geotech[[#This Row],[Joint spacing (m)]]&lt;=0.05,5,IF(Data_Geotech[[#This Row],[Joint spacing (m)]]&lt;=0.3,10,IF(Data_Geotech[[#This Row],[Joint spacing (m)]]&lt;=1,20,IF(Data_Geotech[[#This Row],[Joint spacing (m)]]&lt;=3,25,30))))</f>
        <v>20</v>
      </c>
      <c r="AK3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 s="6">
        <v>10</v>
      </c>
      <c r="AM36" s="117">
        <f>IF(Data_Geotech[[#This Row],[FIRS Code]]="R",IFERROR(SUM(Data_Geotech[[#This Row],[RMR76 - Strength rating]:[RMR76 - Ground water rating]]),""),"")</f>
        <v>75</v>
      </c>
      <c r="AN36" s="39">
        <f>IF(Data_Geotech[[#This Row],[FIRS Code]]="R",(2*Data_Geotech[[#This Row],[RMR76 - Joint condition rating]])+(IF(Data_Geotech[[#This Row],[RQD (%)]]&gt;80,80/2,Data_Geotech[[#This Row],[RQD (%)]]/2)),"")</f>
        <v>90</v>
      </c>
      <c r="AO36" s="43" t="str">
        <f>LEFT(Data_Geotech[[#This Row],[Joint Set Rating]],FIND("-",Data_Geotech[[#This Row],[Joint Set Rating]],1)-2)</f>
        <v>1</v>
      </c>
      <c r="AP3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36" s="5">
        <f t="shared" si="0"/>
        <v>1</v>
      </c>
      <c r="AR36" s="49">
        <f>IF(Data_Geotech[[#This Row],[FIRS Code]]="R",IFERROR((IF(Data_Geotech[[#This Row],[RQD (%)]]&lt;10,10,Data_Geotech[[#This Row],[RQD (%)]])/Data_Geotech[[#This Row],[Jn rating]])*Data_Geotech[[#This Row],[Jr/Ja]],""),"")</f>
        <v>150</v>
      </c>
      <c r="AS36" s="45">
        <f>IF(Data_Geotech[[#This Row],[FIRS Code]]="R",IFERROR((IF(Data_Geotech[[#This Row],[RQD (%)]]&lt;10,10,Data_Geotech[[#This Row],[RQD (%)]])/Data_Geotech[[#This Row],[Jn rating]])*Data_Geotech[[#This Row],[Jr/Ja]]*Data_Geotech[[#This Row],[Jw/SRF]],""),"")</f>
        <v>150</v>
      </c>
      <c r="AT36" s="12"/>
      <c r="AU36" s="13">
        <f>100-Data_Geotech[[#This Row],[RQD (%)]]</f>
        <v>0</v>
      </c>
      <c r="AV36" s="13">
        <f>100-Data_Geotech[[#This Row],[TCR (%)]]</f>
        <v>9.9475983006414026E-13</v>
      </c>
      <c r="AW36" s="62">
        <f>(Data_Geotech[[#This Row],[Fracture per interval]]+Data_Geotech[[#This Row],[Added fractures 
(BC, FLT, LC)]])/Data_Geotech[[#This Row],[TCR (m)]]</f>
        <v>1.4705882352941175</v>
      </c>
      <c r="AX36" s="6" t="s">
        <v>109</v>
      </c>
      <c r="AY36" s="63">
        <f>7-MID(Data_Geotech[[#This Row],[Field Intact Rock Strength]],2,1)</f>
        <v>4</v>
      </c>
      <c r="AZ36" s="63">
        <f>VLOOKUP(Data_Geotech[[#This Row],[Field Intact Rock Strength]],Table_FieldStrength[],2,FALSE)</f>
        <v>25</v>
      </c>
      <c r="BA36" s="63">
        <f>VLOOKUP(Data_Geotech[[#This Row],[Field Intact Rock Strength]],Table_FieldStrength[],3,FALSE)</f>
        <v>37.5</v>
      </c>
      <c r="BB36" s="63">
        <f>VLOOKUP(Data_Geotech[[#This Row],[Field Intact Rock Strength]],Table_FieldStrength[],4,FALSE)</f>
        <v>50</v>
      </c>
      <c r="BC36" s="63">
        <f>100-Data_Geotech[[#This Row],[RMR76]]</f>
        <v>25</v>
      </c>
      <c r="BD36" s="63" t="str">
        <f>LEFT(Data_Geotech[[#This Row],[Weathering/Alteration]],FIND("-",Data_Geotech[[#This Row],[Weathering/Alteration]])-2)</f>
        <v>W1/A1</v>
      </c>
    </row>
    <row r="37" spans="1:56" ht="15.75" hidden="1" thickBot="1" x14ac:dyDescent="0.3">
      <c r="A37" t="s">
        <v>26</v>
      </c>
      <c r="B37" s="16" t="str">
        <f>VLOOKUP(Data_Geotech[[#This Row],[Hole ID]],Data_Log[],2,FALSE)</f>
        <v>CGF-01</v>
      </c>
      <c r="C37" s="5">
        <v>117.68</v>
      </c>
      <c r="D37" s="5">
        <v>119.95</v>
      </c>
      <c r="E37" s="5">
        <f>(Data_Geotech[[#This Row],[To (m)]]-Data_Geotech[[#This Row],[From (m)]])/2+Data_Geotech[[#This Row],[From (m)]]</f>
        <v>118.815</v>
      </c>
      <c r="F37" s="13">
        <f>Data_Geotech[[#This Row],[To (m)]]-Data_Geotech[[#This Row],[From (m)]]</f>
        <v>2.269999999999996</v>
      </c>
      <c r="G37" s="5">
        <v>2.27</v>
      </c>
      <c r="H37" s="61">
        <f>Data_Geotech[[#This Row],[TCR (m)]]/Data_Geotech[[#This Row],[Run (m)]]*100</f>
        <v>100.00000000000017</v>
      </c>
      <c r="I37" s="151">
        <v>2.25</v>
      </c>
      <c r="J37" s="151">
        <v>2.25</v>
      </c>
      <c r="K37" s="5">
        <v>2.25</v>
      </c>
      <c r="L37" s="61">
        <f>Data_Geotech[[#This Row],[RQD (m)]]/Data_Geotech[[#This Row],[Run Reel (m)]]*100</f>
        <v>100</v>
      </c>
      <c r="M37" t="s">
        <v>584</v>
      </c>
      <c r="O37" t="s">
        <v>243</v>
      </c>
      <c r="P37" s="115" t="s">
        <v>370</v>
      </c>
      <c r="Q37" s="5" t="s">
        <v>281</v>
      </c>
      <c r="R37" s="5"/>
      <c r="S37" s="5"/>
      <c r="T37" s="5"/>
      <c r="U37" s="5"/>
      <c r="V37" s="6">
        <v>3</v>
      </c>
      <c r="W37" s="92">
        <f>SUMIFS(Discontinuities!$D$4:$D$9664,Discontinuities!$A$4:$A$9664,A37,Discontinuities!$C$4:$C$9664,"&gt;="&amp;C37,Discontinuities!$C$4:$C$9664,"&lt;"&amp;D37)
-SUMIFS(Discontinuities!$D$4:$D$9664,Discontinuities!$A$4:$A$9664,A37,Discontinuities!$C$4:$C$9664,"&gt;="&amp;C37,Discontinuities!$C$4:$C$9664,"&lt;"&amp;D37,Discontinuities!$E$4:$E$9664,"=BC")
-SUMIFS(Discontinuities!$D$4:$D$9664,Discontinuities!$A$4:$A$9664,A37,Discontinuities!$C$4:$C$9664,"&gt;="&amp;C37,Discontinuities!$C$4:$C$9664,"&lt;"&amp;D37,Discontinuities!$E$4:$E$9664,"=LC")
-SUMIFS(Discontinuities!$D$4:$D$9664,Discontinuities!$A$4:$A$9664,A37,Discontinuities!$C$4:$C$9664,"&gt;="&amp;C37,Discontinuities!$C$4:$C$9664,"&lt;"&amp;D37,Discontinuities!$E$4:$E$9664,"=FLT")</f>
        <v>3</v>
      </c>
      <c r="X37" t="s">
        <v>312</v>
      </c>
      <c r="AA37" s="12"/>
      <c r="AB37" s="43">
        <f>IFERROR(ROUND((Data_Geotech[[#This Row],[Fault (m)]]+Data_Geotech[[#This Row],[Broken Core (m)]]+Data_Geotech[[#This Row],[Lost Core (m)]])*30,0),0)</f>
        <v>0</v>
      </c>
      <c r="AC37" s="44">
        <f>IF(Data_Geotech[[#This Row],[Added fractures 
(BC, FLT, LC)]]+Data_Geotech[[#This Row],[Fracture per interval]]=0,99,1/((Data_Geotech[[#This Row],[Fracture per interval]]+Data_Geotech[[#This Row],[Added fractures 
(BC, FLT, LC)]])/Data_Geotech[[#This Row],[Run (m)]]))</f>
        <v>0.75666666666666538</v>
      </c>
      <c r="AD37" s="155" cm="1">
        <f t="array" ref="AD37">IFERROR(_xlfn.XLOOKUP(1,(A37=PLT!$A$4:$A$8886)*(Geotech!C37&lt;=PLT!$F$4:$F$8886)*(Geotech!D37&gt;=PLT!$F$4:$F$8886)*("Valid"=PLT!$P$4:$P$8886),PLT!$V$4:$V$8886),"")</f>
        <v>0</v>
      </c>
      <c r="AE37" s="156" t="str" cm="1">
        <f t="array" ref="AE37">IFERROR(_xlfn.XLOOKUP(1,(A37=PLT!$A$4:$A$8886)*(Geotech!C37&lt;=PLT!$F$4:$F$8886)*(Geotech!D37&gt;=PLT!$F$4:$F$8886)*(PLT!$V$4:$V$8886&lt;&gt;AD37)*("Valid"=PLT!$P$4:$P$7190),PLT!$V$4:$V$8886),"")</f>
        <v/>
      </c>
      <c r="AF37" s="156" t="str" cm="1">
        <f t="array" ref="AF37">IFERROR(_xlfn.XLOOKUP(1,(A37=PLT!$A$4:$A$8886)*(Geotech!C37&lt;=PLT!$F$4:$F$8886)*(Geotech!D37&gt;=PLT!$F$4:$F$8886)*(PLT!$V$4:$V$8886&lt;&gt;AD37)*(PLT!$V$4:$V$8886&lt;&gt;AE37)*("Valid"=PLT!$P$4:$P$7190),PLT!$V$4:$V$8886),"")</f>
        <v/>
      </c>
      <c r="AG37" s="44">
        <f>IFERROR(IF(AVERAGE(AD37:AF37)&gt;References!$BO$23,References!$BP$23,
IF(AVERAGE(AD37:AF37)&gt;References!$BO$22,References!$BP$22,
IF(AVERAGE(AD37:AF37)&gt;References!$BO$21,References!$BP$21,
IF(AVERAGE(AD37:AF37)&gt;References!$BO$20,References!$BP$20,
IF(AVERAGE(AD37:AF37)&gt;References!$BO$19,References!$BP$19,
IF(AVERAGE(AD37:AF37)&gt;References!$BO$18,References!$BP$18,
0)))))),"")</f>
        <v>0</v>
      </c>
      <c r="AH37" s="43">
        <f>IF(Data_Geotech[[#This Row],[Is50]]="",VLOOKUP(Data_Geotech[[#This Row],[Field Intact Rock Strength]],Table_RMR76_Strength[],2,FALSE),Data_Geotech[[#This Row],[Is50]])</f>
        <v>0</v>
      </c>
      <c r="AI37" s="43">
        <f>IF(Data_Geotech[[#This Row],[RQD (%)]]&lt;=25,3,IF(Data_Geotech[[#This Row],[RQD (%)]]&lt;=50,8,IF(Data_Geotech[[#This Row],[RQD (%)]]&lt;=75,13,IF(Data_Geotech[[#This Row],[RQD (%)]]&lt;=90,17,20))))</f>
        <v>20</v>
      </c>
      <c r="AJ37" s="43">
        <f>IF(Data_Geotech[[#This Row],[Joint spacing (m)]]&lt;=0.05,5,IF(Data_Geotech[[#This Row],[Joint spacing (m)]]&lt;=0.3,10,IF(Data_Geotech[[#This Row],[Joint spacing (m)]]&lt;=1,20,IF(Data_Geotech[[#This Row],[Joint spacing (m)]]&lt;=3,25,30))))</f>
        <v>20</v>
      </c>
      <c r="AK3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v>
      </c>
      <c r="AL37" s="6">
        <v>10</v>
      </c>
      <c r="AM37" s="117">
        <f>IF(Data_Geotech[[#This Row],[FIRS Code]]="R",IFERROR(SUM(Data_Geotech[[#This Row],[RMR76 - Strength rating]:[RMR76 - Ground water rating]]),""),"")</f>
        <v>69</v>
      </c>
      <c r="AN37" s="39">
        <f>IF(Data_Geotech[[#This Row],[FIRS Code]]="R",(2*Data_Geotech[[#This Row],[RMR76 - Joint condition rating]])+(IF(Data_Geotech[[#This Row],[RQD (%)]]&gt;80,80/2,Data_Geotech[[#This Row],[RQD (%)]]/2)),"")</f>
        <v>78</v>
      </c>
      <c r="AO37" s="43" t="str">
        <f>LEFT(Data_Geotech[[#This Row],[Joint Set Rating]],FIND("-",Data_Geotech[[#This Row],[Joint Set Rating]],1)-2)</f>
        <v>2</v>
      </c>
      <c r="AP3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0.875</v>
      </c>
      <c r="AQ37" s="5">
        <f t="shared" si="0"/>
        <v>1</v>
      </c>
      <c r="AR37" s="49">
        <f>IF(Data_Geotech[[#This Row],[FIRS Code]]="R",IFERROR((IF(Data_Geotech[[#This Row],[RQD (%)]]&lt;10,10,Data_Geotech[[#This Row],[RQD (%)]])/Data_Geotech[[#This Row],[Jn rating]])*Data_Geotech[[#This Row],[Jr/Ja]],""),"")</f>
        <v>43.75</v>
      </c>
      <c r="AS37" s="45">
        <f>IF(Data_Geotech[[#This Row],[FIRS Code]]="R",IFERROR((IF(Data_Geotech[[#This Row],[RQD (%)]]&lt;10,10,Data_Geotech[[#This Row],[RQD (%)]])/Data_Geotech[[#This Row],[Jn rating]])*Data_Geotech[[#This Row],[Jr/Ja]]*Data_Geotech[[#This Row],[Jw/SRF]],""),"")</f>
        <v>43.75</v>
      </c>
      <c r="AT37" s="12"/>
      <c r="AU37" s="13">
        <f>100-Data_Geotech[[#This Row],[RQD (%)]]</f>
        <v>0</v>
      </c>
      <c r="AV37" s="13">
        <f>100-Data_Geotech[[#This Row],[TCR (%)]]</f>
        <v>-1.7053025658242404E-13</v>
      </c>
      <c r="AW37" s="62">
        <f>(Data_Geotech[[#This Row],[Fracture per interval]]+Data_Geotech[[#This Row],[Added fractures 
(BC, FLT, LC)]])/Data_Geotech[[#This Row],[TCR (m)]]</f>
        <v>1.3215859030837005</v>
      </c>
      <c r="AX37" s="6" t="s">
        <v>109</v>
      </c>
      <c r="AY37" s="63">
        <f>7-MID(Data_Geotech[[#This Row],[Field Intact Rock Strength]],2,1)</f>
        <v>3</v>
      </c>
      <c r="AZ37" s="63">
        <f>VLOOKUP(Data_Geotech[[#This Row],[Field Intact Rock Strength]],Table_FieldStrength[],2,FALSE)</f>
        <v>50</v>
      </c>
      <c r="BA37" s="63">
        <f>VLOOKUP(Data_Geotech[[#This Row],[Field Intact Rock Strength]],Table_FieldStrength[],3,FALSE)</f>
        <v>75</v>
      </c>
      <c r="BB37" s="63">
        <f>VLOOKUP(Data_Geotech[[#This Row],[Field Intact Rock Strength]],Table_FieldStrength[],4,FALSE)</f>
        <v>100</v>
      </c>
      <c r="BC37" s="63">
        <f>100-Data_Geotech[[#This Row],[RMR76]]</f>
        <v>31</v>
      </c>
      <c r="BD37" s="63" t="str">
        <f>LEFT(Data_Geotech[[#This Row],[Weathering/Alteration]],FIND("-",Data_Geotech[[#This Row],[Weathering/Alteration]])-2)</f>
        <v>W1/A1</v>
      </c>
    </row>
    <row r="38" spans="1:56" ht="15.75" hidden="1" thickBot="1" x14ac:dyDescent="0.3">
      <c r="A38" t="s">
        <v>26</v>
      </c>
      <c r="B38" s="16" t="str">
        <f>VLOOKUP(Data_Geotech[[#This Row],[Hole ID]],Data_Log[],2,FALSE)</f>
        <v>CGF-01</v>
      </c>
      <c r="C38" s="5">
        <v>119.95</v>
      </c>
      <c r="D38" s="5">
        <v>122.91</v>
      </c>
      <c r="E38" s="5">
        <f>(Data_Geotech[[#This Row],[To (m)]]-Data_Geotech[[#This Row],[From (m)]])/2+Data_Geotech[[#This Row],[From (m)]]</f>
        <v>121.43</v>
      </c>
      <c r="F38" s="13">
        <f>Data_Geotech[[#This Row],[To (m)]]-Data_Geotech[[#This Row],[From (m)]]</f>
        <v>2.9599999999999937</v>
      </c>
      <c r="G38" s="5">
        <v>2.96</v>
      </c>
      <c r="H38" s="61">
        <f>Data_Geotech[[#This Row],[TCR (m)]]/Data_Geotech[[#This Row],[Run (m)]]*100</f>
        <v>100.0000000000002</v>
      </c>
      <c r="I38" s="151">
        <v>2.95</v>
      </c>
      <c r="J38" s="151">
        <v>2.95</v>
      </c>
      <c r="K38" s="5">
        <v>2.95</v>
      </c>
      <c r="L38" s="61">
        <f>Data_Geotech[[#This Row],[RQD (m)]]/Data_Geotech[[#This Row],[Run Reel (m)]]*100</f>
        <v>100</v>
      </c>
      <c r="M38" t="s">
        <v>584</v>
      </c>
      <c r="O38" t="s">
        <v>243</v>
      </c>
      <c r="P38" s="115" t="s">
        <v>370</v>
      </c>
      <c r="Q38" s="5" t="s">
        <v>313</v>
      </c>
      <c r="R38" s="5"/>
      <c r="S38" s="5"/>
      <c r="T38" s="5"/>
      <c r="U38" s="5"/>
      <c r="V38" s="6">
        <v>4</v>
      </c>
      <c r="W38" s="92">
        <f>SUMIFS(Discontinuities!$D$4:$D$9664,Discontinuities!$A$4:$A$9664,A38,Discontinuities!$C$4:$C$9664,"&gt;="&amp;C38,Discontinuities!$C$4:$C$9664,"&lt;"&amp;D38)
-SUMIFS(Discontinuities!$D$4:$D$9664,Discontinuities!$A$4:$A$9664,A38,Discontinuities!$C$4:$C$9664,"&gt;="&amp;C38,Discontinuities!$C$4:$C$9664,"&lt;"&amp;D38,Discontinuities!$E$4:$E$9664,"=BC")
-SUMIFS(Discontinuities!$D$4:$D$9664,Discontinuities!$A$4:$A$9664,A38,Discontinuities!$C$4:$C$9664,"&gt;="&amp;C38,Discontinuities!$C$4:$C$9664,"&lt;"&amp;D38,Discontinuities!$E$4:$E$9664,"=LC")
-SUMIFS(Discontinuities!$D$4:$D$9664,Discontinuities!$A$4:$A$9664,A38,Discontinuities!$C$4:$C$9664,"&gt;="&amp;C38,Discontinuities!$C$4:$C$9664,"&lt;"&amp;D38,Discontinuities!$E$4:$E$9664,"=FLT")</f>
        <v>4</v>
      </c>
      <c r="X38" t="s">
        <v>373</v>
      </c>
      <c r="AA38" s="12"/>
      <c r="AB38" s="43">
        <f>IFERROR(ROUND((Data_Geotech[[#This Row],[Fault (m)]]+Data_Geotech[[#This Row],[Broken Core (m)]]+Data_Geotech[[#This Row],[Lost Core (m)]])*30,0),0)</f>
        <v>0</v>
      </c>
      <c r="AC38" s="44">
        <f>IF(Data_Geotech[[#This Row],[Added fractures 
(BC, FLT, LC)]]+Data_Geotech[[#This Row],[Fracture per interval]]=0,99,1/((Data_Geotech[[#This Row],[Fracture per interval]]+Data_Geotech[[#This Row],[Added fractures 
(BC, FLT, LC)]])/Data_Geotech[[#This Row],[Run (m)]]))</f>
        <v>0.73999999999999844</v>
      </c>
      <c r="AD38" s="155" cm="1">
        <f t="array" ref="AD38">IFERROR(_xlfn.XLOOKUP(1,(A38=PLT!$A$4:$A$8886)*(Geotech!C38&lt;=PLT!$F$4:$F$8886)*(Geotech!D38&gt;=PLT!$F$4:$F$8886)*("Valid"=PLT!$P$4:$P$8886),PLT!$V$4:$V$8886),"")</f>
        <v>0</v>
      </c>
      <c r="AE38" s="156" t="str" cm="1">
        <f t="array" ref="AE38">IFERROR(_xlfn.XLOOKUP(1,(A38=PLT!$A$4:$A$8886)*(Geotech!C38&lt;=PLT!$F$4:$F$8886)*(Geotech!D38&gt;=PLT!$F$4:$F$8886)*(PLT!$V$4:$V$8886&lt;&gt;AD38)*("Valid"=PLT!$P$4:$P$7190),PLT!$V$4:$V$8886),"")</f>
        <v/>
      </c>
      <c r="AF38" s="156" t="str" cm="1">
        <f t="array" ref="AF38">IFERROR(_xlfn.XLOOKUP(1,(A38=PLT!$A$4:$A$8886)*(Geotech!C38&lt;=PLT!$F$4:$F$8886)*(Geotech!D38&gt;=PLT!$F$4:$F$8886)*(PLT!$V$4:$V$8886&lt;&gt;AD38)*(PLT!$V$4:$V$8886&lt;&gt;AE38)*("Valid"=PLT!$P$4:$P$7190),PLT!$V$4:$V$8886),"")</f>
        <v/>
      </c>
      <c r="AG38" s="44">
        <f>IFERROR(IF(AVERAGE(AD38:AF38)&gt;References!$BO$23,References!$BP$23,
IF(AVERAGE(AD38:AF38)&gt;References!$BO$22,References!$BP$22,
IF(AVERAGE(AD38:AF38)&gt;References!$BO$21,References!$BP$21,
IF(AVERAGE(AD38:AF38)&gt;References!$BO$20,References!$BP$20,
IF(AVERAGE(AD38:AF38)&gt;References!$BO$19,References!$BP$19,
IF(AVERAGE(AD38:AF38)&gt;References!$BO$18,References!$BP$18,
0)))))),"")</f>
        <v>0</v>
      </c>
      <c r="AH38" s="43">
        <f>IF(Data_Geotech[[#This Row],[Is50]]="",VLOOKUP(Data_Geotech[[#This Row],[Field Intact Rock Strength]],Table_RMR76_Strength[],2,FALSE),Data_Geotech[[#This Row],[Is50]])</f>
        <v>0</v>
      </c>
      <c r="AI38" s="43">
        <f>IF(Data_Geotech[[#This Row],[RQD (%)]]&lt;=25,3,IF(Data_Geotech[[#This Row],[RQD (%)]]&lt;=50,8,IF(Data_Geotech[[#This Row],[RQD (%)]]&lt;=75,13,IF(Data_Geotech[[#This Row],[RQD (%)]]&lt;=90,17,20))))</f>
        <v>20</v>
      </c>
      <c r="AJ38" s="43">
        <f>IF(Data_Geotech[[#This Row],[Joint spacing (m)]]&lt;=0.05,5,IF(Data_Geotech[[#This Row],[Joint spacing (m)]]&lt;=0.3,10,IF(Data_Geotech[[#This Row],[Joint spacing (m)]]&lt;=1,20,IF(Data_Geotech[[#This Row],[Joint spacing (m)]]&lt;=3,25,30))))</f>
        <v>20</v>
      </c>
      <c r="AK3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17.25</v>
      </c>
      <c r="AL38" s="6">
        <v>10</v>
      </c>
      <c r="AM38" s="117">
        <f>IF(Data_Geotech[[#This Row],[FIRS Code]]="R",IFERROR(SUM(Data_Geotech[[#This Row],[RMR76 - Strength rating]:[RMR76 - Ground water rating]]),""),"")</f>
        <v>67.25</v>
      </c>
      <c r="AN38" s="39">
        <f>IF(Data_Geotech[[#This Row],[FIRS Code]]="R",(2*Data_Geotech[[#This Row],[RMR76 - Joint condition rating]])+(IF(Data_Geotech[[#This Row],[RQD (%)]]&gt;80,80/2,Data_Geotech[[#This Row],[RQD (%)]]/2)),"")</f>
        <v>74.5</v>
      </c>
      <c r="AO38" s="43" t="str">
        <f>LEFT(Data_Geotech[[#This Row],[Joint Set Rating]],FIND("-",Data_Geotech[[#This Row],[Joint Set Rating]],1)-2)</f>
        <v>4</v>
      </c>
      <c r="AP3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0.8125</v>
      </c>
      <c r="AQ38" s="5">
        <f t="shared" si="0"/>
        <v>1</v>
      </c>
      <c r="AR38" s="49">
        <f>IF(Data_Geotech[[#This Row],[FIRS Code]]="R",IFERROR((IF(Data_Geotech[[#This Row],[RQD (%)]]&lt;10,10,Data_Geotech[[#This Row],[RQD (%)]])/Data_Geotech[[#This Row],[Jn rating]])*Data_Geotech[[#This Row],[Jr/Ja]],""),"")</f>
        <v>20.3125</v>
      </c>
      <c r="AS38" s="45">
        <f>IF(Data_Geotech[[#This Row],[FIRS Code]]="R",IFERROR((IF(Data_Geotech[[#This Row],[RQD (%)]]&lt;10,10,Data_Geotech[[#This Row],[RQD (%)]])/Data_Geotech[[#This Row],[Jn rating]])*Data_Geotech[[#This Row],[Jr/Ja]]*Data_Geotech[[#This Row],[Jw/SRF]],""),"")</f>
        <v>20.3125</v>
      </c>
      <c r="AT38" s="12"/>
      <c r="AU38" s="13">
        <f>100-Data_Geotech[[#This Row],[RQD (%)]]</f>
        <v>0</v>
      </c>
      <c r="AV38" s="13">
        <f>100-Data_Geotech[[#This Row],[TCR (%)]]</f>
        <v>-1.9895196601282805E-13</v>
      </c>
      <c r="AW38" s="62">
        <f>(Data_Geotech[[#This Row],[Fracture per interval]]+Data_Geotech[[#This Row],[Added fractures 
(BC, FLT, LC)]])/Data_Geotech[[#This Row],[TCR (m)]]</f>
        <v>1.3513513513513513</v>
      </c>
      <c r="AX38" s="6" t="s">
        <v>109</v>
      </c>
      <c r="AY38" s="63">
        <f>7-MID(Data_Geotech[[#This Row],[Field Intact Rock Strength]],2,1)</f>
        <v>3</v>
      </c>
      <c r="AZ38" s="63">
        <f>VLOOKUP(Data_Geotech[[#This Row],[Field Intact Rock Strength]],Table_FieldStrength[],2,FALSE)</f>
        <v>50</v>
      </c>
      <c r="BA38" s="63">
        <f>VLOOKUP(Data_Geotech[[#This Row],[Field Intact Rock Strength]],Table_FieldStrength[],3,FALSE)</f>
        <v>75</v>
      </c>
      <c r="BB38" s="63">
        <f>VLOOKUP(Data_Geotech[[#This Row],[Field Intact Rock Strength]],Table_FieldStrength[],4,FALSE)</f>
        <v>100</v>
      </c>
      <c r="BC38" s="63">
        <f>100-Data_Geotech[[#This Row],[RMR76]]</f>
        <v>32.75</v>
      </c>
      <c r="BD38" s="63" t="str">
        <f>LEFT(Data_Geotech[[#This Row],[Weathering/Alteration]],FIND("-",Data_Geotech[[#This Row],[Weathering/Alteration]])-2)</f>
        <v>W1/A1</v>
      </c>
    </row>
    <row r="39" spans="1:56" ht="15.75" hidden="1" thickBot="1" x14ac:dyDescent="0.3">
      <c r="A39" t="s">
        <v>26</v>
      </c>
      <c r="B39" s="16" t="str">
        <f>VLOOKUP(Data_Geotech[[#This Row],[Hole ID]],Data_Log[],2,FALSE)</f>
        <v>CGF-01</v>
      </c>
      <c r="C39" s="5">
        <v>122.91</v>
      </c>
      <c r="D39" s="5">
        <v>123.8</v>
      </c>
      <c r="E39" s="5">
        <f>(Data_Geotech[[#This Row],[To (m)]]-Data_Geotech[[#This Row],[From (m)]])/2+Data_Geotech[[#This Row],[From (m)]]</f>
        <v>123.35499999999999</v>
      </c>
      <c r="F39" s="13">
        <f>Data_Geotech[[#This Row],[To (m)]]-Data_Geotech[[#This Row],[From (m)]]</f>
        <v>0.89000000000000057</v>
      </c>
      <c r="G39" s="5">
        <v>0.89</v>
      </c>
      <c r="H39" s="61">
        <f>Data_Geotech[[#This Row],[TCR (m)]]/Data_Geotech[[#This Row],[Run (m)]]*100</f>
        <v>99.999999999999929</v>
      </c>
      <c r="I39" s="151">
        <v>0.9</v>
      </c>
      <c r="J39" s="151">
        <v>0.9</v>
      </c>
      <c r="K39" s="5">
        <v>0.9</v>
      </c>
      <c r="L39" s="61">
        <f>Data_Geotech[[#This Row],[RQD (m)]]/Data_Geotech[[#This Row],[Run Reel (m)]]*100</f>
        <v>100</v>
      </c>
      <c r="M39" t="s">
        <v>590</v>
      </c>
      <c r="O39" t="s">
        <v>243</v>
      </c>
      <c r="P39" s="115" t="s">
        <v>370</v>
      </c>
      <c r="Q39" s="5" t="s">
        <v>313</v>
      </c>
      <c r="R39" s="5"/>
      <c r="S39" s="5"/>
      <c r="T39" s="5"/>
      <c r="U39" s="5"/>
      <c r="V39" s="6">
        <v>1</v>
      </c>
      <c r="W39" s="92">
        <f>SUMIFS(Discontinuities!$D$4:$D$9664,Discontinuities!$A$4:$A$9664,A39,Discontinuities!$C$4:$C$9664,"&gt;="&amp;C39,Discontinuities!$C$4:$C$9664,"&lt;"&amp;D39)
-SUMIFS(Discontinuities!$D$4:$D$9664,Discontinuities!$A$4:$A$9664,A39,Discontinuities!$C$4:$C$9664,"&gt;="&amp;C39,Discontinuities!$C$4:$C$9664,"&lt;"&amp;D39,Discontinuities!$E$4:$E$9664,"=BC")
-SUMIFS(Discontinuities!$D$4:$D$9664,Discontinuities!$A$4:$A$9664,A39,Discontinuities!$C$4:$C$9664,"&gt;="&amp;C39,Discontinuities!$C$4:$C$9664,"&lt;"&amp;D39,Discontinuities!$E$4:$E$9664,"=LC")
-SUMIFS(Discontinuities!$D$4:$D$9664,Discontinuities!$A$4:$A$9664,A39,Discontinuities!$C$4:$C$9664,"&gt;="&amp;C39,Discontinuities!$C$4:$C$9664,"&lt;"&amp;D39,Discontinuities!$E$4:$E$9664,"=FLT")</f>
        <v>1</v>
      </c>
      <c r="X39" t="s">
        <v>312</v>
      </c>
      <c r="Z39" t="s">
        <v>589</v>
      </c>
      <c r="AA39" s="12"/>
      <c r="AB39" s="43">
        <f>IFERROR(ROUND((Data_Geotech[[#This Row],[Fault (m)]]+Data_Geotech[[#This Row],[Broken Core (m)]]+Data_Geotech[[#This Row],[Lost Core (m)]])*30,0),0)</f>
        <v>0</v>
      </c>
      <c r="AC39" s="44">
        <f>IF(Data_Geotech[[#This Row],[Added fractures 
(BC, FLT, LC)]]+Data_Geotech[[#This Row],[Fracture per interval]]=0,99,1/((Data_Geotech[[#This Row],[Fracture per interval]]+Data_Geotech[[#This Row],[Added fractures 
(BC, FLT, LC)]])/Data_Geotech[[#This Row],[Run (m)]]))</f>
        <v>0.89000000000000068</v>
      </c>
      <c r="AD39" s="155" cm="1">
        <f t="array" ref="AD39">IFERROR(_xlfn.XLOOKUP(1,(A39=PLT!$A$4:$A$8886)*(Geotech!C39&lt;=PLT!$F$4:$F$8886)*(Geotech!D39&gt;=PLT!$F$4:$F$8886)*("Valid"=PLT!$P$4:$P$8886),PLT!$V$4:$V$8886),"")</f>
        <v>0</v>
      </c>
      <c r="AE39" s="156" t="str" cm="1">
        <f t="array" ref="AE39">IFERROR(_xlfn.XLOOKUP(1,(A39=PLT!$A$4:$A$8886)*(Geotech!C39&lt;=PLT!$F$4:$F$8886)*(Geotech!D39&gt;=PLT!$F$4:$F$8886)*(PLT!$V$4:$V$8886&lt;&gt;AD39)*("Valid"=PLT!$P$4:$P$7190),PLT!$V$4:$V$8886),"")</f>
        <v/>
      </c>
      <c r="AF39" s="156" t="str" cm="1">
        <f t="array" ref="AF39">IFERROR(_xlfn.XLOOKUP(1,(A39=PLT!$A$4:$A$8886)*(Geotech!C39&lt;=PLT!$F$4:$F$8886)*(Geotech!D39&gt;=PLT!$F$4:$F$8886)*(PLT!$V$4:$V$8886&lt;&gt;AD39)*(PLT!$V$4:$V$8886&lt;&gt;AE39)*("Valid"=PLT!$P$4:$P$7190),PLT!$V$4:$V$8886),"")</f>
        <v/>
      </c>
      <c r="AG39" s="44">
        <f>IFERROR(IF(AVERAGE(AD39:AF39)&gt;References!$BO$23,References!$BP$23,
IF(AVERAGE(AD39:AF39)&gt;References!$BO$22,References!$BP$22,
IF(AVERAGE(AD39:AF39)&gt;References!$BO$21,References!$BP$21,
IF(AVERAGE(AD39:AF39)&gt;References!$BO$20,References!$BP$20,
IF(AVERAGE(AD39:AF39)&gt;References!$BO$19,References!$BP$19,
IF(AVERAGE(AD39:AF39)&gt;References!$BO$18,References!$BP$18,
0)))))),"")</f>
        <v>0</v>
      </c>
      <c r="AH39" s="43">
        <f>IF(Data_Geotech[[#This Row],[Is50]]="",VLOOKUP(Data_Geotech[[#This Row],[Field Intact Rock Strength]],Table_RMR76_Strength[],2,FALSE),Data_Geotech[[#This Row],[Is50]])</f>
        <v>0</v>
      </c>
      <c r="AI39" s="43">
        <f>IF(Data_Geotech[[#This Row],[RQD (%)]]&lt;=25,3,IF(Data_Geotech[[#This Row],[RQD (%)]]&lt;=50,8,IF(Data_Geotech[[#This Row],[RQD (%)]]&lt;=75,13,IF(Data_Geotech[[#This Row],[RQD (%)]]&lt;=90,17,20))))</f>
        <v>20</v>
      </c>
      <c r="AJ39" s="43">
        <f>IF(Data_Geotech[[#This Row],[Joint spacing (m)]]&lt;=0.05,5,IF(Data_Geotech[[#This Row],[Joint spacing (m)]]&lt;=0.3,10,IF(Data_Geotech[[#This Row],[Joint spacing (m)]]&lt;=1,20,IF(Data_Geotech[[#This Row],[Joint spacing (m)]]&lt;=3,25,30))))</f>
        <v>20</v>
      </c>
      <c r="AK3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39" s="6">
        <v>10</v>
      </c>
      <c r="AM39" s="117">
        <f>IF(Data_Geotech[[#This Row],[FIRS Code]]="R",IFERROR(SUM(Data_Geotech[[#This Row],[RMR76 - Strength rating]:[RMR76 - Ground water rating]]),""),"")</f>
        <v>70</v>
      </c>
      <c r="AN39" s="39">
        <f>IF(Data_Geotech[[#This Row],[FIRS Code]]="R",(2*Data_Geotech[[#This Row],[RMR76 - Joint condition rating]])+(IF(Data_Geotech[[#This Row],[RQD (%)]]&gt;80,80/2,Data_Geotech[[#This Row],[RQD (%)]]/2)),"")</f>
        <v>80</v>
      </c>
      <c r="AO39" s="43" t="str">
        <f>LEFT(Data_Geotech[[#This Row],[Joint Set Rating]],FIND("-",Data_Geotech[[#This Row],[Joint Set Rating]],1)-2)</f>
        <v>2</v>
      </c>
      <c r="AP3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39" s="5">
        <f t="shared" si="0"/>
        <v>1</v>
      </c>
      <c r="AR39" s="49">
        <f>IF(Data_Geotech[[#This Row],[FIRS Code]]="R",IFERROR((IF(Data_Geotech[[#This Row],[RQD (%)]]&lt;10,10,Data_Geotech[[#This Row],[RQD (%)]])/Data_Geotech[[#This Row],[Jn rating]])*Data_Geotech[[#This Row],[Jr/Ja]],""),"")</f>
        <v>37.5</v>
      </c>
      <c r="AS39" s="45">
        <f>IF(Data_Geotech[[#This Row],[FIRS Code]]="R",IFERROR((IF(Data_Geotech[[#This Row],[RQD (%)]]&lt;10,10,Data_Geotech[[#This Row],[RQD (%)]])/Data_Geotech[[#This Row],[Jn rating]])*Data_Geotech[[#This Row],[Jr/Ja]]*Data_Geotech[[#This Row],[Jw/SRF]],""),"")</f>
        <v>37.5</v>
      </c>
      <c r="AT39" s="12"/>
      <c r="AU39" s="13">
        <f>100-Data_Geotech[[#This Row],[RQD (%)]]</f>
        <v>0</v>
      </c>
      <c r="AV39" s="13">
        <f>100-Data_Geotech[[#This Row],[TCR (%)]]</f>
        <v>0</v>
      </c>
      <c r="AW39" s="62">
        <f>(Data_Geotech[[#This Row],[Fracture per interval]]+Data_Geotech[[#This Row],[Added fractures 
(BC, FLT, LC)]])/Data_Geotech[[#This Row],[TCR (m)]]</f>
        <v>1.1235955056179776</v>
      </c>
      <c r="AX39" s="6" t="s">
        <v>109</v>
      </c>
      <c r="AY39" s="63">
        <f>7-MID(Data_Geotech[[#This Row],[Field Intact Rock Strength]],2,1)</f>
        <v>3</v>
      </c>
      <c r="AZ39" s="63">
        <f>VLOOKUP(Data_Geotech[[#This Row],[Field Intact Rock Strength]],Table_FieldStrength[],2,FALSE)</f>
        <v>50</v>
      </c>
      <c r="BA39" s="63">
        <f>VLOOKUP(Data_Geotech[[#This Row],[Field Intact Rock Strength]],Table_FieldStrength[],3,FALSE)</f>
        <v>75</v>
      </c>
      <c r="BB39" s="63">
        <f>VLOOKUP(Data_Geotech[[#This Row],[Field Intact Rock Strength]],Table_FieldStrength[],4,FALSE)</f>
        <v>100</v>
      </c>
      <c r="BC39" s="63">
        <f>100-Data_Geotech[[#This Row],[RMR76]]</f>
        <v>30</v>
      </c>
      <c r="BD39" s="63" t="str">
        <f>LEFT(Data_Geotech[[#This Row],[Weathering/Alteration]],FIND("-",Data_Geotech[[#This Row],[Weathering/Alteration]])-2)</f>
        <v>W1/A1</v>
      </c>
    </row>
    <row r="40" spans="1:56" ht="15.75" hidden="1" thickBot="1" x14ac:dyDescent="0.3">
      <c r="A40" t="s">
        <v>26</v>
      </c>
      <c r="B40" s="16" t="str">
        <f>VLOOKUP(Data_Geotech[[#This Row],[Hole ID]],Data_Log[],2,FALSE)</f>
        <v>CGF-01</v>
      </c>
      <c r="C40" s="5">
        <v>123.8</v>
      </c>
      <c r="D40" s="5">
        <v>126</v>
      </c>
      <c r="E40" s="5">
        <f>(Data_Geotech[[#This Row],[To (m)]]-Data_Geotech[[#This Row],[From (m)]])/2+Data_Geotech[[#This Row],[From (m)]]</f>
        <v>124.9</v>
      </c>
      <c r="F40" s="13">
        <f>Data_Geotech[[#This Row],[To (m)]]-Data_Geotech[[#This Row],[From (m)]]</f>
        <v>2.2000000000000028</v>
      </c>
      <c r="G40" s="5">
        <v>2.2000000000000002</v>
      </c>
      <c r="H40" s="61">
        <f>Data_Geotech[[#This Row],[TCR (m)]]/Data_Geotech[[#This Row],[Run (m)]]*100</f>
        <v>99.999999999999872</v>
      </c>
      <c r="I40" s="151">
        <v>2.19</v>
      </c>
      <c r="J40" s="151">
        <v>2.19</v>
      </c>
      <c r="K40" s="5">
        <v>2.19</v>
      </c>
      <c r="L40" s="61">
        <f>Data_Geotech[[#This Row],[RQD (m)]]/Data_Geotech[[#This Row],[Run Reel (m)]]*100</f>
        <v>100</v>
      </c>
      <c r="M40" t="s">
        <v>584</v>
      </c>
      <c r="O40" t="s">
        <v>243</v>
      </c>
      <c r="P40" s="115" t="s">
        <v>397</v>
      </c>
      <c r="Q40" s="5" t="s">
        <v>281</v>
      </c>
      <c r="R40" s="5"/>
      <c r="S40" s="5"/>
      <c r="T40" s="5"/>
      <c r="U40" s="5"/>
      <c r="V40" s="6">
        <v>3</v>
      </c>
      <c r="W40" s="92">
        <f>SUMIFS(Discontinuities!$D$4:$D$9664,Discontinuities!$A$4:$A$9664,A40,Discontinuities!$C$4:$C$9664,"&gt;="&amp;C40,Discontinuities!$C$4:$C$9664,"&lt;"&amp;D40)
-SUMIFS(Discontinuities!$D$4:$D$9664,Discontinuities!$A$4:$A$9664,A40,Discontinuities!$C$4:$C$9664,"&gt;="&amp;C40,Discontinuities!$C$4:$C$9664,"&lt;"&amp;D40,Discontinuities!$E$4:$E$9664,"=BC")
-SUMIFS(Discontinuities!$D$4:$D$9664,Discontinuities!$A$4:$A$9664,A40,Discontinuities!$C$4:$C$9664,"&gt;="&amp;C40,Discontinuities!$C$4:$C$9664,"&lt;"&amp;D40,Discontinuities!$E$4:$E$9664,"=LC")
-SUMIFS(Discontinuities!$D$4:$D$9664,Discontinuities!$A$4:$A$9664,A40,Discontinuities!$C$4:$C$9664,"&gt;="&amp;C40,Discontinuities!$C$4:$C$9664,"&lt;"&amp;D40,Discontinuities!$E$4:$E$9664,"=FLT")</f>
        <v>3</v>
      </c>
      <c r="X40" t="s">
        <v>312</v>
      </c>
      <c r="AA40" s="12"/>
      <c r="AB40" s="43">
        <f>IFERROR(ROUND((Data_Geotech[[#This Row],[Fault (m)]]+Data_Geotech[[#This Row],[Broken Core (m)]]+Data_Geotech[[#This Row],[Lost Core (m)]])*30,0),0)</f>
        <v>0</v>
      </c>
      <c r="AC40" s="44">
        <f>IF(Data_Geotech[[#This Row],[Added fractures 
(BC, FLT, LC)]]+Data_Geotech[[#This Row],[Fracture per interval]]=0,99,1/((Data_Geotech[[#This Row],[Fracture per interval]]+Data_Geotech[[#This Row],[Added fractures 
(BC, FLT, LC)]])/Data_Geotech[[#This Row],[Run (m)]]))</f>
        <v>0.73333333333333417</v>
      </c>
      <c r="AD40" s="155" cm="1">
        <f t="array" ref="AD40">IFERROR(_xlfn.XLOOKUP(1,(A40=PLT!$A$4:$A$8886)*(Geotech!C40&lt;=PLT!$F$4:$F$8886)*(Geotech!D40&gt;=PLT!$F$4:$F$8886)*("Valid"=PLT!$P$4:$P$8886),PLT!$V$4:$V$8886),"")</f>
        <v>0</v>
      </c>
      <c r="AE40" s="156" t="str" cm="1">
        <f t="array" ref="AE40">IFERROR(_xlfn.XLOOKUP(1,(A40=PLT!$A$4:$A$8886)*(Geotech!C40&lt;=PLT!$F$4:$F$8886)*(Geotech!D40&gt;=PLT!$F$4:$F$8886)*(PLT!$V$4:$V$8886&lt;&gt;AD40)*("Valid"=PLT!$P$4:$P$7190),PLT!$V$4:$V$8886),"")</f>
        <v/>
      </c>
      <c r="AF40" s="156" t="str" cm="1">
        <f t="array" ref="AF40">IFERROR(_xlfn.XLOOKUP(1,(A40=PLT!$A$4:$A$8886)*(Geotech!C40&lt;=PLT!$F$4:$F$8886)*(Geotech!D40&gt;=PLT!$F$4:$F$8886)*(PLT!$V$4:$V$8886&lt;&gt;AD40)*(PLT!$V$4:$V$8886&lt;&gt;AE40)*("Valid"=PLT!$P$4:$P$7190),PLT!$V$4:$V$8886),"")</f>
        <v/>
      </c>
      <c r="AG40" s="44">
        <f>IFERROR(IF(AVERAGE(AD40:AF40)&gt;References!$BO$23,References!$BP$23,
IF(AVERAGE(AD40:AF40)&gt;References!$BO$22,References!$BP$22,
IF(AVERAGE(AD40:AF40)&gt;References!$BO$21,References!$BP$21,
IF(AVERAGE(AD40:AF40)&gt;References!$BO$20,References!$BP$20,
IF(AVERAGE(AD40:AF40)&gt;References!$BO$19,References!$BP$19,
IF(AVERAGE(AD40:AF40)&gt;References!$BO$18,References!$BP$18,
0)))))),"")</f>
        <v>0</v>
      </c>
      <c r="AH40" s="43">
        <f>IF(Data_Geotech[[#This Row],[Is50]]="",VLOOKUP(Data_Geotech[[#This Row],[Field Intact Rock Strength]],Table_RMR76_Strength[],2,FALSE),Data_Geotech[[#This Row],[Is50]])</f>
        <v>0</v>
      </c>
      <c r="AI40" s="43">
        <f>IF(Data_Geotech[[#This Row],[RQD (%)]]&lt;=25,3,IF(Data_Geotech[[#This Row],[RQD (%)]]&lt;=50,8,IF(Data_Geotech[[#This Row],[RQD (%)]]&lt;=75,13,IF(Data_Geotech[[#This Row],[RQD (%)]]&lt;=90,17,20))))</f>
        <v>20</v>
      </c>
      <c r="AJ40" s="43">
        <f>IF(Data_Geotech[[#This Row],[Joint spacing (m)]]&lt;=0.05,5,IF(Data_Geotech[[#This Row],[Joint spacing (m)]]&lt;=0.3,10,IF(Data_Geotech[[#This Row],[Joint spacing (m)]]&lt;=1,20,IF(Data_Geotech[[#This Row],[Joint spacing (m)]]&lt;=3,25,30))))</f>
        <v>20</v>
      </c>
      <c r="AK4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23.333333333333332</v>
      </c>
      <c r="AL40" s="6">
        <v>10</v>
      </c>
      <c r="AM40" s="117">
        <f>IF(Data_Geotech[[#This Row],[FIRS Code]]="R",IFERROR(SUM(Data_Geotech[[#This Row],[RMR76 - Strength rating]:[RMR76 - Ground water rating]]),""),"")</f>
        <v>73.333333333333329</v>
      </c>
      <c r="AN40" s="39">
        <f>IF(Data_Geotech[[#This Row],[FIRS Code]]="R",(2*Data_Geotech[[#This Row],[RMR76 - Joint condition rating]])+(IF(Data_Geotech[[#This Row],[RQD (%)]]&gt;80,80/2,Data_Geotech[[#This Row],[RQD (%)]]/2)),"")</f>
        <v>86.666666666666657</v>
      </c>
      <c r="AO40" s="43" t="str">
        <f>LEFT(Data_Geotech[[#This Row],[Joint Set Rating]],FIND("-",Data_Geotech[[#This Row],[Joint Set Rating]],1)-2)</f>
        <v>2</v>
      </c>
      <c r="AP4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40" s="5">
        <f t="shared" si="0"/>
        <v>1</v>
      </c>
      <c r="AR40" s="49">
        <f>IF(Data_Geotech[[#This Row],[FIRS Code]]="R",IFERROR((IF(Data_Geotech[[#This Row],[RQD (%)]]&lt;10,10,Data_Geotech[[#This Row],[RQD (%)]])/Data_Geotech[[#This Row],[Jn rating]])*Data_Geotech[[#This Row],[Jr/Ja]],""),"")</f>
        <v>62.5</v>
      </c>
      <c r="AS40" s="45">
        <f>IF(Data_Geotech[[#This Row],[FIRS Code]]="R",IFERROR((IF(Data_Geotech[[#This Row],[RQD (%)]]&lt;10,10,Data_Geotech[[#This Row],[RQD (%)]])/Data_Geotech[[#This Row],[Jn rating]])*Data_Geotech[[#This Row],[Jr/Ja]]*Data_Geotech[[#This Row],[Jw/SRF]],""),"")</f>
        <v>62.5</v>
      </c>
      <c r="AT40" s="12"/>
      <c r="AU40" s="13">
        <f>100-Data_Geotech[[#This Row],[RQD (%)]]</f>
        <v>0</v>
      </c>
      <c r="AV40" s="13">
        <f>100-Data_Geotech[[#This Row],[TCR (%)]]</f>
        <v>1.2789769243681803E-13</v>
      </c>
      <c r="AW40" s="62">
        <f>(Data_Geotech[[#This Row],[Fracture per interval]]+Data_Geotech[[#This Row],[Added fractures 
(BC, FLT, LC)]])/Data_Geotech[[#This Row],[TCR (m)]]</f>
        <v>1.3636363636363635</v>
      </c>
      <c r="AX40" s="6" t="s">
        <v>109</v>
      </c>
      <c r="AY40" s="63">
        <f>7-MID(Data_Geotech[[#This Row],[Field Intact Rock Strength]],2,1)</f>
        <v>2</v>
      </c>
      <c r="AZ40" s="63">
        <f>VLOOKUP(Data_Geotech[[#This Row],[Field Intact Rock Strength]],Table_FieldStrength[],2,FALSE)</f>
        <v>100</v>
      </c>
      <c r="BA40" s="63">
        <f>VLOOKUP(Data_Geotech[[#This Row],[Field Intact Rock Strength]],Table_FieldStrength[],3,FALSE)</f>
        <v>175</v>
      </c>
      <c r="BB40" s="63">
        <f>VLOOKUP(Data_Geotech[[#This Row],[Field Intact Rock Strength]],Table_FieldStrength[],4,FALSE)</f>
        <v>250</v>
      </c>
      <c r="BC40" s="63">
        <f>100-Data_Geotech[[#This Row],[RMR76]]</f>
        <v>26.666666666666671</v>
      </c>
      <c r="BD40" s="63" t="str">
        <f>LEFT(Data_Geotech[[#This Row],[Weathering/Alteration]],FIND("-",Data_Geotech[[#This Row],[Weathering/Alteration]])-2)</f>
        <v>W1/A1</v>
      </c>
    </row>
    <row r="41" spans="1:56" ht="15.75" hidden="1" thickBot="1" x14ac:dyDescent="0.3">
      <c r="A41" t="s">
        <v>26</v>
      </c>
      <c r="B41" s="16" t="str">
        <f>VLOOKUP(Data_Geotech[[#This Row],[Hole ID]],Data_Log[],2,FALSE)</f>
        <v>CGF-01</v>
      </c>
      <c r="C41" s="5">
        <v>126</v>
      </c>
      <c r="D41" s="5">
        <v>128.93</v>
      </c>
      <c r="E41" s="5">
        <f>(Data_Geotech[[#This Row],[To (m)]]-Data_Geotech[[#This Row],[From (m)]])/2+Data_Geotech[[#This Row],[From (m)]]</f>
        <v>127.465</v>
      </c>
      <c r="F41" s="13">
        <f>Data_Geotech[[#This Row],[To (m)]]-Data_Geotech[[#This Row],[From (m)]]</f>
        <v>2.9300000000000068</v>
      </c>
      <c r="G41" s="5">
        <v>2.93</v>
      </c>
      <c r="H41" s="61">
        <f>Data_Geotech[[#This Row],[TCR (m)]]/Data_Geotech[[#This Row],[Run (m)]]*100</f>
        <v>99.999999999999773</v>
      </c>
      <c r="I41" s="151">
        <v>2.93</v>
      </c>
      <c r="J41" s="151">
        <v>2.93</v>
      </c>
      <c r="K41" s="5">
        <v>2.89</v>
      </c>
      <c r="L41" s="61">
        <f>Data_Geotech[[#This Row],[RQD (m)]]/Data_Geotech[[#This Row],[Run Reel (m)]]*100</f>
        <v>98.634812286689424</v>
      </c>
      <c r="M41" t="s">
        <v>584</v>
      </c>
      <c r="O41" t="s">
        <v>243</v>
      </c>
      <c r="P41" s="115" t="s">
        <v>397</v>
      </c>
      <c r="Q41" s="5" t="s">
        <v>313</v>
      </c>
      <c r="R41" s="5"/>
      <c r="S41" s="5"/>
      <c r="T41" s="5"/>
      <c r="U41" s="5"/>
      <c r="V41" s="6">
        <v>8</v>
      </c>
      <c r="W41" s="92">
        <f>SUMIFS(Discontinuities!$D$4:$D$9664,Discontinuities!$A$4:$A$9664,A41,Discontinuities!$C$4:$C$9664,"&gt;="&amp;C41,Discontinuities!$C$4:$C$9664,"&lt;"&amp;D41)
-SUMIFS(Discontinuities!$D$4:$D$9664,Discontinuities!$A$4:$A$9664,A41,Discontinuities!$C$4:$C$9664,"&gt;="&amp;C41,Discontinuities!$C$4:$C$9664,"&lt;"&amp;D41,Discontinuities!$E$4:$E$9664,"=BC")
-SUMIFS(Discontinuities!$D$4:$D$9664,Discontinuities!$A$4:$A$9664,A41,Discontinuities!$C$4:$C$9664,"&gt;="&amp;C41,Discontinuities!$C$4:$C$9664,"&lt;"&amp;D41,Discontinuities!$E$4:$E$9664,"=LC")
-SUMIFS(Discontinuities!$D$4:$D$9664,Discontinuities!$A$4:$A$9664,A41,Discontinuities!$C$4:$C$9664,"&gt;="&amp;C41,Discontinuities!$C$4:$C$9664,"&lt;"&amp;D41,Discontinuities!$E$4:$E$9664,"=FLT")</f>
        <v>8</v>
      </c>
      <c r="X41" t="s">
        <v>417</v>
      </c>
      <c r="AA41" s="12"/>
      <c r="AB41" s="43">
        <f>IFERROR(ROUND((Data_Geotech[[#This Row],[Fault (m)]]+Data_Geotech[[#This Row],[Broken Core (m)]]+Data_Geotech[[#This Row],[Lost Core (m)]])*30,0),0)</f>
        <v>0</v>
      </c>
      <c r="AC41" s="44">
        <f>IF(Data_Geotech[[#This Row],[Added fractures 
(BC, FLT, LC)]]+Data_Geotech[[#This Row],[Fracture per interval]]=0,99,1/((Data_Geotech[[#This Row],[Fracture per interval]]+Data_Geotech[[#This Row],[Added fractures 
(BC, FLT, LC)]])/Data_Geotech[[#This Row],[Run (m)]]))</f>
        <v>0.36625000000000085</v>
      </c>
      <c r="AD41" s="155" cm="1">
        <f t="array" ref="AD41">IFERROR(_xlfn.XLOOKUP(1,(A41=PLT!$A$4:$A$8886)*(Geotech!C41&lt;=PLT!$F$4:$F$8886)*(Geotech!D41&gt;=PLT!$F$4:$F$8886)*("Valid"=PLT!$P$4:$P$8886),PLT!$V$4:$V$8886),"")</f>
        <v>0</v>
      </c>
      <c r="AE41" s="156" t="str" cm="1">
        <f t="array" ref="AE41">IFERROR(_xlfn.XLOOKUP(1,(A41=PLT!$A$4:$A$8886)*(Geotech!C41&lt;=PLT!$F$4:$F$8886)*(Geotech!D41&gt;=PLT!$F$4:$F$8886)*(PLT!$V$4:$V$8886&lt;&gt;AD41)*("Valid"=PLT!$P$4:$P$7190),PLT!$V$4:$V$8886),"")</f>
        <v/>
      </c>
      <c r="AF41" s="156" t="str" cm="1">
        <f t="array" ref="AF41">IFERROR(_xlfn.XLOOKUP(1,(A41=PLT!$A$4:$A$8886)*(Geotech!C41&lt;=PLT!$F$4:$F$8886)*(Geotech!D41&gt;=PLT!$F$4:$F$8886)*(PLT!$V$4:$V$8886&lt;&gt;AD41)*(PLT!$V$4:$V$8886&lt;&gt;AE41)*("Valid"=PLT!$P$4:$P$7190),PLT!$V$4:$V$8886),"")</f>
        <v/>
      </c>
      <c r="AG41" s="44">
        <f>IFERROR(IF(AVERAGE(AD41:AF41)&gt;References!$BO$23,References!$BP$23,
IF(AVERAGE(AD41:AF41)&gt;References!$BO$22,References!$BP$22,
IF(AVERAGE(AD41:AF41)&gt;References!$BO$21,References!$BP$21,
IF(AVERAGE(AD41:AF41)&gt;References!$BO$20,References!$BP$20,
IF(AVERAGE(AD41:AF41)&gt;References!$BO$19,References!$BP$19,
IF(AVERAGE(AD41:AF41)&gt;References!$BO$18,References!$BP$18,
0)))))),"")</f>
        <v>0</v>
      </c>
      <c r="AH41" s="43">
        <f>IF(Data_Geotech[[#This Row],[Is50]]="",VLOOKUP(Data_Geotech[[#This Row],[Field Intact Rock Strength]],Table_RMR76_Strength[],2,FALSE),Data_Geotech[[#This Row],[Is50]])</f>
        <v>0</v>
      </c>
      <c r="AI41" s="43">
        <f>IF(Data_Geotech[[#This Row],[RQD (%)]]&lt;=25,3,IF(Data_Geotech[[#This Row],[RQD (%)]]&lt;=50,8,IF(Data_Geotech[[#This Row],[RQD (%)]]&lt;=75,13,IF(Data_Geotech[[#This Row],[RQD (%)]]&lt;=90,17,20))))</f>
        <v>20</v>
      </c>
      <c r="AJ41" s="43">
        <f>IF(Data_Geotech[[#This Row],[Joint spacing (m)]]&lt;=0.05,5,IF(Data_Geotech[[#This Row],[Joint spacing (m)]]&lt;=0.3,10,IF(Data_Geotech[[#This Row],[Joint spacing (m)]]&lt;=1,20,IF(Data_Geotech[[#This Row],[Joint spacing (m)]]&lt;=3,25,30))))</f>
        <v>20</v>
      </c>
      <c r="AK4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18.125</v>
      </c>
      <c r="AL41" s="6">
        <v>10</v>
      </c>
      <c r="AM41" s="117">
        <f>IF(Data_Geotech[[#This Row],[FIRS Code]]="R",IFERROR(SUM(Data_Geotech[[#This Row],[RMR76 - Strength rating]:[RMR76 - Ground water rating]]),""),"")</f>
        <v>68.125</v>
      </c>
      <c r="AN41" s="39">
        <f>IF(Data_Geotech[[#This Row],[FIRS Code]]="R",(2*Data_Geotech[[#This Row],[RMR76 - Joint condition rating]])+(IF(Data_Geotech[[#This Row],[RQD (%)]]&gt;80,80/2,Data_Geotech[[#This Row],[RQD (%)]]/2)),"")</f>
        <v>76.25</v>
      </c>
      <c r="AO41" s="43" t="str">
        <f>LEFT(Data_Geotech[[#This Row],[Joint Set Rating]],FIND("-",Data_Geotech[[#This Row],[Joint Set Rating]],1)-2)</f>
        <v>9</v>
      </c>
      <c r="AP4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1.2864583333333333</v>
      </c>
      <c r="AQ41" s="5">
        <f t="shared" si="0"/>
        <v>1</v>
      </c>
      <c r="AR41" s="49">
        <f>IF(Data_Geotech[[#This Row],[FIRS Code]]="R",IFERROR((IF(Data_Geotech[[#This Row],[RQD (%)]]&lt;10,10,Data_Geotech[[#This Row],[RQD (%)]])/Data_Geotech[[#This Row],[Jn rating]])*Data_Geotech[[#This Row],[Jr/Ja]],""),"")</f>
        <v>14.098841802553407</v>
      </c>
      <c r="AS41" s="45">
        <f>IF(Data_Geotech[[#This Row],[FIRS Code]]="R",IFERROR((IF(Data_Geotech[[#This Row],[RQD (%)]]&lt;10,10,Data_Geotech[[#This Row],[RQD (%)]])/Data_Geotech[[#This Row],[Jn rating]])*Data_Geotech[[#This Row],[Jr/Ja]]*Data_Geotech[[#This Row],[Jw/SRF]],""),"")</f>
        <v>14.098841802553407</v>
      </c>
      <c r="AT41" s="12"/>
      <c r="AU41" s="13">
        <f>100-Data_Geotech[[#This Row],[RQD (%)]]</f>
        <v>1.3651877133105756</v>
      </c>
      <c r="AV41" s="13">
        <f>100-Data_Geotech[[#This Row],[TCR (%)]]</f>
        <v>2.2737367544323206E-13</v>
      </c>
      <c r="AW41" s="62">
        <f>(Data_Geotech[[#This Row],[Fracture per interval]]+Data_Geotech[[#This Row],[Added fractures 
(BC, FLT, LC)]])/Data_Geotech[[#This Row],[TCR (m)]]</f>
        <v>2.7303754266211602</v>
      </c>
      <c r="AX41" s="6" t="s">
        <v>109</v>
      </c>
      <c r="AY41" s="63">
        <f>7-MID(Data_Geotech[[#This Row],[Field Intact Rock Strength]],2,1)</f>
        <v>2</v>
      </c>
      <c r="AZ41" s="63">
        <f>VLOOKUP(Data_Geotech[[#This Row],[Field Intact Rock Strength]],Table_FieldStrength[],2,FALSE)</f>
        <v>100</v>
      </c>
      <c r="BA41" s="63">
        <f>VLOOKUP(Data_Geotech[[#This Row],[Field Intact Rock Strength]],Table_FieldStrength[],3,FALSE)</f>
        <v>175</v>
      </c>
      <c r="BB41" s="63">
        <f>VLOOKUP(Data_Geotech[[#This Row],[Field Intact Rock Strength]],Table_FieldStrength[],4,FALSE)</f>
        <v>250</v>
      </c>
      <c r="BC41" s="63">
        <f>100-Data_Geotech[[#This Row],[RMR76]]</f>
        <v>31.875</v>
      </c>
      <c r="BD41" s="63" t="str">
        <f>LEFT(Data_Geotech[[#This Row],[Weathering/Alteration]],FIND("-",Data_Geotech[[#This Row],[Weathering/Alteration]])-2)</f>
        <v>W1/A1</v>
      </c>
    </row>
    <row r="42" spans="1:56" ht="15.75" hidden="1" thickBot="1" x14ac:dyDescent="0.3">
      <c r="A42" t="s">
        <v>26</v>
      </c>
      <c r="B42" s="16" t="str">
        <f>VLOOKUP(Data_Geotech[[#This Row],[Hole ID]],Data_Log[],2,FALSE)</f>
        <v>CGF-01</v>
      </c>
      <c r="C42" s="5">
        <v>128.93</v>
      </c>
      <c r="D42" s="5">
        <v>131.97999999999999</v>
      </c>
      <c r="E42" s="5">
        <f>(Data_Geotech[[#This Row],[To (m)]]-Data_Geotech[[#This Row],[From (m)]])/2+Data_Geotech[[#This Row],[From (m)]]</f>
        <v>130.45499999999998</v>
      </c>
      <c r="F42" s="13">
        <f>Data_Geotech[[#This Row],[To (m)]]-Data_Geotech[[#This Row],[From (m)]]</f>
        <v>3.0499999999999829</v>
      </c>
      <c r="G42" s="5">
        <v>3.05</v>
      </c>
      <c r="H42" s="61">
        <f>Data_Geotech[[#This Row],[TCR (m)]]/Data_Geotech[[#This Row],[Run (m)]]*100</f>
        <v>100.00000000000055</v>
      </c>
      <c r="I42" s="151">
        <v>3.06</v>
      </c>
      <c r="J42" s="151">
        <v>3.06</v>
      </c>
      <c r="K42" s="5">
        <v>2.99</v>
      </c>
      <c r="L42" s="61">
        <f>Data_Geotech[[#This Row],[RQD (m)]]/Data_Geotech[[#This Row],[Run Reel (m)]]*100</f>
        <v>97.71241830065361</v>
      </c>
      <c r="M42" t="s">
        <v>584</v>
      </c>
      <c r="O42" t="s">
        <v>243</v>
      </c>
      <c r="P42" s="115" t="s">
        <v>342</v>
      </c>
      <c r="Q42" s="5" t="s">
        <v>313</v>
      </c>
      <c r="R42" s="5"/>
      <c r="S42" s="5"/>
      <c r="T42" s="5"/>
      <c r="U42" s="5"/>
      <c r="V42" s="6">
        <v>4</v>
      </c>
      <c r="W42" s="92">
        <f>SUMIFS(Discontinuities!$D$4:$D$9664,Discontinuities!$A$4:$A$9664,A42,Discontinuities!$C$4:$C$9664,"&gt;="&amp;C42,Discontinuities!$C$4:$C$9664,"&lt;"&amp;D42)
-SUMIFS(Discontinuities!$D$4:$D$9664,Discontinuities!$A$4:$A$9664,A42,Discontinuities!$C$4:$C$9664,"&gt;="&amp;C42,Discontinuities!$C$4:$C$9664,"&lt;"&amp;D42,Discontinuities!$E$4:$E$9664,"=BC")
-SUMIFS(Discontinuities!$D$4:$D$9664,Discontinuities!$A$4:$A$9664,A42,Discontinuities!$C$4:$C$9664,"&gt;="&amp;C42,Discontinuities!$C$4:$C$9664,"&lt;"&amp;D42,Discontinuities!$E$4:$E$9664,"=LC")
-SUMIFS(Discontinuities!$D$4:$D$9664,Discontinuities!$A$4:$A$9664,A42,Discontinuities!$C$4:$C$9664,"&gt;="&amp;C42,Discontinuities!$C$4:$C$9664,"&lt;"&amp;D42,Discontinuities!$E$4:$E$9664,"=FLT")</f>
        <v>4</v>
      </c>
      <c r="X42" t="s">
        <v>400</v>
      </c>
      <c r="AA42" s="12"/>
      <c r="AB42" s="43">
        <f>IFERROR(ROUND((Data_Geotech[[#This Row],[Fault (m)]]+Data_Geotech[[#This Row],[Broken Core (m)]]+Data_Geotech[[#This Row],[Lost Core (m)]])*30,0),0)</f>
        <v>0</v>
      </c>
      <c r="AC42" s="44">
        <f>IF(Data_Geotech[[#This Row],[Added fractures 
(BC, FLT, LC)]]+Data_Geotech[[#This Row],[Fracture per interval]]=0,99,1/((Data_Geotech[[#This Row],[Fracture per interval]]+Data_Geotech[[#This Row],[Added fractures 
(BC, FLT, LC)]])/Data_Geotech[[#This Row],[Run (m)]]))</f>
        <v>0.76249999999999585</v>
      </c>
      <c r="AD42" s="155" cm="1">
        <f t="array" ref="AD42">IFERROR(_xlfn.XLOOKUP(1,(A42=PLT!$A$4:$A$8886)*(Geotech!C42&lt;=PLT!$F$4:$F$8886)*(Geotech!D42&gt;=PLT!$F$4:$F$8886)*("Valid"=PLT!$P$4:$P$8886),PLT!$V$4:$V$8886),"")</f>
        <v>0</v>
      </c>
      <c r="AE42" s="156" t="str" cm="1">
        <f t="array" ref="AE42">IFERROR(_xlfn.XLOOKUP(1,(A42=PLT!$A$4:$A$8886)*(Geotech!C42&lt;=PLT!$F$4:$F$8886)*(Geotech!D42&gt;=PLT!$F$4:$F$8886)*(PLT!$V$4:$V$8886&lt;&gt;AD42)*("Valid"=PLT!$P$4:$P$7190),PLT!$V$4:$V$8886),"")</f>
        <v/>
      </c>
      <c r="AF42" s="156" t="str" cm="1">
        <f t="array" ref="AF42">IFERROR(_xlfn.XLOOKUP(1,(A42=PLT!$A$4:$A$8886)*(Geotech!C42&lt;=PLT!$F$4:$F$8886)*(Geotech!D42&gt;=PLT!$F$4:$F$8886)*(PLT!$V$4:$V$8886&lt;&gt;AD42)*(PLT!$V$4:$V$8886&lt;&gt;AE42)*("Valid"=PLT!$P$4:$P$7190),PLT!$V$4:$V$8886),"")</f>
        <v/>
      </c>
      <c r="AG42" s="44">
        <f>IFERROR(IF(AVERAGE(AD42:AF42)&gt;References!$BO$23,References!$BP$23,
IF(AVERAGE(AD42:AF42)&gt;References!$BO$22,References!$BP$22,
IF(AVERAGE(AD42:AF42)&gt;References!$BO$21,References!$BP$21,
IF(AVERAGE(AD42:AF42)&gt;References!$BO$20,References!$BP$20,
IF(AVERAGE(AD42:AF42)&gt;References!$BO$19,References!$BP$19,
IF(AVERAGE(AD42:AF42)&gt;References!$BO$18,References!$BP$18,
0)))))),"")</f>
        <v>0</v>
      </c>
      <c r="AH42" s="43">
        <f>IF(Data_Geotech[[#This Row],[Is50]]="",VLOOKUP(Data_Geotech[[#This Row],[Field Intact Rock Strength]],Table_RMR76_Strength[],2,FALSE),Data_Geotech[[#This Row],[Is50]])</f>
        <v>0</v>
      </c>
      <c r="AI42" s="43">
        <f>IF(Data_Geotech[[#This Row],[RQD (%)]]&lt;=25,3,IF(Data_Geotech[[#This Row],[RQD (%)]]&lt;=50,8,IF(Data_Geotech[[#This Row],[RQD (%)]]&lt;=75,13,IF(Data_Geotech[[#This Row],[RQD (%)]]&lt;=90,17,20))))</f>
        <v>20</v>
      </c>
      <c r="AJ42" s="43">
        <f>IF(Data_Geotech[[#This Row],[Joint spacing (m)]]&lt;=0.05,5,IF(Data_Geotech[[#This Row],[Joint spacing (m)]]&lt;=0.3,10,IF(Data_Geotech[[#This Row],[Joint spacing (m)]]&lt;=1,20,IF(Data_Geotech[[#This Row],[Joint spacing (m)]]&lt;=3,25,30))))</f>
        <v>20</v>
      </c>
      <c r="AK4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17.25</v>
      </c>
      <c r="AL42" s="6">
        <v>10</v>
      </c>
      <c r="AM42" s="117">
        <f>IF(Data_Geotech[[#This Row],[FIRS Code]]="R",IFERROR(SUM(Data_Geotech[[#This Row],[RMR76 - Strength rating]:[RMR76 - Ground water rating]]),""),"")</f>
        <v>67.25</v>
      </c>
      <c r="AN42" s="39">
        <f>IF(Data_Geotech[[#This Row],[FIRS Code]]="R",(2*Data_Geotech[[#This Row],[RMR76 - Joint condition rating]])+(IF(Data_Geotech[[#This Row],[RQD (%)]]&gt;80,80/2,Data_Geotech[[#This Row],[RQD (%)]]/2)),"")</f>
        <v>74.5</v>
      </c>
      <c r="AO42" s="43" t="str">
        <f>LEFT(Data_Geotech[[#This Row],[Joint Set Rating]],FIND("-",Data_Geotech[[#This Row],[Joint Set Rating]],1)-2)</f>
        <v>6</v>
      </c>
      <c r="AP4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1.1875</v>
      </c>
      <c r="AQ42" s="5">
        <f t="shared" si="0"/>
        <v>1</v>
      </c>
      <c r="AR42" s="49">
        <f>IF(Data_Geotech[[#This Row],[FIRS Code]]="R",IFERROR((IF(Data_Geotech[[#This Row],[RQD (%)]]&lt;10,10,Data_Geotech[[#This Row],[RQD (%)]])/Data_Geotech[[#This Row],[Jn rating]])*Data_Geotech[[#This Row],[Jr/Ja]],""),"")</f>
        <v>19.338916122004363</v>
      </c>
      <c r="AS42" s="45">
        <f>IF(Data_Geotech[[#This Row],[FIRS Code]]="R",IFERROR((IF(Data_Geotech[[#This Row],[RQD (%)]]&lt;10,10,Data_Geotech[[#This Row],[RQD (%)]])/Data_Geotech[[#This Row],[Jn rating]])*Data_Geotech[[#This Row],[Jr/Ja]]*Data_Geotech[[#This Row],[Jw/SRF]],""),"")</f>
        <v>19.338916122004363</v>
      </c>
      <c r="AT42" s="12"/>
      <c r="AU42" s="13">
        <f>100-Data_Geotech[[#This Row],[RQD (%)]]</f>
        <v>2.28758169934639</v>
      </c>
      <c r="AV42" s="13">
        <f>100-Data_Geotech[[#This Row],[TCR (%)]]</f>
        <v>-5.5422333389287814E-13</v>
      </c>
      <c r="AW42" s="62">
        <f>(Data_Geotech[[#This Row],[Fracture per interval]]+Data_Geotech[[#This Row],[Added fractures 
(BC, FLT, LC)]])/Data_Geotech[[#This Row],[TCR (m)]]</f>
        <v>1.3114754098360657</v>
      </c>
      <c r="AX42" s="6" t="s">
        <v>109</v>
      </c>
      <c r="AY42" s="63">
        <f>7-MID(Data_Geotech[[#This Row],[Field Intact Rock Strength]],2,1)</f>
        <v>4</v>
      </c>
      <c r="AZ42" s="63">
        <f>VLOOKUP(Data_Geotech[[#This Row],[Field Intact Rock Strength]],Table_FieldStrength[],2,FALSE)</f>
        <v>25</v>
      </c>
      <c r="BA42" s="63">
        <f>VLOOKUP(Data_Geotech[[#This Row],[Field Intact Rock Strength]],Table_FieldStrength[],3,FALSE)</f>
        <v>37.5</v>
      </c>
      <c r="BB42" s="63">
        <f>VLOOKUP(Data_Geotech[[#This Row],[Field Intact Rock Strength]],Table_FieldStrength[],4,FALSE)</f>
        <v>50</v>
      </c>
      <c r="BC42" s="63">
        <f>100-Data_Geotech[[#This Row],[RMR76]]</f>
        <v>32.75</v>
      </c>
      <c r="BD42" s="63" t="str">
        <f>LEFT(Data_Geotech[[#This Row],[Weathering/Alteration]],FIND("-",Data_Geotech[[#This Row],[Weathering/Alteration]])-2)</f>
        <v>W1/A1</v>
      </c>
    </row>
    <row r="43" spans="1:56" ht="15.75" hidden="1" thickBot="1" x14ac:dyDescent="0.3">
      <c r="A43" t="s">
        <v>26</v>
      </c>
      <c r="B43" s="16" t="str">
        <f>VLOOKUP(Data_Geotech[[#This Row],[Hole ID]],Data_Log[],2,FALSE)</f>
        <v>CGF-01</v>
      </c>
      <c r="C43" s="5">
        <v>131.97999999999999</v>
      </c>
      <c r="D43" s="5">
        <v>135</v>
      </c>
      <c r="E43" s="5">
        <f>(Data_Geotech[[#This Row],[To (m)]]-Data_Geotech[[#This Row],[From (m)]])/2+Data_Geotech[[#This Row],[From (m)]]</f>
        <v>133.49</v>
      </c>
      <c r="F43" s="13">
        <f>Data_Geotech[[#This Row],[To (m)]]-Data_Geotech[[#This Row],[From (m)]]</f>
        <v>3.0200000000000102</v>
      </c>
      <c r="G43" s="5">
        <v>3.02</v>
      </c>
      <c r="H43" s="61">
        <f>Data_Geotech[[#This Row],[TCR (m)]]/Data_Geotech[[#This Row],[Run (m)]]*100</f>
        <v>99.999999999999673</v>
      </c>
      <c r="I43" s="151">
        <v>3</v>
      </c>
      <c r="J43" s="151">
        <v>3</v>
      </c>
      <c r="K43" s="5">
        <v>3</v>
      </c>
      <c r="L43" s="61">
        <f>Data_Geotech[[#This Row],[RQD (m)]]/Data_Geotech[[#This Row],[Run Reel (m)]]*100</f>
        <v>100</v>
      </c>
      <c r="M43" t="s">
        <v>584</v>
      </c>
      <c r="O43" t="s">
        <v>243</v>
      </c>
      <c r="P43" s="115" t="s">
        <v>342</v>
      </c>
      <c r="Q43" s="5" t="s">
        <v>313</v>
      </c>
      <c r="R43" s="5"/>
      <c r="S43" s="5"/>
      <c r="T43" s="5"/>
      <c r="U43" s="5"/>
      <c r="V43" s="6">
        <v>5</v>
      </c>
      <c r="W43" s="92">
        <f>SUMIFS(Discontinuities!$D$4:$D$9664,Discontinuities!$A$4:$A$9664,A43,Discontinuities!$C$4:$C$9664,"&gt;="&amp;C43,Discontinuities!$C$4:$C$9664,"&lt;"&amp;D43)
-SUMIFS(Discontinuities!$D$4:$D$9664,Discontinuities!$A$4:$A$9664,A43,Discontinuities!$C$4:$C$9664,"&gt;="&amp;C43,Discontinuities!$C$4:$C$9664,"&lt;"&amp;D43,Discontinuities!$E$4:$E$9664,"=BC")
-SUMIFS(Discontinuities!$D$4:$D$9664,Discontinuities!$A$4:$A$9664,A43,Discontinuities!$C$4:$C$9664,"&gt;="&amp;C43,Discontinuities!$C$4:$C$9664,"&lt;"&amp;D43,Discontinuities!$E$4:$E$9664,"=LC")
-SUMIFS(Discontinuities!$D$4:$D$9664,Discontinuities!$A$4:$A$9664,A43,Discontinuities!$C$4:$C$9664,"&gt;="&amp;C43,Discontinuities!$C$4:$C$9664,"&lt;"&amp;D43,Discontinuities!$E$4:$E$9664,"=FLT")</f>
        <v>5</v>
      </c>
      <c r="X43" t="s">
        <v>345</v>
      </c>
      <c r="AA43" s="12"/>
      <c r="AB43" s="43">
        <f>IFERROR(ROUND((Data_Geotech[[#This Row],[Fault (m)]]+Data_Geotech[[#This Row],[Broken Core (m)]]+Data_Geotech[[#This Row],[Lost Core (m)]])*30,0),0)</f>
        <v>0</v>
      </c>
      <c r="AC43" s="44">
        <f>IF(Data_Geotech[[#This Row],[Added fractures 
(BC, FLT, LC)]]+Data_Geotech[[#This Row],[Fracture per interval]]=0,99,1/((Data_Geotech[[#This Row],[Fracture per interval]]+Data_Geotech[[#This Row],[Added fractures 
(BC, FLT, LC)]])/Data_Geotech[[#This Row],[Run (m)]]))</f>
        <v>0.60400000000000198</v>
      </c>
      <c r="AD43" s="155" cm="1">
        <f t="array" ref="AD43">IFERROR(_xlfn.XLOOKUP(1,(A43=PLT!$A$4:$A$8886)*(Geotech!C43&lt;=PLT!$F$4:$F$8886)*(Geotech!D43&gt;=PLT!$F$4:$F$8886)*("Valid"=PLT!$P$4:$P$8886),PLT!$V$4:$V$8886),"")</f>
        <v>0</v>
      </c>
      <c r="AE43" s="156" t="str" cm="1">
        <f t="array" ref="AE43">IFERROR(_xlfn.XLOOKUP(1,(A43=PLT!$A$4:$A$8886)*(Geotech!C43&lt;=PLT!$F$4:$F$8886)*(Geotech!D43&gt;=PLT!$F$4:$F$8886)*(PLT!$V$4:$V$8886&lt;&gt;AD43)*("Valid"=PLT!$P$4:$P$7190),PLT!$V$4:$V$8886),"")</f>
        <v/>
      </c>
      <c r="AF43" s="156" t="str" cm="1">
        <f t="array" ref="AF43">IFERROR(_xlfn.XLOOKUP(1,(A43=PLT!$A$4:$A$8886)*(Geotech!C43&lt;=PLT!$F$4:$F$8886)*(Geotech!D43&gt;=PLT!$F$4:$F$8886)*(PLT!$V$4:$V$8886&lt;&gt;AD43)*(PLT!$V$4:$V$8886&lt;&gt;AE43)*("Valid"=PLT!$P$4:$P$7190),PLT!$V$4:$V$8886),"")</f>
        <v/>
      </c>
      <c r="AG43" s="44">
        <f>IFERROR(IF(AVERAGE(AD43:AF43)&gt;References!$BO$23,References!$BP$23,
IF(AVERAGE(AD43:AF43)&gt;References!$BO$22,References!$BP$22,
IF(AVERAGE(AD43:AF43)&gt;References!$BO$21,References!$BP$21,
IF(AVERAGE(AD43:AF43)&gt;References!$BO$20,References!$BP$20,
IF(AVERAGE(AD43:AF43)&gt;References!$BO$19,References!$BP$19,
IF(AVERAGE(AD43:AF43)&gt;References!$BO$18,References!$BP$18,
0)))))),"")</f>
        <v>0</v>
      </c>
      <c r="AH43" s="43">
        <f>IF(Data_Geotech[[#This Row],[Is50]]="",VLOOKUP(Data_Geotech[[#This Row],[Field Intact Rock Strength]],Table_RMR76_Strength[],2,FALSE),Data_Geotech[[#This Row],[Is50]])</f>
        <v>0</v>
      </c>
      <c r="AI43" s="43">
        <f>IF(Data_Geotech[[#This Row],[RQD (%)]]&lt;=25,3,IF(Data_Geotech[[#This Row],[RQD (%)]]&lt;=50,8,IF(Data_Geotech[[#This Row],[RQD (%)]]&lt;=75,13,IF(Data_Geotech[[#This Row],[RQD (%)]]&lt;=90,17,20))))</f>
        <v>20</v>
      </c>
      <c r="AJ43" s="43">
        <f>IF(Data_Geotech[[#This Row],[Joint spacing (m)]]&lt;=0.05,5,IF(Data_Geotech[[#This Row],[Joint spacing (m)]]&lt;=0.3,10,IF(Data_Geotech[[#This Row],[Joint spacing (m)]]&lt;=1,20,IF(Data_Geotech[[#This Row],[Joint spacing (m)]]&lt;=3,25,30))))</f>
        <v>20</v>
      </c>
      <c r="AK4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18.8</v>
      </c>
      <c r="AL43" s="6">
        <v>10</v>
      </c>
      <c r="AM43" s="117">
        <f>IF(Data_Geotech[[#This Row],[FIRS Code]]="R",IFERROR(SUM(Data_Geotech[[#This Row],[RMR76 - Strength rating]:[RMR76 - Ground water rating]]),""),"")</f>
        <v>68.8</v>
      </c>
      <c r="AN43" s="39">
        <f>IF(Data_Geotech[[#This Row],[FIRS Code]]="R",(2*Data_Geotech[[#This Row],[RMR76 - Joint condition rating]])+(IF(Data_Geotech[[#This Row],[RQD (%)]]&gt;80,80/2,Data_Geotech[[#This Row],[RQD (%)]]/2)),"")</f>
        <v>77.599999999999994</v>
      </c>
      <c r="AO43" s="43" t="str">
        <f>LEFT(Data_Geotech[[#This Row],[Joint Set Rating]],FIND("-",Data_Geotech[[#This Row],[Joint Set Rating]],1)-2)</f>
        <v>3</v>
      </c>
      <c r="AP4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1.2250000000000001</v>
      </c>
      <c r="AQ43" s="5">
        <f t="shared" si="0"/>
        <v>1</v>
      </c>
      <c r="AR43" s="49">
        <f>IF(Data_Geotech[[#This Row],[FIRS Code]]="R",IFERROR((IF(Data_Geotech[[#This Row],[RQD (%)]]&lt;10,10,Data_Geotech[[#This Row],[RQD (%)]])/Data_Geotech[[#This Row],[Jn rating]])*Data_Geotech[[#This Row],[Jr/Ja]],""),"")</f>
        <v>40.833333333333336</v>
      </c>
      <c r="AS43" s="45">
        <f>IF(Data_Geotech[[#This Row],[FIRS Code]]="R",IFERROR((IF(Data_Geotech[[#This Row],[RQD (%)]]&lt;10,10,Data_Geotech[[#This Row],[RQD (%)]])/Data_Geotech[[#This Row],[Jn rating]])*Data_Geotech[[#This Row],[Jr/Ja]]*Data_Geotech[[#This Row],[Jw/SRF]],""),"")</f>
        <v>40.833333333333336</v>
      </c>
      <c r="AT43" s="12"/>
      <c r="AU43" s="13">
        <f>100-Data_Geotech[[#This Row],[RQD (%)]]</f>
        <v>0</v>
      </c>
      <c r="AV43" s="13">
        <f>100-Data_Geotech[[#This Row],[TCR (%)]]</f>
        <v>3.2684965844964609E-13</v>
      </c>
      <c r="AW43" s="62">
        <f>(Data_Geotech[[#This Row],[Fracture per interval]]+Data_Geotech[[#This Row],[Added fractures 
(BC, FLT, LC)]])/Data_Geotech[[#This Row],[TCR (m)]]</f>
        <v>1.6556291390728477</v>
      </c>
      <c r="AX43" s="6" t="s">
        <v>109</v>
      </c>
      <c r="AY43" s="63">
        <f>7-MID(Data_Geotech[[#This Row],[Field Intact Rock Strength]],2,1)</f>
        <v>4</v>
      </c>
      <c r="AZ43" s="63">
        <f>VLOOKUP(Data_Geotech[[#This Row],[Field Intact Rock Strength]],Table_FieldStrength[],2,FALSE)</f>
        <v>25</v>
      </c>
      <c r="BA43" s="63">
        <f>VLOOKUP(Data_Geotech[[#This Row],[Field Intact Rock Strength]],Table_FieldStrength[],3,FALSE)</f>
        <v>37.5</v>
      </c>
      <c r="BB43" s="63">
        <f>VLOOKUP(Data_Geotech[[#This Row],[Field Intact Rock Strength]],Table_FieldStrength[],4,FALSE)</f>
        <v>50</v>
      </c>
      <c r="BC43" s="63">
        <f>100-Data_Geotech[[#This Row],[RMR76]]</f>
        <v>31.200000000000003</v>
      </c>
      <c r="BD43" s="63" t="str">
        <f>LEFT(Data_Geotech[[#This Row],[Weathering/Alteration]],FIND("-",Data_Geotech[[#This Row],[Weathering/Alteration]])-2)</f>
        <v>W1/A1</v>
      </c>
    </row>
    <row r="44" spans="1:56" ht="15.75" hidden="1" thickBot="1" x14ac:dyDescent="0.3">
      <c r="A44" t="s">
        <v>26</v>
      </c>
      <c r="B44" s="16" t="str">
        <f>VLOOKUP(Data_Geotech[[#This Row],[Hole ID]],Data_Log[],2,FALSE)</f>
        <v>CGF-01</v>
      </c>
      <c r="C44" s="5">
        <v>135</v>
      </c>
      <c r="D44" s="5">
        <v>137.93</v>
      </c>
      <c r="E44" s="5">
        <f>(Data_Geotech[[#This Row],[To (m)]]-Data_Geotech[[#This Row],[From (m)]])/2+Data_Geotech[[#This Row],[From (m)]]</f>
        <v>136.465</v>
      </c>
      <c r="F44" s="13">
        <f>Data_Geotech[[#This Row],[To (m)]]-Data_Geotech[[#This Row],[From (m)]]</f>
        <v>2.9300000000000068</v>
      </c>
      <c r="G44" s="5">
        <v>2.93</v>
      </c>
      <c r="H44" s="61">
        <f>Data_Geotech[[#This Row],[TCR (m)]]/Data_Geotech[[#This Row],[Run (m)]]*100</f>
        <v>99.999999999999773</v>
      </c>
      <c r="I44" s="151">
        <v>2.95</v>
      </c>
      <c r="J44" s="151">
        <v>2.95</v>
      </c>
      <c r="K44" s="5">
        <v>2.95</v>
      </c>
      <c r="L44" s="61">
        <f>Data_Geotech[[#This Row],[RQD (m)]]/Data_Geotech[[#This Row],[Run Reel (m)]]*100</f>
        <v>100</v>
      </c>
      <c r="M44" t="s">
        <v>584</v>
      </c>
      <c r="O44" t="s">
        <v>243</v>
      </c>
      <c r="P44" s="115" t="s">
        <v>370</v>
      </c>
      <c r="Q44" s="5" t="s">
        <v>313</v>
      </c>
      <c r="R44" s="5"/>
      <c r="S44" s="5"/>
      <c r="T44" s="5"/>
      <c r="U44" s="5"/>
      <c r="V44" s="6">
        <v>3</v>
      </c>
      <c r="W44" s="92">
        <f>SUMIFS(Discontinuities!$D$4:$D$9664,Discontinuities!$A$4:$A$9664,A44,Discontinuities!$C$4:$C$9664,"&gt;="&amp;C44,Discontinuities!$C$4:$C$9664,"&lt;"&amp;D44)
-SUMIFS(Discontinuities!$D$4:$D$9664,Discontinuities!$A$4:$A$9664,A44,Discontinuities!$C$4:$C$9664,"&gt;="&amp;C44,Discontinuities!$C$4:$C$9664,"&lt;"&amp;D44,Discontinuities!$E$4:$E$9664,"=BC")
-SUMIFS(Discontinuities!$D$4:$D$9664,Discontinuities!$A$4:$A$9664,A44,Discontinuities!$C$4:$C$9664,"&gt;="&amp;C44,Discontinuities!$C$4:$C$9664,"&lt;"&amp;D44,Discontinuities!$E$4:$E$9664,"=LC")
-SUMIFS(Discontinuities!$D$4:$D$9664,Discontinuities!$A$4:$A$9664,A44,Discontinuities!$C$4:$C$9664,"&gt;="&amp;C44,Discontinuities!$C$4:$C$9664,"&lt;"&amp;D44,Discontinuities!$E$4:$E$9664,"=FLT")</f>
        <v>3</v>
      </c>
      <c r="X44" t="s">
        <v>400</v>
      </c>
      <c r="Z44" t="s">
        <v>589</v>
      </c>
      <c r="AA44" s="12"/>
      <c r="AB44" s="43">
        <f>IFERROR(ROUND((Data_Geotech[[#This Row],[Fault (m)]]+Data_Geotech[[#This Row],[Broken Core (m)]]+Data_Geotech[[#This Row],[Lost Core (m)]])*30,0),0)</f>
        <v>0</v>
      </c>
      <c r="AC44" s="44">
        <f>IF(Data_Geotech[[#This Row],[Added fractures 
(BC, FLT, LC)]]+Data_Geotech[[#This Row],[Fracture per interval]]=0,99,1/((Data_Geotech[[#This Row],[Fracture per interval]]+Data_Geotech[[#This Row],[Added fractures 
(BC, FLT, LC)]])/Data_Geotech[[#This Row],[Run (m)]]))</f>
        <v>0.9766666666666689</v>
      </c>
      <c r="AD44" s="155" cm="1">
        <f t="array" ref="AD44">IFERROR(_xlfn.XLOOKUP(1,(A44=PLT!$A$4:$A$8886)*(Geotech!C44&lt;=PLT!$F$4:$F$8886)*(Geotech!D44&gt;=PLT!$F$4:$F$8886)*("Valid"=PLT!$P$4:$P$8886),PLT!$V$4:$V$8886),"")</f>
        <v>0</v>
      </c>
      <c r="AE44" s="156" t="str" cm="1">
        <f t="array" ref="AE44">IFERROR(_xlfn.XLOOKUP(1,(A44=PLT!$A$4:$A$8886)*(Geotech!C44&lt;=PLT!$F$4:$F$8886)*(Geotech!D44&gt;=PLT!$F$4:$F$8886)*(PLT!$V$4:$V$8886&lt;&gt;AD44)*("Valid"=PLT!$P$4:$P$7190),PLT!$V$4:$V$8886),"")</f>
        <v/>
      </c>
      <c r="AF44" s="156" t="str" cm="1">
        <f t="array" ref="AF44">IFERROR(_xlfn.XLOOKUP(1,(A44=PLT!$A$4:$A$8886)*(Geotech!C44&lt;=PLT!$F$4:$F$8886)*(Geotech!D44&gt;=PLT!$F$4:$F$8886)*(PLT!$V$4:$V$8886&lt;&gt;AD44)*(PLT!$V$4:$V$8886&lt;&gt;AE44)*("Valid"=PLT!$P$4:$P$7190),PLT!$V$4:$V$8886),"")</f>
        <v/>
      </c>
      <c r="AG44" s="44">
        <f>IFERROR(IF(AVERAGE(AD44:AF44)&gt;References!$BO$23,References!$BP$23,
IF(AVERAGE(AD44:AF44)&gt;References!$BO$22,References!$BP$22,
IF(AVERAGE(AD44:AF44)&gt;References!$BO$21,References!$BP$21,
IF(AVERAGE(AD44:AF44)&gt;References!$BO$20,References!$BP$20,
IF(AVERAGE(AD44:AF44)&gt;References!$BO$19,References!$BP$19,
IF(AVERAGE(AD44:AF44)&gt;References!$BO$18,References!$BP$18,
0)))))),"")</f>
        <v>0</v>
      </c>
      <c r="AH44" s="43">
        <f>IF(Data_Geotech[[#This Row],[Is50]]="",VLOOKUP(Data_Geotech[[#This Row],[Field Intact Rock Strength]],Table_RMR76_Strength[],2,FALSE),Data_Geotech[[#This Row],[Is50]])</f>
        <v>0</v>
      </c>
      <c r="AI44" s="43">
        <f>IF(Data_Geotech[[#This Row],[RQD (%)]]&lt;=25,3,IF(Data_Geotech[[#This Row],[RQD (%)]]&lt;=50,8,IF(Data_Geotech[[#This Row],[RQD (%)]]&lt;=75,13,IF(Data_Geotech[[#This Row],[RQD (%)]]&lt;=90,17,20))))</f>
        <v>20</v>
      </c>
      <c r="AJ44" s="43">
        <f>IF(Data_Geotech[[#This Row],[Joint spacing (m)]]&lt;=0.05,5,IF(Data_Geotech[[#This Row],[Joint spacing (m)]]&lt;=0.3,10,IF(Data_Geotech[[#This Row],[Joint spacing (m)]]&lt;=1,20,IF(Data_Geotech[[#This Row],[Joint spacing (m)]]&lt;=3,25,30))))</f>
        <v>20</v>
      </c>
      <c r="AK4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23.333333333333332</v>
      </c>
      <c r="AL44" s="6">
        <v>10</v>
      </c>
      <c r="AM44" s="117">
        <f>IF(Data_Geotech[[#This Row],[FIRS Code]]="R",IFERROR(SUM(Data_Geotech[[#This Row],[RMR76 - Strength rating]:[RMR76 - Ground water rating]]),""),"")</f>
        <v>73.333333333333329</v>
      </c>
      <c r="AN44" s="39">
        <f>IF(Data_Geotech[[#This Row],[FIRS Code]]="R",(2*Data_Geotech[[#This Row],[RMR76 - Joint condition rating]])+(IF(Data_Geotech[[#This Row],[RQD (%)]]&gt;80,80/2,Data_Geotech[[#This Row],[RQD (%)]]/2)),"")</f>
        <v>86.666666666666657</v>
      </c>
      <c r="AO44" s="43" t="str">
        <f>LEFT(Data_Geotech[[#This Row],[Joint Set Rating]],FIND("-",Data_Geotech[[#This Row],[Joint Set Rating]],1)-2)</f>
        <v>6</v>
      </c>
      <c r="AP4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44" s="5">
        <f t="shared" si="0"/>
        <v>1</v>
      </c>
      <c r="AR44" s="49">
        <f>IF(Data_Geotech[[#This Row],[FIRS Code]]="R",IFERROR((IF(Data_Geotech[[#This Row],[RQD (%)]]&lt;10,10,Data_Geotech[[#This Row],[RQD (%)]])/Data_Geotech[[#This Row],[Jn rating]])*Data_Geotech[[#This Row],[Jr/Ja]],""),"")</f>
        <v>20.833333333333336</v>
      </c>
      <c r="AS44" s="45">
        <f>IF(Data_Geotech[[#This Row],[FIRS Code]]="R",IFERROR((IF(Data_Geotech[[#This Row],[RQD (%)]]&lt;10,10,Data_Geotech[[#This Row],[RQD (%)]])/Data_Geotech[[#This Row],[Jn rating]])*Data_Geotech[[#This Row],[Jr/Ja]]*Data_Geotech[[#This Row],[Jw/SRF]],""),"")</f>
        <v>20.833333333333336</v>
      </c>
      <c r="AT44" s="12"/>
      <c r="AU44" s="13">
        <f>100-Data_Geotech[[#This Row],[RQD (%)]]</f>
        <v>0</v>
      </c>
      <c r="AV44" s="13">
        <f>100-Data_Geotech[[#This Row],[TCR (%)]]</f>
        <v>2.2737367544323206E-13</v>
      </c>
      <c r="AW44" s="62">
        <f>(Data_Geotech[[#This Row],[Fracture per interval]]+Data_Geotech[[#This Row],[Added fractures 
(BC, FLT, LC)]])/Data_Geotech[[#This Row],[TCR (m)]]</f>
        <v>1.0238907849829351</v>
      </c>
      <c r="AX44" s="6" t="s">
        <v>109</v>
      </c>
      <c r="AY44" s="63">
        <f>7-MID(Data_Geotech[[#This Row],[Field Intact Rock Strength]],2,1)</f>
        <v>3</v>
      </c>
      <c r="AZ44" s="63">
        <f>VLOOKUP(Data_Geotech[[#This Row],[Field Intact Rock Strength]],Table_FieldStrength[],2,FALSE)</f>
        <v>50</v>
      </c>
      <c r="BA44" s="63">
        <f>VLOOKUP(Data_Geotech[[#This Row],[Field Intact Rock Strength]],Table_FieldStrength[],3,FALSE)</f>
        <v>75</v>
      </c>
      <c r="BB44" s="63">
        <f>VLOOKUP(Data_Geotech[[#This Row],[Field Intact Rock Strength]],Table_FieldStrength[],4,FALSE)</f>
        <v>100</v>
      </c>
      <c r="BC44" s="63">
        <f>100-Data_Geotech[[#This Row],[RMR76]]</f>
        <v>26.666666666666671</v>
      </c>
      <c r="BD44" s="63" t="str">
        <f>LEFT(Data_Geotech[[#This Row],[Weathering/Alteration]],FIND("-",Data_Geotech[[#This Row],[Weathering/Alteration]])-2)</f>
        <v>W1/A1</v>
      </c>
    </row>
    <row r="45" spans="1:56" ht="15.75" hidden="1" thickBot="1" x14ac:dyDescent="0.3">
      <c r="A45" t="s">
        <v>26</v>
      </c>
      <c r="B45" s="16" t="str">
        <f>VLOOKUP(Data_Geotech[[#This Row],[Hole ID]],Data_Log[],2,FALSE)</f>
        <v>CGF-01</v>
      </c>
      <c r="C45" s="5">
        <v>137.93</v>
      </c>
      <c r="D45" s="5">
        <v>139</v>
      </c>
      <c r="E45" s="5">
        <f>(Data_Geotech[[#This Row],[To (m)]]-Data_Geotech[[#This Row],[From (m)]])/2+Data_Geotech[[#This Row],[From (m)]]</f>
        <v>138.465</v>
      </c>
      <c r="F45" s="13">
        <f>Data_Geotech[[#This Row],[To (m)]]-Data_Geotech[[#This Row],[From (m)]]</f>
        <v>1.0699999999999932</v>
      </c>
      <c r="G45" s="5">
        <v>1.07</v>
      </c>
      <c r="H45" s="61">
        <f>Data_Geotech[[#This Row],[TCR (m)]]/Data_Geotech[[#This Row],[Run (m)]]*100</f>
        <v>100.00000000000064</v>
      </c>
      <c r="I45" s="151">
        <v>1.08</v>
      </c>
      <c r="J45" s="151">
        <v>1.08</v>
      </c>
      <c r="K45" s="5">
        <v>1.08</v>
      </c>
      <c r="L45" s="61">
        <f>Data_Geotech[[#This Row],[RQD (m)]]/Data_Geotech[[#This Row],[Run Reel (m)]]*100</f>
        <v>100</v>
      </c>
      <c r="M45" t="s">
        <v>584</v>
      </c>
      <c r="O45" t="s">
        <v>278</v>
      </c>
      <c r="P45" s="115" t="s">
        <v>397</v>
      </c>
      <c r="Q45" s="5" t="s">
        <v>313</v>
      </c>
      <c r="R45" s="5"/>
      <c r="S45" s="5"/>
      <c r="T45" s="5"/>
      <c r="U45" s="5"/>
      <c r="V45" s="6">
        <v>1</v>
      </c>
      <c r="W45" s="92">
        <f>SUMIFS(Discontinuities!$D$4:$D$9664,Discontinuities!$A$4:$A$9664,A45,Discontinuities!$C$4:$C$9664,"&gt;="&amp;C45,Discontinuities!$C$4:$C$9664,"&lt;"&amp;D45)
-SUMIFS(Discontinuities!$D$4:$D$9664,Discontinuities!$A$4:$A$9664,A45,Discontinuities!$C$4:$C$9664,"&gt;="&amp;C45,Discontinuities!$C$4:$C$9664,"&lt;"&amp;D45,Discontinuities!$E$4:$E$9664,"=BC")
-SUMIFS(Discontinuities!$D$4:$D$9664,Discontinuities!$A$4:$A$9664,A45,Discontinuities!$C$4:$C$9664,"&gt;="&amp;C45,Discontinuities!$C$4:$C$9664,"&lt;"&amp;D45,Discontinuities!$E$4:$E$9664,"=LC")
-SUMIFS(Discontinuities!$D$4:$D$9664,Discontinuities!$A$4:$A$9664,A45,Discontinuities!$C$4:$C$9664,"&gt;="&amp;C45,Discontinuities!$C$4:$C$9664,"&lt;"&amp;D45,Discontinuities!$E$4:$E$9664,"=FLT")</f>
        <v>1</v>
      </c>
      <c r="X45" t="s">
        <v>345</v>
      </c>
      <c r="Z45" t="s">
        <v>589</v>
      </c>
      <c r="AA45" s="12"/>
      <c r="AB45" s="43">
        <f>IFERROR(ROUND((Data_Geotech[[#This Row],[Fault (m)]]+Data_Geotech[[#This Row],[Broken Core (m)]]+Data_Geotech[[#This Row],[Lost Core (m)]])*30,0),0)</f>
        <v>0</v>
      </c>
      <c r="AC45" s="44">
        <f>IF(Data_Geotech[[#This Row],[Added fractures 
(BC, FLT, LC)]]+Data_Geotech[[#This Row],[Fracture per interval]]=0,99,1/((Data_Geotech[[#This Row],[Fracture per interval]]+Data_Geotech[[#This Row],[Added fractures 
(BC, FLT, LC)]])/Data_Geotech[[#This Row],[Run (m)]]))</f>
        <v>1.0699999999999932</v>
      </c>
      <c r="AD45" s="155" t="str" cm="1">
        <f t="array" ref="AD45">IFERROR(_xlfn.XLOOKUP(1,(A45=PLT!$A$4:$A$8886)*(Geotech!C45&lt;=PLT!$F$4:$F$8886)*(Geotech!D45&gt;=PLT!$F$4:$F$8886)*("Valid"=PLT!$P$4:$P$8886),PLT!$V$4:$V$8886),"")</f>
        <v/>
      </c>
      <c r="AE45" s="156" t="str" cm="1">
        <f t="array" ref="AE45">IFERROR(_xlfn.XLOOKUP(1,(A45=PLT!$A$4:$A$8886)*(Geotech!C45&lt;=PLT!$F$4:$F$8886)*(Geotech!D45&gt;=PLT!$F$4:$F$8886)*(PLT!$V$4:$V$8886&lt;&gt;AD45)*("Valid"=PLT!$P$4:$P$7190),PLT!$V$4:$V$8886),"")</f>
        <v/>
      </c>
      <c r="AF45" s="156" t="str" cm="1">
        <f t="array" ref="AF45">IFERROR(_xlfn.XLOOKUP(1,(A45=PLT!$A$4:$A$8886)*(Geotech!C45&lt;=PLT!$F$4:$F$8886)*(Geotech!D45&gt;=PLT!$F$4:$F$8886)*(PLT!$V$4:$V$8886&lt;&gt;AD45)*(PLT!$V$4:$V$8886&lt;&gt;AE45)*("Valid"=PLT!$P$4:$P$7190),PLT!$V$4:$V$8886),"")</f>
        <v/>
      </c>
      <c r="AG45" s="44" t="str">
        <f>IFERROR(IF(AVERAGE(AD45:AF45)&gt;References!$BO$23,References!$BP$23,
IF(AVERAGE(AD45:AF45)&gt;References!$BO$22,References!$BP$22,
IF(AVERAGE(AD45:AF45)&gt;References!$BO$21,References!$BP$21,
IF(AVERAGE(AD45:AF45)&gt;References!$BO$20,References!$BP$20,
IF(AVERAGE(AD45:AF45)&gt;References!$BO$19,References!$BP$19,
IF(AVERAGE(AD45:AF45)&gt;References!$BO$18,References!$BP$18,
0)))))),"")</f>
        <v/>
      </c>
      <c r="AH45" s="43">
        <f>IF(Data_Geotech[[#This Row],[Is50]]="",VLOOKUP(Data_Geotech[[#This Row],[Field Intact Rock Strength]],Table_RMR76_Strength[],2,FALSE),Data_Geotech[[#This Row],[Is50]])</f>
        <v>12</v>
      </c>
      <c r="AI45" s="43">
        <f>IF(Data_Geotech[[#This Row],[RQD (%)]]&lt;=25,3,IF(Data_Geotech[[#This Row],[RQD (%)]]&lt;=50,8,IF(Data_Geotech[[#This Row],[RQD (%)]]&lt;=75,13,IF(Data_Geotech[[#This Row],[RQD (%)]]&lt;=90,17,20))))</f>
        <v>20</v>
      </c>
      <c r="AJ45" s="43">
        <f>IF(Data_Geotech[[#This Row],[Joint spacing (m)]]&lt;=0.05,5,IF(Data_Geotech[[#This Row],[Joint spacing (m)]]&lt;=0.3,10,IF(Data_Geotech[[#This Row],[Joint spacing (m)]]&lt;=1,20,IF(Data_Geotech[[#This Row],[Joint spacing (m)]]&lt;=3,25,30))))</f>
        <v>25</v>
      </c>
      <c r="AK4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45" s="6">
        <v>10</v>
      </c>
      <c r="AM45" s="117">
        <f>IF(Data_Geotech[[#This Row],[FIRS Code]]="R",IFERROR(SUM(Data_Geotech[[#This Row],[RMR76 - Strength rating]:[RMR76 - Ground water rating]]),""),"")</f>
        <v>87</v>
      </c>
      <c r="AN45" s="39">
        <f>IF(Data_Geotech[[#This Row],[FIRS Code]]="R",(2*Data_Geotech[[#This Row],[RMR76 - Joint condition rating]])+(IF(Data_Geotech[[#This Row],[RQD (%)]]&gt;80,80/2,Data_Geotech[[#This Row],[RQD (%)]]/2)),"")</f>
        <v>80</v>
      </c>
      <c r="AO45" s="43" t="str">
        <f>LEFT(Data_Geotech[[#This Row],[Joint Set Rating]],FIND("-",Data_Geotech[[#This Row],[Joint Set Rating]],1)-2)</f>
        <v>3</v>
      </c>
      <c r="AP4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45" s="5">
        <f t="shared" si="0"/>
        <v>1</v>
      </c>
      <c r="AR45" s="49">
        <f>IF(Data_Geotech[[#This Row],[FIRS Code]]="R",IFERROR((IF(Data_Geotech[[#This Row],[RQD (%)]]&lt;10,10,Data_Geotech[[#This Row],[RQD (%)]])/Data_Geotech[[#This Row],[Jn rating]])*Data_Geotech[[#This Row],[Jr/Ja]],""),"")</f>
        <v>25</v>
      </c>
      <c r="AS45" s="45">
        <f>IF(Data_Geotech[[#This Row],[FIRS Code]]="R",IFERROR((IF(Data_Geotech[[#This Row],[RQD (%)]]&lt;10,10,Data_Geotech[[#This Row],[RQD (%)]])/Data_Geotech[[#This Row],[Jn rating]])*Data_Geotech[[#This Row],[Jr/Ja]]*Data_Geotech[[#This Row],[Jw/SRF]],""),"")</f>
        <v>25</v>
      </c>
      <c r="AT45" s="12"/>
      <c r="AU45" s="13">
        <f>100-Data_Geotech[[#This Row],[RQD (%)]]</f>
        <v>0</v>
      </c>
      <c r="AV45" s="13">
        <f>100-Data_Geotech[[#This Row],[TCR (%)]]</f>
        <v>-6.3948846218409017E-13</v>
      </c>
      <c r="AW45" s="62">
        <f>(Data_Geotech[[#This Row],[Fracture per interval]]+Data_Geotech[[#This Row],[Added fractures 
(BC, FLT, LC)]])/Data_Geotech[[#This Row],[TCR (m)]]</f>
        <v>0.93457943925233644</v>
      </c>
      <c r="AX45" s="6" t="s">
        <v>109</v>
      </c>
      <c r="AY45" s="63">
        <f>7-MID(Data_Geotech[[#This Row],[Field Intact Rock Strength]],2,1)</f>
        <v>2</v>
      </c>
      <c r="AZ45" s="63">
        <f>VLOOKUP(Data_Geotech[[#This Row],[Field Intact Rock Strength]],Table_FieldStrength[],2,FALSE)</f>
        <v>100</v>
      </c>
      <c r="BA45" s="63">
        <f>VLOOKUP(Data_Geotech[[#This Row],[Field Intact Rock Strength]],Table_FieldStrength[],3,FALSE)</f>
        <v>175</v>
      </c>
      <c r="BB45" s="63">
        <f>VLOOKUP(Data_Geotech[[#This Row],[Field Intact Rock Strength]],Table_FieldStrength[],4,FALSE)</f>
        <v>250</v>
      </c>
      <c r="BC45" s="63">
        <f>100-Data_Geotech[[#This Row],[RMR76]]</f>
        <v>13</v>
      </c>
      <c r="BD45" s="63" t="str">
        <f>LEFT(Data_Geotech[[#This Row],[Weathering/Alteration]],FIND("-",Data_Geotech[[#This Row],[Weathering/Alteration]])-2)</f>
        <v>W2/A2</v>
      </c>
    </row>
    <row r="46" spans="1:56" ht="15.75" hidden="1" thickBot="1" x14ac:dyDescent="0.3">
      <c r="A46" t="s">
        <v>26</v>
      </c>
      <c r="B46" s="16" t="str">
        <f>VLOOKUP(Data_Geotech[[#This Row],[Hole ID]],Data_Log[],2,FALSE)</f>
        <v>CGF-01</v>
      </c>
      <c r="C46" s="5">
        <v>139</v>
      </c>
      <c r="D46" s="5">
        <v>141</v>
      </c>
      <c r="E46" s="5">
        <f>(Data_Geotech[[#This Row],[To (m)]]-Data_Geotech[[#This Row],[From (m)]])/2+Data_Geotech[[#This Row],[From (m)]]</f>
        <v>140</v>
      </c>
      <c r="F46" s="13">
        <f>Data_Geotech[[#This Row],[To (m)]]-Data_Geotech[[#This Row],[From (m)]]</f>
        <v>2</v>
      </c>
      <c r="G46" s="5">
        <v>2</v>
      </c>
      <c r="H46" s="61">
        <f>Data_Geotech[[#This Row],[TCR (m)]]/Data_Geotech[[#This Row],[Run (m)]]*100</f>
        <v>100</v>
      </c>
      <c r="I46" s="151">
        <v>2</v>
      </c>
      <c r="J46" s="151">
        <v>2</v>
      </c>
      <c r="K46" s="5">
        <v>1.93</v>
      </c>
      <c r="L46" s="61">
        <f>Data_Geotech[[#This Row],[RQD (m)]]/Data_Geotech[[#This Row],[Run Reel (m)]]*100</f>
        <v>96.5</v>
      </c>
      <c r="M46" t="s">
        <v>584</v>
      </c>
      <c r="O46" t="s">
        <v>310</v>
      </c>
      <c r="P46" s="115" t="s">
        <v>397</v>
      </c>
      <c r="Q46" s="5" t="s">
        <v>313</v>
      </c>
      <c r="R46" s="5"/>
      <c r="S46" s="5">
        <v>7.0000000000000007E-2</v>
      </c>
      <c r="T46" s="5"/>
      <c r="U46" s="5"/>
      <c r="V46" s="6">
        <v>2</v>
      </c>
      <c r="W46" s="92">
        <f>SUMIFS(Discontinuities!$D$4:$D$9664,Discontinuities!$A$4:$A$9664,A46,Discontinuities!$C$4:$C$9664,"&gt;="&amp;C46,Discontinuities!$C$4:$C$9664,"&lt;"&amp;D46)
-SUMIFS(Discontinuities!$D$4:$D$9664,Discontinuities!$A$4:$A$9664,A46,Discontinuities!$C$4:$C$9664,"&gt;="&amp;C46,Discontinuities!$C$4:$C$9664,"&lt;"&amp;D46,Discontinuities!$E$4:$E$9664,"=BC")
-SUMIFS(Discontinuities!$D$4:$D$9664,Discontinuities!$A$4:$A$9664,A46,Discontinuities!$C$4:$C$9664,"&gt;="&amp;C46,Discontinuities!$C$4:$C$9664,"&lt;"&amp;D46,Discontinuities!$E$4:$E$9664,"=LC")
-SUMIFS(Discontinuities!$D$4:$D$9664,Discontinuities!$A$4:$A$9664,A46,Discontinuities!$C$4:$C$9664,"&gt;="&amp;C46,Discontinuities!$C$4:$C$9664,"&lt;"&amp;D46,Discontinuities!$E$4:$E$9664,"=FLT")</f>
        <v>2</v>
      </c>
      <c r="X46" t="s">
        <v>345</v>
      </c>
      <c r="Z46" t="s">
        <v>588</v>
      </c>
      <c r="AA46" s="12"/>
      <c r="AB46" s="43">
        <f>IFERROR(ROUND((Data_Geotech[[#This Row],[Fault (m)]]+Data_Geotech[[#This Row],[Broken Core (m)]]+Data_Geotech[[#This Row],[Lost Core (m)]])*30,0),0)</f>
        <v>2</v>
      </c>
      <c r="AC46" s="44">
        <f>IF(Data_Geotech[[#This Row],[Added fractures 
(BC, FLT, LC)]]+Data_Geotech[[#This Row],[Fracture per interval]]=0,99,1/((Data_Geotech[[#This Row],[Fracture per interval]]+Data_Geotech[[#This Row],[Added fractures 
(BC, FLT, LC)]])/Data_Geotech[[#This Row],[Run (m)]]))</f>
        <v>0.5</v>
      </c>
      <c r="AD46" s="155" cm="1">
        <f t="array" ref="AD46">IFERROR(_xlfn.XLOOKUP(1,(A46=PLT!$A$4:$A$8886)*(Geotech!C46&lt;=PLT!$F$4:$F$8886)*(Geotech!D46&gt;=PLT!$F$4:$F$8886)*("Valid"=PLT!$P$4:$P$8886),PLT!$V$4:$V$8886),"")</f>
        <v>0</v>
      </c>
      <c r="AE46" s="156" t="str" cm="1">
        <f t="array" ref="AE46">IFERROR(_xlfn.XLOOKUP(1,(A46=PLT!$A$4:$A$8886)*(Geotech!C46&lt;=PLT!$F$4:$F$8886)*(Geotech!D46&gt;=PLT!$F$4:$F$8886)*(PLT!$V$4:$V$8886&lt;&gt;AD46)*("Valid"=PLT!$P$4:$P$7190),PLT!$V$4:$V$8886),"")</f>
        <v/>
      </c>
      <c r="AF46" s="156" t="str" cm="1">
        <f t="array" ref="AF46">IFERROR(_xlfn.XLOOKUP(1,(A46=PLT!$A$4:$A$8886)*(Geotech!C46&lt;=PLT!$F$4:$F$8886)*(Geotech!D46&gt;=PLT!$F$4:$F$8886)*(PLT!$V$4:$V$8886&lt;&gt;AD46)*(PLT!$V$4:$V$8886&lt;&gt;AE46)*("Valid"=PLT!$P$4:$P$7190),PLT!$V$4:$V$8886),"")</f>
        <v/>
      </c>
      <c r="AG46" s="44">
        <f>IFERROR(IF(AVERAGE(AD46:AF46)&gt;References!$BO$23,References!$BP$23,
IF(AVERAGE(AD46:AF46)&gt;References!$BO$22,References!$BP$22,
IF(AVERAGE(AD46:AF46)&gt;References!$BO$21,References!$BP$21,
IF(AVERAGE(AD46:AF46)&gt;References!$BO$20,References!$BP$20,
IF(AVERAGE(AD46:AF46)&gt;References!$BO$19,References!$BP$19,
IF(AVERAGE(AD46:AF46)&gt;References!$BO$18,References!$BP$18,
0)))))),"")</f>
        <v>0</v>
      </c>
      <c r="AH46" s="43">
        <f>IF(Data_Geotech[[#This Row],[Is50]]="",VLOOKUP(Data_Geotech[[#This Row],[Field Intact Rock Strength]],Table_RMR76_Strength[],2,FALSE),Data_Geotech[[#This Row],[Is50]])</f>
        <v>0</v>
      </c>
      <c r="AI46" s="43">
        <f>IF(Data_Geotech[[#This Row],[RQD (%)]]&lt;=25,3,IF(Data_Geotech[[#This Row],[RQD (%)]]&lt;=50,8,IF(Data_Geotech[[#This Row],[RQD (%)]]&lt;=75,13,IF(Data_Geotech[[#This Row],[RQD (%)]]&lt;=90,17,20))))</f>
        <v>20</v>
      </c>
      <c r="AJ46" s="43">
        <f>IF(Data_Geotech[[#This Row],[Joint spacing (m)]]&lt;=0.05,5,IF(Data_Geotech[[#This Row],[Joint spacing (m)]]&lt;=0.3,10,IF(Data_Geotech[[#This Row],[Joint spacing (m)]]&lt;=1,20,IF(Data_Geotech[[#This Row],[Joint spacing (m)]]&lt;=3,25,30))))</f>
        <v>20</v>
      </c>
      <c r="AK4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46" s="6">
        <v>10</v>
      </c>
      <c r="AM46" s="117">
        <f>IF(Data_Geotech[[#This Row],[FIRS Code]]="R",IFERROR(SUM(Data_Geotech[[#This Row],[RMR76 - Strength rating]:[RMR76 - Ground water rating]]),""),"")</f>
        <v>68.5</v>
      </c>
      <c r="AN46" s="39">
        <f>IF(Data_Geotech[[#This Row],[FIRS Code]]="R",(2*Data_Geotech[[#This Row],[RMR76 - Joint condition rating]])+(IF(Data_Geotech[[#This Row],[RQD (%)]]&gt;80,80/2,Data_Geotech[[#This Row],[RQD (%)]]/2)),"")</f>
        <v>77</v>
      </c>
      <c r="AO46" s="43" t="str">
        <f>LEFT(Data_Geotech[[#This Row],[Joint Set Rating]],FIND("-",Data_Geotech[[#This Row],[Joint Set Rating]],1)-2)</f>
        <v>3</v>
      </c>
      <c r="AP4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0.875</v>
      </c>
      <c r="AQ46" s="5">
        <f t="shared" si="0"/>
        <v>1</v>
      </c>
      <c r="AR46" s="49">
        <f>IF(Data_Geotech[[#This Row],[FIRS Code]]="R",IFERROR((IF(Data_Geotech[[#This Row],[RQD (%)]]&lt;10,10,Data_Geotech[[#This Row],[RQD (%)]])/Data_Geotech[[#This Row],[Jn rating]])*Data_Geotech[[#This Row],[Jr/Ja]],""),"")</f>
        <v>28.145833333333332</v>
      </c>
      <c r="AS46" s="45">
        <f>IF(Data_Geotech[[#This Row],[FIRS Code]]="R",IFERROR((IF(Data_Geotech[[#This Row],[RQD (%)]]&lt;10,10,Data_Geotech[[#This Row],[RQD (%)]])/Data_Geotech[[#This Row],[Jn rating]])*Data_Geotech[[#This Row],[Jr/Ja]]*Data_Geotech[[#This Row],[Jw/SRF]],""),"")</f>
        <v>28.145833333333332</v>
      </c>
      <c r="AT46" s="12"/>
      <c r="AU46" s="13">
        <f>100-Data_Geotech[[#This Row],[RQD (%)]]</f>
        <v>3.5</v>
      </c>
      <c r="AV46" s="13">
        <f>100-Data_Geotech[[#This Row],[TCR (%)]]</f>
        <v>0</v>
      </c>
      <c r="AW46" s="62">
        <f>(Data_Geotech[[#This Row],[Fracture per interval]]+Data_Geotech[[#This Row],[Added fractures 
(BC, FLT, LC)]])/Data_Geotech[[#This Row],[TCR (m)]]</f>
        <v>2</v>
      </c>
      <c r="AX46" s="6" t="s">
        <v>109</v>
      </c>
      <c r="AY46" s="63">
        <f>7-MID(Data_Geotech[[#This Row],[Field Intact Rock Strength]],2,1)</f>
        <v>2</v>
      </c>
      <c r="AZ46" s="63">
        <f>VLOOKUP(Data_Geotech[[#This Row],[Field Intact Rock Strength]],Table_FieldStrength[],2,FALSE)</f>
        <v>100</v>
      </c>
      <c r="BA46" s="63">
        <f>VLOOKUP(Data_Geotech[[#This Row],[Field Intact Rock Strength]],Table_FieldStrength[],3,FALSE)</f>
        <v>175</v>
      </c>
      <c r="BB46" s="63">
        <f>VLOOKUP(Data_Geotech[[#This Row],[Field Intact Rock Strength]],Table_FieldStrength[],4,FALSE)</f>
        <v>250</v>
      </c>
      <c r="BC46" s="63">
        <f>100-Data_Geotech[[#This Row],[RMR76]]</f>
        <v>31.5</v>
      </c>
      <c r="BD46" s="63" t="str">
        <f>LEFT(Data_Geotech[[#This Row],[Weathering/Alteration]],FIND("-",Data_Geotech[[#This Row],[Weathering/Alteration]])-2)</f>
        <v>W3/A3</v>
      </c>
    </row>
    <row r="47" spans="1:56" ht="15.75" hidden="1" thickBot="1" x14ac:dyDescent="0.3">
      <c r="A47" t="s">
        <v>26</v>
      </c>
      <c r="B47" s="16" t="str">
        <f>VLOOKUP(Data_Geotech[[#This Row],[Hole ID]],Data_Log[],2,FALSE)</f>
        <v>CGF-01</v>
      </c>
      <c r="C47" s="5">
        <v>141</v>
      </c>
      <c r="D47" s="5">
        <v>141.87</v>
      </c>
      <c r="E47" s="5">
        <f>(Data_Geotech[[#This Row],[To (m)]]-Data_Geotech[[#This Row],[From (m)]])/2+Data_Geotech[[#This Row],[From (m)]]</f>
        <v>141.435</v>
      </c>
      <c r="F47" s="13">
        <f>Data_Geotech[[#This Row],[To (m)]]-Data_Geotech[[#This Row],[From (m)]]</f>
        <v>0.87000000000000455</v>
      </c>
      <c r="G47" s="5">
        <v>0.87</v>
      </c>
      <c r="H47" s="61">
        <f>Data_Geotech[[#This Row],[TCR (m)]]/Data_Geotech[[#This Row],[Run (m)]]*100</f>
        <v>99.999999999999474</v>
      </c>
      <c r="I47" s="151">
        <v>0.87</v>
      </c>
      <c r="J47" s="151">
        <v>0.87</v>
      </c>
      <c r="K47" s="5">
        <v>0.87</v>
      </c>
      <c r="L47" s="61">
        <f>Data_Geotech[[#This Row],[RQD (m)]]/Data_Geotech[[#This Row],[Run Reel (m)]]*100</f>
        <v>100</v>
      </c>
      <c r="M47" t="s">
        <v>580</v>
      </c>
      <c r="O47" t="s">
        <v>310</v>
      </c>
      <c r="P47" s="115" t="s">
        <v>397</v>
      </c>
      <c r="Q47" s="5" t="s">
        <v>313</v>
      </c>
      <c r="R47" s="5"/>
      <c r="S47" s="5"/>
      <c r="T47" s="5"/>
      <c r="U47" s="5"/>
      <c r="V47" s="6">
        <v>3</v>
      </c>
      <c r="W47" s="92">
        <f>SUMIFS(Discontinuities!$D$4:$D$9664,Discontinuities!$A$4:$A$9664,A47,Discontinuities!$C$4:$C$9664,"&gt;="&amp;C47,Discontinuities!$C$4:$C$9664,"&lt;"&amp;D47)
-SUMIFS(Discontinuities!$D$4:$D$9664,Discontinuities!$A$4:$A$9664,A47,Discontinuities!$C$4:$C$9664,"&gt;="&amp;C47,Discontinuities!$C$4:$C$9664,"&lt;"&amp;D47,Discontinuities!$E$4:$E$9664,"=BC")
-SUMIFS(Discontinuities!$D$4:$D$9664,Discontinuities!$A$4:$A$9664,A47,Discontinuities!$C$4:$C$9664,"&gt;="&amp;C47,Discontinuities!$C$4:$C$9664,"&lt;"&amp;D47,Discontinuities!$E$4:$E$9664,"=LC")
-SUMIFS(Discontinuities!$D$4:$D$9664,Discontinuities!$A$4:$A$9664,A47,Discontinuities!$C$4:$C$9664,"&gt;="&amp;C47,Discontinuities!$C$4:$C$9664,"&lt;"&amp;D47,Discontinuities!$E$4:$E$9664,"=FLT")</f>
        <v>3</v>
      </c>
      <c r="X47" t="s">
        <v>312</v>
      </c>
      <c r="Z47" t="s">
        <v>588</v>
      </c>
      <c r="AA47" s="12"/>
      <c r="AB47" s="43">
        <f>IFERROR(ROUND((Data_Geotech[[#This Row],[Fault (m)]]+Data_Geotech[[#This Row],[Broken Core (m)]]+Data_Geotech[[#This Row],[Lost Core (m)]])*30,0),0)</f>
        <v>0</v>
      </c>
      <c r="AC47" s="44">
        <f>IF(Data_Geotech[[#This Row],[Added fractures 
(BC, FLT, LC)]]+Data_Geotech[[#This Row],[Fracture per interval]]=0,99,1/((Data_Geotech[[#This Row],[Fracture per interval]]+Data_Geotech[[#This Row],[Added fractures 
(BC, FLT, LC)]])/Data_Geotech[[#This Row],[Run (m)]]))</f>
        <v>0.29000000000000153</v>
      </c>
      <c r="AD47" s="155" cm="1">
        <f t="array" ref="AD47">IFERROR(_xlfn.XLOOKUP(1,(A47=PLT!$A$4:$A$8886)*(Geotech!C47&lt;=PLT!$F$4:$F$8886)*(Geotech!D47&gt;=PLT!$F$4:$F$8886)*("Valid"=PLT!$P$4:$P$8886),PLT!$V$4:$V$8886),"")</f>
        <v>0</v>
      </c>
      <c r="AE47" s="156" t="str" cm="1">
        <f t="array" ref="AE47">IFERROR(_xlfn.XLOOKUP(1,(A47=PLT!$A$4:$A$8886)*(Geotech!C47&lt;=PLT!$F$4:$F$8886)*(Geotech!D47&gt;=PLT!$F$4:$F$8886)*(PLT!$V$4:$V$8886&lt;&gt;AD47)*("Valid"=PLT!$P$4:$P$7190),PLT!$V$4:$V$8886),"")</f>
        <v/>
      </c>
      <c r="AF47" s="156" t="str" cm="1">
        <f t="array" ref="AF47">IFERROR(_xlfn.XLOOKUP(1,(A47=PLT!$A$4:$A$8886)*(Geotech!C47&lt;=PLT!$F$4:$F$8886)*(Geotech!D47&gt;=PLT!$F$4:$F$8886)*(PLT!$V$4:$V$8886&lt;&gt;AD47)*(PLT!$V$4:$V$8886&lt;&gt;AE47)*("Valid"=PLT!$P$4:$P$7190),PLT!$V$4:$V$8886),"")</f>
        <v/>
      </c>
      <c r="AG47" s="44">
        <f>IFERROR(IF(AVERAGE(AD47:AF47)&gt;References!$BO$23,References!$BP$23,
IF(AVERAGE(AD47:AF47)&gt;References!$BO$22,References!$BP$22,
IF(AVERAGE(AD47:AF47)&gt;References!$BO$21,References!$BP$21,
IF(AVERAGE(AD47:AF47)&gt;References!$BO$20,References!$BP$20,
IF(AVERAGE(AD47:AF47)&gt;References!$BO$19,References!$BP$19,
IF(AVERAGE(AD47:AF47)&gt;References!$BO$18,References!$BP$18,
0)))))),"")</f>
        <v>0</v>
      </c>
      <c r="AH47" s="43">
        <f>IF(Data_Geotech[[#This Row],[Is50]]="",VLOOKUP(Data_Geotech[[#This Row],[Field Intact Rock Strength]],Table_RMR76_Strength[],2,FALSE),Data_Geotech[[#This Row],[Is50]])</f>
        <v>0</v>
      </c>
      <c r="AI47" s="43">
        <f>IF(Data_Geotech[[#This Row],[RQD (%)]]&lt;=25,3,IF(Data_Geotech[[#This Row],[RQD (%)]]&lt;=50,8,IF(Data_Geotech[[#This Row],[RQD (%)]]&lt;=75,13,IF(Data_Geotech[[#This Row],[RQD (%)]]&lt;=90,17,20))))</f>
        <v>20</v>
      </c>
      <c r="AJ47" s="43">
        <f>IF(Data_Geotech[[#This Row],[Joint spacing (m)]]&lt;=0.05,5,IF(Data_Geotech[[#This Row],[Joint spacing (m)]]&lt;=0.3,10,IF(Data_Geotech[[#This Row],[Joint spacing (m)]]&lt;=1,20,IF(Data_Geotech[[#This Row],[Joint spacing (m)]]&lt;=3,25,30))))</f>
        <v>10</v>
      </c>
      <c r="AK4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v>
      </c>
      <c r="AL47" s="6">
        <v>10</v>
      </c>
      <c r="AM47" s="117">
        <f>IF(Data_Geotech[[#This Row],[FIRS Code]]="R",IFERROR(SUM(Data_Geotech[[#This Row],[RMR76 - Strength rating]:[RMR76 - Ground water rating]]),""),"")</f>
        <v>59</v>
      </c>
      <c r="AN47" s="39">
        <f>IF(Data_Geotech[[#This Row],[FIRS Code]]="R",(2*Data_Geotech[[#This Row],[RMR76 - Joint condition rating]])+(IF(Data_Geotech[[#This Row],[RQD (%)]]&gt;80,80/2,Data_Geotech[[#This Row],[RQD (%)]]/2)),"")</f>
        <v>78</v>
      </c>
      <c r="AO47" s="43" t="str">
        <f>LEFT(Data_Geotech[[#This Row],[Joint Set Rating]],FIND("-",Data_Geotech[[#This Row],[Joint Set Rating]],1)-2)</f>
        <v>2</v>
      </c>
      <c r="AP4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0.91666666666666663</v>
      </c>
      <c r="AQ47" s="5">
        <f t="shared" ref="AQ47:AQ66" si="1">1/1</f>
        <v>1</v>
      </c>
      <c r="AR47" s="49">
        <f>IF(Data_Geotech[[#This Row],[FIRS Code]]="R",IFERROR((IF(Data_Geotech[[#This Row],[RQD (%)]]&lt;10,10,Data_Geotech[[#This Row],[RQD (%)]])/Data_Geotech[[#This Row],[Jn rating]])*Data_Geotech[[#This Row],[Jr/Ja]],""),"")</f>
        <v>45.833333333333329</v>
      </c>
      <c r="AS47" s="45">
        <f>IF(Data_Geotech[[#This Row],[FIRS Code]]="R",IFERROR((IF(Data_Geotech[[#This Row],[RQD (%)]]&lt;10,10,Data_Geotech[[#This Row],[RQD (%)]])/Data_Geotech[[#This Row],[Jn rating]])*Data_Geotech[[#This Row],[Jr/Ja]]*Data_Geotech[[#This Row],[Jw/SRF]],""),"")</f>
        <v>45.833333333333329</v>
      </c>
      <c r="AT47" s="12"/>
      <c r="AU47" s="13">
        <f>100-Data_Geotech[[#This Row],[RQD (%)]]</f>
        <v>0</v>
      </c>
      <c r="AV47" s="13">
        <f>100-Data_Geotech[[#This Row],[TCR (%)]]</f>
        <v>5.2580162446247414E-13</v>
      </c>
      <c r="AW47" s="62">
        <f>(Data_Geotech[[#This Row],[Fracture per interval]]+Data_Geotech[[#This Row],[Added fractures 
(BC, FLT, LC)]])/Data_Geotech[[#This Row],[TCR (m)]]</f>
        <v>3.4482758620689657</v>
      </c>
      <c r="AX47" s="6" t="s">
        <v>109</v>
      </c>
      <c r="AY47" s="63">
        <f>7-MID(Data_Geotech[[#This Row],[Field Intact Rock Strength]],2,1)</f>
        <v>2</v>
      </c>
      <c r="AZ47" s="63">
        <f>VLOOKUP(Data_Geotech[[#This Row],[Field Intact Rock Strength]],Table_FieldStrength[],2,FALSE)</f>
        <v>100</v>
      </c>
      <c r="BA47" s="63">
        <f>VLOOKUP(Data_Geotech[[#This Row],[Field Intact Rock Strength]],Table_FieldStrength[],3,FALSE)</f>
        <v>175</v>
      </c>
      <c r="BB47" s="63">
        <f>VLOOKUP(Data_Geotech[[#This Row],[Field Intact Rock Strength]],Table_FieldStrength[],4,FALSE)</f>
        <v>250</v>
      </c>
      <c r="BC47" s="63">
        <f>100-Data_Geotech[[#This Row],[RMR76]]</f>
        <v>41</v>
      </c>
      <c r="BD47" s="63" t="str">
        <f>LEFT(Data_Geotech[[#This Row],[Weathering/Alteration]],FIND("-",Data_Geotech[[#This Row],[Weathering/Alteration]])-2)</f>
        <v>W3/A3</v>
      </c>
    </row>
    <row r="48" spans="1:56" ht="15.75" hidden="1" thickBot="1" x14ac:dyDescent="0.3">
      <c r="A48" t="s">
        <v>26</v>
      </c>
      <c r="B48" s="16" t="str">
        <f>VLOOKUP(Data_Geotech[[#This Row],[Hole ID]],Data_Log[],2,FALSE)</f>
        <v>CGF-01</v>
      </c>
      <c r="C48" s="5">
        <v>141.87</v>
      </c>
      <c r="D48" s="5">
        <v>142.19999999999999</v>
      </c>
      <c r="E48" s="5">
        <f>(Data_Geotech[[#This Row],[To (m)]]-Data_Geotech[[#This Row],[From (m)]])/2+Data_Geotech[[#This Row],[From (m)]]</f>
        <v>142.035</v>
      </c>
      <c r="F48" s="13">
        <f>Data_Geotech[[#This Row],[To (m)]]-Data_Geotech[[#This Row],[From (m)]]</f>
        <v>0.32999999999998408</v>
      </c>
      <c r="G48" s="5">
        <v>0.33</v>
      </c>
      <c r="H48" s="61">
        <f>Data_Geotech[[#This Row],[TCR (m)]]/Data_Geotech[[#This Row],[Run (m)]]*100</f>
        <v>100.00000000000482</v>
      </c>
      <c r="I48" s="151">
        <v>0.33</v>
      </c>
      <c r="J48" s="151">
        <v>0.33</v>
      </c>
      <c r="K48" s="5">
        <v>0.33</v>
      </c>
      <c r="L48" s="61">
        <f>Data_Geotech[[#This Row],[RQD (m)]]/Data_Geotech[[#This Row],[Run Reel (m)]]*100</f>
        <v>100</v>
      </c>
      <c r="M48" t="s">
        <v>590</v>
      </c>
      <c r="O48" t="s">
        <v>278</v>
      </c>
      <c r="P48" s="115" t="s">
        <v>370</v>
      </c>
      <c r="Q48" s="5" t="s">
        <v>346</v>
      </c>
      <c r="R48" s="5"/>
      <c r="S48" s="5"/>
      <c r="T48" s="5"/>
      <c r="U48" s="5"/>
      <c r="V48" s="6">
        <v>0</v>
      </c>
      <c r="W48" s="92">
        <f>SUMIFS(Discontinuities!$D$4:$D$9664,Discontinuities!$A$4:$A$9664,A48,Discontinuities!$C$4:$C$9664,"&gt;="&amp;C48,Discontinuities!$C$4:$C$9664,"&lt;"&amp;D48)
-SUMIFS(Discontinuities!$D$4:$D$9664,Discontinuities!$A$4:$A$9664,A48,Discontinuities!$C$4:$C$9664,"&gt;="&amp;C48,Discontinuities!$C$4:$C$9664,"&lt;"&amp;D48,Discontinuities!$E$4:$E$9664,"=BC")
-SUMIFS(Discontinuities!$D$4:$D$9664,Discontinuities!$A$4:$A$9664,A48,Discontinuities!$C$4:$C$9664,"&gt;="&amp;C48,Discontinuities!$C$4:$C$9664,"&lt;"&amp;D48,Discontinuities!$E$4:$E$9664,"=LC")
-SUMIFS(Discontinuities!$D$4:$D$9664,Discontinuities!$A$4:$A$9664,A48,Discontinuities!$C$4:$C$9664,"&gt;="&amp;C48,Discontinuities!$C$4:$C$9664,"&lt;"&amp;D48,Discontinuities!$E$4:$E$9664,"=FLT")</f>
        <v>0</v>
      </c>
      <c r="X48" t="s">
        <v>280</v>
      </c>
      <c r="Z48" t="s">
        <v>592</v>
      </c>
      <c r="AA48" s="12"/>
      <c r="AB48" s="43">
        <f>IFERROR(ROUND((Data_Geotech[[#This Row],[Fault (m)]]+Data_Geotech[[#This Row],[Broken Core (m)]]+Data_Geotech[[#This Row],[Lost Core (m)]])*30,0),0)</f>
        <v>0</v>
      </c>
      <c r="AC48" s="44">
        <f>IF(Data_Geotech[[#This Row],[Added fractures 
(BC, FLT, LC)]]+Data_Geotech[[#This Row],[Fracture per interval]]=0,99,1/((Data_Geotech[[#This Row],[Fracture per interval]]+Data_Geotech[[#This Row],[Added fractures 
(BC, FLT, LC)]])/Data_Geotech[[#This Row],[Run (m)]]))</f>
        <v>99</v>
      </c>
      <c r="AD48" s="155" cm="1">
        <f t="array" ref="AD48">IFERROR(_xlfn.XLOOKUP(1,(A48=PLT!$A$4:$A$8886)*(Geotech!C48&lt;=PLT!$F$4:$F$8886)*(Geotech!D48&gt;=PLT!$F$4:$F$8886)*("Valid"=PLT!$P$4:$P$8886),PLT!$V$4:$V$8886),"")</f>
        <v>0</v>
      </c>
      <c r="AE48" s="156" t="str" cm="1">
        <f t="array" ref="AE48">IFERROR(_xlfn.XLOOKUP(1,(A48=PLT!$A$4:$A$8886)*(Geotech!C48&lt;=PLT!$F$4:$F$8886)*(Geotech!D48&gt;=PLT!$F$4:$F$8886)*(PLT!$V$4:$V$8886&lt;&gt;AD48)*("Valid"=PLT!$P$4:$P$7190),PLT!$V$4:$V$8886),"")</f>
        <v/>
      </c>
      <c r="AF48" s="156" t="str" cm="1">
        <f t="array" ref="AF48">IFERROR(_xlfn.XLOOKUP(1,(A48=PLT!$A$4:$A$8886)*(Geotech!C48&lt;=PLT!$F$4:$F$8886)*(Geotech!D48&gt;=PLT!$F$4:$F$8886)*(PLT!$V$4:$V$8886&lt;&gt;AD48)*(PLT!$V$4:$V$8886&lt;&gt;AE48)*("Valid"=PLT!$P$4:$P$7190),PLT!$V$4:$V$8886),"")</f>
        <v/>
      </c>
      <c r="AG48" s="44">
        <f>IFERROR(IF(AVERAGE(AD48:AF48)&gt;References!$BO$23,References!$BP$23,
IF(AVERAGE(AD48:AF48)&gt;References!$BO$22,References!$BP$22,
IF(AVERAGE(AD48:AF48)&gt;References!$BO$21,References!$BP$21,
IF(AVERAGE(AD48:AF48)&gt;References!$BO$20,References!$BP$20,
IF(AVERAGE(AD48:AF48)&gt;References!$BO$19,References!$BP$19,
IF(AVERAGE(AD48:AF48)&gt;References!$BO$18,References!$BP$18,
0)))))),"")</f>
        <v>0</v>
      </c>
      <c r="AH48" s="43">
        <f>IF(Data_Geotech[[#This Row],[Is50]]="",VLOOKUP(Data_Geotech[[#This Row],[Field Intact Rock Strength]],Table_RMR76_Strength[],2,FALSE),Data_Geotech[[#This Row],[Is50]])</f>
        <v>0</v>
      </c>
      <c r="AI48" s="43">
        <f>IF(Data_Geotech[[#This Row],[RQD (%)]]&lt;=25,3,IF(Data_Geotech[[#This Row],[RQD (%)]]&lt;=50,8,IF(Data_Geotech[[#This Row],[RQD (%)]]&lt;=75,13,IF(Data_Geotech[[#This Row],[RQD (%)]]&lt;=90,17,20))))</f>
        <v>20</v>
      </c>
      <c r="AJ48" s="43">
        <f>IF(Data_Geotech[[#This Row],[Joint spacing (m)]]&lt;=0.05,5,IF(Data_Geotech[[#This Row],[Joint spacing (m)]]&lt;=0.3,10,IF(Data_Geotech[[#This Row],[Joint spacing (m)]]&lt;=1,20,IF(Data_Geotech[[#This Row],[Joint spacing (m)]]&lt;=3,25,30))))</f>
        <v>30</v>
      </c>
      <c r="AK4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 s="6">
        <v>10</v>
      </c>
      <c r="AM48" s="117">
        <f>IF(Data_Geotech[[#This Row],[FIRS Code]]="R",IFERROR(SUM(Data_Geotech[[#This Row],[RMR76 - Strength rating]:[RMR76 - Ground water rating]]),""),"")</f>
        <v>85</v>
      </c>
      <c r="AN48" s="39">
        <f>IF(Data_Geotech[[#This Row],[FIRS Code]]="R",(2*Data_Geotech[[#This Row],[RMR76 - Joint condition rating]])+(IF(Data_Geotech[[#This Row],[RQD (%)]]&gt;80,80/2,Data_Geotech[[#This Row],[RQD (%)]]/2)),"")</f>
        <v>90</v>
      </c>
      <c r="AO48" s="43" t="str">
        <f>LEFT(Data_Geotech[[#This Row],[Joint Set Rating]],FIND("-",Data_Geotech[[#This Row],[Joint Set Rating]],1)-2)</f>
        <v>1</v>
      </c>
      <c r="AP4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 s="5">
        <f t="shared" si="1"/>
        <v>1</v>
      </c>
      <c r="AR48" s="49">
        <f>IF(Data_Geotech[[#This Row],[FIRS Code]]="R",IFERROR((IF(Data_Geotech[[#This Row],[RQD (%)]]&lt;10,10,Data_Geotech[[#This Row],[RQD (%)]])/Data_Geotech[[#This Row],[Jn rating]])*Data_Geotech[[#This Row],[Jr/Ja]],""),"")</f>
        <v>533.33333333333326</v>
      </c>
      <c r="AS48" s="45">
        <f>IF(Data_Geotech[[#This Row],[FIRS Code]]="R",IFERROR((IF(Data_Geotech[[#This Row],[RQD (%)]]&lt;10,10,Data_Geotech[[#This Row],[RQD (%)]])/Data_Geotech[[#This Row],[Jn rating]])*Data_Geotech[[#This Row],[Jr/Ja]]*Data_Geotech[[#This Row],[Jw/SRF]],""),"")</f>
        <v>533.33333333333326</v>
      </c>
      <c r="AT48" s="12"/>
      <c r="AU48" s="13">
        <f>100-Data_Geotech[[#This Row],[RQD (%)]]</f>
        <v>0</v>
      </c>
      <c r="AV48" s="13">
        <f>100-Data_Geotech[[#This Row],[TCR (%)]]</f>
        <v>-4.8174797484534793E-12</v>
      </c>
      <c r="AW48" s="62">
        <f>(Data_Geotech[[#This Row],[Fracture per interval]]+Data_Geotech[[#This Row],[Added fractures 
(BC, FLT, LC)]])/Data_Geotech[[#This Row],[TCR (m)]]</f>
        <v>0</v>
      </c>
      <c r="AX48" s="6" t="s">
        <v>109</v>
      </c>
      <c r="AY48" s="63">
        <f>7-MID(Data_Geotech[[#This Row],[Field Intact Rock Strength]],2,1)</f>
        <v>3</v>
      </c>
      <c r="AZ48" s="63">
        <f>VLOOKUP(Data_Geotech[[#This Row],[Field Intact Rock Strength]],Table_FieldStrength[],2,FALSE)</f>
        <v>50</v>
      </c>
      <c r="BA48" s="63">
        <f>VLOOKUP(Data_Geotech[[#This Row],[Field Intact Rock Strength]],Table_FieldStrength[],3,FALSE)</f>
        <v>75</v>
      </c>
      <c r="BB48" s="63">
        <f>VLOOKUP(Data_Geotech[[#This Row],[Field Intact Rock Strength]],Table_FieldStrength[],4,FALSE)</f>
        <v>100</v>
      </c>
      <c r="BC48" s="63">
        <f>100-Data_Geotech[[#This Row],[RMR76]]</f>
        <v>15</v>
      </c>
      <c r="BD48" s="63" t="str">
        <f>LEFT(Data_Geotech[[#This Row],[Weathering/Alteration]],FIND("-",Data_Geotech[[#This Row],[Weathering/Alteration]])-2)</f>
        <v>W2/A2</v>
      </c>
    </row>
    <row r="49" spans="1:56" ht="15.75" hidden="1" thickBot="1" x14ac:dyDescent="0.3">
      <c r="A49" t="s">
        <v>26</v>
      </c>
      <c r="B49" s="16" t="str">
        <f>VLOOKUP(Data_Geotech[[#This Row],[Hole ID]],Data_Log[],2,FALSE)</f>
        <v>CGF-01</v>
      </c>
      <c r="C49" s="5">
        <v>142.19999999999999</v>
      </c>
      <c r="D49" s="5">
        <v>143.6</v>
      </c>
      <c r="E49" s="5">
        <f>(Data_Geotech[[#This Row],[To (m)]]-Data_Geotech[[#This Row],[From (m)]])/2+Data_Geotech[[#This Row],[From (m)]]</f>
        <v>142.89999999999998</v>
      </c>
      <c r="F49" s="13">
        <f>Data_Geotech[[#This Row],[To (m)]]-Data_Geotech[[#This Row],[From (m)]]</f>
        <v>1.4000000000000057</v>
      </c>
      <c r="G49" s="5">
        <v>1.4</v>
      </c>
      <c r="H49" s="61">
        <f>Data_Geotech[[#This Row],[TCR (m)]]/Data_Geotech[[#This Row],[Run (m)]]*100</f>
        <v>99.999999999999588</v>
      </c>
      <c r="I49" s="151">
        <v>1.42</v>
      </c>
      <c r="J49" s="151">
        <v>1.42</v>
      </c>
      <c r="K49" s="5">
        <v>1.42</v>
      </c>
      <c r="L49" s="61">
        <f>Data_Geotech[[#This Row],[RQD (m)]]/Data_Geotech[[#This Row],[Run Reel (m)]]*100</f>
        <v>100</v>
      </c>
      <c r="M49" t="s">
        <v>584</v>
      </c>
      <c r="O49" t="s">
        <v>310</v>
      </c>
      <c r="P49" s="115" t="s">
        <v>370</v>
      </c>
      <c r="Q49" s="5" t="s">
        <v>346</v>
      </c>
      <c r="R49" s="5"/>
      <c r="S49" s="5"/>
      <c r="T49" s="5"/>
      <c r="U49" s="5"/>
      <c r="V49" s="6">
        <v>0</v>
      </c>
      <c r="W49" s="92">
        <f>SUMIFS(Discontinuities!$D$4:$D$9664,Discontinuities!$A$4:$A$9664,A49,Discontinuities!$C$4:$C$9664,"&gt;="&amp;C49,Discontinuities!$C$4:$C$9664,"&lt;"&amp;D49)
-SUMIFS(Discontinuities!$D$4:$D$9664,Discontinuities!$A$4:$A$9664,A49,Discontinuities!$C$4:$C$9664,"&gt;="&amp;C49,Discontinuities!$C$4:$C$9664,"&lt;"&amp;D49,Discontinuities!$E$4:$E$9664,"=BC")
-SUMIFS(Discontinuities!$D$4:$D$9664,Discontinuities!$A$4:$A$9664,A49,Discontinuities!$C$4:$C$9664,"&gt;="&amp;C49,Discontinuities!$C$4:$C$9664,"&lt;"&amp;D49,Discontinuities!$E$4:$E$9664,"=LC")
-SUMIFS(Discontinuities!$D$4:$D$9664,Discontinuities!$A$4:$A$9664,A49,Discontinuities!$C$4:$C$9664,"&gt;="&amp;C49,Discontinuities!$C$4:$C$9664,"&lt;"&amp;D49,Discontinuities!$E$4:$E$9664,"=FLT")</f>
        <v>0</v>
      </c>
      <c r="X49" t="s">
        <v>345</v>
      </c>
      <c r="Z49" t="s">
        <v>588</v>
      </c>
      <c r="AA49" s="12"/>
      <c r="AB49" s="43">
        <f>IFERROR(ROUND((Data_Geotech[[#This Row],[Fault (m)]]+Data_Geotech[[#This Row],[Broken Core (m)]]+Data_Geotech[[#This Row],[Lost Core (m)]])*30,0),0)</f>
        <v>0</v>
      </c>
      <c r="AC49" s="44">
        <f>IF(Data_Geotech[[#This Row],[Added fractures 
(BC, FLT, LC)]]+Data_Geotech[[#This Row],[Fracture per interval]]=0,99,1/((Data_Geotech[[#This Row],[Fracture per interval]]+Data_Geotech[[#This Row],[Added fractures 
(BC, FLT, LC)]])/Data_Geotech[[#This Row],[Run (m)]]))</f>
        <v>99</v>
      </c>
      <c r="AD49" s="155" cm="1">
        <f t="array" ref="AD49">IFERROR(_xlfn.XLOOKUP(1,(A49=PLT!$A$4:$A$8886)*(Geotech!C49&lt;=PLT!$F$4:$F$8886)*(Geotech!D49&gt;=PLT!$F$4:$F$8886)*("Valid"=PLT!$P$4:$P$8886),PLT!$V$4:$V$8886),"")</f>
        <v>0</v>
      </c>
      <c r="AE49" s="156" t="str" cm="1">
        <f t="array" ref="AE49">IFERROR(_xlfn.XLOOKUP(1,(A49=PLT!$A$4:$A$8886)*(Geotech!C49&lt;=PLT!$F$4:$F$8886)*(Geotech!D49&gt;=PLT!$F$4:$F$8886)*(PLT!$V$4:$V$8886&lt;&gt;AD49)*("Valid"=PLT!$P$4:$P$7190),PLT!$V$4:$V$8886),"")</f>
        <v/>
      </c>
      <c r="AF49" s="156" t="str" cm="1">
        <f t="array" ref="AF49">IFERROR(_xlfn.XLOOKUP(1,(A49=PLT!$A$4:$A$8886)*(Geotech!C49&lt;=PLT!$F$4:$F$8886)*(Geotech!D49&gt;=PLT!$F$4:$F$8886)*(PLT!$V$4:$V$8886&lt;&gt;AD49)*(PLT!$V$4:$V$8886&lt;&gt;AE49)*("Valid"=PLT!$P$4:$P$7190),PLT!$V$4:$V$8886),"")</f>
        <v/>
      </c>
      <c r="AG49" s="44">
        <f>IFERROR(IF(AVERAGE(AD49:AF49)&gt;References!$BO$23,References!$BP$23,
IF(AVERAGE(AD49:AF49)&gt;References!$BO$22,References!$BP$22,
IF(AVERAGE(AD49:AF49)&gt;References!$BO$21,References!$BP$21,
IF(AVERAGE(AD49:AF49)&gt;References!$BO$20,References!$BP$20,
IF(AVERAGE(AD49:AF49)&gt;References!$BO$19,References!$BP$19,
IF(AVERAGE(AD49:AF49)&gt;References!$BO$18,References!$BP$18,
0)))))),"")</f>
        <v>0</v>
      </c>
      <c r="AH49" s="43">
        <f>IF(Data_Geotech[[#This Row],[Is50]]="",VLOOKUP(Data_Geotech[[#This Row],[Field Intact Rock Strength]],Table_RMR76_Strength[],2,FALSE),Data_Geotech[[#This Row],[Is50]])</f>
        <v>0</v>
      </c>
      <c r="AI49" s="43">
        <f>IF(Data_Geotech[[#This Row],[RQD (%)]]&lt;=25,3,IF(Data_Geotech[[#This Row],[RQD (%)]]&lt;=50,8,IF(Data_Geotech[[#This Row],[RQD (%)]]&lt;=75,13,IF(Data_Geotech[[#This Row],[RQD (%)]]&lt;=90,17,20))))</f>
        <v>20</v>
      </c>
      <c r="AJ49" s="43">
        <f>IF(Data_Geotech[[#This Row],[Joint spacing (m)]]&lt;=0.05,5,IF(Data_Geotech[[#This Row],[Joint spacing (m)]]&lt;=0.3,10,IF(Data_Geotech[[#This Row],[Joint spacing (m)]]&lt;=1,20,IF(Data_Geotech[[#This Row],[Joint spacing (m)]]&lt;=3,25,30))))</f>
        <v>30</v>
      </c>
      <c r="AK4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 s="6">
        <v>10</v>
      </c>
      <c r="AM49" s="117">
        <f>IF(Data_Geotech[[#This Row],[FIRS Code]]="R",IFERROR(SUM(Data_Geotech[[#This Row],[RMR76 - Strength rating]:[RMR76 - Ground water rating]]),""),"")</f>
        <v>85</v>
      </c>
      <c r="AN49" s="39">
        <f>IF(Data_Geotech[[#This Row],[FIRS Code]]="R",(2*Data_Geotech[[#This Row],[RMR76 - Joint condition rating]])+(IF(Data_Geotech[[#This Row],[RQD (%)]]&gt;80,80/2,Data_Geotech[[#This Row],[RQD (%)]]/2)),"")</f>
        <v>90</v>
      </c>
      <c r="AO49" s="43" t="str">
        <f>LEFT(Data_Geotech[[#This Row],[Joint Set Rating]],FIND("-",Data_Geotech[[#This Row],[Joint Set Rating]],1)-2)</f>
        <v>3</v>
      </c>
      <c r="AP4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 s="5">
        <f t="shared" si="1"/>
        <v>1</v>
      </c>
      <c r="AR49" s="49">
        <f>IF(Data_Geotech[[#This Row],[FIRS Code]]="R",IFERROR((IF(Data_Geotech[[#This Row],[RQD (%)]]&lt;10,10,Data_Geotech[[#This Row],[RQD (%)]])/Data_Geotech[[#This Row],[Jn rating]])*Data_Geotech[[#This Row],[Jr/Ja]],""),"")</f>
        <v>177.77777777777777</v>
      </c>
      <c r="AS49" s="45">
        <f>IF(Data_Geotech[[#This Row],[FIRS Code]]="R",IFERROR((IF(Data_Geotech[[#This Row],[RQD (%)]]&lt;10,10,Data_Geotech[[#This Row],[RQD (%)]])/Data_Geotech[[#This Row],[Jn rating]])*Data_Geotech[[#This Row],[Jr/Ja]]*Data_Geotech[[#This Row],[Jw/SRF]],""),"")</f>
        <v>177.77777777777777</v>
      </c>
      <c r="AT49" s="12"/>
      <c r="AU49" s="13">
        <f>100-Data_Geotech[[#This Row],[RQD (%)]]</f>
        <v>0</v>
      </c>
      <c r="AV49" s="13">
        <f>100-Data_Geotech[[#This Row],[TCR (%)]]</f>
        <v>4.1211478674085811E-13</v>
      </c>
      <c r="AW49" s="62">
        <f>(Data_Geotech[[#This Row],[Fracture per interval]]+Data_Geotech[[#This Row],[Added fractures 
(BC, FLT, LC)]])/Data_Geotech[[#This Row],[TCR (m)]]</f>
        <v>0</v>
      </c>
      <c r="AX49" s="6" t="s">
        <v>109</v>
      </c>
      <c r="AY49" s="63">
        <f>7-MID(Data_Geotech[[#This Row],[Field Intact Rock Strength]],2,1)</f>
        <v>3</v>
      </c>
      <c r="AZ49" s="63">
        <f>VLOOKUP(Data_Geotech[[#This Row],[Field Intact Rock Strength]],Table_FieldStrength[],2,FALSE)</f>
        <v>50</v>
      </c>
      <c r="BA49" s="63">
        <f>VLOOKUP(Data_Geotech[[#This Row],[Field Intact Rock Strength]],Table_FieldStrength[],3,FALSE)</f>
        <v>75</v>
      </c>
      <c r="BB49" s="63">
        <f>VLOOKUP(Data_Geotech[[#This Row],[Field Intact Rock Strength]],Table_FieldStrength[],4,FALSE)</f>
        <v>100</v>
      </c>
      <c r="BC49" s="63">
        <f>100-Data_Geotech[[#This Row],[RMR76]]</f>
        <v>15</v>
      </c>
      <c r="BD49" s="63" t="str">
        <f>LEFT(Data_Geotech[[#This Row],[Weathering/Alteration]],FIND("-",Data_Geotech[[#This Row],[Weathering/Alteration]])-2)</f>
        <v>W3/A3</v>
      </c>
    </row>
    <row r="50" spans="1:56" ht="15.75" hidden="1" thickBot="1" x14ac:dyDescent="0.3">
      <c r="A50" t="s">
        <v>26</v>
      </c>
      <c r="B50" s="16" t="str">
        <f>VLOOKUP(Data_Geotech[[#This Row],[Hole ID]],Data_Log[],2,FALSE)</f>
        <v>CGF-01</v>
      </c>
      <c r="C50" s="5">
        <v>143.6</v>
      </c>
      <c r="D50" s="5">
        <v>144.05000000000001</v>
      </c>
      <c r="E50" s="5">
        <f>(Data_Geotech[[#This Row],[To (m)]]-Data_Geotech[[#This Row],[From (m)]])/2+Data_Geotech[[#This Row],[From (m)]]</f>
        <v>143.82499999999999</v>
      </c>
      <c r="F50" s="13">
        <f>Data_Geotech[[#This Row],[To (m)]]-Data_Geotech[[#This Row],[From (m)]]</f>
        <v>0.45000000000001705</v>
      </c>
      <c r="G50" s="5">
        <v>0.45</v>
      </c>
      <c r="H50" s="61">
        <f>Data_Geotech[[#This Row],[TCR (m)]]/Data_Geotech[[#This Row],[Run (m)]]*100</f>
        <v>99.99999999999622</v>
      </c>
      <c r="I50" s="151">
        <v>0.45</v>
      </c>
      <c r="J50" s="151">
        <v>0.45</v>
      </c>
      <c r="K50" s="5">
        <v>0.45</v>
      </c>
      <c r="L50" s="61">
        <f>Data_Geotech[[#This Row],[RQD (m)]]/Data_Geotech[[#This Row],[Run Reel (m)]]*100</f>
        <v>100</v>
      </c>
      <c r="M50" t="s">
        <v>580</v>
      </c>
      <c r="O50" t="s">
        <v>243</v>
      </c>
      <c r="P50" s="115" t="s">
        <v>397</v>
      </c>
      <c r="Q50" s="5" t="s">
        <v>313</v>
      </c>
      <c r="R50" s="5"/>
      <c r="S50" s="5"/>
      <c r="T50" s="5"/>
      <c r="U50" s="5"/>
      <c r="V50" s="6">
        <v>0</v>
      </c>
      <c r="W50" s="92">
        <f>SUMIFS(Discontinuities!$D$4:$D$9664,Discontinuities!$A$4:$A$9664,A50,Discontinuities!$C$4:$C$9664,"&gt;="&amp;C50,Discontinuities!$C$4:$C$9664,"&lt;"&amp;D50)
-SUMIFS(Discontinuities!$D$4:$D$9664,Discontinuities!$A$4:$A$9664,A50,Discontinuities!$C$4:$C$9664,"&gt;="&amp;C50,Discontinuities!$C$4:$C$9664,"&lt;"&amp;D50,Discontinuities!$E$4:$E$9664,"=BC")
-SUMIFS(Discontinuities!$D$4:$D$9664,Discontinuities!$A$4:$A$9664,A50,Discontinuities!$C$4:$C$9664,"&gt;="&amp;C50,Discontinuities!$C$4:$C$9664,"&lt;"&amp;D50,Discontinuities!$E$4:$E$9664,"=LC")
-SUMIFS(Discontinuities!$D$4:$D$9664,Discontinuities!$A$4:$A$9664,A50,Discontinuities!$C$4:$C$9664,"&gt;="&amp;C50,Discontinuities!$C$4:$C$9664,"&lt;"&amp;D50,Discontinuities!$E$4:$E$9664,"=FLT")</f>
        <v>0</v>
      </c>
      <c r="X50" t="s">
        <v>280</v>
      </c>
      <c r="Z50" t="s">
        <v>588</v>
      </c>
      <c r="AA50" s="12"/>
      <c r="AB50" s="43">
        <f>IFERROR(ROUND((Data_Geotech[[#This Row],[Fault (m)]]+Data_Geotech[[#This Row],[Broken Core (m)]]+Data_Geotech[[#This Row],[Lost Core (m)]])*30,0),0)</f>
        <v>0</v>
      </c>
      <c r="AC50" s="44">
        <f>IF(Data_Geotech[[#This Row],[Added fractures 
(BC, FLT, LC)]]+Data_Geotech[[#This Row],[Fracture per interval]]=0,99,1/((Data_Geotech[[#This Row],[Fracture per interval]]+Data_Geotech[[#This Row],[Added fractures 
(BC, FLT, LC)]])/Data_Geotech[[#This Row],[Run (m)]]))</f>
        <v>99</v>
      </c>
      <c r="AD50" s="155" cm="1">
        <f t="array" ref="AD50">IFERROR(_xlfn.XLOOKUP(1,(A50=PLT!$A$4:$A$8886)*(Geotech!C50&lt;=PLT!$F$4:$F$8886)*(Geotech!D50&gt;=PLT!$F$4:$F$8886)*("Valid"=PLT!$P$4:$P$8886),PLT!$V$4:$V$8886),"")</f>
        <v>0</v>
      </c>
      <c r="AE50" s="156" t="str" cm="1">
        <f t="array" ref="AE50">IFERROR(_xlfn.XLOOKUP(1,(A50=PLT!$A$4:$A$8886)*(Geotech!C50&lt;=PLT!$F$4:$F$8886)*(Geotech!D50&gt;=PLT!$F$4:$F$8886)*(PLT!$V$4:$V$8886&lt;&gt;AD50)*("Valid"=PLT!$P$4:$P$7190),PLT!$V$4:$V$8886),"")</f>
        <v/>
      </c>
      <c r="AF50" s="156" t="str" cm="1">
        <f t="array" ref="AF50">IFERROR(_xlfn.XLOOKUP(1,(A50=PLT!$A$4:$A$8886)*(Geotech!C50&lt;=PLT!$F$4:$F$8886)*(Geotech!D50&gt;=PLT!$F$4:$F$8886)*(PLT!$V$4:$V$8886&lt;&gt;AD50)*(PLT!$V$4:$V$8886&lt;&gt;AE50)*("Valid"=PLT!$P$4:$P$7190),PLT!$V$4:$V$8886),"")</f>
        <v/>
      </c>
      <c r="AG50" s="44">
        <f>IFERROR(IF(AVERAGE(AD50:AF50)&gt;References!$BO$23,References!$BP$23,
IF(AVERAGE(AD50:AF50)&gt;References!$BO$22,References!$BP$22,
IF(AVERAGE(AD50:AF50)&gt;References!$BO$21,References!$BP$21,
IF(AVERAGE(AD50:AF50)&gt;References!$BO$20,References!$BP$20,
IF(AVERAGE(AD50:AF50)&gt;References!$BO$19,References!$BP$19,
IF(AVERAGE(AD50:AF50)&gt;References!$BO$18,References!$BP$18,
0)))))),"")</f>
        <v>0</v>
      </c>
      <c r="AH50" s="43">
        <f>IF(Data_Geotech[[#This Row],[Is50]]="",VLOOKUP(Data_Geotech[[#This Row],[Field Intact Rock Strength]],Table_RMR76_Strength[],2,FALSE),Data_Geotech[[#This Row],[Is50]])</f>
        <v>0</v>
      </c>
      <c r="AI50" s="43">
        <f>IF(Data_Geotech[[#This Row],[RQD (%)]]&lt;=25,3,IF(Data_Geotech[[#This Row],[RQD (%)]]&lt;=50,8,IF(Data_Geotech[[#This Row],[RQD (%)]]&lt;=75,13,IF(Data_Geotech[[#This Row],[RQD (%)]]&lt;=90,17,20))))</f>
        <v>20</v>
      </c>
      <c r="AJ50" s="43">
        <f>IF(Data_Geotech[[#This Row],[Joint spacing (m)]]&lt;=0.05,5,IF(Data_Geotech[[#This Row],[Joint spacing (m)]]&lt;=0.3,10,IF(Data_Geotech[[#This Row],[Joint spacing (m)]]&lt;=1,20,IF(Data_Geotech[[#This Row],[Joint spacing (m)]]&lt;=3,25,30))))</f>
        <v>30</v>
      </c>
      <c r="AK5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 s="6">
        <v>10</v>
      </c>
      <c r="AM50" s="117">
        <f>IF(Data_Geotech[[#This Row],[FIRS Code]]="R",IFERROR(SUM(Data_Geotech[[#This Row],[RMR76 - Strength rating]:[RMR76 - Ground water rating]]),""),"")</f>
        <v>85</v>
      </c>
      <c r="AN50" s="39">
        <f>IF(Data_Geotech[[#This Row],[FIRS Code]]="R",(2*Data_Geotech[[#This Row],[RMR76 - Joint condition rating]])+(IF(Data_Geotech[[#This Row],[RQD (%)]]&gt;80,80/2,Data_Geotech[[#This Row],[RQD (%)]]/2)),"")</f>
        <v>90</v>
      </c>
      <c r="AO50" s="43" t="str">
        <f>LEFT(Data_Geotech[[#This Row],[Joint Set Rating]],FIND("-",Data_Geotech[[#This Row],[Joint Set Rating]],1)-2)</f>
        <v>1</v>
      </c>
      <c r="AP5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 s="5">
        <f t="shared" si="1"/>
        <v>1</v>
      </c>
      <c r="AR50" s="49">
        <f>IF(Data_Geotech[[#This Row],[FIRS Code]]="R",IFERROR((IF(Data_Geotech[[#This Row],[RQD (%)]]&lt;10,10,Data_Geotech[[#This Row],[RQD (%)]])/Data_Geotech[[#This Row],[Jn rating]])*Data_Geotech[[#This Row],[Jr/Ja]],""),"")</f>
        <v>533.33333333333326</v>
      </c>
      <c r="AS50" s="45">
        <f>IF(Data_Geotech[[#This Row],[FIRS Code]]="R",IFERROR((IF(Data_Geotech[[#This Row],[RQD (%)]]&lt;10,10,Data_Geotech[[#This Row],[RQD (%)]])/Data_Geotech[[#This Row],[Jn rating]])*Data_Geotech[[#This Row],[Jr/Ja]]*Data_Geotech[[#This Row],[Jw/SRF]],""),"")</f>
        <v>533.33333333333326</v>
      </c>
      <c r="AT50" s="12"/>
      <c r="AU50" s="13">
        <f>100-Data_Geotech[[#This Row],[RQD (%)]]</f>
        <v>0</v>
      </c>
      <c r="AV50" s="13">
        <f>100-Data_Geotech[[#This Row],[TCR (%)]]</f>
        <v>3.780087354243733E-12</v>
      </c>
      <c r="AW50" s="62">
        <f>(Data_Geotech[[#This Row],[Fracture per interval]]+Data_Geotech[[#This Row],[Added fractures 
(BC, FLT, LC)]])/Data_Geotech[[#This Row],[TCR (m)]]</f>
        <v>0</v>
      </c>
      <c r="AX50" s="6" t="s">
        <v>109</v>
      </c>
      <c r="AY50" s="63">
        <f>7-MID(Data_Geotech[[#This Row],[Field Intact Rock Strength]],2,1)</f>
        <v>2</v>
      </c>
      <c r="AZ50" s="63">
        <f>VLOOKUP(Data_Geotech[[#This Row],[Field Intact Rock Strength]],Table_FieldStrength[],2,FALSE)</f>
        <v>100</v>
      </c>
      <c r="BA50" s="63">
        <f>VLOOKUP(Data_Geotech[[#This Row],[Field Intact Rock Strength]],Table_FieldStrength[],3,FALSE)</f>
        <v>175</v>
      </c>
      <c r="BB50" s="63">
        <f>VLOOKUP(Data_Geotech[[#This Row],[Field Intact Rock Strength]],Table_FieldStrength[],4,FALSE)</f>
        <v>250</v>
      </c>
      <c r="BC50" s="63">
        <f>100-Data_Geotech[[#This Row],[RMR76]]</f>
        <v>15</v>
      </c>
      <c r="BD50" s="63" t="str">
        <f>LEFT(Data_Geotech[[#This Row],[Weathering/Alteration]],FIND("-",Data_Geotech[[#This Row],[Weathering/Alteration]])-2)</f>
        <v>W1/A1</v>
      </c>
    </row>
    <row r="51" spans="1:56" ht="15.75" hidden="1" thickBot="1" x14ac:dyDescent="0.3">
      <c r="A51" t="s">
        <v>26</v>
      </c>
      <c r="B51" s="16" t="str">
        <f>VLOOKUP(Data_Geotech[[#This Row],[Hole ID]],Data_Log[],2,FALSE)</f>
        <v>CGF-01</v>
      </c>
      <c r="C51" s="5">
        <v>144.05000000000001</v>
      </c>
      <c r="D51" s="5">
        <v>145.33000000000001</v>
      </c>
      <c r="E51" s="5">
        <f>(Data_Geotech[[#This Row],[To (m)]]-Data_Geotech[[#This Row],[From (m)]])/2+Data_Geotech[[#This Row],[From (m)]]</f>
        <v>144.69</v>
      </c>
      <c r="F51" s="13">
        <f>Data_Geotech[[#This Row],[To (m)]]-Data_Geotech[[#This Row],[From (m)]]</f>
        <v>1.2800000000000011</v>
      </c>
      <c r="G51" s="5">
        <v>1.28</v>
      </c>
      <c r="H51" s="61">
        <f>Data_Geotech[[#This Row],[TCR (m)]]/Data_Geotech[[#This Row],[Run (m)]]*100</f>
        <v>99.999999999999915</v>
      </c>
      <c r="I51" s="151">
        <v>1.3</v>
      </c>
      <c r="J51" s="151">
        <v>1.3</v>
      </c>
      <c r="K51" s="5">
        <v>1.1499999999999999</v>
      </c>
      <c r="L51" s="61">
        <f>Data_Geotech[[#This Row],[RQD (m)]]/Data_Geotech[[#This Row],[Run Reel (m)]]*100</f>
        <v>88.461538461538453</v>
      </c>
      <c r="M51" t="s">
        <v>584</v>
      </c>
      <c r="O51" t="s">
        <v>310</v>
      </c>
      <c r="P51" s="115" t="s">
        <v>397</v>
      </c>
      <c r="Q51" s="5" t="s">
        <v>281</v>
      </c>
      <c r="R51" s="5"/>
      <c r="S51" s="5">
        <v>0.15</v>
      </c>
      <c r="T51" s="5"/>
      <c r="U51" s="5"/>
      <c r="V51" s="6">
        <v>3</v>
      </c>
      <c r="W51" s="92">
        <f>SUMIFS(Discontinuities!$D$4:$D$9664,Discontinuities!$A$4:$A$9664,A51,Discontinuities!$C$4:$C$9664,"&gt;="&amp;C51,Discontinuities!$C$4:$C$9664,"&lt;"&amp;D51)
-SUMIFS(Discontinuities!$D$4:$D$9664,Discontinuities!$A$4:$A$9664,A51,Discontinuities!$C$4:$C$9664,"&gt;="&amp;C51,Discontinuities!$C$4:$C$9664,"&lt;"&amp;D51,Discontinuities!$E$4:$E$9664,"=BC")
-SUMIFS(Discontinuities!$D$4:$D$9664,Discontinuities!$A$4:$A$9664,A51,Discontinuities!$C$4:$C$9664,"&gt;="&amp;C51,Discontinuities!$C$4:$C$9664,"&lt;"&amp;D51,Discontinuities!$E$4:$E$9664,"=LC")
-SUMIFS(Discontinuities!$D$4:$D$9664,Discontinuities!$A$4:$A$9664,A51,Discontinuities!$C$4:$C$9664,"&gt;="&amp;C51,Discontinuities!$C$4:$C$9664,"&lt;"&amp;D51,Discontinuities!$E$4:$E$9664,"=FLT")</f>
        <v>3</v>
      </c>
      <c r="X51" t="s">
        <v>345</v>
      </c>
      <c r="Z51" t="s">
        <v>588</v>
      </c>
      <c r="AA51" s="12"/>
      <c r="AB51" s="43">
        <f>IFERROR(ROUND((Data_Geotech[[#This Row],[Fault (m)]]+Data_Geotech[[#This Row],[Broken Core (m)]]+Data_Geotech[[#This Row],[Lost Core (m)]])*30,0),0)</f>
        <v>5</v>
      </c>
      <c r="AC51" s="44">
        <f>IF(Data_Geotech[[#This Row],[Added fractures 
(BC, FLT, LC)]]+Data_Geotech[[#This Row],[Fracture per interval]]=0,99,1/((Data_Geotech[[#This Row],[Fracture per interval]]+Data_Geotech[[#This Row],[Added fractures 
(BC, FLT, LC)]])/Data_Geotech[[#This Row],[Run (m)]]))</f>
        <v>0.16000000000000014</v>
      </c>
      <c r="AD51" s="155" cm="1">
        <f t="array" ref="AD51">IFERROR(_xlfn.XLOOKUP(1,(A51=PLT!$A$4:$A$8886)*(Geotech!C51&lt;=PLT!$F$4:$F$8886)*(Geotech!D51&gt;=PLT!$F$4:$F$8886)*("Valid"=PLT!$P$4:$P$8886),PLT!$V$4:$V$8886),"")</f>
        <v>0</v>
      </c>
      <c r="AE51" s="156" t="str" cm="1">
        <f t="array" ref="AE51">IFERROR(_xlfn.XLOOKUP(1,(A51=PLT!$A$4:$A$8886)*(Geotech!C51&lt;=PLT!$F$4:$F$8886)*(Geotech!D51&gt;=PLT!$F$4:$F$8886)*(PLT!$V$4:$V$8886&lt;&gt;AD51)*("Valid"=PLT!$P$4:$P$7190),PLT!$V$4:$V$8886),"")</f>
        <v/>
      </c>
      <c r="AF51" s="156" t="str" cm="1">
        <f t="array" ref="AF51">IFERROR(_xlfn.XLOOKUP(1,(A51=PLT!$A$4:$A$8886)*(Geotech!C51&lt;=PLT!$F$4:$F$8886)*(Geotech!D51&gt;=PLT!$F$4:$F$8886)*(PLT!$V$4:$V$8886&lt;&gt;AD51)*(PLT!$V$4:$V$8886&lt;&gt;AE51)*("Valid"=PLT!$P$4:$P$7190),PLT!$V$4:$V$8886),"")</f>
        <v/>
      </c>
      <c r="AG51" s="44">
        <f>IFERROR(IF(AVERAGE(AD51:AF51)&gt;References!$BO$23,References!$BP$23,
IF(AVERAGE(AD51:AF51)&gt;References!$BO$22,References!$BP$22,
IF(AVERAGE(AD51:AF51)&gt;References!$BO$21,References!$BP$21,
IF(AVERAGE(AD51:AF51)&gt;References!$BO$20,References!$BP$20,
IF(AVERAGE(AD51:AF51)&gt;References!$BO$19,References!$BP$19,
IF(AVERAGE(AD51:AF51)&gt;References!$BO$18,References!$BP$18,
0)))))),"")</f>
        <v>0</v>
      </c>
      <c r="AH51" s="43">
        <f>IF(Data_Geotech[[#This Row],[Is50]]="",VLOOKUP(Data_Geotech[[#This Row],[Field Intact Rock Strength]],Table_RMR76_Strength[],2,FALSE),Data_Geotech[[#This Row],[Is50]])</f>
        <v>0</v>
      </c>
      <c r="AI51" s="43">
        <f>IF(Data_Geotech[[#This Row],[RQD (%)]]&lt;=25,3,IF(Data_Geotech[[#This Row],[RQD (%)]]&lt;=50,8,IF(Data_Geotech[[#This Row],[RQD (%)]]&lt;=75,13,IF(Data_Geotech[[#This Row],[RQD (%)]]&lt;=90,17,20))))</f>
        <v>17</v>
      </c>
      <c r="AJ51" s="43">
        <f>IF(Data_Geotech[[#This Row],[Joint spacing (m)]]&lt;=0.05,5,IF(Data_Geotech[[#This Row],[Joint spacing (m)]]&lt;=0.3,10,IF(Data_Geotech[[#This Row],[Joint spacing (m)]]&lt;=1,20,IF(Data_Geotech[[#This Row],[Joint spacing (m)]]&lt;=3,25,30))))</f>
        <v>10</v>
      </c>
      <c r="AK5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17.333333333333332</v>
      </c>
      <c r="AL51" s="6">
        <v>10</v>
      </c>
      <c r="AM51" s="117">
        <f>IF(Data_Geotech[[#This Row],[FIRS Code]]="R",IFERROR(SUM(Data_Geotech[[#This Row],[RMR76 - Strength rating]:[RMR76 - Ground water rating]]),""),"")</f>
        <v>54.333333333333329</v>
      </c>
      <c r="AN51" s="39">
        <f>IF(Data_Geotech[[#This Row],[FIRS Code]]="R",(2*Data_Geotech[[#This Row],[RMR76 - Joint condition rating]])+(IF(Data_Geotech[[#This Row],[RQD (%)]]&gt;80,80/2,Data_Geotech[[#This Row],[RQD (%)]]/2)),"")</f>
        <v>74.666666666666657</v>
      </c>
      <c r="AO51" s="43" t="str">
        <f>LEFT(Data_Geotech[[#This Row],[Joint Set Rating]],FIND("-",Data_Geotech[[#This Row],[Joint Set Rating]],1)-2)</f>
        <v>3</v>
      </c>
      <c r="AP5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0.83333333333333337</v>
      </c>
      <c r="AQ51" s="5">
        <f t="shared" si="1"/>
        <v>1</v>
      </c>
      <c r="AR51" s="49">
        <f>IF(Data_Geotech[[#This Row],[FIRS Code]]="R",IFERROR((IF(Data_Geotech[[#This Row],[RQD (%)]]&lt;10,10,Data_Geotech[[#This Row],[RQD (%)]])/Data_Geotech[[#This Row],[Jn rating]])*Data_Geotech[[#This Row],[Jr/Ja]],""),"")</f>
        <v>24.572649572649571</v>
      </c>
      <c r="AS51" s="45">
        <f>IF(Data_Geotech[[#This Row],[FIRS Code]]="R",IFERROR((IF(Data_Geotech[[#This Row],[RQD (%)]]&lt;10,10,Data_Geotech[[#This Row],[RQD (%)]])/Data_Geotech[[#This Row],[Jn rating]])*Data_Geotech[[#This Row],[Jr/Ja]]*Data_Geotech[[#This Row],[Jw/SRF]],""),"")</f>
        <v>24.572649572649571</v>
      </c>
      <c r="AT51" s="12"/>
      <c r="AU51" s="13">
        <f>100-Data_Geotech[[#This Row],[RQD (%)]]</f>
        <v>11.538461538461547</v>
      </c>
      <c r="AV51" s="13">
        <f>100-Data_Geotech[[#This Row],[TCR (%)]]</f>
        <v>0</v>
      </c>
      <c r="AW51" s="62">
        <f>(Data_Geotech[[#This Row],[Fracture per interval]]+Data_Geotech[[#This Row],[Added fractures 
(BC, FLT, LC)]])/Data_Geotech[[#This Row],[TCR (m)]]</f>
        <v>6.25</v>
      </c>
      <c r="AX51" s="6" t="s">
        <v>109</v>
      </c>
      <c r="AY51" s="63">
        <f>7-MID(Data_Geotech[[#This Row],[Field Intact Rock Strength]],2,1)</f>
        <v>2</v>
      </c>
      <c r="AZ51" s="63">
        <f>VLOOKUP(Data_Geotech[[#This Row],[Field Intact Rock Strength]],Table_FieldStrength[],2,FALSE)</f>
        <v>100</v>
      </c>
      <c r="BA51" s="63">
        <f>VLOOKUP(Data_Geotech[[#This Row],[Field Intact Rock Strength]],Table_FieldStrength[],3,FALSE)</f>
        <v>175</v>
      </c>
      <c r="BB51" s="63">
        <f>VLOOKUP(Data_Geotech[[#This Row],[Field Intact Rock Strength]],Table_FieldStrength[],4,FALSE)</f>
        <v>250</v>
      </c>
      <c r="BC51" s="63">
        <f>100-Data_Geotech[[#This Row],[RMR76]]</f>
        <v>45.666666666666671</v>
      </c>
      <c r="BD51" s="63" t="str">
        <f>LEFT(Data_Geotech[[#This Row],[Weathering/Alteration]],FIND("-",Data_Geotech[[#This Row],[Weathering/Alteration]])-2)</f>
        <v>W3/A3</v>
      </c>
    </row>
    <row r="52" spans="1:56" ht="15.75" hidden="1" thickBot="1" x14ac:dyDescent="0.3">
      <c r="A52" t="s">
        <v>26</v>
      </c>
      <c r="B52" s="16" t="str">
        <f>VLOOKUP(Data_Geotech[[#This Row],[Hole ID]],Data_Log[],2,FALSE)</f>
        <v>CGF-01</v>
      </c>
      <c r="C52" s="5">
        <v>145.33000000000001</v>
      </c>
      <c r="D52" s="5">
        <v>145.85</v>
      </c>
      <c r="E52" s="5">
        <f>(Data_Geotech[[#This Row],[To (m)]]-Data_Geotech[[#This Row],[From (m)]])/2+Data_Geotech[[#This Row],[From (m)]]</f>
        <v>145.59</v>
      </c>
      <c r="F52" s="13">
        <f>Data_Geotech[[#This Row],[To (m)]]-Data_Geotech[[#This Row],[From (m)]]</f>
        <v>0.51999999999998181</v>
      </c>
      <c r="G52" s="5">
        <v>0.52</v>
      </c>
      <c r="H52" s="61">
        <f>Data_Geotech[[#This Row],[TCR (m)]]/Data_Geotech[[#This Row],[Run (m)]]*100</f>
        <v>100.00000000000351</v>
      </c>
      <c r="I52" s="151">
        <v>0.52</v>
      </c>
      <c r="J52" s="151">
        <v>0.52</v>
      </c>
      <c r="K52" s="5">
        <v>0</v>
      </c>
      <c r="L52" s="61">
        <f>Data_Geotech[[#This Row],[RQD (m)]]/Data_Geotech[[#This Row],[Run Reel (m)]]*100</f>
        <v>0</v>
      </c>
      <c r="M52" t="s">
        <v>584</v>
      </c>
      <c r="O52" t="s">
        <v>310</v>
      </c>
      <c r="P52" s="115" t="s">
        <v>370</v>
      </c>
      <c r="Q52" s="5" t="s">
        <v>281</v>
      </c>
      <c r="R52" s="5"/>
      <c r="S52" s="5">
        <v>0.5</v>
      </c>
      <c r="T52" s="5"/>
      <c r="U52" s="5"/>
      <c r="V52" s="6">
        <v>0</v>
      </c>
      <c r="W52" s="92">
        <f>SUMIFS(Discontinuities!$D$4:$D$9664,Discontinuities!$A$4:$A$9664,A52,Discontinuities!$C$4:$C$9664,"&gt;="&amp;C52,Discontinuities!$C$4:$C$9664,"&lt;"&amp;D52)
-SUMIFS(Discontinuities!$D$4:$D$9664,Discontinuities!$A$4:$A$9664,A52,Discontinuities!$C$4:$C$9664,"&gt;="&amp;C52,Discontinuities!$C$4:$C$9664,"&lt;"&amp;D52,Discontinuities!$E$4:$E$9664,"=BC")
-SUMIFS(Discontinuities!$D$4:$D$9664,Discontinuities!$A$4:$A$9664,A52,Discontinuities!$C$4:$C$9664,"&gt;="&amp;C52,Discontinuities!$C$4:$C$9664,"&lt;"&amp;D52,Discontinuities!$E$4:$E$9664,"=LC")
-SUMIFS(Discontinuities!$D$4:$D$9664,Discontinuities!$A$4:$A$9664,A52,Discontinuities!$C$4:$C$9664,"&gt;="&amp;C52,Discontinuities!$C$4:$C$9664,"&lt;"&amp;D52,Discontinuities!$E$4:$E$9664,"=FLT")</f>
        <v>0</v>
      </c>
      <c r="X52" t="s">
        <v>312</v>
      </c>
      <c r="Z52" t="s">
        <v>588</v>
      </c>
      <c r="AA52" s="12"/>
      <c r="AB52" s="43">
        <f>IFERROR(ROUND((Data_Geotech[[#This Row],[Fault (m)]]+Data_Geotech[[#This Row],[Broken Core (m)]]+Data_Geotech[[#This Row],[Lost Core (m)]])*30,0),0)</f>
        <v>15</v>
      </c>
      <c r="AC52" s="44">
        <f>IF(Data_Geotech[[#This Row],[Added fractures 
(BC, FLT, LC)]]+Data_Geotech[[#This Row],[Fracture per interval]]=0,99,1/((Data_Geotech[[#This Row],[Fracture per interval]]+Data_Geotech[[#This Row],[Added fractures 
(BC, FLT, LC)]])/Data_Geotech[[#This Row],[Run (m)]]))</f>
        <v>3.4666666666665451E-2</v>
      </c>
      <c r="AD52" s="155" t="str" cm="1">
        <f t="array" ref="AD52">IFERROR(_xlfn.XLOOKUP(1,(A52=PLT!$A$4:$A$8886)*(Geotech!C52&lt;=PLT!$F$4:$F$8886)*(Geotech!D52&gt;=PLT!$F$4:$F$8886)*("Valid"=PLT!$P$4:$P$8886),PLT!$V$4:$V$8886),"")</f>
        <v/>
      </c>
      <c r="AE52" s="156" t="str" cm="1">
        <f t="array" ref="AE52">IFERROR(_xlfn.XLOOKUP(1,(A52=PLT!$A$4:$A$8886)*(Geotech!C52&lt;=PLT!$F$4:$F$8886)*(Geotech!D52&gt;=PLT!$F$4:$F$8886)*(PLT!$V$4:$V$8886&lt;&gt;AD52)*("Valid"=PLT!$P$4:$P$7190),PLT!$V$4:$V$8886),"")</f>
        <v/>
      </c>
      <c r="AF52" s="156" t="str" cm="1">
        <f t="array" ref="AF52">IFERROR(_xlfn.XLOOKUP(1,(A52=PLT!$A$4:$A$8886)*(Geotech!C52&lt;=PLT!$F$4:$F$8886)*(Geotech!D52&gt;=PLT!$F$4:$F$8886)*(PLT!$V$4:$V$8886&lt;&gt;AD52)*(PLT!$V$4:$V$8886&lt;&gt;AE52)*("Valid"=PLT!$P$4:$P$7190),PLT!$V$4:$V$8886),"")</f>
        <v/>
      </c>
      <c r="AG52" s="44" t="str">
        <f>IFERROR(IF(AVERAGE(AD52:AF52)&gt;References!$BO$23,References!$BP$23,
IF(AVERAGE(AD52:AF52)&gt;References!$BO$22,References!$BP$22,
IF(AVERAGE(AD52:AF52)&gt;References!$BO$21,References!$BP$21,
IF(AVERAGE(AD52:AF52)&gt;References!$BO$20,References!$BP$20,
IF(AVERAGE(AD52:AF52)&gt;References!$BO$19,References!$BP$19,
IF(AVERAGE(AD52:AF52)&gt;References!$BO$18,References!$BP$18,
0)))))),"")</f>
        <v/>
      </c>
      <c r="AH52" s="43">
        <f>IF(Data_Geotech[[#This Row],[Is50]]="",VLOOKUP(Data_Geotech[[#This Row],[Field Intact Rock Strength]],Table_RMR76_Strength[],2,FALSE),Data_Geotech[[#This Row],[Is50]])</f>
        <v>7</v>
      </c>
      <c r="AI52" s="43">
        <f>IF(Data_Geotech[[#This Row],[RQD (%)]]&lt;=25,3,IF(Data_Geotech[[#This Row],[RQD (%)]]&lt;=50,8,IF(Data_Geotech[[#This Row],[RQD (%)]]&lt;=75,13,IF(Data_Geotech[[#This Row],[RQD (%)]]&lt;=90,17,20))))</f>
        <v>3</v>
      </c>
      <c r="AJ52" s="43">
        <f>IF(Data_Geotech[[#This Row],[Joint spacing (m)]]&lt;=0.05,5,IF(Data_Geotech[[#This Row],[Joint spacing (m)]]&lt;=0.3,10,IF(Data_Geotech[[#This Row],[Joint spacing (m)]]&lt;=1,20,IF(Data_Geotech[[#This Row],[Joint spacing (m)]]&lt;=3,25,30))))</f>
        <v>5</v>
      </c>
      <c r="AK5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52" s="6">
        <v>10</v>
      </c>
      <c r="AM52" s="117">
        <f>IF(Data_Geotech[[#This Row],[FIRS Code]]="R",IFERROR(SUM(Data_Geotech[[#This Row],[RMR76 - Strength rating]:[RMR76 - Ground water rating]]),""),"")</f>
        <v>31</v>
      </c>
      <c r="AN52" s="39">
        <f>IF(Data_Geotech[[#This Row],[FIRS Code]]="R",(2*Data_Geotech[[#This Row],[RMR76 - Joint condition rating]])+(IF(Data_Geotech[[#This Row],[RQD (%)]]&gt;80,80/2,Data_Geotech[[#This Row],[RQD (%)]]/2)),"")</f>
        <v>12</v>
      </c>
      <c r="AO52" s="43" t="str">
        <f>LEFT(Data_Geotech[[#This Row],[Joint Set Rating]],FIND("-",Data_Geotech[[#This Row],[Joint Set Rating]],1)-2)</f>
        <v>2</v>
      </c>
      <c r="AP5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0.25</v>
      </c>
      <c r="AQ52" s="5">
        <f t="shared" si="1"/>
        <v>1</v>
      </c>
      <c r="AR52" s="49">
        <f>IF(Data_Geotech[[#This Row],[FIRS Code]]="R",IFERROR((IF(Data_Geotech[[#This Row],[RQD (%)]]&lt;10,10,Data_Geotech[[#This Row],[RQD (%)]])/Data_Geotech[[#This Row],[Jn rating]])*Data_Geotech[[#This Row],[Jr/Ja]],""),"")</f>
        <v>1.25</v>
      </c>
      <c r="AS52" s="45">
        <f>IF(Data_Geotech[[#This Row],[FIRS Code]]="R",IFERROR((IF(Data_Geotech[[#This Row],[RQD (%)]]&lt;10,10,Data_Geotech[[#This Row],[RQD (%)]])/Data_Geotech[[#This Row],[Jn rating]])*Data_Geotech[[#This Row],[Jr/Ja]]*Data_Geotech[[#This Row],[Jw/SRF]],""),"")</f>
        <v>1.25</v>
      </c>
      <c r="AT52" s="12"/>
      <c r="AU52" s="13">
        <f>100-Data_Geotech[[#This Row],[RQD (%)]]</f>
        <v>100</v>
      </c>
      <c r="AV52" s="13">
        <f>100-Data_Geotech[[#This Row],[TCR (%)]]</f>
        <v>-3.5100811146548949E-12</v>
      </c>
      <c r="AW52" s="62">
        <f>(Data_Geotech[[#This Row],[Fracture per interval]]+Data_Geotech[[#This Row],[Added fractures 
(BC, FLT, LC)]])/Data_Geotech[[#This Row],[TCR (m)]]</f>
        <v>28.846153846153847</v>
      </c>
      <c r="AX52" s="6" t="s">
        <v>109</v>
      </c>
      <c r="AY52" s="63">
        <f>7-MID(Data_Geotech[[#This Row],[Field Intact Rock Strength]],2,1)</f>
        <v>3</v>
      </c>
      <c r="AZ52" s="63">
        <f>VLOOKUP(Data_Geotech[[#This Row],[Field Intact Rock Strength]],Table_FieldStrength[],2,FALSE)</f>
        <v>50</v>
      </c>
      <c r="BA52" s="63">
        <f>VLOOKUP(Data_Geotech[[#This Row],[Field Intact Rock Strength]],Table_FieldStrength[],3,FALSE)</f>
        <v>75</v>
      </c>
      <c r="BB52" s="63">
        <f>VLOOKUP(Data_Geotech[[#This Row],[Field Intact Rock Strength]],Table_FieldStrength[],4,FALSE)</f>
        <v>100</v>
      </c>
      <c r="BC52" s="63">
        <f>100-Data_Geotech[[#This Row],[RMR76]]</f>
        <v>69</v>
      </c>
      <c r="BD52" s="63" t="str">
        <f>LEFT(Data_Geotech[[#This Row],[Weathering/Alteration]],FIND("-",Data_Geotech[[#This Row],[Weathering/Alteration]])-2)</f>
        <v>W3/A3</v>
      </c>
    </row>
    <row r="53" spans="1:56" ht="15.75" hidden="1" thickBot="1" x14ac:dyDescent="0.3">
      <c r="A53" t="s">
        <v>26</v>
      </c>
      <c r="B53" s="16" t="str">
        <f>VLOOKUP(Data_Geotech[[#This Row],[Hole ID]],Data_Log[],2,FALSE)</f>
        <v>CGF-01</v>
      </c>
      <c r="C53" s="5">
        <v>145.85</v>
      </c>
      <c r="D53" s="5">
        <v>146.97</v>
      </c>
      <c r="E53" s="5">
        <f>(Data_Geotech[[#This Row],[To (m)]]-Data_Geotech[[#This Row],[From (m)]])/2+Data_Geotech[[#This Row],[From (m)]]</f>
        <v>146.41</v>
      </c>
      <c r="F53" s="13">
        <f>Data_Geotech[[#This Row],[To (m)]]-Data_Geotech[[#This Row],[From (m)]]</f>
        <v>1.1200000000000045</v>
      </c>
      <c r="G53" s="5">
        <v>1.1200000000000001</v>
      </c>
      <c r="H53" s="61">
        <f>Data_Geotech[[#This Row],[TCR (m)]]/Data_Geotech[[#This Row],[Run (m)]]*100</f>
        <v>99.999999999999602</v>
      </c>
      <c r="I53" s="151">
        <v>1.18</v>
      </c>
      <c r="J53" s="151">
        <v>1.18</v>
      </c>
      <c r="K53" s="5">
        <v>1.18</v>
      </c>
      <c r="L53" s="61">
        <f>Data_Geotech[[#This Row],[RQD (m)]]/Data_Geotech[[#This Row],[Run Reel (m)]]*100</f>
        <v>100</v>
      </c>
      <c r="M53" t="s">
        <v>584</v>
      </c>
      <c r="O53" t="s">
        <v>310</v>
      </c>
      <c r="P53" s="115" t="s">
        <v>397</v>
      </c>
      <c r="Q53" s="5" t="s">
        <v>281</v>
      </c>
      <c r="R53" s="5"/>
      <c r="S53" s="5"/>
      <c r="T53" s="5"/>
      <c r="U53" s="5"/>
      <c r="V53" s="6">
        <v>0</v>
      </c>
      <c r="W53" s="92">
        <f>SUMIFS(Discontinuities!$D$4:$D$9664,Discontinuities!$A$4:$A$9664,A53,Discontinuities!$C$4:$C$9664,"&gt;="&amp;C53,Discontinuities!$C$4:$C$9664,"&lt;"&amp;D53)
-SUMIFS(Discontinuities!$D$4:$D$9664,Discontinuities!$A$4:$A$9664,A53,Discontinuities!$C$4:$C$9664,"&gt;="&amp;C53,Discontinuities!$C$4:$C$9664,"&lt;"&amp;D53,Discontinuities!$E$4:$E$9664,"=BC")
-SUMIFS(Discontinuities!$D$4:$D$9664,Discontinuities!$A$4:$A$9664,A53,Discontinuities!$C$4:$C$9664,"&gt;="&amp;C53,Discontinuities!$C$4:$C$9664,"&lt;"&amp;D53,Discontinuities!$E$4:$E$9664,"=LC")
-SUMIFS(Discontinuities!$D$4:$D$9664,Discontinuities!$A$4:$A$9664,A53,Discontinuities!$C$4:$C$9664,"&gt;="&amp;C53,Discontinuities!$C$4:$C$9664,"&lt;"&amp;D53,Discontinuities!$E$4:$E$9664,"=FLT")</f>
        <v>0</v>
      </c>
      <c r="X53" t="s">
        <v>312</v>
      </c>
      <c r="Z53" t="s">
        <v>588</v>
      </c>
      <c r="AA53" s="12"/>
      <c r="AB53" s="43">
        <f>IFERROR(ROUND((Data_Geotech[[#This Row],[Fault (m)]]+Data_Geotech[[#This Row],[Broken Core (m)]]+Data_Geotech[[#This Row],[Lost Core (m)]])*30,0),0)</f>
        <v>0</v>
      </c>
      <c r="AC53" s="44">
        <f>IF(Data_Geotech[[#This Row],[Added fractures 
(BC, FLT, LC)]]+Data_Geotech[[#This Row],[Fracture per interval]]=0,99,1/((Data_Geotech[[#This Row],[Fracture per interval]]+Data_Geotech[[#This Row],[Added fractures 
(BC, FLT, LC)]])/Data_Geotech[[#This Row],[Run (m)]]))</f>
        <v>99</v>
      </c>
      <c r="AD53" s="155" cm="1">
        <f t="array" ref="AD53">IFERROR(_xlfn.XLOOKUP(1,(A53=PLT!$A$4:$A$8886)*(Geotech!C53&lt;=PLT!$F$4:$F$8886)*(Geotech!D53&gt;=PLT!$F$4:$F$8886)*("Valid"=PLT!$P$4:$P$8886),PLT!$V$4:$V$8886),"")</f>
        <v>0</v>
      </c>
      <c r="AE53" s="156" t="str" cm="1">
        <f t="array" ref="AE53">IFERROR(_xlfn.XLOOKUP(1,(A53=PLT!$A$4:$A$8886)*(Geotech!C53&lt;=PLT!$F$4:$F$8886)*(Geotech!D53&gt;=PLT!$F$4:$F$8886)*(PLT!$V$4:$V$8886&lt;&gt;AD53)*("Valid"=PLT!$P$4:$P$7190),PLT!$V$4:$V$8886),"")</f>
        <v/>
      </c>
      <c r="AF53" s="156" t="str" cm="1">
        <f t="array" ref="AF53">IFERROR(_xlfn.XLOOKUP(1,(A53=PLT!$A$4:$A$8886)*(Geotech!C53&lt;=PLT!$F$4:$F$8886)*(Geotech!D53&gt;=PLT!$F$4:$F$8886)*(PLT!$V$4:$V$8886&lt;&gt;AD53)*(PLT!$V$4:$V$8886&lt;&gt;AE53)*("Valid"=PLT!$P$4:$P$7190),PLT!$V$4:$V$8886),"")</f>
        <v/>
      </c>
      <c r="AG53" s="44">
        <f>IFERROR(IF(AVERAGE(AD53:AF53)&gt;References!$BO$23,References!$BP$23,
IF(AVERAGE(AD53:AF53)&gt;References!$BO$22,References!$BP$22,
IF(AVERAGE(AD53:AF53)&gt;References!$BO$21,References!$BP$21,
IF(AVERAGE(AD53:AF53)&gt;References!$BO$20,References!$BP$20,
IF(AVERAGE(AD53:AF53)&gt;References!$BO$19,References!$BP$19,
IF(AVERAGE(AD53:AF53)&gt;References!$BO$18,References!$BP$18,
0)))))),"")</f>
        <v>0</v>
      </c>
      <c r="AH53" s="43">
        <f>IF(Data_Geotech[[#This Row],[Is50]]="",VLOOKUP(Data_Geotech[[#This Row],[Field Intact Rock Strength]],Table_RMR76_Strength[],2,FALSE),Data_Geotech[[#This Row],[Is50]])</f>
        <v>0</v>
      </c>
      <c r="AI53" s="43">
        <f>IF(Data_Geotech[[#This Row],[RQD (%)]]&lt;=25,3,IF(Data_Geotech[[#This Row],[RQD (%)]]&lt;=50,8,IF(Data_Geotech[[#This Row],[RQD (%)]]&lt;=75,13,IF(Data_Geotech[[#This Row],[RQD (%)]]&lt;=90,17,20))))</f>
        <v>20</v>
      </c>
      <c r="AJ53" s="43">
        <f>IF(Data_Geotech[[#This Row],[Joint spacing (m)]]&lt;=0.05,5,IF(Data_Geotech[[#This Row],[Joint spacing (m)]]&lt;=0.3,10,IF(Data_Geotech[[#This Row],[Joint spacing (m)]]&lt;=1,20,IF(Data_Geotech[[#This Row],[Joint spacing (m)]]&lt;=3,25,30))))</f>
        <v>30</v>
      </c>
      <c r="AK5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3" s="6">
        <v>10</v>
      </c>
      <c r="AM53" s="117">
        <f>IF(Data_Geotech[[#This Row],[FIRS Code]]="R",IFERROR(SUM(Data_Geotech[[#This Row],[RMR76 - Strength rating]:[RMR76 - Ground water rating]]),""),"")</f>
        <v>85</v>
      </c>
      <c r="AN53" s="39">
        <f>IF(Data_Geotech[[#This Row],[FIRS Code]]="R",(2*Data_Geotech[[#This Row],[RMR76 - Joint condition rating]])+(IF(Data_Geotech[[#This Row],[RQD (%)]]&gt;80,80/2,Data_Geotech[[#This Row],[RQD (%)]]/2)),"")</f>
        <v>90</v>
      </c>
      <c r="AO53" s="43" t="str">
        <f>LEFT(Data_Geotech[[#This Row],[Joint Set Rating]],FIND("-",Data_Geotech[[#This Row],[Joint Set Rating]],1)-2)</f>
        <v>2</v>
      </c>
      <c r="AP5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3" s="5">
        <f t="shared" si="1"/>
        <v>1</v>
      </c>
      <c r="AR53" s="49">
        <f>IF(Data_Geotech[[#This Row],[FIRS Code]]="R",IFERROR((IF(Data_Geotech[[#This Row],[RQD (%)]]&lt;10,10,Data_Geotech[[#This Row],[RQD (%)]])/Data_Geotech[[#This Row],[Jn rating]])*Data_Geotech[[#This Row],[Jr/Ja]],""),"")</f>
        <v>266.66666666666663</v>
      </c>
      <c r="AS53" s="45">
        <f>IF(Data_Geotech[[#This Row],[FIRS Code]]="R",IFERROR((IF(Data_Geotech[[#This Row],[RQD (%)]]&lt;10,10,Data_Geotech[[#This Row],[RQD (%)]])/Data_Geotech[[#This Row],[Jn rating]])*Data_Geotech[[#This Row],[Jr/Ja]]*Data_Geotech[[#This Row],[Jw/SRF]],""),"")</f>
        <v>266.66666666666663</v>
      </c>
      <c r="AT53" s="12"/>
      <c r="AU53" s="13">
        <f>100-Data_Geotech[[#This Row],[RQD (%)]]</f>
        <v>0</v>
      </c>
      <c r="AV53" s="13">
        <f>100-Data_Geotech[[#This Row],[TCR (%)]]</f>
        <v>3.979039320256561E-13</v>
      </c>
      <c r="AW53" s="62">
        <f>(Data_Geotech[[#This Row],[Fracture per interval]]+Data_Geotech[[#This Row],[Added fractures 
(BC, FLT, LC)]])/Data_Geotech[[#This Row],[TCR (m)]]</f>
        <v>0</v>
      </c>
      <c r="AX53" s="6" t="s">
        <v>109</v>
      </c>
      <c r="AY53" s="63">
        <f>7-MID(Data_Geotech[[#This Row],[Field Intact Rock Strength]],2,1)</f>
        <v>2</v>
      </c>
      <c r="AZ53" s="63">
        <f>VLOOKUP(Data_Geotech[[#This Row],[Field Intact Rock Strength]],Table_FieldStrength[],2,FALSE)</f>
        <v>100</v>
      </c>
      <c r="BA53" s="63">
        <f>VLOOKUP(Data_Geotech[[#This Row],[Field Intact Rock Strength]],Table_FieldStrength[],3,FALSE)</f>
        <v>175</v>
      </c>
      <c r="BB53" s="63">
        <f>VLOOKUP(Data_Geotech[[#This Row],[Field Intact Rock Strength]],Table_FieldStrength[],4,FALSE)</f>
        <v>250</v>
      </c>
      <c r="BC53" s="63">
        <f>100-Data_Geotech[[#This Row],[RMR76]]</f>
        <v>15</v>
      </c>
      <c r="BD53" s="63" t="str">
        <f>LEFT(Data_Geotech[[#This Row],[Weathering/Alteration]],FIND("-",Data_Geotech[[#This Row],[Weathering/Alteration]])-2)</f>
        <v>W3/A3</v>
      </c>
    </row>
    <row r="54" spans="1:56" ht="15.75" hidden="1" thickBot="1" x14ac:dyDescent="0.3">
      <c r="A54" t="s">
        <v>26</v>
      </c>
      <c r="B54" s="16" t="str">
        <f>VLOOKUP(Data_Geotech[[#This Row],[Hole ID]],Data_Log[],2,FALSE)</f>
        <v>CGF-01</v>
      </c>
      <c r="C54" s="5">
        <v>146.9</v>
      </c>
      <c r="D54" s="5">
        <v>149.97</v>
      </c>
      <c r="E54" s="5">
        <f>(Data_Geotech[[#This Row],[To (m)]]-Data_Geotech[[#This Row],[From (m)]])/2+Data_Geotech[[#This Row],[From (m)]]</f>
        <v>148.435</v>
      </c>
      <c r="F54" s="13">
        <f>Data_Geotech[[#This Row],[To (m)]]-Data_Geotech[[#This Row],[From (m)]]</f>
        <v>3.0699999999999932</v>
      </c>
      <c r="G54" s="5">
        <v>3.07</v>
      </c>
      <c r="H54" s="61">
        <f>Data_Geotech[[#This Row],[TCR (m)]]/Data_Geotech[[#This Row],[Run (m)]]*100</f>
        <v>100.00000000000023</v>
      </c>
      <c r="I54" s="151">
        <v>3.01</v>
      </c>
      <c r="J54" s="151">
        <v>3.01</v>
      </c>
      <c r="K54" s="5">
        <v>2.98</v>
      </c>
      <c r="L54" s="61">
        <f>Data_Geotech[[#This Row],[RQD (m)]]/Data_Geotech[[#This Row],[Run Reel (m)]]*100</f>
        <v>99.003322259136212</v>
      </c>
      <c r="M54" t="s">
        <v>584</v>
      </c>
      <c r="O54" t="s">
        <v>310</v>
      </c>
      <c r="P54" s="115" t="s">
        <v>397</v>
      </c>
      <c r="Q54" s="5" t="s">
        <v>281</v>
      </c>
      <c r="R54" s="5"/>
      <c r="S54" s="5">
        <v>0.03</v>
      </c>
      <c r="T54" s="5"/>
      <c r="U54" s="5"/>
      <c r="V54" s="6">
        <v>4</v>
      </c>
      <c r="W54" s="92">
        <f>SUMIFS(Discontinuities!$D$4:$D$9664,Discontinuities!$A$4:$A$9664,A54,Discontinuities!$C$4:$C$9664,"&gt;="&amp;C54,Discontinuities!$C$4:$C$9664,"&lt;"&amp;D54)
-SUMIFS(Discontinuities!$D$4:$D$9664,Discontinuities!$A$4:$A$9664,A54,Discontinuities!$C$4:$C$9664,"&gt;="&amp;C54,Discontinuities!$C$4:$C$9664,"&lt;"&amp;D54,Discontinuities!$E$4:$E$9664,"=BC")
-SUMIFS(Discontinuities!$D$4:$D$9664,Discontinuities!$A$4:$A$9664,A54,Discontinuities!$C$4:$C$9664,"&gt;="&amp;C54,Discontinuities!$C$4:$C$9664,"&lt;"&amp;D54,Discontinuities!$E$4:$E$9664,"=LC")
-SUMIFS(Discontinuities!$D$4:$D$9664,Discontinuities!$A$4:$A$9664,A54,Discontinuities!$C$4:$C$9664,"&gt;="&amp;C54,Discontinuities!$C$4:$C$9664,"&lt;"&amp;D54,Discontinuities!$E$4:$E$9664,"=FLT")</f>
        <v>4</v>
      </c>
      <c r="X54" t="s">
        <v>312</v>
      </c>
      <c r="Z54" t="s">
        <v>588</v>
      </c>
      <c r="AA54" s="12"/>
      <c r="AB54" s="43">
        <f>IFERROR(ROUND((Data_Geotech[[#This Row],[Fault (m)]]+Data_Geotech[[#This Row],[Broken Core (m)]]+Data_Geotech[[#This Row],[Lost Core (m)]])*30,0),0)</f>
        <v>1</v>
      </c>
      <c r="AC54" s="44">
        <f>IF(Data_Geotech[[#This Row],[Added fractures 
(BC, FLT, LC)]]+Data_Geotech[[#This Row],[Fracture per interval]]=0,99,1/((Data_Geotech[[#This Row],[Fracture per interval]]+Data_Geotech[[#This Row],[Added fractures 
(BC, FLT, LC)]])/Data_Geotech[[#This Row],[Run (m)]]))</f>
        <v>0.61399999999999866</v>
      </c>
      <c r="AD54" s="155" cm="1">
        <f t="array" ref="AD54">IFERROR(_xlfn.XLOOKUP(1,(A54=PLT!$A$4:$A$8886)*(Geotech!C54&lt;=PLT!$F$4:$F$8886)*(Geotech!D54&gt;=PLT!$F$4:$F$8886)*("Valid"=PLT!$P$4:$P$8886),PLT!$V$4:$V$8886),"")</f>
        <v>0</v>
      </c>
      <c r="AE54" s="156" t="str" cm="1">
        <f t="array" ref="AE54">IFERROR(_xlfn.XLOOKUP(1,(A54=PLT!$A$4:$A$8886)*(Geotech!C54&lt;=PLT!$F$4:$F$8886)*(Geotech!D54&gt;=PLT!$F$4:$F$8886)*(PLT!$V$4:$V$8886&lt;&gt;AD54)*("Valid"=PLT!$P$4:$P$7190),PLT!$V$4:$V$8886),"")</f>
        <v/>
      </c>
      <c r="AF54" s="156" t="str" cm="1">
        <f t="array" ref="AF54">IFERROR(_xlfn.XLOOKUP(1,(A54=PLT!$A$4:$A$8886)*(Geotech!C54&lt;=PLT!$F$4:$F$8886)*(Geotech!D54&gt;=PLT!$F$4:$F$8886)*(PLT!$V$4:$V$8886&lt;&gt;AD54)*(PLT!$V$4:$V$8886&lt;&gt;AE54)*("Valid"=PLT!$P$4:$P$7190),PLT!$V$4:$V$8886),"")</f>
        <v/>
      </c>
      <c r="AG54" s="44">
        <f>IFERROR(IF(AVERAGE(AD54:AF54)&gt;References!$BO$23,References!$BP$23,
IF(AVERAGE(AD54:AF54)&gt;References!$BO$22,References!$BP$22,
IF(AVERAGE(AD54:AF54)&gt;References!$BO$21,References!$BP$21,
IF(AVERAGE(AD54:AF54)&gt;References!$BO$20,References!$BP$20,
IF(AVERAGE(AD54:AF54)&gt;References!$BO$19,References!$BP$19,
IF(AVERAGE(AD54:AF54)&gt;References!$BO$18,References!$BP$18,
0)))))),"")</f>
        <v>0</v>
      </c>
      <c r="AH54" s="43">
        <f>IF(Data_Geotech[[#This Row],[Is50]]="",VLOOKUP(Data_Geotech[[#This Row],[Field Intact Rock Strength]],Table_RMR76_Strength[],2,FALSE),Data_Geotech[[#This Row],[Is50]])</f>
        <v>0</v>
      </c>
      <c r="AI54" s="43">
        <f>IF(Data_Geotech[[#This Row],[RQD (%)]]&lt;=25,3,IF(Data_Geotech[[#This Row],[RQD (%)]]&lt;=50,8,IF(Data_Geotech[[#This Row],[RQD (%)]]&lt;=75,13,IF(Data_Geotech[[#This Row],[RQD (%)]]&lt;=90,17,20))))</f>
        <v>20</v>
      </c>
      <c r="AJ54" s="43">
        <f>IF(Data_Geotech[[#This Row],[Joint spacing (m)]]&lt;=0.05,5,IF(Data_Geotech[[#This Row],[Joint spacing (m)]]&lt;=0.3,10,IF(Data_Geotech[[#This Row],[Joint spacing (m)]]&lt;=1,20,IF(Data_Geotech[[#This Row],[Joint spacing (m)]]&lt;=3,25,30))))</f>
        <v>20</v>
      </c>
      <c r="AK5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21.25</v>
      </c>
      <c r="AL54" s="6">
        <v>10</v>
      </c>
      <c r="AM54" s="117">
        <f>IF(Data_Geotech[[#This Row],[FIRS Code]]="R",IFERROR(SUM(Data_Geotech[[#This Row],[RMR76 - Strength rating]:[RMR76 - Ground water rating]]),""),"")</f>
        <v>71.25</v>
      </c>
      <c r="AN54" s="39">
        <f>IF(Data_Geotech[[#This Row],[FIRS Code]]="R",(2*Data_Geotech[[#This Row],[RMR76 - Joint condition rating]])+(IF(Data_Geotech[[#This Row],[RQD (%)]]&gt;80,80/2,Data_Geotech[[#This Row],[RQD (%)]]/2)),"")</f>
        <v>82.5</v>
      </c>
      <c r="AO54" s="43" t="str">
        <f>LEFT(Data_Geotech[[#This Row],[Joint Set Rating]],FIND("-",Data_Geotech[[#This Row],[Joint Set Rating]],1)-2)</f>
        <v>2</v>
      </c>
      <c r="AP5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54" s="5">
        <f t="shared" si="1"/>
        <v>1</v>
      </c>
      <c r="AR54" s="49">
        <f>IF(Data_Geotech[[#This Row],[FIRS Code]]="R",IFERROR((IF(Data_Geotech[[#This Row],[RQD (%)]]&lt;10,10,Data_Geotech[[#This Row],[RQD (%)]])/Data_Geotech[[#This Row],[Jn rating]])*Data_Geotech[[#This Row],[Jr/Ja]],""),"")</f>
        <v>61.877076411960132</v>
      </c>
      <c r="AS54" s="45">
        <f>IF(Data_Geotech[[#This Row],[FIRS Code]]="R",IFERROR((IF(Data_Geotech[[#This Row],[RQD (%)]]&lt;10,10,Data_Geotech[[#This Row],[RQD (%)]])/Data_Geotech[[#This Row],[Jn rating]])*Data_Geotech[[#This Row],[Jr/Ja]]*Data_Geotech[[#This Row],[Jw/SRF]],""),"")</f>
        <v>61.877076411960132</v>
      </c>
      <c r="AT54" s="12"/>
      <c r="AU54" s="13">
        <f>100-Data_Geotech[[#This Row],[RQD (%)]]</f>
        <v>0.99667774086378813</v>
      </c>
      <c r="AV54" s="13">
        <f>100-Data_Geotech[[#This Row],[TCR (%)]]</f>
        <v>-2.2737367544323206E-13</v>
      </c>
      <c r="AW54" s="62">
        <f>(Data_Geotech[[#This Row],[Fracture per interval]]+Data_Geotech[[#This Row],[Added fractures 
(BC, FLT, LC)]])/Data_Geotech[[#This Row],[TCR (m)]]</f>
        <v>1.6286644951140066</v>
      </c>
      <c r="AX54" s="6" t="s">
        <v>109</v>
      </c>
      <c r="AY54" s="63">
        <f>7-MID(Data_Geotech[[#This Row],[Field Intact Rock Strength]],2,1)</f>
        <v>2</v>
      </c>
      <c r="AZ54" s="63">
        <f>VLOOKUP(Data_Geotech[[#This Row],[Field Intact Rock Strength]],Table_FieldStrength[],2,FALSE)</f>
        <v>100</v>
      </c>
      <c r="BA54" s="63">
        <f>VLOOKUP(Data_Geotech[[#This Row],[Field Intact Rock Strength]],Table_FieldStrength[],3,FALSE)</f>
        <v>175</v>
      </c>
      <c r="BB54" s="63">
        <f>VLOOKUP(Data_Geotech[[#This Row],[Field Intact Rock Strength]],Table_FieldStrength[],4,FALSE)</f>
        <v>250</v>
      </c>
      <c r="BC54" s="63">
        <f>100-Data_Geotech[[#This Row],[RMR76]]</f>
        <v>28.75</v>
      </c>
      <c r="BD54" s="63" t="str">
        <f>LEFT(Data_Geotech[[#This Row],[Weathering/Alteration]],FIND("-",Data_Geotech[[#This Row],[Weathering/Alteration]])-2)</f>
        <v>W3/A3</v>
      </c>
    </row>
    <row r="55" spans="1:56" ht="15.75" hidden="1" thickBot="1" x14ac:dyDescent="0.3">
      <c r="A55" t="s">
        <v>26</v>
      </c>
      <c r="B55" s="16" t="str">
        <f>VLOOKUP(Data_Geotech[[#This Row],[Hole ID]],Data_Log[],2,FALSE)</f>
        <v>CGF-01</v>
      </c>
      <c r="C55" s="5">
        <v>149.97</v>
      </c>
      <c r="D55" s="5">
        <v>152.99</v>
      </c>
      <c r="E55" s="5">
        <f>(Data_Geotech[[#This Row],[To (m)]]-Data_Geotech[[#This Row],[From (m)]])/2+Data_Geotech[[#This Row],[From (m)]]</f>
        <v>151.48000000000002</v>
      </c>
      <c r="F55" s="13">
        <f>Data_Geotech[[#This Row],[To (m)]]-Data_Geotech[[#This Row],[From (m)]]</f>
        <v>3.0200000000000102</v>
      </c>
      <c r="G55" s="5">
        <v>3.02</v>
      </c>
      <c r="H55" s="61">
        <f>Data_Geotech[[#This Row],[TCR (m)]]/Data_Geotech[[#This Row],[Run (m)]]*100</f>
        <v>99.999999999999673</v>
      </c>
      <c r="I55" s="151">
        <v>3.04</v>
      </c>
      <c r="J55" s="151">
        <v>3.04</v>
      </c>
      <c r="K55" s="5">
        <v>2.81</v>
      </c>
      <c r="L55" s="61">
        <f>Data_Geotech[[#This Row],[RQD (m)]]/Data_Geotech[[#This Row],[Run Reel (m)]]*100</f>
        <v>92.43421052631578</v>
      </c>
      <c r="M55" t="s">
        <v>584</v>
      </c>
      <c r="O55" t="s">
        <v>310</v>
      </c>
      <c r="P55" s="115" t="s">
        <v>397</v>
      </c>
      <c r="Q55" s="5" t="s">
        <v>313</v>
      </c>
      <c r="R55" s="5"/>
      <c r="S55" s="5">
        <v>0.06</v>
      </c>
      <c r="T55" s="5"/>
      <c r="U55" s="5"/>
      <c r="V55" s="6">
        <v>4</v>
      </c>
      <c r="W55" s="92">
        <f>SUMIFS(Discontinuities!$D$4:$D$9664,Discontinuities!$A$4:$A$9664,A55,Discontinuities!$C$4:$C$9664,"&gt;="&amp;C55,Discontinuities!$C$4:$C$9664,"&lt;"&amp;D55)
-SUMIFS(Discontinuities!$D$4:$D$9664,Discontinuities!$A$4:$A$9664,A55,Discontinuities!$C$4:$C$9664,"&gt;="&amp;C55,Discontinuities!$C$4:$C$9664,"&lt;"&amp;D55,Discontinuities!$E$4:$E$9664,"=BC")
-SUMIFS(Discontinuities!$D$4:$D$9664,Discontinuities!$A$4:$A$9664,A55,Discontinuities!$C$4:$C$9664,"&gt;="&amp;C55,Discontinuities!$C$4:$C$9664,"&lt;"&amp;D55,Discontinuities!$E$4:$E$9664,"=LC")
-SUMIFS(Discontinuities!$D$4:$D$9664,Discontinuities!$A$4:$A$9664,A55,Discontinuities!$C$4:$C$9664,"&gt;="&amp;C55,Discontinuities!$C$4:$C$9664,"&lt;"&amp;D55,Discontinuities!$E$4:$E$9664,"=FLT")</f>
        <v>4</v>
      </c>
      <c r="X55" t="s">
        <v>345</v>
      </c>
      <c r="Z55" t="s">
        <v>588</v>
      </c>
      <c r="AA55" s="12"/>
      <c r="AB55" s="43">
        <f>IFERROR(ROUND((Data_Geotech[[#This Row],[Fault (m)]]+Data_Geotech[[#This Row],[Broken Core (m)]]+Data_Geotech[[#This Row],[Lost Core (m)]])*30,0),0)</f>
        <v>2</v>
      </c>
      <c r="AC55" s="44">
        <f>IF(Data_Geotech[[#This Row],[Added fractures 
(BC, FLT, LC)]]+Data_Geotech[[#This Row],[Fracture per interval]]=0,99,1/((Data_Geotech[[#This Row],[Fracture per interval]]+Data_Geotech[[#This Row],[Added fractures 
(BC, FLT, LC)]])/Data_Geotech[[#This Row],[Run (m)]]))</f>
        <v>0.50333333333333508</v>
      </c>
      <c r="AD55" s="155" cm="1">
        <f t="array" ref="AD55">IFERROR(_xlfn.XLOOKUP(1,(A55=PLT!$A$4:$A$8886)*(Geotech!C55&lt;=PLT!$F$4:$F$8886)*(Geotech!D55&gt;=PLT!$F$4:$F$8886)*("Valid"=PLT!$P$4:$P$8886),PLT!$V$4:$V$8886),"")</f>
        <v>0</v>
      </c>
      <c r="AE55" s="156" t="str" cm="1">
        <f t="array" ref="AE55">IFERROR(_xlfn.XLOOKUP(1,(A55=PLT!$A$4:$A$8886)*(Geotech!C55&lt;=PLT!$F$4:$F$8886)*(Geotech!D55&gt;=PLT!$F$4:$F$8886)*(PLT!$V$4:$V$8886&lt;&gt;AD55)*("Valid"=PLT!$P$4:$P$7190),PLT!$V$4:$V$8886),"")</f>
        <v/>
      </c>
      <c r="AF55" s="156" t="str" cm="1">
        <f t="array" ref="AF55">IFERROR(_xlfn.XLOOKUP(1,(A55=PLT!$A$4:$A$8886)*(Geotech!C55&lt;=PLT!$F$4:$F$8886)*(Geotech!D55&gt;=PLT!$F$4:$F$8886)*(PLT!$V$4:$V$8886&lt;&gt;AD55)*(PLT!$V$4:$V$8886&lt;&gt;AE55)*("Valid"=PLT!$P$4:$P$7190),PLT!$V$4:$V$8886),"")</f>
        <v/>
      </c>
      <c r="AG55" s="44">
        <f>IFERROR(IF(AVERAGE(AD55:AF55)&gt;References!$BO$23,References!$BP$23,
IF(AVERAGE(AD55:AF55)&gt;References!$BO$22,References!$BP$22,
IF(AVERAGE(AD55:AF55)&gt;References!$BO$21,References!$BP$21,
IF(AVERAGE(AD55:AF55)&gt;References!$BO$20,References!$BP$20,
IF(AVERAGE(AD55:AF55)&gt;References!$BO$19,References!$BP$19,
IF(AVERAGE(AD55:AF55)&gt;References!$BO$18,References!$BP$18,
0)))))),"")</f>
        <v>0</v>
      </c>
      <c r="AH55" s="43">
        <f>IF(Data_Geotech[[#This Row],[Is50]]="",VLOOKUP(Data_Geotech[[#This Row],[Field Intact Rock Strength]],Table_RMR76_Strength[],2,FALSE),Data_Geotech[[#This Row],[Is50]])</f>
        <v>0</v>
      </c>
      <c r="AI55" s="43">
        <f>IF(Data_Geotech[[#This Row],[RQD (%)]]&lt;=25,3,IF(Data_Geotech[[#This Row],[RQD (%)]]&lt;=50,8,IF(Data_Geotech[[#This Row],[RQD (%)]]&lt;=75,13,IF(Data_Geotech[[#This Row],[RQD (%)]]&lt;=90,17,20))))</f>
        <v>20</v>
      </c>
      <c r="AJ55" s="43">
        <f>IF(Data_Geotech[[#This Row],[Joint spacing (m)]]&lt;=0.05,5,IF(Data_Geotech[[#This Row],[Joint spacing (m)]]&lt;=0.3,10,IF(Data_Geotech[[#This Row],[Joint spacing (m)]]&lt;=1,20,IF(Data_Geotech[[#This Row],[Joint spacing (m)]]&lt;=3,25,30))))</f>
        <v>20</v>
      </c>
      <c r="AK5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12.5</v>
      </c>
      <c r="AL55" s="6">
        <v>10</v>
      </c>
      <c r="AM55" s="117">
        <f>IF(Data_Geotech[[#This Row],[FIRS Code]]="R",IFERROR(SUM(Data_Geotech[[#This Row],[RMR76 - Strength rating]:[RMR76 - Ground water rating]]),""),"")</f>
        <v>62.5</v>
      </c>
      <c r="AN55" s="39">
        <f>IF(Data_Geotech[[#This Row],[FIRS Code]]="R",(2*Data_Geotech[[#This Row],[RMR76 - Joint condition rating]])+(IF(Data_Geotech[[#This Row],[RQD (%)]]&gt;80,80/2,Data_Geotech[[#This Row],[RQD (%)]]/2)),"")</f>
        <v>65</v>
      </c>
      <c r="AO55" s="43" t="str">
        <f>LEFT(Data_Geotech[[#This Row],[Joint Set Rating]],FIND("-",Data_Geotech[[#This Row],[Joint Set Rating]],1)-2)</f>
        <v>3</v>
      </c>
      <c r="AP5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0.53125</v>
      </c>
      <c r="AQ55" s="5">
        <f t="shared" si="1"/>
        <v>1</v>
      </c>
      <c r="AR55" s="49">
        <f>IF(Data_Geotech[[#This Row],[FIRS Code]]="R",IFERROR((IF(Data_Geotech[[#This Row],[RQD (%)]]&lt;10,10,Data_Geotech[[#This Row],[RQD (%)]])/Data_Geotech[[#This Row],[Jn rating]])*Data_Geotech[[#This Row],[Jr/Ja]],""),"")</f>
        <v>16.368558114035086</v>
      </c>
      <c r="AS55" s="45">
        <f>IF(Data_Geotech[[#This Row],[FIRS Code]]="R",IFERROR((IF(Data_Geotech[[#This Row],[RQD (%)]]&lt;10,10,Data_Geotech[[#This Row],[RQD (%)]])/Data_Geotech[[#This Row],[Jn rating]])*Data_Geotech[[#This Row],[Jr/Ja]]*Data_Geotech[[#This Row],[Jw/SRF]],""),"")</f>
        <v>16.368558114035086</v>
      </c>
      <c r="AT55" s="12"/>
      <c r="AU55" s="13">
        <f>100-Data_Geotech[[#This Row],[RQD (%)]]</f>
        <v>7.5657894736842195</v>
      </c>
      <c r="AV55" s="13">
        <f>100-Data_Geotech[[#This Row],[TCR (%)]]</f>
        <v>3.2684965844964609E-13</v>
      </c>
      <c r="AW55" s="62">
        <f>(Data_Geotech[[#This Row],[Fracture per interval]]+Data_Geotech[[#This Row],[Added fractures 
(BC, FLT, LC)]])/Data_Geotech[[#This Row],[TCR (m)]]</f>
        <v>1.9867549668874172</v>
      </c>
      <c r="AX55" s="6" t="s">
        <v>109</v>
      </c>
      <c r="AY55" s="63">
        <f>7-MID(Data_Geotech[[#This Row],[Field Intact Rock Strength]],2,1)</f>
        <v>2</v>
      </c>
      <c r="AZ55" s="63">
        <f>VLOOKUP(Data_Geotech[[#This Row],[Field Intact Rock Strength]],Table_FieldStrength[],2,FALSE)</f>
        <v>100</v>
      </c>
      <c r="BA55" s="63">
        <f>VLOOKUP(Data_Geotech[[#This Row],[Field Intact Rock Strength]],Table_FieldStrength[],3,FALSE)</f>
        <v>175</v>
      </c>
      <c r="BB55" s="63">
        <f>VLOOKUP(Data_Geotech[[#This Row],[Field Intact Rock Strength]],Table_FieldStrength[],4,FALSE)</f>
        <v>250</v>
      </c>
      <c r="BC55" s="63">
        <f>100-Data_Geotech[[#This Row],[RMR76]]</f>
        <v>37.5</v>
      </c>
      <c r="BD55" s="63" t="str">
        <f>LEFT(Data_Geotech[[#This Row],[Weathering/Alteration]],FIND("-",Data_Geotech[[#This Row],[Weathering/Alteration]])-2)</f>
        <v>W3/A3</v>
      </c>
    </row>
    <row r="56" spans="1:56" ht="15.75" hidden="1" thickBot="1" x14ac:dyDescent="0.3">
      <c r="A56" t="s">
        <v>26</v>
      </c>
      <c r="B56" s="16" t="str">
        <f>VLOOKUP(Data_Geotech[[#This Row],[Hole ID]],Data_Log[],2,FALSE)</f>
        <v>CGF-01</v>
      </c>
      <c r="C56" s="5">
        <v>152.99</v>
      </c>
      <c r="D56" s="5">
        <v>154</v>
      </c>
      <c r="E56" s="5">
        <f>(Data_Geotech[[#This Row],[To (m)]]-Data_Geotech[[#This Row],[From (m)]])/2+Data_Geotech[[#This Row],[From (m)]]</f>
        <v>153.495</v>
      </c>
      <c r="F56" s="13">
        <f>Data_Geotech[[#This Row],[To (m)]]-Data_Geotech[[#This Row],[From (m)]]</f>
        <v>1.0099999999999909</v>
      </c>
      <c r="G56" s="5">
        <v>1.01</v>
      </c>
      <c r="H56" s="61">
        <f>Data_Geotech[[#This Row],[TCR (m)]]/Data_Geotech[[#This Row],[Run (m)]]*100</f>
        <v>100.00000000000091</v>
      </c>
      <c r="I56" s="151">
        <v>1.01</v>
      </c>
      <c r="J56" s="151">
        <v>1.01</v>
      </c>
      <c r="K56" s="5">
        <v>1.01</v>
      </c>
      <c r="L56" s="61">
        <f>Data_Geotech[[#This Row],[RQD (m)]]/Data_Geotech[[#This Row],[Run Reel (m)]]*100</f>
        <v>100</v>
      </c>
      <c r="M56" t="s">
        <v>584</v>
      </c>
      <c r="O56" t="s">
        <v>310</v>
      </c>
      <c r="P56" s="115" t="s">
        <v>370</v>
      </c>
      <c r="Q56" s="5" t="s">
        <v>313</v>
      </c>
      <c r="R56" s="5"/>
      <c r="S56" s="5"/>
      <c r="T56" s="5"/>
      <c r="U56" s="5"/>
      <c r="V56" s="6">
        <v>2</v>
      </c>
      <c r="W56" s="92">
        <f>SUMIFS(Discontinuities!$D$4:$D$9664,Discontinuities!$A$4:$A$9664,A56,Discontinuities!$C$4:$C$9664,"&gt;="&amp;C56,Discontinuities!$C$4:$C$9664,"&lt;"&amp;D56)
-SUMIFS(Discontinuities!$D$4:$D$9664,Discontinuities!$A$4:$A$9664,A56,Discontinuities!$C$4:$C$9664,"&gt;="&amp;C56,Discontinuities!$C$4:$C$9664,"&lt;"&amp;D56,Discontinuities!$E$4:$E$9664,"=BC")
-SUMIFS(Discontinuities!$D$4:$D$9664,Discontinuities!$A$4:$A$9664,A56,Discontinuities!$C$4:$C$9664,"&gt;="&amp;C56,Discontinuities!$C$4:$C$9664,"&lt;"&amp;D56,Discontinuities!$E$4:$E$9664,"=LC")
-SUMIFS(Discontinuities!$D$4:$D$9664,Discontinuities!$A$4:$A$9664,A56,Discontinuities!$C$4:$C$9664,"&gt;="&amp;C56,Discontinuities!$C$4:$C$9664,"&lt;"&amp;D56,Discontinuities!$E$4:$E$9664,"=FLT")</f>
        <v>2</v>
      </c>
      <c r="X56" t="s">
        <v>312</v>
      </c>
      <c r="Z56" t="s">
        <v>588</v>
      </c>
      <c r="AA56" s="12"/>
      <c r="AB56" s="43">
        <f>IFERROR(ROUND((Data_Geotech[[#This Row],[Fault (m)]]+Data_Geotech[[#This Row],[Broken Core (m)]]+Data_Geotech[[#This Row],[Lost Core (m)]])*30,0),0)</f>
        <v>0</v>
      </c>
      <c r="AC56" s="44">
        <f>IF(Data_Geotech[[#This Row],[Added fractures 
(BC, FLT, LC)]]+Data_Geotech[[#This Row],[Fracture per interval]]=0,99,1/((Data_Geotech[[#This Row],[Fracture per interval]]+Data_Geotech[[#This Row],[Added fractures 
(BC, FLT, LC)]])/Data_Geotech[[#This Row],[Run (m)]]))</f>
        <v>0.50499999999999545</v>
      </c>
      <c r="AD56" s="155" cm="1">
        <f t="array" ref="AD56">IFERROR(_xlfn.XLOOKUP(1,(A56=PLT!$A$4:$A$8886)*(Geotech!C56&lt;=PLT!$F$4:$F$8886)*(Geotech!D56&gt;=PLT!$F$4:$F$8886)*("Valid"=PLT!$P$4:$P$8886),PLT!$V$4:$V$8886),"")</f>
        <v>0</v>
      </c>
      <c r="AE56" s="156" t="str" cm="1">
        <f t="array" ref="AE56">IFERROR(_xlfn.XLOOKUP(1,(A56=PLT!$A$4:$A$8886)*(Geotech!C56&lt;=PLT!$F$4:$F$8886)*(Geotech!D56&gt;=PLT!$F$4:$F$8886)*(PLT!$V$4:$V$8886&lt;&gt;AD56)*("Valid"=PLT!$P$4:$P$7190),PLT!$V$4:$V$8886),"")</f>
        <v/>
      </c>
      <c r="AF56" s="156" t="str" cm="1">
        <f t="array" ref="AF56">IFERROR(_xlfn.XLOOKUP(1,(A56=PLT!$A$4:$A$8886)*(Geotech!C56&lt;=PLT!$F$4:$F$8886)*(Geotech!D56&gt;=PLT!$F$4:$F$8886)*(PLT!$V$4:$V$8886&lt;&gt;AD56)*(PLT!$V$4:$V$8886&lt;&gt;AE56)*("Valid"=PLT!$P$4:$P$7190),PLT!$V$4:$V$8886),"")</f>
        <v/>
      </c>
      <c r="AG56" s="44">
        <f>IFERROR(IF(AVERAGE(AD56:AF56)&gt;References!$BO$23,References!$BP$23,
IF(AVERAGE(AD56:AF56)&gt;References!$BO$22,References!$BP$22,
IF(AVERAGE(AD56:AF56)&gt;References!$BO$21,References!$BP$21,
IF(AVERAGE(AD56:AF56)&gt;References!$BO$20,References!$BP$20,
IF(AVERAGE(AD56:AF56)&gt;References!$BO$19,References!$BP$19,
IF(AVERAGE(AD56:AF56)&gt;References!$BO$18,References!$BP$18,
0)))))),"")</f>
        <v>0</v>
      </c>
      <c r="AH56" s="43">
        <f>IF(Data_Geotech[[#This Row],[Is50]]="",VLOOKUP(Data_Geotech[[#This Row],[Field Intact Rock Strength]],Table_RMR76_Strength[],2,FALSE),Data_Geotech[[#This Row],[Is50]])</f>
        <v>0</v>
      </c>
      <c r="AI56" s="43">
        <f>IF(Data_Geotech[[#This Row],[RQD (%)]]&lt;=25,3,IF(Data_Geotech[[#This Row],[RQD (%)]]&lt;=50,8,IF(Data_Geotech[[#This Row],[RQD (%)]]&lt;=75,13,IF(Data_Geotech[[#This Row],[RQD (%)]]&lt;=90,17,20))))</f>
        <v>20</v>
      </c>
      <c r="AJ56" s="43">
        <f>IF(Data_Geotech[[#This Row],[Joint spacing (m)]]&lt;=0.05,5,IF(Data_Geotech[[#This Row],[Joint spacing (m)]]&lt;=0.3,10,IF(Data_Geotech[[#This Row],[Joint spacing (m)]]&lt;=1,20,IF(Data_Geotech[[#This Row],[Joint spacing (m)]]&lt;=3,25,30))))</f>
        <v>20</v>
      </c>
      <c r="AK5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56" s="6">
        <v>10</v>
      </c>
      <c r="AM56" s="117">
        <f>IF(Data_Geotech[[#This Row],[FIRS Code]]="R",IFERROR(SUM(Data_Geotech[[#This Row],[RMR76 - Strength rating]:[RMR76 - Ground water rating]]),""),"")</f>
        <v>72.5</v>
      </c>
      <c r="AN56" s="39">
        <f>IF(Data_Geotech[[#This Row],[FIRS Code]]="R",(2*Data_Geotech[[#This Row],[RMR76 - Joint condition rating]])+(IF(Data_Geotech[[#This Row],[RQD (%)]]&gt;80,80/2,Data_Geotech[[#This Row],[RQD (%)]]/2)),"")</f>
        <v>85</v>
      </c>
      <c r="AO56" s="43" t="str">
        <f>LEFT(Data_Geotech[[#This Row],[Joint Set Rating]],FIND("-",Data_Geotech[[#This Row],[Joint Set Rating]],1)-2)</f>
        <v>2</v>
      </c>
      <c r="AP5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56" s="5">
        <f t="shared" si="1"/>
        <v>1</v>
      </c>
      <c r="AR56" s="49">
        <f>IF(Data_Geotech[[#This Row],[FIRS Code]]="R",IFERROR((IF(Data_Geotech[[#This Row],[RQD (%)]]&lt;10,10,Data_Geotech[[#This Row],[RQD (%)]])/Data_Geotech[[#This Row],[Jn rating]])*Data_Geotech[[#This Row],[Jr/Ja]],""),"")</f>
        <v>56.25</v>
      </c>
      <c r="AS56" s="45">
        <f>IF(Data_Geotech[[#This Row],[FIRS Code]]="R",IFERROR((IF(Data_Geotech[[#This Row],[RQD (%)]]&lt;10,10,Data_Geotech[[#This Row],[RQD (%)]])/Data_Geotech[[#This Row],[Jn rating]])*Data_Geotech[[#This Row],[Jr/Ja]]*Data_Geotech[[#This Row],[Jw/SRF]],""),"")</f>
        <v>56.25</v>
      </c>
      <c r="AT56" s="12"/>
      <c r="AU56" s="13">
        <f>100-Data_Geotech[[#This Row],[RQD (%)]]</f>
        <v>0</v>
      </c>
      <c r="AV56" s="13">
        <f>100-Data_Geotech[[#This Row],[TCR (%)]]</f>
        <v>-9.0949470177292824E-13</v>
      </c>
      <c r="AW56" s="62">
        <f>(Data_Geotech[[#This Row],[Fracture per interval]]+Data_Geotech[[#This Row],[Added fractures 
(BC, FLT, LC)]])/Data_Geotech[[#This Row],[TCR (m)]]</f>
        <v>1.9801980198019802</v>
      </c>
      <c r="AX56" s="6" t="s">
        <v>109</v>
      </c>
      <c r="AY56" s="63">
        <f>7-MID(Data_Geotech[[#This Row],[Field Intact Rock Strength]],2,1)</f>
        <v>3</v>
      </c>
      <c r="AZ56" s="63">
        <f>VLOOKUP(Data_Geotech[[#This Row],[Field Intact Rock Strength]],Table_FieldStrength[],2,FALSE)</f>
        <v>50</v>
      </c>
      <c r="BA56" s="63">
        <f>VLOOKUP(Data_Geotech[[#This Row],[Field Intact Rock Strength]],Table_FieldStrength[],3,FALSE)</f>
        <v>75</v>
      </c>
      <c r="BB56" s="63">
        <f>VLOOKUP(Data_Geotech[[#This Row],[Field Intact Rock Strength]],Table_FieldStrength[],4,FALSE)</f>
        <v>100</v>
      </c>
      <c r="BC56" s="63">
        <f>100-Data_Geotech[[#This Row],[RMR76]]</f>
        <v>27.5</v>
      </c>
      <c r="BD56" s="63" t="str">
        <f>LEFT(Data_Geotech[[#This Row],[Weathering/Alteration]],FIND("-",Data_Geotech[[#This Row],[Weathering/Alteration]])-2)</f>
        <v>W3/A3</v>
      </c>
    </row>
    <row r="57" spans="1:56" ht="15.75" hidden="1" thickBot="1" x14ac:dyDescent="0.3">
      <c r="A57" t="s">
        <v>26</v>
      </c>
      <c r="B57" s="16" t="str">
        <f>VLOOKUP(Data_Geotech[[#This Row],[Hole ID]],Data_Log[],2,FALSE)</f>
        <v>CGF-01</v>
      </c>
      <c r="C57" s="5">
        <v>154</v>
      </c>
      <c r="D57" s="5">
        <v>155.93</v>
      </c>
      <c r="E57" s="5">
        <f>(Data_Geotech[[#This Row],[To (m)]]-Data_Geotech[[#This Row],[From (m)]])/2+Data_Geotech[[#This Row],[From (m)]]</f>
        <v>154.965</v>
      </c>
      <c r="F57" s="13">
        <f>Data_Geotech[[#This Row],[To (m)]]-Data_Geotech[[#This Row],[From (m)]]</f>
        <v>1.9300000000000068</v>
      </c>
      <c r="G57" s="5">
        <v>1.93</v>
      </c>
      <c r="H57" s="61">
        <f>Data_Geotech[[#This Row],[TCR (m)]]/Data_Geotech[[#This Row],[Run (m)]]*100</f>
        <v>99.999999999999645</v>
      </c>
      <c r="I57" s="151">
        <v>1.9</v>
      </c>
      <c r="J57" s="151">
        <v>1.9</v>
      </c>
      <c r="K57" s="5">
        <v>1.9</v>
      </c>
      <c r="L57" s="61">
        <f>Data_Geotech[[#This Row],[RQD (m)]]/Data_Geotech[[#This Row],[Run Reel (m)]]*100</f>
        <v>100</v>
      </c>
      <c r="M57" t="s">
        <v>584</v>
      </c>
      <c r="O57" t="s">
        <v>278</v>
      </c>
      <c r="P57" s="115" t="s">
        <v>370</v>
      </c>
      <c r="Q57" s="5" t="s">
        <v>313</v>
      </c>
      <c r="R57" s="5"/>
      <c r="S57" s="5"/>
      <c r="T57" s="5"/>
      <c r="U57" s="5"/>
      <c r="V57" s="6">
        <v>2</v>
      </c>
      <c r="W57" s="92">
        <f>SUMIFS(Discontinuities!$D$4:$D$9664,Discontinuities!$A$4:$A$9664,A57,Discontinuities!$C$4:$C$9664,"&gt;="&amp;C57,Discontinuities!$C$4:$C$9664,"&lt;"&amp;D57)
-SUMIFS(Discontinuities!$D$4:$D$9664,Discontinuities!$A$4:$A$9664,A57,Discontinuities!$C$4:$C$9664,"&gt;="&amp;C57,Discontinuities!$C$4:$C$9664,"&lt;"&amp;D57,Discontinuities!$E$4:$E$9664,"=BC")
-SUMIFS(Discontinuities!$D$4:$D$9664,Discontinuities!$A$4:$A$9664,A57,Discontinuities!$C$4:$C$9664,"&gt;="&amp;C57,Discontinuities!$C$4:$C$9664,"&lt;"&amp;D57,Discontinuities!$E$4:$E$9664,"=LC")
-SUMIFS(Discontinuities!$D$4:$D$9664,Discontinuities!$A$4:$A$9664,A57,Discontinuities!$C$4:$C$9664,"&gt;="&amp;C57,Discontinuities!$C$4:$C$9664,"&lt;"&amp;D57,Discontinuities!$E$4:$E$9664,"=FLT")</f>
        <v>2</v>
      </c>
      <c r="X57" t="s">
        <v>345</v>
      </c>
      <c r="AA57" s="12"/>
      <c r="AB57" s="43">
        <f>IFERROR(ROUND((Data_Geotech[[#This Row],[Fault (m)]]+Data_Geotech[[#This Row],[Broken Core (m)]]+Data_Geotech[[#This Row],[Lost Core (m)]])*30,0),0)</f>
        <v>0</v>
      </c>
      <c r="AC57" s="44">
        <f>IF(Data_Geotech[[#This Row],[Added fractures 
(BC, FLT, LC)]]+Data_Geotech[[#This Row],[Fracture per interval]]=0,99,1/((Data_Geotech[[#This Row],[Fracture per interval]]+Data_Geotech[[#This Row],[Added fractures 
(BC, FLT, LC)]])/Data_Geotech[[#This Row],[Run (m)]]))</f>
        <v>0.96500000000000341</v>
      </c>
      <c r="AD57" s="155" cm="1">
        <f t="array" ref="AD57">IFERROR(_xlfn.XLOOKUP(1,(A57=PLT!$A$4:$A$8886)*(Geotech!C57&lt;=PLT!$F$4:$F$8886)*(Geotech!D57&gt;=PLT!$F$4:$F$8886)*("Valid"=PLT!$P$4:$P$8886),PLT!$V$4:$V$8886),"")</f>
        <v>0</v>
      </c>
      <c r="AE57" s="156" t="str" cm="1">
        <f t="array" ref="AE57">IFERROR(_xlfn.XLOOKUP(1,(A57=PLT!$A$4:$A$8886)*(Geotech!C57&lt;=PLT!$F$4:$F$8886)*(Geotech!D57&gt;=PLT!$F$4:$F$8886)*(PLT!$V$4:$V$8886&lt;&gt;AD57)*("Valid"=PLT!$P$4:$P$7190),PLT!$V$4:$V$8886),"")</f>
        <v/>
      </c>
      <c r="AF57" s="156" t="str" cm="1">
        <f t="array" ref="AF57">IFERROR(_xlfn.XLOOKUP(1,(A57=PLT!$A$4:$A$8886)*(Geotech!C57&lt;=PLT!$F$4:$F$8886)*(Geotech!D57&gt;=PLT!$F$4:$F$8886)*(PLT!$V$4:$V$8886&lt;&gt;AD57)*(PLT!$V$4:$V$8886&lt;&gt;AE57)*("Valid"=PLT!$P$4:$P$7190),PLT!$V$4:$V$8886),"")</f>
        <v/>
      </c>
      <c r="AG57" s="44">
        <f>IFERROR(IF(AVERAGE(AD57:AF57)&gt;References!$BO$23,References!$BP$23,
IF(AVERAGE(AD57:AF57)&gt;References!$BO$22,References!$BP$22,
IF(AVERAGE(AD57:AF57)&gt;References!$BO$21,References!$BP$21,
IF(AVERAGE(AD57:AF57)&gt;References!$BO$20,References!$BP$20,
IF(AVERAGE(AD57:AF57)&gt;References!$BO$19,References!$BP$19,
IF(AVERAGE(AD57:AF57)&gt;References!$BO$18,References!$BP$18,
0)))))),"")</f>
        <v>0</v>
      </c>
      <c r="AH57" s="43">
        <f>IF(Data_Geotech[[#This Row],[Is50]]="",VLOOKUP(Data_Geotech[[#This Row],[Field Intact Rock Strength]],Table_RMR76_Strength[],2,FALSE),Data_Geotech[[#This Row],[Is50]])</f>
        <v>0</v>
      </c>
      <c r="AI57" s="43">
        <f>IF(Data_Geotech[[#This Row],[RQD (%)]]&lt;=25,3,IF(Data_Geotech[[#This Row],[RQD (%)]]&lt;=50,8,IF(Data_Geotech[[#This Row],[RQD (%)]]&lt;=75,13,IF(Data_Geotech[[#This Row],[RQD (%)]]&lt;=90,17,20))))</f>
        <v>20</v>
      </c>
      <c r="AJ57" s="43">
        <f>IF(Data_Geotech[[#This Row],[Joint spacing (m)]]&lt;=0.05,5,IF(Data_Geotech[[#This Row],[Joint spacing (m)]]&lt;=0.3,10,IF(Data_Geotech[[#This Row],[Joint spacing (m)]]&lt;=1,20,IF(Data_Geotech[[#This Row],[Joint spacing (m)]]&lt;=3,25,30))))</f>
        <v>20</v>
      </c>
      <c r="AK5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57" s="6">
        <v>10</v>
      </c>
      <c r="AM57" s="117">
        <f>IF(Data_Geotech[[#This Row],[FIRS Code]]="R",IFERROR(SUM(Data_Geotech[[#This Row],[RMR76 - Strength rating]:[RMR76 - Ground water rating]]),""),"")</f>
        <v>72.5</v>
      </c>
      <c r="AN57" s="39">
        <f>IF(Data_Geotech[[#This Row],[FIRS Code]]="R",(2*Data_Geotech[[#This Row],[RMR76 - Joint condition rating]])+(IF(Data_Geotech[[#This Row],[RQD (%)]]&gt;80,80/2,Data_Geotech[[#This Row],[RQD (%)]]/2)),"")</f>
        <v>85</v>
      </c>
      <c r="AO57" s="43" t="str">
        <f>LEFT(Data_Geotech[[#This Row],[Joint Set Rating]],FIND("-",Data_Geotech[[#This Row],[Joint Set Rating]],1)-2)</f>
        <v>3</v>
      </c>
      <c r="AP5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57" s="5">
        <f t="shared" si="1"/>
        <v>1</v>
      </c>
      <c r="AR57" s="49">
        <f>IF(Data_Geotech[[#This Row],[FIRS Code]]="R",IFERROR((IF(Data_Geotech[[#This Row],[RQD (%)]]&lt;10,10,Data_Geotech[[#This Row],[RQD (%)]])/Data_Geotech[[#This Row],[Jn rating]])*Data_Geotech[[#This Row],[Jr/Ja]],""),"")</f>
        <v>37.5</v>
      </c>
      <c r="AS57" s="45">
        <f>IF(Data_Geotech[[#This Row],[FIRS Code]]="R",IFERROR((IF(Data_Geotech[[#This Row],[RQD (%)]]&lt;10,10,Data_Geotech[[#This Row],[RQD (%)]])/Data_Geotech[[#This Row],[Jn rating]])*Data_Geotech[[#This Row],[Jr/Ja]]*Data_Geotech[[#This Row],[Jw/SRF]],""),"")</f>
        <v>37.5</v>
      </c>
      <c r="AT57" s="12"/>
      <c r="AU57" s="13">
        <f>100-Data_Geotech[[#This Row],[RQD (%)]]</f>
        <v>0</v>
      </c>
      <c r="AV57" s="13">
        <f>100-Data_Geotech[[#This Row],[TCR (%)]]</f>
        <v>3.5527136788005009E-13</v>
      </c>
      <c r="AW57" s="62">
        <f>(Data_Geotech[[#This Row],[Fracture per interval]]+Data_Geotech[[#This Row],[Added fractures 
(BC, FLT, LC)]])/Data_Geotech[[#This Row],[TCR (m)]]</f>
        <v>1.0362694300518136</v>
      </c>
      <c r="AX57" s="6" t="s">
        <v>109</v>
      </c>
      <c r="AY57" s="63">
        <f>7-MID(Data_Geotech[[#This Row],[Field Intact Rock Strength]],2,1)</f>
        <v>3</v>
      </c>
      <c r="AZ57" s="63">
        <f>VLOOKUP(Data_Geotech[[#This Row],[Field Intact Rock Strength]],Table_FieldStrength[],2,FALSE)</f>
        <v>50</v>
      </c>
      <c r="BA57" s="63">
        <f>VLOOKUP(Data_Geotech[[#This Row],[Field Intact Rock Strength]],Table_FieldStrength[],3,FALSE)</f>
        <v>75</v>
      </c>
      <c r="BB57" s="63">
        <f>VLOOKUP(Data_Geotech[[#This Row],[Field Intact Rock Strength]],Table_FieldStrength[],4,FALSE)</f>
        <v>100</v>
      </c>
      <c r="BC57" s="63">
        <f>100-Data_Geotech[[#This Row],[RMR76]]</f>
        <v>27.5</v>
      </c>
      <c r="BD57" s="63" t="str">
        <f>LEFT(Data_Geotech[[#This Row],[Weathering/Alteration]],FIND("-",Data_Geotech[[#This Row],[Weathering/Alteration]])-2)</f>
        <v>W2/A2</v>
      </c>
    </row>
    <row r="58" spans="1:56" ht="15.75" hidden="1" thickBot="1" x14ac:dyDescent="0.3">
      <c r="A58" t="s">
        <v>26</v>
      </c>
      <c r="B58" s="16" t="str">
        <f>VLOOKUP(Data_Geotech[[#This Row],[Hole ID]],Data_Log[],2,FALSE)</f>
        <v>CGF-01</v>
      </c>
      <c r="C58" s="5">
        <v>155.93</v>
      </c>
      <c r="D58" s="5">
        <v>159.01</v>
      </c>
      <c r="E58" s="5">
        <f>(Data_Geotech[[#This Row],[To (m)]]-Data_Geotech[[#This Row],[From (m)]])/2+Data_Geotech[[#This Row],[From (m)]]</f>
        <v>157.47</v>
      </c>
      <c r="F58" s="13">
        <f>Data_Geotech[[#This Row],[To (m)]]-Data_Geotech[[#This Row],[From (m)]]</f>
        <v>3.0799999999999841</v>
      </c>
      <c r="G58" s="5">
        <v>3.08</v>
      </c>
      <c r="H58" s="61">
        <f>Data_Geotech[[#This Row],[TCR (m)]]/Data_Geotech[[#This Row],[Run (m)]]*100</f>
        <v>100.00000000000051</v>
      </c>
      <c r="I58" s="151">
        <f>1.24+1.84</f>
        <v>3.08</v>
      </c>
      <c r="J58" s="151">
        <v>3.08</v>
      </c>
      <c r="K58" s="5">
        <v>3.08</v>
      </c>
      <c r="L58" s="61">
        <f>Data_Geotech[[#This Row],[RQD (m)]]/Data_Geotech[[#This Row],[Run Reel (m)]]*100</f>
        <v>100</v>
      </c>
      <c r="M58" t="s">
        <v>584</v>
      </c>
      <c r="O58" t="s">
        <v>278</v>
      </c>
      <c r="P58" s="115" t="s">
        <v>370</v>
      </c>
      <c r="Q58" s="5" t="s">
        <v>281</v>
      </c>
      <c r="R58" s="5"/>
      <c r="S58" s="5"/>
      <c r="T58" s="5"/>
      <c r="U58" s="5"/>
      <c r="V58" s="6">
        <v>6</v>
      </c>
      <c r="W58" s="92">
        <f>SUMIFS(Discontinuities!$D$4:$D$9664,Discontinuities!$A$4:$A$9664,A58,Discontinuities!$C$4:$C$9664,"&gt;="&amp;C58,Discontinuities!$C$4:$C$9664,"&lt;"&amp;D58)
-SUMIFS(Discontinuities!$D$4:$D$9664,Discontinuities!$A$4:$A$9664,A58,Discontinuities!$C$4:$C$9664,"&gt;="&amp;C58,Discontinuities!$C$4:$C$9664,"&lt;"&amp;D58,Discontinuities!$E$4:$E$9664,"=BC")
-SUMIFS(Discontinuities!$D$4:$D$9664,Discontinuities!$A$4:$A$9664,A58,Discontinuities!$C$4:$C$9664,"&gt;="&amp;C58,Discontinuities!$C$4:$C$9664,"&lt;"&amp;D58,Discontinuities!$E$4:$E$9664,"=LC")
-SUMIFS(Discontinuities!$D$4:$D$9664,Discontinuities!$A$4:$A$9664,A58,Discontinuities!$C$4:$C$9664,"&gt;="&amp;C58,Discontinuities!$C$4:$C$9664,"&lt;"&amp;D58,Discontinuities!$E$4:$E$9664,"=FLT")</f>
        <v>6</v>
      </c>
      <c r="X58" t="s">
        <v>312</v>
      </c>
      <c r="AA58" s="12"/>
      <c r="AB58" s="43">
        <f>IFERROR(ROUND((Data_Geotech[[#This Row],[Fault (m)]]+Data_Geotech[[#This Row],[Broken Core (m)]]+Data_Geotech[[#This Row],[Lost Core (m)]])*30,0),0)</f>
        <v>0</v>
      </c>
      <c r="AC58" s="44">
        <f>IF(Data_Geotech[[#This Row],[Added fractures 
(BC, FLT, LC)]]+Data_Geotech[[#This Row],[Fracture per interval]]=0,99,1/((Data_Geotech[[#This Row],[Fracture per interval]]+Data_Geotech[[#This Row],[Added fractures 
(BC, FLT, LC)]])/Data_Geotech[[#This Row],[Run (m)]]))</f>
        <v>0.51333333333333075</v>
      </c>
      <c r="AD58" s="155" cm="1">
        <f t="array" ref="AD58">IFERROR(_xlfn.XLOOKUP(1,(A58=PLT!$A$4:$A$8886)*(Geotech!C58&lt;=PLT!$F$4:$F$8886)*(Geotech!D58&gt;=PLT!$F$4:$F$8886)*("Valid"=PLT!$P$4:$P$8886),PLT!$V$4:$V$8886),"")</f>
        <v>0</v>
      </c>
      <c r="AE58" s="156" t="str" cm="1">
        <f t="array" ref="AE58">IFERROR(_xlfn.XLOOKUP(1,(A58=PLT!$A$4:$A$8886)*(Geotech!C58&lt;=PLT!$F$4:$F$8886)*(Geotech!D58&gt;=PLT!$F$4:$F$8886)*(PLT!$V$4:$V$8886&lt;&gt;AD58)*("Valid"=PLT!$P$4:$P$7190),PLT!$V$4:$V$8886),"")</f>
        <v/>
      </c>
      <c r="AF58" s="156" t="str" cm="1">
        <f t="array" ref="AF58">IFERROR(_xlfn.XLOOKUP(1,(A58=PLT!$A$4:$A$8886)*(Geotech!C58&lt;=PLT!$F$4:$F$8886)*(Geotech!D58&gt;=PLT!$F$4:$F$8886)*(PLT!$V$4:$V$8886&lt;&gt;AD58)*(PLT!$V$4:$V$8886&lt;&gt;AE58)*("Valid"=PLT!$P$4:$P$7190),PLT!$V$4:$V$8886),"")</f>
        <v/>
      </c>
      <c r="AG58" s="44">
        <f>IFERROR(IF(AVERAGE(AD58:AF58)&gt;References!$BO$23,References!$BP$23,
IF(AVERAGE(AD58:AF58)&gt;References!$BO$22,References!$BP$22,
IF(AVERAGE(AD58:AF58)&gt;References!$BO$21,References!$BP$21,
IF(AVERAGE(AD58:AF58)&gt;References!$BO$20,References!$BP$20,
IF(AVERAGE(AD58:AF58)&gt;References!$BO$19,References!$BP$19,
IF(AVERAGE(AD58:AF58)&gt;References!$BO$18,References!$BP$18,
0)))))),"")</f>
        <v>0</v>
      </c>
      <c r="AH58" s="43">
        <f>IF(Data_Geotech[[#This Row],[Is50]]="",VLOOKUP(Data_Geotech[[#This Row],[Field Intact Rock Strength]],Table_RMR76_Strength[],2,FALSE),Data_Geotech[[#This Row],[Is50]])</f>
        <v>0</v>
      </c>
      <c r="AI58" s="43">
        <f>IF(Data_Geotech[[#This Row],[RQD (%)]]&lt;=25,3,IF(Data_Geotech[[#This Row],[RQD (%)]]&lt;=50,8,IF(Data_Geotech[[#This Row],[RQD (%)]]&lt;=75,13,IF(Data_Geotech[[#This Row],[RQD (%)]]&lt;=90,17,20))))</f>
        <v>20</v>
      </c>
      <c r="AJ58" s="43">
        <f>IF(Data_Geotech[[#This Row],[Joint spacing (m)]]&lt;=0.05,5,IF(Data_Geotech[[#This Row],[Joint spacing (m)]]&lt;=0.3,10,IF(Data_Geotech[[#This Row],[Joint spacing (m)]]&lt;=1,20,IF(Data_Geotech[[#This Row],[Joint spacing (m)]]&lt;=3,25,30))))</f>
        <v>20</v>
      </c>
      <c r="AK5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16.333333333333332</v>
      </c>
      <c r="AL58" s="6">
        <v>10</v>
      </c>
      <c r="AM58" s="117">
        <f>IF(Data_Geotech[[#This Row],[FIRS Code]]="R",IFERROR(SUM(Data_Geotech[[#This Row],[RMR76 - Strength rating]:[RMR76 - Ground water rating]]),""),"")</f>
        <v>66.333333333333329</v>
      </c>
      <c r="AN58" s="39">
        <f>IF(Data_Geotech[[#This Row],[FIRS Code]]="R",(2*Data_Geotech[[#This Row],[RMR76 - Joint condition rating]])+(IF(Data_Geotech[[#This Row],[RQD (%)]]&gt;80,80/2,Data_Geotech[[#This Row],[RQD (%)]]/2)),"")</f>
        <v>72.666666666666657</v>
      </c>
      <c r="AO58" s="43" t="str">
        <f>LEFT(Data_Geotech[[#This Row],[Joint Set Rating]],FIND("-",Data_Geotech[[#This Row],[Joint Set Rating]],1)-2)</f>
        <v>2</v>
      </c>
      <c r="AP5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0.77083333333333337</v>
      </c>
      <c r="AQ58" s="5">
        <f t="shared" si="1"/>
        <v>1</v>
      </c>
      <c r="AR58" s="49">
        <f>IF(Data_Geotech[[#This Row],[FIRS Code]]="R",IFERROR((IF(Data_Geotech[[#This Row],[RQD (%)]]&lt;10,10,Data_Geotech[[#This Row],[RQD (%)]])/Data_Geotech[[#This Row],[Jn rating]])*Data_Geotech[[#This Row],[Jr/Ja]],""),"")</f>
        <v>38.541666666666671</v>
      </c>
      <c r="AS58" s="45">
        <f>IF(Data_Geotech[[#This Row],[FIRS Code]]="R",IFERROR((IF(Data_Geotech[[#This Row],[RQD (%)]]&lt;10,10,Data_Geotech[[#This Row],[RQD (%)]])/Data_Geotech[[#This Row],[Jn rating]])*Data_Geotech[[#This Row],[Jr/Ja]]*Data_Geotech[[#This Row],[Jw/SRF]],""),"")</f>
        <v>38.541666666666671</v>
      </c>
      <c r="AT58" s="12"/>
      <c r="AU58" s="13">
        <f>100-Data_Geotech[[#This Row],[RQD (%)]]</f>
        <v>0</v>
      </c>
      <c r="AV58" s="13">
        <f>100-Data_Geotech[[#This Row],[TCR (%)]]</f>
        <v>-5.1159076974727213E-13</v>
      </c>
      <c r="AW58" s="62">
        <f>(Data_Geotech[[#This Row],[Fracture per interval]]+Data_Geotech[[#This Row],[Added fractures 
(BC, FLT, LC)]])/Data_Geotech[[#This Row],[TCR (m)]]</f>
        <v>1.948051948051948</v>
      </c>
      <c r="AX58" s="6" t="s">
        <v>109</v>
      </c>
      <c r="AY58" s="63">
        <f>7-MID(Data_Geotech[[#This Row],[Field Intact Rock Strength]],2,1)</f>
        <v>3</v>
      </c>
      <c r="AZ58" s="63">
        <f>VLOOKUP(Data_Geotech[[#This Row],[Field Intact Rock Strength]],Table_FieldStrength[],2,FALSE)</f>
        <v>50</v>
      </c>
      <c r="BA58" s="63">
        <f>VLOOKUP(Data_Geotech[[#This Row],[Field Intact Rock Strength]],Table_FieldStrength[],3,FALSE)</f>
        <v>75</v>
      </c>
      <c r="BB58" s="63">
        <f>VLOOKUP(Data_Geotech[[#This Row],[Field Intact Rock Strength]],Table_FieldStrength[],4,FALSE)</f>
        <v>100</v>
      </c>
      <c r="BC58" s="63">
        <f>100-Data_Geotech[[#This Row],[RMR76]]</f>
        <v>33.666666666666671</v>
      </c>
      <c r="BD58" s="63" t="str">
        <f>LEFT(Data_Geotech[[#This Row],[Weathering/Alteration]],FIND("-",Data_Geotech[[#This Row],[Weathering/Alteration]])-2)</f>
        <v>W2/A2</v>
      </c>
    </row>
    <row r="59" spans="1:56" ht="15.75" hidden="1" thickBot="1" x14ac:dyDescent="0.3">
      <c r="A59" t="s">
        <v>26</v>
      </c>
      <c r="B59" s="16" t="str">
        <f>VLOOKUP(Data_Geotech[[#This Row],[Hole ID]],Data_Log[],2,FALSE)</f>
        <v>CGF-01</v>
      </c>
      <c r="C59" s="5">
        <v>159.01</v>
      </c>
      <c r="D59" s="5">
        <v>162</v>
      </c>
      <c r="E59" s="5">
        <f>(Data_Geotech[[#This Row],[To (m)]]-Data_Geotech[[#This Row],[From (m)]])/2+Data_Geotech[[#This Row],[From (m)]]</f>
        <v>160.505</v>
      </c>
      <c r="F59" s="13">
        <f>Data_Geotech[[#This Row],[To (m)]]-Data_Geotech[[#This Row],[From (m)]]</f>
        <v>2.9900000000000091</v>
      </c>
      <c r="G59" s="5">
        <v>2.99</v>
      </c>
      <c r="H59" s="61">
        <f>Data_Geotech[[#This Row],[TCR (m)]]/Data_Geotech[[#This Row],[Run (m)]]*100</f>
        <v>99.999999999999702</v>
      </c>
      <c r="I59" s="151">
        <v>2.99</v>
      </c>
      <c r="J59" s="151">
        <v>2.99</v>
      </c>
      <c r="K59" s="5">
        <v>2.99</v>
      </c>
      <c r="L59" s="61">
        <f>Data_Geotech[[#This Row],[RQD (m)]]/Data_Geotech[[#This Row],[Run Reel (m)]]*100</f>
        <v>100</v>
      </c>
      <c r="M59" t="s">
        <v>584</v>
      </c>
      <c r="O59" t="s">
        <v>243</v>
      </c>
      <c r="P59" s="115" t="s">
        <v>397</v>
      </c>
      <c r="Q59" s="5" t="s">
        <v>313</v>
      </c>
      <c r="R59" s="5"/>
      <c r="S59" s="5"/>
      <c r="T59" s="5"/>
      <c r="U59" s="5"/>
      <c r="V59" s="6">
        <v>5</v>
      </c>
      <c r="W59" s="92">
        <f>SUMIFS(Discontinuities!$D$4:$D$9664,Discontinuities!$A$4:$A$9664,A59,Discontinuities!$C$4:$C$9664,"&gt;="&amp;C59,Discontinuities!$C$4:$C$9664,"&lt;"&amp;D59)
-SUMIFS(Discontinuities!$D$4:$D$9664,Discontinuities!$A$4:$A$9664,A59,Discontinuities!$C$4:$C$9664,"&gt;="&amp;C59,Discontinuities!$C$4:$C$9664,"&lt;"&amp;D59,Discontinuities!$E$4:$E$9664,"=BC")
-SUMIFS(Discontinuities!$D$4:$D$9664,Discontinuities!$A$4:$A$9664,A59,Discontinuities!$C$4:$C$9664,"&gt;="&amp;C59,Discontinuities!$C$4:$C$9664,"&lt;"&amp;D59,Discontinuities!$E$4:$E$9664,"=LC")
-SUMIFS(Discontinuities!$D$4:$D$9664,Discontinuities!$A$4:$A$9664,A59,Discontinuities!$C$4:$C$9664,"&gt;="&amp;C59,Discontinuities!$C$4:$C$9664,"&lt;"&amp;D59,Discontinuities!$E$4:$E$9664,"=FLT")</f>
        <v>5</v>
      </c>
      <c r="X59" t="s">
        <v>345</v>
      </c>
      <c r="AA59" s="12"/>
      <c r="AB59" s="43">
        <f>IFERROR(ROUND((Data_Geotech[[#This Row],[Fault (m)]]+Data_Geotech[[#This Row],[Broken Core (m)]]+Data_Geotech[[#This Row],[Lost Core (m)]])*30,0),0)</f>
        <v>0</v>
      </c>
      <c r="AC59" s="44">
        <f>IF(Data_Geotech[[#This Row],[Added fractures 
(BC, FLT, LC)]]+Data_Geotech[[#This Row],[Fracture per interval]]=0,99,1/((Data_Geotech[[#This Row],[Fracture per interval]]+Data_Geotech[[#This Row],[Added fractures 
(BC, FLT, LC)]])/Data_Geotech[[#This Row],[Run (m)]]))</f>
        <v>0.59800000000000186</v>
      </c>
      <c r="AD59" s="155" cm="1">
        <f t="array" ref="AD59">IFERROR(_xlfn.XLOOKUP(1,(A59=PLT!$A$4:$A$8886)*(Geotech!C59&lt;=PLT!$F$4:$F$8886)*(Geotech!D59&gt;=PLT!$F$4:$F$8886)*("Valid"=PLT!$P$4:$P$8886),PLT!$V$4:$V$8886),"")</f>
        <v>0</v>
      </c>
      <c r="AE59" s="156" t="str" cm="1">
        <f t="array" ref="AE59">IFERROR(_xlfn.XLOOKUP(1,(A59=PLT!$A$4:$A$8886)*(Geotech!C59&lt;=PLT!$F$4:$F$8886)*(Geotech!D59&gt;=PLT!$F$4:$F$8886)*(PLT!$V$4:$V$8886&lt;&gt;AD59)*("Valid"=PLT!$P$4:$P$7190),PLT!$V$4:$V$8886),"")</f>
        <v/>
      </c>
      <c r="AF59" s="156" t="str" cm="1">
        <f t="array" ref="AF59">IFERROR(_xlfn.XLOOKUP(1,(A59=PLT!$A$4:$A$8886)*(Geotech!C59&lt;=PLT!$F$4:$F$8886)*(Geotech!D59&gt;=PLT!$F$4:$F$8886)*(PLT!$V$4:$V$8886&lt;&gt;AD59)*(PLT!$V$4:$V$8886&lt;&gt;AE59)*("Valid"=PLT!$P$4:$P$7190),PLT!$V$4:$V$8886),"")</f>
        <v/>
      </c>
      <c r="AG59" s="44">
        <f>IFERROR(IF(AVERAGE(AD59:AF59)&gt;References!$BO$23,References!$BP$23,
IF(AVERAGE(AD59:AF59)&gt;References!$BO$22,References!$BP$22,
IF(AVERAGE(AD59:AF59)&gt;References!$BO$21,References!$BP$21,
IF(AVERAGE(AD59:AF59)&gt;References!$BO$20,References!$BP$20,
IF(AVERAGE(AD59:AF59)&gt;References!$BO$19,References!$BP$19,
IF(AVERAGE(AD59:AF59)&gt;References!$BO$18,References!$BP$18,
0)))))),"")</f>
        <v>0</v>
      </c>
      <c r="AH59" s="43">
        <f>IF(Data_Geotech[[#This Row],[Is50]]="",VLOOKUP(Data_Geotech[[#This Row],[Field Intact Rock Strength]],Table_RMR76_Strength[],2,FALSE),Data_Geotech[[#This Row],[Is50]])</f>
        <v>0</v>
      </c>
      <c r="AI59" s="43">
        <f>IF(Data_Geotech[[#This Row],[RQD (%)]]&lt;=25,3,IF(Data_Geotech[[#This Row],[RQD (%)]]&lt;=50,8,IF(Data_Geotech[[#This Row],[RQD (%)]]&lt;=75,13,IF(Data_Geotech[[#This Row],[RQD (%)]]&lt;=90,17,20))))</f>
        <v>20</v>
      </c>
      <c r="AJ59" s="43">
        <f>IF(Data_Geotech[[#This Row],[Joint spacing (m)]]&lt;=0.05,5,IF(Data_Geotech[[#This Row],[Joint spacing (m)]]&lt;=0.3,10,IF(Data_Geotech[[#This Row],[Joint spacing (m)]]&lt;=1,20,IF(Data_Geotech[[#This Row],[Joint spacing (m)]]&lt;=3,25,30))))</f>
        <v>20</v>
      </c>
      <c r="AK5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15.6</v>
      </c>
      <c r="AL59" s="6">
        <v>10</v>
      </c>
      <c r="AM59" s="117">
        <f>IF(Data_Geotech[[#This Row],[FIRS Code]]="R",IFERROR(SUM(Data_Geotech[[#This Row],[RMR76 - Strength rating]:[RMR76 - Ground water rating]]),""),"")</f>
        <v>65.599999999999994</v>
      </c>
      <c r="AN59" s="39">
        <f>IF(Data_Geotech[[#This Row],[FIRS Code]]="R",(2*Data_Geotech[[#This Row],[RMR76 - Joint condition rating]])+(IF(Data_Geotech[[#This Row],[RQD (%)]]&gt;80,80/2,Data_Geotech[[#This Row],[RQD (%)]]/2)),"")</f>
        <v>71.2</v>
      </c>
      <c r="AO59" s="43" t="str">
        <f>LEFT(Data_Geotech[[#This Row],[Joint Set Rating]],FIND("-",Data_Geotech[[#This Row],[Joint Set Rating]],1)-2)</f>
        <v>3</v>
      </c>
      <c r="AP5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v>
      </c>
      <c r="AQ59" s="5">
        <f t="shared" si="1"/>
        <v>1</v>
      </c>
      <c r="AR59" s="49">
        <f>IF(Data_Geotech[[#This Row],[FIRS Code]]="R",IFERROR((IF(Data_Geotech[[#This Row],[RQD (%)]]&lt;10,10,Data_Geotech[[#This Row],[RQD (%)]])/Data_Geotech[[#This Row],[Jn rating]])*Data_Geotech[[#This Row],[Jr/Ja]],""),"")</f>
        <v>23.333333333333332</v>
      </c>
      <c r="AS59" s="45">
        <f>IF(Data_Geotech[[#This Row],[FIRS Code]]="R",IFERROR((IF(Data_Geotech[[#This Row],[RQD (%)]]&lt;10,10,Data_Geotech[[#This Row],[RQD (%)]])/Data_Geotech[[#This Row],[Jn rating]])*Data_Geotech[[#This Row],[Jr/Ja]]*Data_Geotech[[#This Row],[Jw/SRF]],""),"")</f>
        <v>23.333333333333332</v>
      </c>
      <c r="AT59" s="12"/>
      <c r="AU59" s="13">
        <f>100-Data_Geotech[[#This Row],[RQD (%)]]</f>
        <v>0</v>
      </c>
      <c r="AV59" s="13">
        <f>100-Data_Geotech[[#This Row],[TCR (%)]]</f>
        <v>2.9842794901924208E-13</v>
      </c>
      <c r="AW59" s="62">
        <f>(Data_Geotech[[#This Row],[Fracture per interval]]+Data_Geotech[[#This Row],[Added fractures 
(BC, FLT, LC)]])/Data_Geotech[[#This Row],[TCR (m)]]</f>
        <v>1.6722408026755851</v>
      </c>
      <c r="AX59" s="6" t="s">
        <v>109</v>
      </c>
      <c r="AY59" s="63">
        <f>7-MID(Data_Geotech[[#This Row],[Field Intact Rock Strength]],2,1)</f>
        <v>2</v>
      </c>
      <c r="AZ59" s="63">
        <f>VLOOKUP(Data_Geotech[[#This Row],[Field Intact Rock Strength]],Table_FieldStrength[],2,FALSE)</f>
        <v>100</v>
      </c>
      <c r="BA59" s="63">
        <f>VLOOKUP(Data_Geotech[[#This Row],[Field Intact Rock Strength]],Table_FieldStrength[],3,FALSE)</f>
        <v>175</v>
      </c>
      <c r="BB59" s="63">
        <f>VLOOKUP(Data_Geotech[[#This Row],[Field Intact Rock Strength]],Table_FieldStrength[],4,FALSE)</f>
        <v>250</v>
      </c>
      <c r="BC59" s="63">
        <f>100-Data_Geotech[[#This Row],[RMR76]]</f>
        <v>34.400000000000006</v>
      </c>
      <c r="BD59" s="63" t="str">
        <f>LEFT(Data_Geotech[[#This Row],[Weathering/Alteration]],FIND("-",Data_Geotech[[#This Row],[Weathering/Alteration]])-2)</f>
        <v>W1/A1</v>
      </c>
    </row>
    <row r="60" spans="1:56" ht="15.75" hidden="1" thickBot="1" x14ac:dyDescent="0.3">
      <c r="A60" t="s">
        <v>26</v>
      </c>
      <c r="B60" s="16" t="str">
        <f>VLOOKUP(Data_Geotech[[#This Row],[Hole ID]],Data_Log[],2,FALSE)</f>
        <v>CGF-01</v>
      </c>
      <c r="C60" s="5">
        <v>162</v>
      </c>
      <c r="D60" s="5">
        <v>164.97</v>
      </c>
      <c r="E60" s="5">
        <f>(Data_Geotech[[#This Row],[To (m)]]-Data_Geotech[[#This Row],[From (m)]])/2+Data_Geotech[[#This Row],[From (m)]]</f>
        <v>163.48500000000001</v>
      </c>
      <c r="F60" s="13">
        <f>Data_Geotech[[#This Row],[To (m)]]-Data_Geotech[[#This Row],[From (m)]]</f>
        <v>2.9699999999999989</v>
      </c>
      <c r="G60" s="5">
        <v>2.97</v>
      </c>
      <c r="H60" s="61">
        <f>Data_Geotech[[#This Row],[TCR (m)]]/Data_Geotech[[#This Row],[Run (m)]]*100</f>
        <v>100.00000000000004</v>
      </c>
      <c r="I60" s="151">
        <v>2.94</v>
      </c>
      <c r="J60" s="151">
        <v>2.94</v>
      </c>
      <c r="K60" s="5">
        <v>2.94</v>
      </c>
      <c r="L60" s="61">
        <f>Data_Geotech[[#This Row],[RQD (m)]]/Data_Geotech[[#This Row],[Run Reel (m)]]*100</f>
        <v>100</v>
      </c>
      <c r="M60" t="s">
        <v>584</v>
      </c>
      <c r="O60" t="s">
        <v>278</v>
      </c>
      <c r="P60" s="115" t="s">
        <v>397</v>
      </c>
      <c r="Q60" s="5" t="s">
        <v>281</v>
      </c>
      <c r="R60" s="5"/>
      <c r="S60" s="5"/>
      <c r="T60" s="5"/>
      <c r="U60" s="5"/>
      <c r="V60" s="6">
        <v>4</v>
      </c>
      <c r="W60" s="92">
        <f>SUMIFS(Discontinuities!$D$4:$D$9664,Discontinuities!$A$4:$A$9664,A60,Discontinuities!$C$4:$C$9664,"&gt;="&amp;C60,Discontinuities!$C$4:$C$9664,"&lt;"&amp;D60)
-SUMIFS(Discontinuities!$D$4:$D$9664,Discontinuities!$A$4:$A$9664,A60,Discontinuities!$C$4:$C$9664,"&gt;="&amp;C60,Discontinuities!$C$4:$C$9664,"&lt;"&amp;D60,Discontinuities!$E$4:$E$9664,"=BC")
-SUMIFS(Discontinuities!$D$4:$D$9664,Discontinuities!$A$4:$A$9664,A60,Discontinuities!$C$4:$C$9664,"&gt;="&amp;C60,Discontinuities!$C$4:$C$9664,"&lt;"&amp;D60,Discontinuities!$E$4:$E$9664,"=LC")
-SUMIFS(Discontinuities!$D$4:$D$9664,Discontinuities!$A$4:$A$9664,A60,Discontinuities!$C$4:$C$9664,"&gt;="&amp;C60,Discontinuities!$C$4:$C$9664,"&lt;"&amp;D60,Discontinuities!$E$4:$E$9664,"=FLT")</f>
        <v>4</v>
      </c>
      <c r="X60" t="s">
        <v>345</v>
      </c>
      <c r="AA60" s="12"/>
      <c r="AB60" s="43">
        <f>IFERROR(ROUND((Data_Geotech[[#This Row],[Fault (m)]]+Data_Geotech[[#This Row],[Broken Core (m)]]+Data_Geotech[[#This Row],[Lost Core (m)]])*30,0),0)</f>
        <v>0</v>
      </c>
      <c r="AC60" s="44">
        <f>IF(Data_Geotech[[#This Row],[Added fractures 
(BC, FLT, LC)]]+Data_Geotech[[#This Row],[Fracture per interval]]=0,99,1/((Data_Geotech[[#This Row],[Fracture per interval]]+Data_Geotech[[#This Row],[Added fractures 
(BC, FLT, LC)]])/Data_Geotech[[#This Row],[Run (m)]]))</f>
        <v>0.74249999999999972</v>
      </c>
      <c r="AD60" s="155" cm="1">
        <f t="array" ref="AD60">IFERROR(_xlfn.XLOOKUP(1,(A60=PLT!$A$4:$A$8886)*(Geotech!C60&lt;=PLT!$F$4:$F$8886)*(Geotech!D60&gt;=PLT!$F$4:$F$8886)*("Valid"=PLT!$P$4:$P$8886),PLT!$V$4:$V$8886),"")</f>
        <v>0</v>
      </c>
      <c r="AE60" s="156" t="str" cm="1">
        <f t="array" ref="AE60">IFERROR(_xlfn.XLOOKUP(1,(A60=PLT!$A$4:$A$8886)*(Geotech!C60&lt;=PLT!$F$4:$F$8886)*(Geotech!D60&gt;=PLT!$F$4:$F$8886)*(PLT!$V$4:$V$8886&lt;&gt;AD60)*("Valid"=PLT!$P$4:$P$7190),PLT!$V$4:$V$8886),"")</f>
        <v/>
      </c>
      <c r="AF60" s="156" t="str" cm="1">
        <f t="array" ref="AF60">IFERROR(_xlfn.XLOOKUP(1,(A60=PLT!$A$4:$A$8886)*(Geotech!C60&lt;=PLT!$F$4:$F$8886)*(Geotech!D60&gt;=PLT!$F$4:$F$8886)*(PLT!$V$4:$V$8886&lt;&gt;AD60)*(PLT!$V$4:$V$8886&lt;&gt;AE60)*("Valid"=PLT!$P$4:$P$7190),PLT!$V$4:$V$8886),"")</f>
        <v/>
      </c>
      <c r="AG60" s="44">
        <f>IFERROR(IF(AVERAGE(AD60:AF60)&gt;References!$BO$23,References!$BP$23,
IF(AVERAGE(AD60:AF60)&gt;References!$BO$22,References!$BP$22,
IF(AVERAGE(AD60:AF60)&gt;References!$BO$21,References!$BP$21,
IF(AVERAGE(AD60:AF60)&gt;References!$BO$20,References!$BP$20,
IF(AVERAGE(AD60:AF60)&gt;References!$BO$19,References!$BP$19,
IF(AVERAGE(AD60:AF60)&gt;References!$BO$18,References!$BP$18,
0)))))),"")</f>
        <v>0</v>
      </c>
      <c r="AH60" s="43">
        <f>IF(Data_Geotech[[#This Row],[Is50]]="",VLOOKUP(Data_Geotech[[#This Row],[Field Intact Rock Strength]],Table_RMR76_Strength[],2,FALSE),Data_Geotech[[#This Row],[Is50]])</f>
        <v>0</v>
      </c>
      <c r="AI60" s="43">
        <f>IF(Data_Geotech[[#This Row],[RQD (%)]]&lt;=25,3,IF(Data_Geotech[[#This Row],[RQD (%)]]&lt;=50,8,IF(Data_Geotech[[#This Row],[RQD (%)]]&lt;=75,13,IF(Data_Geotech[[#This Row],[RQD (%)]]&lt;=90,17,20))))</f>
        <v>20</v>
      </c>
      <c r="AJ60" s="43">
        <f>IF(Data_Geotech[[#This Row],[Joint spacing (m)]]&lt;=0.05,5,IF(Data_Geotech[[#This Row],[Joint spacing (m)]]&lt;=0.3,10,IF(Data_Geotech[[#This Row],[Joint spacing (m)]]&lt;=1,20,IF(Data_Geotech[[#This Row],[Joint spacing (m)]]&lt;=3,25,30))))</f>
        <v>20</v>
      </c>
      <c r="AK6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23.75</v>
      </c>
      <c r="AL60" s="6">
        <v>10</v>
      </c>
      <c r="AM60" s="117">
        <f>IF(Data_Geotech[[#This Row],[FIRS Code]]="R",IFERROR(SUM(Data_Geotech[[#This Row],[RMR76 - Strength rating]:[RMR76 - Ground water rating]]),""),"")</f>
        <v>73.75</v>
      </c>
      <c r="AN60" s="39">
        <f>IF(Data_Geotech[[#This Row],[FIRS Code]]="R",(2*Data_Geotech[[#This Row],[RMR76 - Joint condition rating]])+(IF(Data_Geotech[[#This Row],[RQD (%)]]&gt;80,80/2,Data_Geotech[[#This Row],[RQD (%)]]/2)),"")</f>
        <v>87.5</v>
      </c>
      <c r="AO60" s="43" t="str">
        <f>LEFT(Data_Geotech[[#This Row],[Joint Set Rating]],FIND("-",Data_Geotech[[#This Row],[Joint Set Rating]],1)-2)</f>
        <v>3</v>
      </c>
      <c r="AP6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1.6875</v>
      </c>
      <c r="AQ60" s="5">
        <f t="shared" si="1"/>
        <v>1</v>
      </c>
      <c r="AR60" s="49">
        <f>IF(Data_Geotech[[#This Row],[FIRS Code]]="R",IFERROR((IF(Data_Geotech[[#This Row],[RQD (%)]]&lt;10,10,Data_Geotech[[#This Row],[RQD (%)]])/Data_Geotech[[#This Row],[Jn rating]])*Data_Geotech[[#This Row],[Jr/Ja]],""),"")</f>
        <v>56.250000000000007</v>
      </c>
      <c r="AS60" s="45">
        <f>IF(Data_Geotech[[#This Row],[FIRS Code]]="R",IFERROR((IF(Data_Geotech[[#This Row],[RQD (%)]]&lt;10,10,Data_Geotech[[#This Row],[RQD (%)]])/Data_Geotech[[#This Row],[Jn rating]])*Data_Geotech[[#This Row],[Jr/Ja]]*Data_Geotech[[#This Row],[Jw/SRF]],""),"")</f>
        <v>56.250000000000007</v>
      </c>
      <c r="AT60" s="12"/>
      <c r="AU60" s="13">
        <f>100-Data_Geotech[[#This Row],[RQD (%)]]</f>
        <v>0</v>
      </c>
      <c r="AV60" s="13">
        <f>100-Data_Geotech[[#This Row],[TCR (%)]]</f>
        <v>0</v>
      </c>
      <c r="AW60" s="62">
        <f>(Data_Geotech[[#This Row],[Fracture per interval]]+Data_Geotech[[#This Row],[Added fractures 
(BC, FLT, LC)]])/Data_Geotech[[#This Row],[TCR (m)]]</f>
        <v>1.3468013468013467</v>
      </c>
      <c r="AX60" s="6" t="s">
        <v>109</v>
      </c>
      <c r="AY60" s="63">
        <f>7-MID(Data_Geotech[[#This Row],[Field Intact Rock Strength]],2,1)</f>
        <v>2</v>
      </c>
      <c r="AZ60" s="63">
        <f>VLOOKUP(Data_Geotech[[#This Row],[Field Intact Rock Strength]],Table_FieldStrength[],2,FALSE)</f>
        <v>100</v>
      </c>
      <c r="BA60" s="63">
        <f>VLOOKUP(Data_Geotech[[#This Row],[Field Intact Rock Strength]],Table_FieldStrength[],3,FALSE)</f>
        <v>175</v>
      </c>
      <c r="BB60" s="63">
        <f>VLOOKUP(Data_Geotech[[#This Row],[Field Intact Rock Strength]],Table_FieldStrength[],4,FALSE)</f>
        <v>250</v>
      </c>
      <c r="BC60" s="63">
        <f>100-Data_Geotech[[#This Row],[RMR76]]</f>
        <v>26.25</v>
      </c>
      <c r="BD60" s="63" t="str">
        <f>LEFT(Data_Geotech[[#This Row],[Weathering/Alteration]],FIND("-",Data_Geotech[[#This Row],[Weathering/Alteration]])-2)</f>
        <v>W2/A2</v>
      </c>
    </row>
    <row r="61" spans="1:56" s="91" customFormat="1" ht="15.75" hidden="1" thickBot="1" x14ac:dyDescent="0.3">
      <c r="A61" s="91" t="s">
        <v>26</v>
      </c>
      <c r="B61" s="167" t="str">
        <f>VLOOKUP(Data_Geotech[[#This Row],[Hole ID]],Data_Log[],2,FALSE)</f>
        <v>CGF-01</v>
      </c>
      <c r="C61" s="155">
        <v>164.97</v>
      </c>
      <c r="D61" s="155">
        <v>168</v>
      </c>
      <c r="E61" s="155">
        <f>(Data_Geotech[[#This Row],[To (m)]]-Data_Geotech[[#This Row],[From (m)]])/2+Data_Geotech[[#This Row],[From (m)]]</f>
        <v>166.48500000000001</v>
      </c>
      <c r="F61" s="155">
        <f>Data_Geotech[[#This Row],[To (m)]]-Data_Geotech[[#This Row],[From (m)]]</f>
        <v>3.0300000000000011</v>
      </c>
      <c r="G61" s="155">
        <v>3.03</v>
      </c>
      <c r="H61" s="168">
        <f>Data_Geotech[[#This Row],[TCR (m)]]/Data_Geotech[[#This Row],[Run (m)]]*100</f>
        <v>99.999999999999957</v>
      </c>
      <c r="I61" s="168">
        <v>2.96</v>
      </c>
      <c r="J61" s="168">
        <v>2.96</v>
      </c>
      <c r="K61" s="155">
        <v>2.96</v>
      </c>
      <c r="L61" s="168">
        <f>Data_Geotech[[#This Row],[RQD (m)]]/Data_Geotech[[#This Row],[Run Reel (m)]]*100</f>
        <v>100</v>
      </c>
      <c r="M61" s="91" t="s">
        <v>584</v>
      </c>
      <c r="O61" s="91" t="s">
        <v>243</v>
      </c>
      <c r="P61" s="169" t="s">
        <v>342</v>
      </c>
      <c r="Q61" s="155" t="s">
        <v>313</v>
      </c>
      <c r="R61" s="155"/>
      <c r="S61" s="155"/>
      <c r="T61" s="155"/>
      <c r="U61" s="155"/>
      <c r="V61" s="148">
        <v>4</v>
      </c>
      <c r="W61" s="170">
        <f>SUMIFS(Discontinuities!$D$4:$D$9664,Discontinuities!$A$4:$A$9664,A61,Discontinuities!$C$4:$C$9664,"&gt;="&amp;C61,Discontinuities!$C$4:$C$9664,"&lt;"&amp;D61)
-SUMIFS(Discontinuities!$D$4:$D$9664,Discontinuities!$A$4:$A$9664,A61,Discontinuities!$C$4:$C$9664,"&gt;="&amp;C61,Discontinuities!$C$4:$C$9664,"&lt;"&amp;D61,Discontinuities!$E$4:$E$9664,"=BC")
-SUMIFS(Discontinuities!$D$4:$D$9664,Discontinuities!$A$4:$A$9664,A61,Discontinuities!$C$4:$C$9664,"&gt;="&amp;C61,Discontinuities!$C$4:$C$9664,"&lt;"&amp;D61,Discontinuities!$E$4:$E$9664,"=LC")
-SUMIFS(Discontinuities!$D$4:$D$9664,Discontinuities!$A$4:$A$9664,A61,Discontinuities!$C$4:$C$9664,"&gt;="&amp;C61,Discontinuities!$C$4:$C$9664,"&lt;"&amp;D61,Discontinuities!$E$4:$E$9664,"=FLT")</f>
        <v>4</v>
      </c>
      <c r="X61" s="91" t="s">
        <v>373</v>
      </c>
      <c r="Y61" s="148"/>
      <c r="AB61" s="171">
        <f>IFERROR(ROUND((Data_Geotech[[#This Row],[Fault (m)]]+Data_Geotech[[#This Row],[Broken Core (m)]]+Data_Geotech[[#This Row],[Lost Core (m)]])*30,0),0)</f>
        <v>0</v>
      </c>
      <c r="AC61" s="172">
        <f>IF(Data_Geotech[[#This Row],[Added fractures 
(BC, FLT, LC)]]+Data_Geotech[[#This Row],[Fracture per interval]]=0,99,1/((Data_Geotech[[#This Row],[Fracture per interval]]+Data_Geotech[[#This Row],[Added fractures 
(BC, FLT, LC)]])/Data_Geotech[[#This Row],[Run (m)]]))</f>
        <v>0.75750000000000028</v>
      </c>
      <c r="AD61" s="155" cm="1">
        <f t="array" ref="AD61">IFERROR(_xlfn.XLOOKUP(1,(A61=PLT!$A$4:$A$8886)*(Geotech!C61&lt;=PLT!$F$4:$F$8886)*(Geotech!D61&gt;=PLT!$F$4:$F$8886)*("Valid"=PLT!$P$4:$P$8886),PLT!$V$4:$V$8886),"")</f>
        <v>0</v>
      </c>
      <c r="AE61" s="156" t="str" cm="1">
        <f t="array" ref="AE61">IFERROR(_xlfn.XLOOKUP(1,(A61=PLT!$A$4:$A$8886)*(Geotech!C61&lt;=PLT!$F$4:$F$8886)*(Geotech!D61&gt;=PLT!$F$4:$F$8886)*(PLT!$V$4:$V$8886&lt;&gt;AD61)*("Valid"=PLT!$P$4:$P$7190),PLT!$V$4:$V$8886),"")</f>
        <v/>
      </c>
      <c r="AF61" s="156" t="str" cm="1">
        <f t="array" ref="AF61">IFERROR(_xlfn.XLOOKUP(1,(A61=PLT!$A$4:$A$8886)*(Geotech!C61&lt;=PLT!$F$4:$F$8886)*(Geotech!D61&gt;=PLT!$F$4:$F$8886)*(PLT!$V$4:$V$8886&lt;&gt;AD61)*(PLT!$V$4:$V$8886&lt;&gt;AE61)*("Valid"=PLT!$P$4:$P$7190),PLT!$V$4:$V$8886),"")</f>
        <v/>
      </c>
      <c r="AG61" s="172">
        <f>IFERROR(IF(AVERAGE(AD61:AF61)&gt;References!$BO$23,References!$BP$23,
IF(AVERAGE(AD61:AF61)&gt;References!$BO$22,References!$BP$22,
IF(AVERAGE(AD61:AF61)&gt;References!$BO$21,References!$BP$21,
IF(AVERAGE(AD61:AF61)&gt;References!$BO$20,References!$BP$20,
IF(AVERAGE(AD61:AF61)&gt;References!$BO$19,References!$BP$19,
IF(AVERAGE(AD61:AF61)&gt;References!$BO$18,References!$BP$18,
0)))))),"")</f>
        <v>0</v>
      </c>
      <c r="AH61" s="171">
        <f>IF(Data_Geotech[[#This Row],[Is50]]="",VLOOKUP(Data_Geotech[[#This Row],[Field Intact Rock Strength]],Table_RMR76_Strength[],2,FALSE),Data_Geotech[[#This Row],[Is50]])</f>
        <v>0</v>
      </c>
      <c r="AI61" s="171">
        <f>IF(Data_Geotech[[#This Row],[RQD (%)]]&lt;=25,3,IF(Data_Geotech[[#This Row],[RQD (%)]]&lt;=50,8,IF(Data_Geotech[[#This Row],[RQD (%)]]&lt;=75,13,IF(Data_Geotech[[#This Row],[RQD (%)]]&lt;=90,17,20))))</f>
        <v>20</v>
      </c>
      <c r="AJ61" s="171">
        <f>IF(Data_Geotech[[#This Row],[Joint spacing (m)]]&lt;=0.05,5,IF(Data_Geotech[[#This Row],[Joint spacing (m)]]&lt;=0.3,10,IF(Data_Geotech[[#This Row],[Joint spacing (m)]]&lt;=1,20,IF(Data_Geotech[[#This Row],[Joint spacing (m)]]&lt;=3,25,30))))</f>
        <v>20</v>
      </c>
      <c r="AK61"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61" s="148">
        <v>10</v>
      </c>
      <c r="AM61" s="173">
        <f>IF(Data_Geotech[[#This Row],[FIRS Code]]="R",IFERROR(SUM(Data_Geotech[[#This Row],[RMR76 - Strength rating]:[RMR76 - Ground water rating]]),""),"")</f>
        <v>72.5</v>
      </c>
      <c r="AN61" s="174">
        <f>IF(Data_Geotech[[#This Row],[FIRS Code]]="R",(2*Data_Geotech[[#This Row],[RMR76 - Joint condition rating]])+(IF(Data_Geotech[[#This Row],[RQD (%)]]&gt;80,80/2,Data_Geotech[[#This Row],[RQD (%)]]/2)),"")</f>
        <v>85</v>
      </c>
      <c r="AO61" s="171" t="str">
        <f>LEFT(Data_Geotech[[#This Row],[Joint Set Rating]],FIND("-",Data_Geotech[[#This Row],[Joint Set Rating]],1)-2)</f>
        <v>4</v>
      </c>
      <c r="AP61"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1.5625</v>
      </c>
      <c r="AQ61" s="155">
        <f t="shared" si="1"/>
        <v>1</v>
      </c>
      <c r="AR61" s="175">
        <f>IF(Data_Geotech[[#This Row],[FIRS Code]]="R",IFERROR((IF(Data_Geotech[[#This Row],[RQD (%)]]&lt;10,10,Data_Geotech[[#This Row],[RQD (%)]])/Data_Geotech[[#This Row],[Jn rating]])*Data_Geotech[[#This Row],[Jr/Ja]],""),"")</f>
        <v>39.0625</v>
      </c>
      <c r="AS61" s="176">
        <f>IF(Data_Geotech[[#This Row],[FIRS Code]]="R",IFERROR((IF(Data_Geotech[[#This Row],[RQD (%)]]&lt;10,10,Data_Geotech[[#This Row],[RQD (%)]])/Data_Geotech[[#This Row],[Jn rating]])*Data_Geotech[[#This Row],[Jr/Ja]]*Data_Geotech[[#This Row],[Jw/SRF]],""),"")</f>
        <v>39.0625</v>
      </c>
      <c r="AU61" s="155">
        <f>100-Data_Geotech[[#This Row],[RQD (%)]]</f>
        <v>0</v>
      </c>
      <c r="AV61" s="155">
        <f>100-Data_Geotech[[#This Row],[TCR (%)]]</f>
        <v>0</v>
      </c>
      <c r="AW61" s="170">
        <f>(Data_Geotech[[#This Row],[Fracture per interval]]+Data_Geotech[[#This Row],[Added fractures 
(BC, FLT, LC)]])/Data_Geotech[[#This Row],[TCR (m)]]</f>
        <v>1.3201320132013201</v>
      </c>
      <c r="AX61" s="148" t="s">
        <v>109</v>
      </c>
      <c r="AY61" s="148">
        <f>7-MID(Data_Geotech[[#This Row],[Field Intact Rock Strength]],2,1)</f>
        <v>4</v>
      </c>
      <c r="AZ61" s="148">
        <f>VLOOKUP(Data_Geotech[[#This Row],[Field Intact Rock Strength]],Table_FieldStrength[],2,FALSE)</f>
        <v>25</v>
      </c>
      <c r="BA61" s="148">
        <f>VLOOKUP(Data_Geotech[[#This Row],[Field Intact Rock Strength]],Table_FieldStrength[],3,FALSE)</f>
        <v>37.5</v>
      </c>
      <c r="BB61" s="148">
        <f>VLOOKUP(Data_Geotech[[#This Row],[Field Intact Rock Strength]],Table_FieldStrength[],4,FALSE)</f>
        <v>50</v>
      </c>
      <c r="BC61" s="148">
        <f>100-Data_Geotech[[#This Row],[RMR76]]</f>
        <v>27.5</v>
      </c>
      <c r="BD61" s="148" t="str">
        <f>LEFT(Data_Geotech[[#This Row],[Weathering/Alteration]],FIND("-",Data_Geotech[[#This Row],[Weathering/Alteration]])-2)</f>
        <v>W1/A1</v>
      </c>
    </row>
    <row r="62" spans="1:56" ht="15.75" hidden="1" thickBot="1" x14ac:dyDescent="0.3">
      <c r="A62" t="s">
        <v>26</v>
      </c>
      <c r="B62" s="16" t="str">
        <f>VLOOKUP(Data_Geotech[[#This Row],[Hole ID]],Data_Log[],2,FALSE)</f>
        <v>CGF-01</v>
      </c>
      <c r="C62" s="5">
        <v>168</v>
      </c>
      <c r="D62" s="5">
        <v>171</v>
      </c>
      <c r="E62" s="5">
        <f>(Data_Geotech[[#This Row],[To (m)]]-Data_Geotech[[#This Row],[From (m)]])/2+Data_Geotech[[#This Row],[From (m)]]</f>
        <v>169.5</v>
      </c>
      <c r="F62" s="13">
        <f>Data_Geotech[[#This Row],[To (m)]]-Data_Geotech[[#This Row],[From (m)]]</f>
        <v>3</v>
      </c>
      <c r="G62" s="5">
        <v>3</v>
      </c>
      <c r="H62" s="61">
        <f>Data_Geotech[[#This Row],[TCR (m)]]/Data_Geotech[[#This Row],[Run (m)]]*100</f>
        <v>100</v>
      </c>
      <c r="I62" s="151">
        <v>3.05</v>
      </c>
      <c r="J62" s="151">
        <v>3.05</v>
      </c>
      <c r="K62" s="5">
        <v>2.99</v>
      </c>
      <c r="L62" s="61">
        <f>Data_Geotech[[#This Row],[RQD (m)]]/Data_Geotech[[#This Row],[Run Reel (m)]]*100</f>
        <v>98.032786885245912</v>
      </c>
      <c r="M62" t="s">
        <v>584</v>
      </c>
      <c r="O62" t="s">
        <v>278</v>
      </c>
      <c r="P62" s="115" t="s">
        <v>397</v>
      </c>
      <c r="Q62" s="5" t="s">
        <v>281</v>
      </c>
      <c r="R62" s="5"/>
      <c r="S62" s="5">
        <v>0.06</v>
      </c>
      <c r="T62" s="5"/>
      <c r="U62" s="5"/>
      <c r="V62" s="6">
        <v>3</v>
      </c>
      <c r="W62" s="92">
        <f>SUMIFS(Discontinuities!$D$4:$D$9664,Discontinuities!$A$4:$A$9664,A62,Discontinuities!$C$4:$C$9664,"&gt;="&amp;C62,Discontinuities!$C$4:$C$9664,"&lt;"&amp;D62)
-SUMIFS(Discontinuities!$D$4:$D$9664,Discontinuities!$A$4:$A$9664,A62,Discontinuities!$C$4:$C$9664,"&gt;="&amp;C62,Discontinuities!$C$4:$C$9664,"&lt;"&amp;D62,Discontinuities!$E$4:$E$9664,"=BC")
-SUMIFS(Discontinuities!$D$4:$D$9664,Discontinuities!$A$4:$A$9664,A62,Discontinuities!$C$4:$C$9664,"&gt;="&amp;C62,Discontinuities!$C$4:$C$9664,"&lt;"&amp;D62,Discontinuities!$E$4:$E$9664,"=LC")
-SUMIFS(Discontinuities!$D$4:$D$9664,Discontinuities!$A$4:$A$9664,A62,Discontinuities!$C$4:$C$9664,"&gt;="&amp;C62,Discontinuities!$C$4:$C$9664,"&lt;"&amp;D62,Discontinuities!$E$4:$E$9664,"=FLT")</f>
        <v>3</v>
      </c>
      <c r="X62" t="s">
        <v>345</v>
      </c>
      <c r="AA62" s="12"/>
      <c r="AB62" s="43">
        <f>IFERROR(ROUND((Data_Geotech[[#This Row],[Fault (m)]]+Data_Geotech[[#This Row],[Broken Core (m)]]+Data_Geotech[[#This Row],[Lost Core (m)]])*30,0),0)</f>
        <v>2</v>
      </c>
      <c r="AC62" s="44">
        <f>IF(Data_Geotech[[#This Row],[Added fractures 
(BC, FLT, LC)]]+Data_Geotech[[#This Row],[Fracture per interval]]=0,99,1/((Data_Geotech[[#This Row],[Fracture per interval]]+Data_Geotech[[#This Row],[Added fractures 
(BC, FLT, LC)]])/Data_Geotech[[#This Row],[Run (m)]]))</f>
        <v>0.6</v>
      </c>
      <c r="AD62" s="155" cm="1">
        <f t="array" ref="AD62">IFERROR(_xlfn.XLOOKUP(1,(A62=PLT!$A$4:$A$8886)*(Geotech!C62&lt;=PLT!$F$4:$F$8886)*(Geotech!D62&gt;=PLT!$F$4:$F$8886)*("Valid"=PLT!$P$4:$P$8886),PLT!$V$4:$V$8886),"")</f>
        <v>0</v>
      </c>
      <c r="AE62" s="156" t="str" cm="1">
        <f t="array" ref="AE62">IFERROR(_xlfn.XLOOKUP(1,(A62=PLT!$A$4:$A$8886)*(Geotech!C62&lt;=PLT!$F$4:$F$8886)*(Geotech!D62&gt;=PLT!$F$4:$F$8886)*(PLT!$V$4:$V$8886&lt;&gt;AD62)*("Valid"=PLT!$P$4:$P$7190),PLT!$V$4:$V$8886),"")</f>
        <v/>
      </c>
      <c r="AF62" s="156" t="str" cm="1">
        <f t="array" ref="AF62">IFERROR(_xlfn.XLOOKUP(1,(A62=PLT!$A$4:$A$8886)*(Geotech!C62&lt;=PLT!$F$4:$F$8886)*(Geotech!D62&gt;=PLT!$F$4:$F$8886)*(PLT!$V$4:$V$8886&lt;&gt;AD62)*(PLT!$V$4:$V$8886&lt;&gt;AE62)*("Valid"=PLT!$P$4:$P$7190),PLT!$V$4:$V$8886),"")</f>
        <v/>
      </c>
      <c r="AG62" s="44">
        <f>IFERROR(IF(AVERAGE(AD62:AF62)&gt;References!$BO$23,References!$BP$23,
IF(AVERAGE(AD62:AF62)&gt;References!$BO$22,References!$BP$22,
IF(AVERAGE(AD62:AF62)&gt;References!$BO$21,References!$BP$21,
IF(AVERAGE(AD62:AF62)&gt;References!$BO$20,References!$BP$20,
IF(AVERAGE(AD62:AF62)&gt;References!$BO$19,References!$BP$19,
IF(AVERAGE(AD62:AF62)&gt;References!$BO$18,References!$BP$18,
0)))))),"")</f>
        <v>0</v>
      </c>
      <c r="AH62" s="43">
        <f>IF(Data_Geotech[[#This Row],[Is50]]="",VLOOKUP(Data_Geotech[[#This Row],[Field Intact Rock Strength]],Table_RMR76_Strength[],2,FALSE),Data_Geotech[[#This Row],[Is50]])</f>
        <v>0</v>
      </c>
      <c r="AI62" s="43">
        <f>IF(Data_Geotech[[#This Row],[RQD (%)]]&lt;=25,3,IF(Data_Geotech[[#This Row],[RQD (%)]]&lt;=50,8,IF(Data_Geotech[[#This Row],[RQD (%)]]&lt;=75,13,IF(Data_Geotech[[#This Row],[RQD (%)]]&lt;=90,17,20))))</f>
        <v>20</v>
      </c>
      <c r="AJ62" s="43">
        <f>IF(Data_Geotech[[#This Row],[Joint spacing (m)]]&lt;=0.05,5,IF(Data_Geotech[[#This Row],[Joint spacing (m)]]&lt;=0.3,10,IF(Data_Geotech[[#This Row],[Joint spacing (m)]]&lt;=1,20,IF(Data_Geotech[[#This Row],[Joint spacing (m)]]&lt;=3,25,30))))</f>
        <v>20</v>
      </c>
      <c r="AK6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v>
      </c>
      <c r="AL62" s="6">
        <v>10</v>
      </c>
      <c r="AM62" s="117">
        <f>IF(Data_Geotech[[#This Row],[FIRS Code]]="R",IFERROR(SUM(Data_Geotech[[#This Row],[RMR76 - Strength rating]:[RMR76 - Ground water rating]]),""),"")</f>
        <v>69</v>
      </c>
      <c r="AN62" s="39">
        <f>IF(Data_Geotech[[#This Row],[FIRS Code]]="R",(2*Data_Geotech[[#This Row],[RMR76 - Joint condition rating]])+(IF(Data_Geotech[[#This Row],[RQD (%)]]&gt;80,80/2,Data_Geotech[[#This Row],[RQD (%)]]/2)),"")</f>
        <v>78</v>
      </c>
      <c r="AO62" s="43" t="str">
        <f>LEFT(Data_Geotech[[#This Row],[Joint Set Rating]],FIND("-",Data_Geotech[[#This Row],[Joint Set Rating]],1)-2)</f>
        <v>3</v>
      </c>
      <c r="AP6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0.91666666666666663</v>
      </c>
      <c r="AQ62" s="5">
        <f t="shared" ref="AQ62:AQ64" si="2">1/1</f>
        <v>1</v>
      </c>
      <c r="AR62" s="49">
        <f>IF(Data_Geotech[[#This Row],[FIRS Code]]="R",IFERROR((IF(Data_Geotech[[#This Row],[RQD (%)]]&lt;10,10,Data_Geotech[[#This Row],[RQD (%)]])/Data_Geotech[[#This Row],[Jn rating]])*Data_Geotech[[#This Row],[Jr/Ja]],""),"")</f>
        <v>29.954462659380695</v>
      </c>
      <c r="AS62" s="45">
        <f>IF(Data_Geotech[[#This Row],[FIRS Code]]="R",IFERROR((IF(Data_Geotech[[#This Row],[RQD (%)]]&lt;10,10,Data_Geotech[[#This Row],[RQD (%)]])/Data_Geotech[[#This Row],[Jn rating]])*Data_Geotech[[#This Row],[Jr/Ja]]*Data_Geotech[[#This Row],[Jw/SRF]],""),"")</f>
        <v>29.954462659380695</v>
      </c>
      <c r="AT62" s="12"/>
      <c r="AU62" s="13">
        <f>100-Data_Geotech[[#This Row],[RQD (%)]]</f>
        <v>1.9672131147540881</v>
      </c>
      <c r="AV62" s="13">
        <f>100-Data_Geotech[[#This Row],[TCR (%)]]</f>
        <v>0</v>
      </c>
      <c r="AW62" s="62">
        <f>(Data_Geotech[[#This Row],[Fracture per interval]]+Data_Geotech[[#This Row],[Added fractures 
(BC, FLT, LC)]])/Data_Geotech[[#This Row],[TCR (m)]]</f>
        <v>1.6666666666666667</v>
      </c>
      <c r="AX62" s="6" t="s">
        <v>109</v>
      </c>
      <c r="AY62" s="63">
        <f>7-MID(Data_Geotech[[#This Row],[Field Intact Rock Strength]],2,1)</f>
        <v>2</v>
      </c>
      <c r="AZ62" s="63">
        <f>VLOOKUP(Data_Geotech[[#This Row],[Field Intact Rock Strength]],Table_FieldStrength[],2,FALSE)</f>
        <v>100</v>
      </c>
      <c r="BA62" s="63">
        <f>VLOOKUP(Data_Geotech[[#This Row],[Field Intact Rock Strength]],Table_FieldStrength[],3,FALSE)</f>
        <v>175</v>
      </c>
      <c r="BB62" s="63">
        <f>VLOOKUP(Data_Geotech[[#This Row],[Field Intact Rock Strength]],Table_FieldStrength[],4,FALSE)</f>
        <v>250</v>
      </c>
      <c r="BC62" s="63">
        <f>100-Data_Geotech[[#This Row],[RMR76]]</f>
        <v>31</v>
      </c>
      <c r="BD62" s="63" t="str">
        <f>LEFT(Data_Geotech[[#This Row],[Weathering/Alteration]],FIND("-",Data_Geotech[[#This Row],[Weathering/Alteration]])-2)</f>
        <v>W2/A2</v>
      </c>
    </row>
    <row r="63" spans="1:56" ht="15.75" hidden="1" thickBot="1" x14ac:dyDescent="0.3">
      <c r="A63" t="s">
        <v>26</v>
      </c>
      <c r="B63" s="16" t="str">
        <f>VLOOKUP(Data_Geotech[[#This Row],[Hole ID]],Data_Log[],2,FALSE)</f>
        <v>CGF-01</v>
      </c>
      <c r="C63" s="5">
        <v>171</v>
      </c>
      <c r="D63" s="5">
        <v>174</v>
      </c>
      <c r="E63" s="5">
        <f>(Data_Geotech[[#This Row],[To (m)]]-Data_Geotech[[#This Row],[From (m)]])/2+Data_Geotech[[#This Row],[From (m)]]</f>
        <v>172.5</v>
      </c>
      <c r="F63" s="13">
        <f>Data_Geotech[[#This Row],[To (m)]]-Data_Geotech[[#This Row],[From (m)]]</f>
        <v>3</v>
      </c>
      <c r="G63" s="5">
        <v>3</v>
      </c>
      <c r="H63" s="61">
        <f>Data_Geotech[[#This Row],[TCR (m)]]/Data_Geotech[[#This Row],[Run (m)]]*100</f>
        <v>100</v>
      </c>
      <c r="I63" s="151">
        <v>2.98</v>
      </c>
      <c r="J63" s="151">
        <v>2.98</v>
      </c>
      <c r="K63" s="5">
        <v>2.91</v>
      </c>
      <c r="L63" s="61">
        <f>Data_Geotech[[#This Row],[RQD (m)]]/Data_Geotech[[#This Row],[Run Reel (m)]]*100</f>
        <v>97.651006711409408</v>
      </c>
      <c r="M63" t="s">
        <v>584</v>
      </c>
      <c r="O63" t="s">
        <v>278</v>
      </c>
      <c r="P63" s="115" t="s">
        <v>370</v>
      </c>
      <c r="Q63" s="5" t="s">
        <v>313</v>
      </c>
      <c r="R63" s="5"/>
      <c r="S63" s="5">
        <v>0.04</v>
      </c>
      <c r="T63" s="5"/>
      <c r="U63" s="5"/>
      <c r="V63" s="6">
        <v>8</v>
      </c>
      <c r="W63" s="92">
        <f>SUMIFS(Discontinuities!$D$4:$D$9664,Discontinuities!$A$4:$A$9664,A63,Discontinuities!$C$4:$C$9664,"&gt;="&amp;C63,Discontinuities!$C$4:$C$9664,"&lt;"&amp;D63)
-SUMIFS(Discontinuities!$D$4:$D$9664,Discontinuities!$A$4:$A$9664,A63,Discontinuities!$C$4:$C$9664,"&gt;="&amp;C63,Discontinuities!$C$4:$C$9664,"&lt;"&amp;D63,Discontinuities!$E$4:$E$9664,"=BC")
-SUMIFS(Discontinuities!$D$4:$D$9664,Discontinuities!$A$4:$A$9664,A63,Discontinuities!$C$4:$C$9664,"&gt;="&amp;C63,Discontinuities!$C$4:$C$9664,"&lt;"&amp;D63,Discontinuities!$E$4:$E$9664,"=LC")
-SUMIFS(Discontinuities!$D$4:$D$9664,Discontinuities!$A$4:$A$9664,A63,Discontinuities!$C$4:$C$9664,"&gt;="&amp;C63,Discontinuities!$C$4:$C$9664,"&lt;"&amp;D63,Discontinuities!$E$4:$E$9664,"=FLT")</f>
        <v>8</v>
      </c>
      <c r="X63" t="s">
        <v>400</v>
      </c>
      <c r="AA63" s="12"/>
      <c r="AB63" s="43">
        <f>IFERROR(ROUND((Data_Geotech[[#This Row],[Fault (m)]]+Data_Geotech[[#This Row],[Broken Core (m)]]+Data_Geotech[[#This Row],[Lost Core (m)]])*30,0),0)</f>
        <v>1</v>
      </c>
      <c r="AC63" s="44">
        <f>IF(Data_Geotech[[#This Row],[Added fractures 
(BC, FLT, LC)]]+Data_Geotech[[#This Row],[Fracture per interval]]=0,99,1/((Data_Geotech[[#This Row],[Fracture per interval]]+Data_Geotech[[#This Row],[Added fractures 
(BC, FLT, LC)]])/Data_Geotech[[#This Row],[Run (m)]]))</f>
        <v>0.33333333333333331</v>
      </c>
      <c r="AD63" s="155" cm="1">
        <f t="array" ref="AD63">IFERROR(_xlfn.XLOOKUP(1,(A63=PLT!$A$4:$A$8886)*(Geotech!C63&lt;=PLT!$F$4:$F$8886)*(Geotech!D63&gt;=PLT!$F$4:$F$8886)*("Valid"=PLT!$P$4:$P$8886),PLT!$V$4:$V$8886),"")</f>
        <v>0</v>
      </c>
      <c r="AE63" s="156" t="str" cm="1">
        <f t="array" ref="AE63">IFERROR(_xlfn.XLOOKUP(1,(A63=PLT!$A$4:$A$8886)*(Geotech!C63&lt;=PLT!$F$4:$F$8886)*(Geotech!D63&gt;=PLT!$F$4:$F$8886)*(PLT!$V$4:$V$8886&lt;&gt;AD63)*("Valid"=PLT!$P$4:$P$7190),PLT!$V$4:$V$8886),"")</f>
        <v/>
      </c>
      <c r="AF63" s="156" t="str" cm="1">
        <f t="array" ref="AF63">IFERROR(_xlfn.XLOOKUP(1,(A63=PLT!$A$4:$A$8886)*(Geotech!C63&lt;=PLT!$F$4:$F$8886)*(Geotech!D63&gt;=PLT!$F$4:$F$8886)*(PLT!$V$4:$V$8886&lt;&gt;AD63)*(PLT!$V$4:$V$8886&lt;&gt;AE63)*("Valid"=PLT!$P$4:$P$7190),PLT!$V$4:$V$8886),"")</f>
        <v/>
      </c>
      <c r="AG63" s="44">
        <f>IFERROR(IF(AVERAGE(AD63:AF63)&gt;References!$BO$23,References!$BP$23,
IF(AVERAGE(AD63:AF63)&gt;References!$BO$22,References!$BP$22,
IF(AVERAGE(AD63:AF63)&gt;References!$BO$21,References!$BP$21,
IF(AVERAGE(AD63:AF63)&gt;References!$BO$20,References!$BP$20,
IF(AVERAGE(AD63:AF63)&gt;References!$BO$19,References!$BP$19,
IF(AVERAGE(AD63:AF63)&gt;References!$BO$18,References!$BP$18,
0)))))),"")</f>
        <v>0</v>
      </c>
      <c r="AH63" s="43">
        <f>IF(Data_Geotech[[#This Row],[Is50]]="",VLOOKUP(Data_Geotech[[#This Row],[Field Intact Rock Strength]],Table_RMR76_Strength[],2,FALSE),Data_Geotech[[#This Row],[Is50]])</f>
        <v>0</v>
      </c>
      <c r="AI63" s="43">
        <f>IF(Data_Geotech[[#This Row],[RQD (%)]]&lt;=25,3,IF(Data_Geotech[[#This Row],[RQD (%)]]&lt;=50,8,IF(Data_Geotech[[#This Row],[RQD (%)]]&lt;=75,13,IF(Data_Geotech[[#This Row],[RQD (%)]]&lt;=90,17,20))))</f>
        <v>20</v>
      </c>
      <c r="AJ63" s="43">
        <f>IF(Data_Geotech[[#This Row],[Joint spacing (m)]]&lt;=0.05,5,IF(Data_Geotech[[#This Row],[Joint spacing (m)]]&lt;=0.3,10,IF(Data_Geotech[[#This Row],[Joint spacing (m)]]&lt;=1,20,IF(Data_Geotech[[#This Row],[Joint spacing (m)]]&lt;=3,25,30))))</f>
        <v>20</v>
      </c>
      <c r="AK6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19.125</v>
      </c>
      <c r="AL63" s="6">
        <v>10</v>
      </c>
      <c r="AM63" s="117">
        <f>IF(Data_Geotech[[#This Row],[FIRS Code]]="R",IFERROR(SUM(Data_Geotech[[#This Row],[RMR76 - Strength rating]:[RMR76 - Ground water rating]]),""),"")</f>
        <v>69.125</v>
      </c>
      <c r="AN63" s="39">
        <f>IF(Data_Geotech[[#This Row],[FIRS Code]]="R",(2*Data_Geotech[[#This Row],[RMR76 - Joint condition rating]])+(IF(Data_Geotech[[#This Row],[RQD (%)]]&gt;80,80/2,Data_Geotech[[#This Row],[RQD (%)]]/2)),"")</f>
        <v>78.25</v>
      </c>
      <c r="AO63" s="43" t="str">
        <f>LEFT(Data_Geotech[[#This Row],[Joint Set Rating]],FIND("-",Data_Geotech[[#This Row],[Joint Set Rating]],1)-2)</f>
        <v>6</v>
      </c>
      <c r="AP6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1.09375</v>
      </c>
      <c r="AQ63" s="5">
        <f t="shared" si="2"/>
        <v>1</v>
      </c>
      <c r="AR63" s="49">
        <f>IF(Data_Geotech[[#This Row],[FIRS Code]]="R",IFERROR((IF(Data_Geotech[[#This Row],[RQD (%)]]&lt;10,10,Data_Geotech[[#This Row],[RQD (%)]])/Data_Geotech[[#This Row],[Jn rating]])*Data_Geotech[[#This Row],[Jr/Ja]],""),"")</f>
        <v>17.800964765100673</v>
      </c>
      <c r="AS63" s="45">
        <f>IF(Data_Geotech[[#This Row],[FIRS Code]]="R",IFERROR((IF(Data_Geotech[[#This Row],[RQD (%)]]&lt;10,10,Data_Geotech[[#This Row],[RQD (%)]])/Data_Geotech[[#This Row],[Jn rating]])*Data_Geotech[[#This Row],[Jr/Ja]]*Data_Geotech[[#This Row],[Jw/SRF]],""),"")</f>
        <v>17.800964765100673</v>
      </c>
      <c r="AT63" s="12"/>
      <c r="AU63" s="13">
        <f>100-Data_Geotech[[#This Row],[RQD (%)]]</f>
        <v>2.3489932885905915</v>
      </c>
      <c r="AV63" s="13">
        <f>100-Data_Geotech[[#This Row],[TCR (%)]]</f>
        <v>0</v>
      </c>
      <c r="AW63" s="62">
        <f>(Data_Geotech[[#This Row],[Fracture per interval]]+Data_Geotech[[#This Row],[Added fractures 
(BC, FLT, LC)]])/Data_Geotech[[#This Row],[TCR (m)]]</f>
        <v>3</v>
      </c>
      <c r="AX63" s="6" t="s">
        <v>109</v>
      </c>
      <c r="AY63" s="63">
        <f>7-MID(Data_Geotech[[#This Row],[Field Intact Rock Strength]],2,1)</f>
        <v>3</v>
      </c>
      <c r="AZ63" s="63">
        <f>VLOOKUP(Data_Geotech[[#This Row],[Field Intact Rock Strength]],Table_FieldStrength[],2,FALSE)</f>
        <v>50</v>
      </c>
      <c r="BA63" s="63">
        <f>VLOOKUP(Data_Geotech[[#This Row],[Field Intact Rock Strength]],Table_FieldStrength[],3,FALSE)</f>
        <v>75</v>
      </c>
      <c r="BB63" s="63">
        <f>VLOOKUP(Data_Geotech[[#This Row],[Field Intact Rock Strength]],Table_FieldStrength[],4,FALSE)</f>
        <v>100</v>
      </c>
      <c r="BC63" s="63">
        <f>100-Data_Geotech[[#This Row],[RMR76]]</f>
        <v>30.875</v>
      </c>
      <c r="BD63" s="63" t="str">
        <f>LEFT(Data_Geotech[[#This Row],[Weathering/Alteration]],FIND("-",Data_Geotech[[#This Row],[Weathering/Alteration]])-2)</f>
        <v>W2/A2</v>
      </c>
    </row>
    <row r="64" spans="1:56" ht="15.75" hidden="1" thickBot="1" x14ac:dyDescent="0.3">
      <c r="A64" t="s">
        <v>26</v>
      </c>
      <c r="B64" s="16" t="str">
        <f>VLOOKUP(Data_Geotech[[#This Row],[Hole ID]],Data_Log[],2,FALSE)</f>
        <v>CGF-01</v>
      </c>
      <c r="C64" s="5">
        <v>174</v>
      </c>
      <c r="D64" s="5">
        <v>176.97</v>
      </c>
      <c r="E64" s="5">
        <f>(Data_Geotech[[#This Row],[To (m)]]-Data_Geotech[[#This Row],[From (m)]])/2+Data_Geotech[[#This Row],[From (m)]]</f>
        <v>175.48500000000001</v>
      </c>
      <c r="F64" s="13">
        <f>Data_Geotech[[#This Row],[To (m)]]-Data_Geotech[[#This Row],[From (m)]]</f>
        <v>2.9699999999999989</v>
      </c>
      <c r="G64" s="5">
        <v>2.97</v>
      </c>
      <c r="H64" s="61">
        <f>Data_Geotech[[#This Row],[TCR (m)]]/Data_Geotech[[#This Row],[Run (m)]]*100</f>
        <v>100.00000000000004</v>
      </c>
      <c r="I64" s="151">
        <v>2.98</v>
      </c>
      <c r="J64" s="151">
        <v>2.98</v>
      </c>
      <c r="K64" s="5">
        <v>2.95</v>
      </c>
      <c r="L64" s="61">
        <f>Data_Geotech[[#This Row],[RQD (m)]]/Data_Geotech[[#This Row],[Run Reel (m)]]*100</f>
        <v>98.993288590604038</v>
      </c>
      <c r="M64" t="s">
        <v>584</v>
      </c>
      <c r="O64" t="s">
        <v>278</v>
      </c>
      <c r="P64" s="115" t="s">
        <v>370</v>
      </c>
      <c r="Q64" s="5" t="s">
        <v>313</v>
      </c>
      <c r="R64" s="5"/>
      <c r="S64" s="5"/>
      <c r="T64" s="5"/>
      <c r="U64" s="5"/>
      <c r="V64" s="6">
        <v>9</v>
      </c>
      <c r="W64" s="92">
        <f>SUMIFS(Discontinuities!$D$4:$D$9664,Discontinuities!$A$4:$A$9664,A64,Discontinuities!$C$4:$C$9664,"&gt;="&amp;C64,Discontinuities!$C$4:$C$9664,"&lt;"&amp;D64)
-SUMIFS(Discontinuities!$D$4:$D$9664,Discontinuities!$A$4:$A$9664,A64,Discontinuities!$C$4:$C$9664,"&gt;="&amp;C64,Discontinuities!$C$4:$C$9664,"&lt;"&amp;D64,Discontinuities!$E$4:$E$9664,"=BC")
-SUMIFS(Discontinuities!$D$4:$D$9664,Discontinuities!$A$4:$A$9664,A64,Discontinuities!$C$4:$C$9664,"&gt;="&amp;C64,Discontinuities!$C$4:$C$9664,"&lt;"&amp;D64,Discontinuities!$E$4:$E$9664,"=LC")
-SUMIFS(Discontinuities!$D$4:$D$9664,Discontinuities!$A$4:$A$9664,A64,Discontinuities!$C$4:$C$9664,"&gt;="&amp;C64,Discontinuities!$C$4:$C$9664,"&lt;"&amp;D64,Discontinuities!$E$4:$E$9664,"=FLT")</f>
        <v>9</v>
      </c>
      <c r="X64" t="s">
        <v>345</v>
      </c>
      <c r="AA64" s="12"/>
      <c r="AB64" s="43">
        <f>IFERROR(ROUND((Data_Geotech[[#This Row],[Fault (m)]]+Data_Geotech[[#This Row],[Broken Core (m)]]+Data_Geotech[[#This Row],[Lost Core (m)]])*30,0),0)</f>
        <v>0</v>
      </c>
      <c r="AC64" s="44">
        <f>IF(Data_Geotech[[#This Row],[Added fractures 
(BC, FLT, LC)]]+Data_Geotech[[#This Row],[Fracture per interval]]=0,99,1/((Data_Geotech[[#This Row],[Fracture per interval]]+Data_Geotech[[#This Row],[Added fractures 
(BC, FLT, LC)]])/Data_Geotech[[#This Row],[Run (m)]]))</f>
        <v>0.32999999999999985</v>
      </c>
      <c r="AD64" s="155" cm="1">
        <f t="array" ref="AD64">IFERROR(_xlfn.XLOOKUP(1,(A64=PLT!$A$4:$A$8886)*(Geotech!C64&lt;=PLT!$F$4:$F$8886)*(Geotech!D64&gt;=PLT!$F$4:$F$8886)*("Valid"=PLT!$P$4:$P$8886),PLT!$V$4:$V$8886),"")</f>
        <v>0</v>
      </c>
      <c r="AE64" s="156" t="str" cm="1">
        <f t="array" ref="AE64">IFERROR(_xlfn.XLOOKUP(1,(A64=PLT!$A$4:$A$8886)*(Geotech!C64&lt;=PLT!$F$4:$F$8886)*(Geotech!D64&gt;=PLT!$F$4:$F$8886)*(PLT!$V$4:$V$8886&lt;&gt;AD64)*("Valid"=PLT!$P$4:$P$7190),PLT!$V$4:$V$8886),"")</f>
        <v/>
      </c>
      <c r="AF64" s="156" t="str" cm="1">
        <f t="array" ref="AF64">IFERROR(_xlfn.XLOOKUP(1,(A64=PLT!$A$4:$A$8886)*(Geotech!C64&lt;=PLT!$F$4:$F$8886)*(Geotech!D64&gt;=PLT!$F$4:$F$8886)*(PLT!$V$4:$V$8886&lt;&gt;AD64)*(PLT!$V$4:$V$8886&lt;&gt;AE64)*("Valid"=PLT!$P$4:$P$7190),PLT!$V$4:$V$8886),"")</f>
        <v/>
      </c>
      <c r="AG64" s="44">
        <f>IFERROR(IF(AVERAGE(AD64:AF64)&gt;References!$BO$23,References!$BP$23,
IF(AVERAGE(AD64:AF64)&gt;References!$BO$22,References!$BP$22,
IF(AVERAGE(AD64:AF64)&gt;References!$BO$21,References!$BP$21,
IF(AVERAGE(AD64:AF64)&gt;References!$BO$20,References!$BP$20,
IF(AVERAGE(AD64:AF64)&gt;References!$BO$19,References!$BP$19,
IF(AVERAGE(AD64:AF64)&gt;References!$BO$18,References!$BP$18,
0)))))),"")</f>
        <v>0</v>
      </c>
      <c r="AH64" s="43">
        <f>IF(Data_Geotech[[#This Row],[Is50]]="",VLOOKUP(Data_Geotech[[#This Row],[Field Intact Rock Strength]],Table_RMR76_Strength[],2,FALSE),Data_Geotech[[#This Row],[Is50]])</f>
        <v>0</v>
      </c>
      <c r="AI64" s="43">
        <f>IF(Data_Geotech[[#This Row],[RQD (%)]]&lt;=25,3,IF(Data_Geotech[[#This Row],[RQD (%)]]&lt;=50,8,IF(Data_Geotech[[#This Row],[RQD (%)]]&lt;=75,13,IF(Data_Geotech[[#This Row],[RQD (%)]]&lt;=90,17,20))))</f>
        <v>20</v>
      </c>
      <c r="AJ64" s="43">
        <f>IF(Data_Geotech[[#This Row],[Joint spacing (m)]]&lt;=0.05,5,IF(Data_Geotech[[#This Row],[Joint spacing (m)]]&lt;=0.3,10,IF(Data_Geotech[[#This Row],[Joint spacing (m)]]&lt;=1,20,IF(Data_Geotech[[#This Row],[Joint spacing (m)]]&lt;=3,25,30))))</f>
        <v>20</v>
      </c>
      <c r="AK6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13.777777777777779</v>
      </c>
      <c r="AL64" s="6">
        <v>10</v>
      </c>
      <c r="AM64" s="117">
        <f>IF(Data_Geotech[[#This Row],[FIRS Code]]="R",IFERROR(SUM(Data_Geotech[[#This Row],[RMR76 - Strength rating]:[RMR76 - Ground water rating]]),""),"")</f>
        <v>63.777777777777779</v>
      </c>
      <c r="AN64" s="39">
        <f>IF(Data_Geotech[[#This Row],[FIRS Code]]="R",(2*Data_Geotech[[#This Row],[RMR76 - Joint condition rating]])+(IF(Data_Geotech[[#This Row],[RQD (%)]]&gt;80,80/2,Data_Geotech[[#This Row],[RQD (%)]]/2)),"")</f>
        <v>67.555555555555557</v>
      </c>
      <c r="AO64" s="43" t="str">
        <f>LEFT(Data_Geotech[[#This Row],[Joint Set Rating]],FIND("-",Data_Geotech[[#This Row],[Joint Set Rating]],1)-2)</f>
        <v>3</v>
      </c>
      <c r="AP6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0.81666666666666665</v>
      </c>
      <c r="AQ64" s="5">
        <f t="shared" si="2"/>
        <v>1</v>
      </c>
      <c r="AR64" s="49">
        <f>IF(Data_Geotech[[#This Row],[FIRS Code]]="R",IFERROR((IF(Data_Geotech[[#This Row],[RQD (%)]]&lt;10,10,Data_Geotech[[#This Row],[RQD (%)]])/Data_Geotech[[#This Row],[Jn rating]])*Data_Geotech[[#This Row],[Jr/Ja]],""),"")</f>
        <v>26.948173005219989</v>
      </c>
      <c r="AS64" s="45">
        <f>IF(Data_Geotech[[#This Row],[FIRS Code]]="R",IFERROR((IF(Data_Geotech[[#This Row],[RQD (%)]]&lt;10,10,Data_Geotech[[#This Row],[RQD (%)]])/Data_Geotech[[#This Row],[Jn rating]])*Data_Geotech[[#This Row],[Jr/Ja]]*Data_Geotech[[#This Row],[Jw/SRF]],""),"")</f>
        <v>26.948173005219989</v>
      </c>
      <c r="AT64" s="12"/>
      <c r="AU64" s="13">
        <f>100-Data_Geotech[[#This Row],[RQD (%)]]</f>
        <v>1.0067114093959617</v>
      </c>
      <c r="AV64" s="13">
        <f>100-Data_Geotech[[#This Row],[TCR (%)]]</f>
        <v>0</v>
      </c>
      <c r="AW64" s="62">
        <f>(Data_Geotech[[#This Row],[Fracture per interval]]+Data_Geotech[[#This Row],[Added fractures 
(BC, FLT, LC)]])/Data_Geotech[[#This Row],[TCR (m)]]</f>
        <v>3.0303030303030303</v>
      </c>
      <c r="AX64" s="6" t="s">
        <v>109</v>
      </c>
      <c r="AY64" s="63">
        <f>7-MID(Data_Geotech[[#This Row],[Field Intact Rock Strength]],2,1)</f>
        <v>3</v>
      </c>
      <c r="AZ64" s="63">
        <f>VLOOKUP(Data_Geotech[[#This Row],[Field Intact Rock Strength]],Table_FieldStrength[],2,FALSE)</f>
        <v>50</v>
      </c>
      <c r="BA64" s="63">
        <f>VLOOKUP(Data_Geotech[[#This Row],[Field Intact Rock Strength]],Table_FieldStrength[],3,FALSE)</f>
        <v>75</v>
      </c>
      <c r="BB64" s="63">
        <f>VLOOKUP(Data_Geotech[[#This Row],[Field Intact Rock Strength]],Table_FieldStrength[],4,FALSE)</f>
        <v>100</v>
      </c>
      <c r="BC64" s="63">
        <f>100-Data_Geotech[[#This Row],[RMR76]]</f>
        <v>36.222222222222221</v>
      </c>
      <c r="BD64" s="63" t="str">
        <f>LEFT(Data_Geotech[[#This Row],[Weathering/Alteration]],FIND("-",Data_Geotech[[#This Row],[Weathering/Alteration]])-2)</f>
        <v>W2/A2</v>
      </c>
    </row>
    <row r="65" spans="1:56" ht="15.75" hidden="1" thickBot="1" x14ac:dyDescent="0.3">
      <c r="A65" t="s">
        <v>26</v>
      </c>
      <c r="B65" s="16" t="str">
        <f>VLOOKUP(Data_Geotech[[#This Row],[Hole ID]],Data_Log[],2,FALSE)</f>
        <v>CGF-01</v>
      </c>
      <c r="C65" s="5">
        <v>176.97</v>
      </c>
      <c r="D65" s="5">
        <v>180.07</v>
      </c>
      <c r="E65" s="5">
        <f>(Data_Geotech[[#This Row],[To (m)]]-Data_Geotech[[#This Row],[From (m)]])/2+Data_Geotech[[#This Row],[From (m)]]</f>
        <v>178.51999999999998</v>
      </c>
      <c r="F65" s="13">
        <f>Data_Geotech[[#This Row],[To (m)]]-Data_Geotech[[#This Row],[From (m)]]</f>
        <v>3.0999999999999943</v>
      </c>
      <c r="G65" s="5">
        <v>3.1</v>
      </c>
      <c r="H65" s="61">
        <f>Data_Geotech[[#This Row],[TCR (m)]]/Data_Geotech[[#This Row],[Run (m)]]*100</f>
        <v>100.00000000000017</v>
      </c>
      <c r="I65" s="151">
        <v>3.12</v>
      </c>
      <c r="J65" s="151">
        <v>3.12</v>
      </c>
      <c r="K65" s="5">
        <v>3.12</v>
      </c>
      <c r="L65" s="61">
        <f>Data_Geotech[[#This Row],[RQD (m)]]/Data_Geotech[[#This Row],[Run Reel (m)]]*100</f>
        <v>100</v>
      </c>
      <c r="M65" t="s">
        <v>584</v>
      </c>
      <c r="O65" t="s">
        <v>243</v>
      </c>
      <c r="P65" s="115" t="s">
        <v>370</v>
      </c>
      <c r="Q65" s="5" t="s">
        <v>281</v>
      </c>
      <c r="R65" s="5"/>
      <c r="S65" s="5"/>
      <c r="T65" s="5"/>
      <c r="U65" s="5"/>
      <c r="V65" s="6">
        <v>7</v>
      </c>
      <c r="W65" s="92">
        <f>SUMIFS(Discontinuities!$D$4:$D$9664,Discontinuities!$A$4:$A$9664,A65,Discontinuities!$C$4:$C$9664,"&gt;="&amp;C65,Discontinuities!$C$4:$C$9664,"&lt;"&amp;D65)
-SUMIFS(Discontinuities!$D$4:$D$9664,Discontinuities!$A$4:$A$9664,A65,Discontinuities!$C$4:$C$9664,"&gt;="&amp;C65,Discontinuities!$C$4:$C$9664,"&lt;"&amp;D65,Discontinuities!$E$4:$E$9664,"=BC")
-SUMIFS(Discontinuities!$D$4:$D$9664,Discontinuities!$A$4:$A$9664,A65,Discontinuities!$C$4:$C$9664,"&gt;="&amp;C65,Discontinuities!$C$4:$C$9664,"&lt;"&amp;D65,Discontinuities!$E$4:$E$9664,"=LC")
-SUMIFS(Discontinuities!$D$4:$D$9664,Discontinuities!$A$4:$A$9664,A65,Discontinuities!$C$4:$C$9664,"&gt;="&amp;C65,Discontinuities!$C$4:$C$9664,"&lt;"&amp;D65,Discontinuities!$E$4:$E$9664,"=FLT")</f>
        <v>7</v>
      </c>
      <c r="X65" t="s">
        <v>345</v>
      </c>
      <c r="AA65" s="12"/>
      <c r="AB65" s="43">
        <f>IFERROR(ROUND((Data_Geotech[[#This Row],[Fault (m)]]+Data_Geotech[[#This Row],[Broken Core (m)]]+Data_Geotech[[#This Row],[Lost Core (m)]])*30,0),0)</f>
        <v>0</v>
      </c>
      <c r="AC65" s="44">
        <f>IF(Data_Geotech[[#This Row],[Added fractures 
(BC, FLT, LC)]]+Data_Geotech[[#This Row],[Fracture per interval]]=0,99,1/((Data_Geotech[[#This Row],[Fracture per interval]]+Data_Geotech[[#This Row],[Added fractures 
(BC, FLT, LC)]])/Data_Geotech[[#This Row],[Run (m)]]))</f>
        <v>0.44285714285714201</v>
      </c>
      <c r="AD65" s="155" cm="1">
        <f t="array" ref="AD65">IFERROR(_xlfn.XLOOKUP(1,(A65=PLT!$A$4:$A$8886)*(Geotech!C65&lt;=PLT!$F$4:$F$8886)*(Geotech!D65&gt;=PLT!$F$4:$F$8886)*("Valid"=PLT!$P$4:$P$8886),PLT!$V$4:$V$8886),"")</f>
        <v>0</v>
      </c>
      <c r="AE65" s="156" t="str" cm="1">
        <f t="array" ref="AE65">IFERROR(_xlfn.XLOOKUP(1,(A65=PLT!$A$4:$A$8886)*(Geotech!C65&lt;=PLT!$F$4:$F$8886)*(Geotech!D65&gt;=PLT!$F$4:$F$8886)*(PLT!$V$4:$V$8886&lt;&gt;AD65)*("Valid"=PLT!$P$4:$P$7190),PLT!$V$4:$V$8886),"")</f>
        <v/>
      </c>
      <c r="AF65" s="156" t="str" cm="1">
        <f t="array" ref="AF65">IFERROR(_xlfn.XLOOKUP(1,(A65=PLT!$A$4:$A$8886)*(Geotech!C65&lt;=PLT!$F$4:$F$8886)*(Geotech!D65&gt;=PLT!$F$4:$F$8886)*(PLT!$V$4:$V$8886&lt;&gt;AD65)*(PLT!$V$4:$V$8886&lt;&gt;AE65)*("Valid"=PLT!$P$4:$P$7190),PLT!$V$4:$V$8886),"")</f>
        <v/>
      </c>
      <c r="AG65" s="44">
        <f>IFERROR(IF(AVERAGE(AD65:AF65)&gt;References!$BO$23,References!$BP$23,
IF(AVERAGE(AD65:AF65)&gt;References!$BO$22,References!$BP$22,
IF(AVERAGE(AD65:AF65)&gt;References!$BO$21,References!$BP$21,
IF(AVERAGE(AD65:AF65)&gt;References!$BO$20,References!$BP$20,
IF(AVERAGE(AD65:AF65)&gt;References!$BO$19,References!$BP$19,
IF(AVERAGE(AD65:AF65)&gt;References!$BO$18,References!$BP$18,
0)))))),"")</f>
        <v>0</v>
      </c>
      <c r="AH65" s="43">
        <f>IF(Data_Geotech[[#This Row],[Is50]]="",VLOOKUP(Data_Geotech[[#This Row],[Field Intact Rock Strength]],Table_RMR76_Strength[],2,FALSE),Data_Geotech[[#This Row],[Is50]])</f>
        <v>0</v>
      </c>
      <c r="AI65" s="43">
        <f>IF(Data_Geotech[[#This Row],[RQD (%)]]&lt;=25,3,IF(Data_Geotech[[#This Row],[RQD (%)]]&lt;=50,8,IF(Data_Geotech[[#This Row],[RQD (%)]]&lt;=75,13,IF(Data_Geotech[[#This Row],[RQD (%)]]&lt;=90,17,20))))</f>
        <v>20</v>
      </c>
      <c r="AJ65" s="43">
        <f>IF(Data_Geotech[[#This Row],[Joint spacing (m)]]&lt;=0.05,5,IF(Data_Geotech[[#This Row],[Joint spacing (m)]]&lt;=0.3,10,IF(Data_Geotech[[#This Row],[Joint spacing (m)]]&lt;=1,20,IF(Data_Geotech[[#This Row],[Joint spacing (m)]]&lt;=3,25,30))))</f>
        <v>20</v>
      </c>
      <c r="AK6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19.857142857142858</v>
      </c>
      <c r="AL65" s="6">
        <v>10</v>
      </c>
      <c r="AM65" s="117">
        <f>IF(Data_Geotech[[#This Row],[FIRS Code]]="R",IFERROR(SUM(Data_Geotech[[#This Row],[RMR76 - Strength rating]:[RMR76 - Ground water rating]]),""),"")</f>
        <v>69.857142857142861</v>
      </c>
      <c r="AN65" s="39">
        <f>IF(Data_Geotech[[#This Row],[FIRS Code]]="R",(2*Data_Geotech[[#This Row],[RMR76 - Joint condition rating]])+(IF(Data_Geotech[[#This Row],[RQD (%)]]&gt;80,80/2,Data_Geotech[[#This Row],[RQD (%)]]/2)),"")</f>
        <v>79.714285714285722</v>
      </c>
      <c r="AO65" s="43" t="str">
        <f>LEFT(Data_Geotech[[#This Row],[Joint Set Rating]],FIND("-",Data_Geotech[[#This Row],[Joint Set Rating]],1)-2)</f>
        <v>3</v>
      </c>
      <c r="AP6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1.4642857142857142</v>
      </c>
      <c r="AQ65" s="5">
        <f t="shared" si="1"/>
        <v>1</v>
      </c>
      <c r="AR65" s="49">
        <f>IF(Data_Geotech[[#This Row],[FIRS Code]]="R",IFERROR((IF(Data_Geotech[[#This Row],[RQD (%)]]&lt;10,10,Data_Geotech[[#This Row],[RQD (%)]])/Data_Geotech[[#This Row],[Jn rating]])*Data_Geotech[[#This Row],[Jr/Ja]],""),"")</f>
        <v>48.80952380952381</v>
      </c>
      <c r="AS65" s="45">
        <f>IF(Data_Geotech[[#This Row],[FIRS Code]]="R",IFERROR((IF(Data_Geotech[[#This Row],[RQD (%)]]&lt;10,10,Data_Geotech[[#This Row],[RQD (%)]])/Data_Geotech[[#This Row],[Jn rating]])*Data_Geotech[[#This Row],[Jr/Ja]]*Data_Geotech[[#This Row],[Jw/SRF]],""),"")</f>
        <v>48.80952380952381</v>
      </c>
      <c r="AT65" s="12"/>
      <c r="AU65" s="13">
        <f>100-Data_Geotech[[#This Row],[RQD (%)]]</f>
        <v>0</v>
      </c>
      <c r="AV65" s="13">
        <f>100-Data_Geotech[[#This Row],[TCR (%)]]</f>
        <v>-1.7053025658242404E-13</v>
      </c>
      <c r="AW65" s="62">
        <f>(Data_Geotech[[#This Row],[Fracture per interval]]+Data_Geotech[[#This Row],[Added fractures 
(BC, FLT, LC)]])/Data_Geotech[[#This Row],[TCR (m)]]</f>
        <v>2.258064516129032</v>
      </c>
      <c r="AX65" s="6" t="s">
        <v>109</v>
      </c>
      <c r="AY65" s="63">
        <f>7-MID(Data_Geotech[[#This Row],[Field Intact Rock Strength]],2,1)</f>
        <v>3</v>
      </c>
      <c r="AZ65" s="63">
        <f>VLOOKUP(Data_Geotech[[#This Row],[Field Intact Rock Strength]],Table_FieldStrength[],2,FALSE)</f>
        <v>50</v>
      </c>
      <c r="BA65" s="63">
        <f>VLOOKUP(Data_Geotech[[#This Row],[Field Intact Rock Strength]],Table_FieldStrength[],3,FALSE)</f>
        <v>75</v>
      </c>
      <c r="BB65" s="63">
        <f>VLOOKUP(Data_Geotech[[#This Row],[Field Intact Rock Strength]],Table_FieldStrength[],4,FALSE)</f>
        <v>100</v>
      </c>
      <c r="BC65" s="63">
        <f>100-Data_Geotech[[#This Row],[RMR76]]</f>
        <v>30.142857142857139</v>
      </c>
      <c r="BD65" s="63" t="str">
        <f>LEFT(Data_Geotech[[#This Row],[Weathering/Alteration]],FIND("-",Data_Geotech[[#This Row],[Weathering/Alteration]])-2)</f>
        <v>W1/A1</v>
      </c>
    </row>
    <row r="66" spans="1:56" ht="15.75" hidden="1" thickBot="1" x14ac:dyDescent="0.3">
      <c r="A66" t="s">
        <v>26</v>
      </c>
      <c r="B66" s="16" t="str">
        <f>VLOOKUP(Data_Geotech[[#This Row],[Hole ID]],Data_Log[],2,FALSE)</f>
        <v>CGF-01</v>
      </c>
      <c r="C66" s="5">
        <v>180.07</v>
      </c>
      <c r="D66" s="5">
        <v>182.93</v>
      </c>
      <c r="E66" s="5">
        <f>(Data_Geotech[[#This Row],[To (m)]]-Data_Geotech[[#This Row],[From (m)]])/2+Data_Geotech[[#This Row],[From (m)]]</f>
        <v>181.5</v>
      </c>
      <c r="F66" s="13">
        <f>Data_Geotech[[#This Row],[To (m)]]-Data_Geotech[[#This Row],[From (m)]]</f>
        <v>2.8600000000000136</v>
      </c>
      <c r="G66" s="5">
        <v>2.86</v>
      </c>
      <c r="H66" s="61">
        <f>Data_Geotech[[#This Row],[TCR (m)]]/Data_Geotech[[#This Row],[Run (m)]]*100</f>
        <v>99.999999999999517</v>
      </c>
      <c r="I66" s="151">
        <v>2.8</v>
      </c>
      <c r="J66" s="151">
        <v>2.8</v>
      </c>
      <c r="K66" s="5">
        <v>2.8</v>
      </c>
      <c r="L66" s="61">
        <f>Data_Geotech[[#This Row],[RQD (m)]]/Data_Geotech[[#This Row],[Run Reel (m)]]*100</f>
        <v>100</v>
      </c>
      <c r="M66" t="s">
        <v>584</v>
      </c>
      <c r="O66" t="s">
        <v>278</v>
      </c>
      <c r="P66" s="115" t="s">
        <v>397</v>
      </c>
      <c r="Q66" s="5" t="s">
        <v>313</v>
      </c>
      <c r="R66" s="5"/>
      <c r="S66" s="5"/>
      <c r="T66" s="5"/>
      <c r="U66" s="5"/>
      <c r="V66" s="6">
        <v>3</v>
      </c>
      <c r="W66" s="92">
        <f>SUMIFS(Discontinuities!$D$4:$D$9664,Discontinuities!$A$4:$A$9664,A66,Discontinuities!$C$4:$C$9664,"&gt;="&amp;C66,Discontinuities!$C$4:$C$9664,"&lt;"&amp;D66)
-SUMIFS(Discontinuities!$D$4:$D$9664,Discontinuities!$A$4:$A$9664,A66,Discontinuities!$C$4:$C$9664,"&gt;="&amp;C66,Discontinuities!$C$4:$C$9664,"&lt;"&amp;D66,Discontinuities!$E$4:$E$9664,"=BC")
-SUMIFS(Discontinuities!$D$4:$D$9664,Discontinuities!$A$4:$A$9664,A66,Discontinuities!$C$4:$C$9664,"&gt;="&amp;C66,Discontinuities!$C$4:$C$9664,"&lt;"&amp;D66,Discontinuities!$E$4:$E$9664,"=LC")
-SUMIFS(Discontinuities!$D$4:$D$9664,Discontinuities!$A$4:$A$9664,A66,Discontinuities!$C$4:$C$9664,"&gt;="&amp;C66,Discontinuities!$C$4:$C$9664,"&lt;"&amp;D66,Discontinuities!$E$4:$E$9664,"=FLT")</f>
        <v>3</v>
      </c>
      <c r="X66" t="s">
        <v>345</v>
      </c>
      <c r="AA66" s="12"/>
      <c r="AB66" s="43">
        <f>IFERROR(ROUND((Data_Geotech[[#This Row],[Fault (m)]]+Data_Geotech[[#This Row],[Broken Core (m)]]+Data_Geotech[[#This Row],[Lost Core (m)]])*30,0),0)</f>
        <v>0</v>
      </c>
      <c r="AC66" s="44">
        <f>IF(Data_Geotech[[#This Row],[Added fractures 
(BC, FLT, LC)]]+Data_Geotech[[#This Row],[Fracture per interval]]=0,99,1/((Data_Geotech[[#This Row],[Fracture per interval]]+Data_Geotech[[#This Row],[Added fractures 
(BC, FLT, LC)]])/Data_Geotech[[#This Row],[Run (m)]]))</f>
        <v>0.95333333333333792</v>
      </c>
      <c r="AD66" s="155" cm="1">
        <f t="array" ref="AD66">IFERROR(_xlfn.XLOOKUP(1,(A66=PLT!$A$4:$A$8886)*(Geotech!C66&lt;=PLT!$F$4:$F$8886)*(Geotech!D66&gt;=PLT!$F$4:$F$8886)*("Valid"=PLT!$P$4:$P$8886),PLT!$V$4:$V$8886),"")</f>
        <v>0</v>
      </c>
      <c r="AE66" s="156" t="str" cm="1">
        <f t="array" ref="AE66">IFERROR(_xlfn.XLOOKUP(1,(A66=PLT!$A$4:$A$8886)*(Geotech!C66&lt;=PLT!$F$4:$F$8886)*(Geotech!D66&gt;=PLT!$F$4:$F$8886)*(PLT!$V$4:$V$8886&lt;&gt;AD66)*("Valid"=PLT!$P$4:$P$7190),PLT!$V$4:$V$8886),"")</f>
        <v/>
      </c>
      <c r="AF66" s="156" t="str" cm="1">
        <f t="array" ref="AF66">IFERROR(_xlfn.XLOOKUP(1,(A66=PLT!$A$4:$A$8886)*(Geotech!C66&lt;=PLT!$F$4:$F$8886)*(Geotech!D66&gt;=PLT!$F$4:$F$8886)*(PLT!$V$4:$V$8886&lt;&gt;AD66)*(PLT!$V$4:$V$8886&lt;&gt;AE66)*("Valid"=PLT!$P$4:$P$7190),PLT!$V$4:$V$8886),"")</f>
        <v/>
      </c>
      <c r="AG66" s="44">
        <f>IFERROR(IF(AVERAGE(AD66:AF66)&gt;References!$BO$23,References!$BP$23,
IF(AVERAGE(AD66:AF66)&gt;References!$BO$22,References!$BP$22,
IF(AVERAGE(AD66:AF66)&gt;References!$BO$21,References!$BP$21,
IF(AVERAGE(AD66:AF66)&gt;References!$BO$20,References!$BP$20,
IF(AVERAGE(AD66:AF66)&gt;References!$BO$19,References!$BP$19,
IF(AVERAGE(AD66:AF66)&gt;References!$BO$18,References!$BP$18,
0)))))),"")</f>
        <v>0</v>
      </c>
      <c r="AH66" s="43">
        <f>IF(Data_Geotech[[#This Row],[Is50]]="",VLOOKUP(Data_Geotech[[#This Row],[Field Intact Rock Strength]],Table_RMR76_Strength[],2,FALSE),Data_Geotech[[#This Row],[Is50]])</f>
        <v>0</v>
      </c>
      <c r="AI66" s="43">
        <f>IF(Data_Geotech[[#This Row],[RQD (%)]]&lt;=25,3,IF(Data_Geotech[[#This Row],[RQD (%)]]&lt;=50,8,IF(Data_Geotech[[#This Row],[RQD (%)]]&lt;=75,13,IF(Data_Geotech[[#This Row],[RQD (%)]]&lt;=90,17,20))))</f>
        <v>20</v>
      </c>
      <c r="AJ66" s="43">
        <f>IF(Data_Geotech[[#This Row],[Joint spacing (m)]]&lt;=0.05,5,IF(Data_Geotech[[#This Row],[Joint spacing (m)]]&lt;=0.3,10,IF(Data_Geotech[[#This Row],[Joint spacing (m)]]&lt;=1,20,IF(Data_Geotech[[#This Row],[Joint spacing (m)]]&lt;=3,25,30))))</f>
        <v>20</v>
      </c>
      <c r="AK6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21.666666666666668</v>
      </c>
      <c r="AL66" s="6">
        <v>10</v>
      </c>
      <c r="AM66" s="117">
        <f>IF(Data_Geotech[[#This Row],[FIRS Code]]="R",IFERROR(SUM(Data_Geotech[[#This Row],[RMR76 - Strength rating]:[RMR76 - Ground water rating]]),""),"")</f>
        <v>71.666666666666671</v>
      </c>
      <c r="AN66" s="39">
        <f>IF(Data_Geotech[[#This Row],[FIRS Code]]="R",(2*Data_Geotech[[#This Row],[RMR76 - Joint condition rating]])+(IF(Data_Geotech[[#This Row],[RQD (%)]]&gt;80,80/2,Data_Geotech[[#This Row],[RQD (%)]]/2)),"")</f>
        <v>83.333333333333343</v>
      </c>
      <c r="AO66" s="43" t="str">
        <f>LEFT(Data_Geotech[[#This Row],[Joint Set Rating]],FIND("-",Data_Geotech[[#This Row],[Joint Set Rating]],1)-2)</f>
        <v>3</v>
      </c>
      <c r="AP6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1.0833333333333333</v>
      </c>
      <c r="AQ66" s="5">
        <f t="shared" si="1"/>
        <v>1</v>
      </c>
      <c r="AR66" s="49">
        <f>IF(Data_Geotech[[#This Row],[FIRS Code]]="R",IFERROR((IF(Data_Geotech[[#This Row],[RQD (%)]]&lt;10,10,Data_Geotech[[#This Row],[RQD (%)]])/Data_Geotech[[#This Row],[Jn rating]])*Data_Geotech[[#This Row],[Jr/Ja]],""),"")</f>
        <v>36.111111111111114</v>
      </c>
      <c r="AS66" s="45">
        <f>IF(Data_Geotech[[#This Row],[FIRS Code]]="R",IFERROR((IF(Data_Geotech[[#This Row],[RQD (%)]]&lt;10,10,Data_Geotech[[#This Row],[RQD (%)]])/Data_Geotech[[#This Row],[Jn rating]])*Data_Geotech[[#This Row],[Jr/Ja]]*Data_Geotech[[#This Row],[Jw/SRF]],""),"")</f>
        <v>36.111111111111114</v>
      </c>
      <c r="AT66" s="12"/>
      <c r="AU66" s="13">
        <f>100-Data_Geotech[[#This Row],[RQD (%)]]</f>
        <v>0</v>
      </c>
      <c r="AV66" s="13">
        <f>100-Data_Geotech[[#This Row],[TCR (%)]]</f>
        <v>4.8316906031686813E-13</v>
      </c>
      <c r="AW66" s="62">
        <f>(Data_Geotech[[#This Row],[Fracture per interval]]+Data_Geotech[[#This Row],[Added fractures 
(BC, FLT, LC)]])/Data_Geotech[[#This Row],[TCR (m)]]</f>
        <v>1.048951048951049</v>
      </c>
      <c r="AX66" s="6" t="s">
        <v>109</v>
      </c>
      <c r="AY66" s="63">
        <f>7-MID(Data_Geotech[[#This Row],[Field Intact Rock Strength]],2,1)</f>
        <v>2</v>
      </c>
      <c r="AZ66" s="63">
        <f>VLOOKUP(Data_Geotech[[#This Row],[Field Intact Rock Strength]],Table_FieldStrength[],2,FALSE)</f>
        <v>100</v>
      </c>
      <c r="BA66" s="63">
        <f>VLOOKUP(Data_Geotech[[#This Row],[Field Intact Rock Strength]],Table_FieldStrength[],3,FALSE)</f>
        <v>175</v>
      </c>
      <c r="BB66" s="63">
        <f>VLOOKUP(Data_Geotech[[#This Row],[Field Intact Rock Strength]],Table_FieldStrength[],4,FALSE)</f>
        <v>250</v>
      </c>
      <c r="BC66" s="63">
        <f>100-Data_Geotech[[#This Row],[RMR76]]</f>
        <v>28.333333333333329</v>
      </c>
      <c r="BD66" s="63" t="str">
        <f>LEFT(Data_Geotech[[#This Row],[Weathering/Alteration]],FIND("-",Data_Geotech[[#This Row],[Weathering/Alteration]])-2)</f>
        <v>W2/A2</v>
      </c>
    </row>
    <row r="67" spans="1:56" ht="15.75" hidden="1" thickBot="1" x14ac:dyDescent="0.3">
      <c r="A67" t="s">
        <v>26</v>
      </c>
      <c r="B67" s="16" t="str">
        <f>VLOOKUP(Data_Geotech[[#This Row],[Hole ID]],Data_Log[],2,FALSE)</f>
        <v>CGF-01</v>
      </c>
      <c r="C67" s="5">
        <v>182.93</v>
      </c>
      <c r="D67" s="5">
        <v>185.8</v>
      </c>
      <c r="E67" s="5">
        <f>(Data_Geotech[[#This Row],[To (m)]]-Data_Geotech[[#This Row],[From (m)]])/2+Data_Geotech[[#This Row],[From (m)]]</f>
        <v>184.36500000000001</v>
      </c>
      <c r="F67" s="13">
        <f>Data_Geotech[[#This Row],[To (m)]]-Data_Geotech[[#This Row],[From (m)]]</f>
        <v>2.8700000000000045</v>
      </c>
      <c r="G67" s="5">
        <v>2.87</v>
      </c>
      <c r="H67" s="61">
        <f>Data_Geotech[[#This Row],[TCR (m)]]/Data_Geotech[[#This Row],[Run (m)]]*100</f>
        <v>99.999999999999844</v>
      </c>
      <c r="I67" s="151">
        <v>2.86</v>
      </c>
      <c r="J67" s="151">
        <v>2.86</v>
      </c>
      <c r="K67" s="5">
        <v>2.86</v>
      </c>
      <c r="L67" s="61">
        <f>Data_Geotech[[#This Row],[RQD (m)]]/Data_Geotech[[#This Row],[Run Reel (m)]]*100</f>
        <v>100</v>
      </c>
      <c r="M67" t="s">
        <v>584</v>
      </c>
      <c r="O67" t="s">
        <v>278</v>
      </c>
      <c r="P67" s="115" t="s">
        <v>397</v>
      </c>
      <c r="Q67" s="5" t="s">
        <v>313</v>
      </c>
      <c r="R67" s="5"/>
      <c r="S67" s="5"/>
      <c r="T67" s="5"/>
      <c r="U67" s="5"/>
      <c r="V67" s="6">
        <v>3</v>
      </c>
      <c r="W67" s="92">
        <f>SUMIFS(Discontinuities!$D$4:$D$9664,Discontinuities!$A$4:$A$9664,A67,Discontinuities!$C$4:$C$9664,"&gt;="&amp;C67,Discontinuities!$C$4:$C$9664,"&lt;"&amp;D67)
-SUMIFS(Discontinuities!$D$4:$D$9664,Discontinuities!$A$4:$A$9664,A67,Discontinuities!$C$4:$C$9664,"&gt;="&amp;C67,Discontinuities!$C$4:$C$9664,"&lt;"&amp;D67,Discontinuities!$E$4:$E$9664,"=BC")
-SUMIFS(Discontinuities!$D$4:$D$9664,Discontinuities!$A$4:$A$9664,A67,Discontinuities!$C$4:$C$9664,"&gt;="&amp;C67,Discontinuities!$C$4:$C$9664,"&lt;"&amp;D67,Discontinuities!$E$4:$E$9664,"=LC")
-SUMIFS(Discontinuities!$D$4:$D$9664,Discontinuities!$A$4:$A$9664,A67,Discontinuities!$C$4:$C$9664,"&gt;="&amp;C67,Discontinuities!$C$4:$C$9664,"&lt;"&amp;D67,Discontinuities!$E$4:$E$9664,"=FLT")</f>
        <v>3</v>
      </c>
      <c r="X67" t="s">
        <v>312</v>
      </c>
      <c r="AA67" s="12"/>
      <c r="AB67" s="43">
        <f>IFERROR(ROUND((Data_Geotech[[#This Row],[Fault (m)]]+Data_Geotech[[#This Row],[Broken Core (m)]]+Data_Geotech[[#This Row],[Lost Core (m)]])*30,0),0)</f>
        <v>0</v>
      </c>
      <c r="AC67" s="44">
        <f>IF(Data_Geotech[[#This Row],[Added fractures 
(BC, FLT, LC)]]+Data_Geotech[[#This Row],[Fracture per interval]]=0,99,1/((Data_Geotech[[#This Row],[Fracture per interval]]+Data_Geotech[[#This Row],[Added fractures 
(BC, FLT, LC)]])/Data_Geotech[[#This Row],[Run (m)]]))</f>
        <v>0.95666666666666822</v>
      </c>
      <c r="AD67" s="155" cm="1">
        <f t="array" ref="AD67">IFERROR(_xlfn.XLOOKUP(1,(A67=PLT!$A$4:$A$8886)*(Geotech!C67&lt;=PLT!$F$4:$F$8886)*(Geotech!D67&gt;=PLT!$F$4:$F$8886)*("Valid"=PLT!$P$4:$P$8886),PLT!$V$4:$V$8886),"")</f>
        <v>0</v>
      </c>
      <c r="AE67" s="156" t="str" cm="1">
        <f t="array" ref="AE67">IFERROR(_xlfn.XLOOKUP(1,(A67=PLT!$A$4:$A$8886)*(Geotech!C67&lt;=PLT!$F$4:$F$8886)*(Geotech!D67&gt;=PLT!$F$4:$F$8886)*(PLT!$V$4:$V$8886&lt;&gt;AD67)*("Valid"=PLT!$P$4:$P$7190),PLT!$V$4:$V$8886),"")</f>
        <v/>
      </c>
      <c r="AF67" s="156" t="str" cm="1">
        <f t="array" ref="AF67">IFERROR(_xlfn.XLOOKUP(1,(A67=PLT!$A$4:$A$8886)*(Geotech!C67&lt;=PLT!$F$4:$F$8886)*(Geotech!D67&gt;=PLT!$F$4:$F$8886)*(PLT!$V$4:$V$8886&lt;&gt;AD67)*(PLT!$V$4:$V$8886&lt;&gt;AE67)*("Valid"=PLT!$P$4:$P$7190),PLT!$V$4:$V$8886),"")</f>
        <v/>
      </c>
      <c r="AG67" s="44">
        <f>IFERROR(IF(AVERAGE(AD67:AF67)&gt;References!$BO$23,References!$BP$23,
IF(AVERAGE(AD67:AF67)&gt;References!$BO$22,References!$BP$22,
IF(AVERAGE(AD67:AF67)&gt;References!$BO$21,References!$BP$21,
IF(AVERAGE(AD67:AF67)&gt;References!$BO$20,References!$BP$20,
IF(AVERAGE(AD67:AF67)&gt;References!$BO$19,References!$BP$19,
IF(AVERAGE(AD67:AF67)&gt;References!$BO$18,References!$BP$18,
0)))))),"")</f>
        <v>0</v>
      </c>
      <c r="AH67" s="43">
        <f>IF(Data_Geotech[[#This Row],[Is50]]="",VLOOKUP(Data_Geotech[[#This Row],[Field Intact Rock Strength]],Table_RMR76_Strength[],2,FALSE),Data_Geotech[[#This Row],[Is50]])</f>
        <v>0</v>
      </c>
      <c r="AI67" s="43">
        <f>IF(Data_Geotech[[#This Row],[RQD (%)]]&lt;=25,3,IF(Data_Geotech[[#This Row],[RQD (%)]]&lt;=50,8,IF(Data_Geotech[[#This Row],[RQD (%)]]&lt;=75,13,IF(Data_Geotech[[#This Row],[RQD (%)]]&lt;=90,17,20))))</f>
        <v>20</v>
      </c>
      <c r="AJ67" s="43">
        <f>IF(Data_Geotech[[#This Row],[Joint spacing (m)]]&lt;=0.05,5,IF(Data_Geotech[[#This Row],[Joint spacing (m)]]&lt;=0.3,10,IF(Data_Geotech[[#This Row],[Joint spacing (m)]]&lt;=1,20,IF(Data_Geotech[[#This Row],[Joint spacing (m)]]&lt;=3,25,30))))</f>
        <v>20</v>
      </c>
      <c r="AK6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21.666666666666668</v>
      </c>
      <c r="AL67" s="6">
        <v>10</v>
      </c>
      <c r="AM67" s="117">
        <f>IF(Data_Geotech[[#This Row],[FIRS Code]]="R",IFERROR(SUM(Data_Geotech[[#This Row],[RMR76 - Strength rating]:[RMR76 - Ground water rating]]),""),"")</f>
        <v>71.666666666666671</v>
      </c>
      <c r="AN67" s="39">
        <f>IF(Data_Geotech[[#This Row],[FIRS Code]]="R",(2*Data_Geotech[[#This Row],[RMR76 - Joint condition rating]])+(IF(Data_Geotech[[#This Row],[RQD (%)]]&gt;80,80/2,Data_Geotech[[#This Row],[RQD (%)]]/2)),"")</f>
        <v>83.333333333333343</v>
      </c>
      <c r="AO67" s="43" t="str">
        <f>LEFT(Data_Geotech[[#This Row],[Joint Set Rating]],FIND("-",Data_Geotech[[#This Row],[Joint Set Rating]],1)-2)</f>
        <v>2</v>
      </c>
      <c r="AP6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1.3333333333333333</v>
      </c>
      <c r="AQ67" s="5">
        <f>1/1</f>
        <v>1</v>
      </c>
      <c r="AR67" s="49">
        <f>IF(Data_Geotech[[#This Row],[FIRS Code]]="R",IFERROR((IF(Data_Geotech[[#This Row],[RQD (%)]]&lt;10,10,Data_Geotech[[#This Row],[RQD (%)]])/Data_Geotech[[#This Row],[Jn rating]])*Data_Geotech[[#This Row],[Jr/Ja]],""),"")</f>
        <v>66.666666666666657</v>
      </c>
      <c r="AS67" s="45">
        <f>IF(Data_Geotech[[#This Row],[FIRS Code]]="R",IFERROR((IF(Data_Geotech[[#This Row],[RQD (%)]]&lt;10,10,Data_Geotech[[#This Row],[RQD (%)]])/Data_Geotech[[#This Row],[Jn rating]])*Data_Geotech[[#This Row],[Jr/Ja]]*Data_Geotech[[#This Row],[Jw/SRF]],""),"")</f>
        <v>66.666666666666657</v>
      </c>
      <c r="AT67" s="12"/>
      <c r="AU67" s="13">
        <f>100-Data_Geotech[[#This Row],[RQD (%)]]</f>
        <v>0</v>
      </c>
      <c r="AV67" s="13">
        <f>100-Data_Geotech[[#This Row],[TCR (%)]]</f>
        <v>1.5631940186722204E-13</v>
      </c>
      <c r="AW67" s="62">
        <f>(Data_Geotech[[#This Row],[Fracture per interval]]+Data_Geotech[[#This Row],[Added fractures 
(BC, FLT, LC)]])/Data_Geotech[[#This Row],[TCR (m)]]</f>
        <v>1.0452961672473868</v>
      </c>
      <c r="AX67" s="6" t="s">
        <v>109</v>
      </c>
      <c r="AY67" s="63">
        <f>7-MID(Data_Geotech[[#This Row],[Field Intact Rock Strength]],2,1)</f>
        <v>2</v>
      </c>
      <c r="AZ67" s="63">
        <f>VLOOKUP(Data_Geotech[[#This Row],[Field Intact Rock Strength]],Table_FieldStrength[],2,FALSE)</f>
        <v>100</v>
      </c>
      <c r="BA67" s="63">
        <f>VLOOKUP(Data_Geotech[[#This Row],[Field Intact Rock Strength]],Table_FieldStrength[],3,FALSE)</f>
        <v>175</v>
      </c>
      <c r="BB67" s="63">
        <f>VLOOKUP(Data_Geotech[[#This Row],[Field Intact Rock Strength]],Table_FieldStrength[],4,FALSE)</f>
        <v>250</v>
      </c>
      <c r="BC67" s="63">
        <f>100-Data_Geotech[[#This Row],[RMR76]]</f>
        <v>28.333333333333329</v>
      </c>
      <c r="BD67" s="63" t="str">
        <f>LEFT(Data_Geotech[[#This Row],[Weathering/Alteration]],FIND("-",Data_Geotech[[#This Row],[Weathering/Alteration]])-2)</f>
        <v>W2/A2</v>
      </c>
    </row>
    <row r="68" spans="1:56" ht="15.75" hidden="1" thickBot="1" x14ac:dyDescent="0.3">
      <c r="B68" s="16" t="e">
        <f>VLOOKUP(Data_Geotech[[#This Row],[Hole ID]],Data_Log[],2,FALSE)</f>
        <v>#N/A</v>
      </c>
      <c r="C68" s="5"/>
      <c r="D68" s="5"/>
      <c r="E68" s="5">
        <f>(Data_Geotech[[#This Row],[To (m)]]-Data_Geotech[[#This Row],[From (m)]])/2+Data_Geotech[[#This Row],[From (m)]]</f>
        <v>0</v>
      </c>
      <c r="F68" s="13">
        <f>Data_Geotech[[#This Row],[To (m)]]-Data_Geotech[[#This Row],[From (m)]]</f>
        <v>0</v>
      </c>
      <c r="G68" s="5"/>
      <c r="H68" s="61" t="e">
        <f>Data_Geotech[[#This Row],[TCR (m)]]/Data_Geotech[[#This Row],[Run (m)]]*100</f>
        <v>#DIV/0!</v>
      </c>
      <c r="I68" s="151"/>
      <c r="J68" s="151"/>
      <c r="K68" s="5"/>
      <c r="L68" s="61" t="e">
        <f>Data_Geotech[[#This Row],[RQD (m)]]/Data_Geotech[[#This Row],[Run Reel (m)]]*100</f>
        <v>#DIV/0!</v>
      </c>
      <c r="P68" s="115"/>
      <c r="Q68" s="5"/>
      <c r="R68" s="5"/>
      <c r="S68" s="5"/>
      <c r="T68" s="5"/>
      <c r="U68" s="5"/>
      <c r="V68" s="6"/>
      <c r="W68" s="92">
        <f>SUMIFS(Discontinuities!$D$4:$D$9664,Discontinuities!$A$4:$A$9664,A68,Discontinuities!$C$4:$C$9664,"&gt;="&amp;C68,Discontinuities!$C$4:$C$9664,"&lt;"&amp;D68)
-SUMIFS(Discontinuities!$D$4:$D$9664,Discontinuities!$A$4:$A$9664,A68,Discontinuities!$C$4:$C$9664,"&gt;="&amp;C68,Discontinuities!$C$4:$C$9664,"&lt;"&amp;D68,Discontinuities!$E$4:$E$9664,"=BC")
-SUMIFS(Discontinuities!$D$4:$D$9664,Discontinuities!$A$4:$A$9664,A68,Discontinuities!$C$4:$C$9664,"&gt;="&amp;C68,Discontinuities!$C$4:$C$9664,"&lt;"&amp;D68,Discontinuities!$E$4:$E$9664,"=LC")
-SUMIFS(Discontinuities!$D$4:$D$9664,Discontinuities!$A$4:$A$9664,A68,Discontinuities!$C$4:$C$9664,"&gt;="&amp;C68,Discontinuities!$C$4:$C$9664,"&lt;"&amp;D68,Discontinuities!$E$4:$E$9664,"=FLT")</f>
        <v>0</v>
      </c>
      <c r="AA68" s="12"/>
      <c r="AB68" s="43">
        <f>IFERROR(ROUND((Data_Geotech[[#This Row],[Fault (m)]]+Data_Geotech[[#This Row],[Broken Core (m)]]+Data_Geotech[[#This Row],[Lost Core (m)]])*30,0),0)</f>
        <v>0</v>
      </c>
      <c r="AC68" s="44">
        <f>IF(Data_Geotech[[#This Row],[Added fractures 
(BC, FLT, LC)]]+Data_Geotech[[#This Row],[Fracture per interval]]=0,99,1/((Data_Geotech[[#This Row],[Fracture per interval]]+Data_Geotech[[#This Row],[Added fractures 
(BC, FLT, LC)]])/Data_Geotech[[#This Row],[Run (m)]]))</f>
        <v>99</v>
      </c>
      <c r="AD68" s="155" t="str" cm="1">
        <f t="array" ref="AD68">IFERROR(_xlfn.XLOOKUP(1,(A68=PLT!$A$4:$A$8886)*(Geotech!C68&lt;=PLT!$F$4:$F$8886)*(Geotech!D68&gt;=PLT!$F$4:$F$8886)*("Valid"=PLT!$P$4:$P$8886),PLT!$V$4:$V$8886),"")</f>
        <v/>
      </c>
      <c r="AE68" s="156" t="str" cm="1">
        <f t="array" ref="AE68">IFERROR(_xlfn.XLOOKUP(1,(A68=PLT!$A$4:$A$8886)*(Geotech!C68&lt;=PLT!$F$4:$F$8886)*(Geotech!D68&gt;=PLT!$F$4:$F$8886)*(PLT!$V$4:$V$8886&lt;&gt;AD68)*("Valid"=PLT!$P$4:$P$7190),PLT!$V$4:$V$8886),"")</f>
        <v/>
      </c>
      <c r="AF68" s="156" t="str" cm="1">
        <f t="array" ref="AF68">IFERROR(_xlfn.XLOOKUP(1,(A68=PLT!$A$4:$A$8886)*(Geotech!C68&lt;=PLT!$F$4:$F$8886)*(Geotech!D68&gt;=PLT!$F$4:$F$8886)*(PLT!$V$4:$V$8886&lt;&gt;AD68)*(PLT!$V$4:$V$8886&lt;&gt;AE68)*("Valid"=PLT!$P$4:$P$7190),PLT!$V$4:$V$8886),"")</f>
        <v/>
      </c>
      <c r="AG68" s="44" t="str">
        <f>IFERROR(IF(AVERAGE(AD68:AF68)&gt;References!$BO$23,References!$BP$23,
IF(AVERAGE(AD68:AF68)&gt;References!$BO$22,References!$BP$22,
IF(AVERAGE(AD68:AF68)&gt;References!$BO$21,References!$BP$21,
IF(AVERAGE(AD68:AF68)&gt;References!$BO$20,References!$BP$20,
IF(AVERAGE(AD68:AF68)&gt;References!$BO$19,References!$BP$19,
IF(AVERAGE(AD68:AF68)&gt;References!$BO$18,References!$BP$18,
0)))))),"")</f>
        <v/>
      </c>
      <c r="AH68" s="43" t="e">
        <f>IF(Data_Geotech[[#This Row],[Is50]]="",VLOOKUP(Data_Geotech[[#This Row],[Field Intact Rock Strength]],Table_RMR76_Strength[],2,FALSE),Data_Geotech[[#This Row],[Is50]])</f>
        <v>#N/A</v>
      </c>
      <c r="AI68" s="43" t="e">
        <f>IF(Data_Geotech[[#This Row],[RQD (%)]]&lt;=25,3,IF(Data_Geotech[[#This Row],[RQD (%)]]&lt;=50,8,IF(Data_Geotech[[#This Row],[RQD (%)]]&lt;=75,13,IF(Data_Geotech[[#This Row],[RQD (%)]]&lt;=90,17,20))))</f>
        <v>#DIV/0!</v>
      </c>
      <c r="AJ68" s="43">
        <f>IF(Data_Geotech[[#This Row],[Joint spacing (m)]]&lt;=0.05,5,IF(Data_Geotech[[#This Row],[Joint spacing (m)]]&lt;=0.3,10,IF(Data_Geotech[[#This Row],[Joint spacing (m)]]&lt;=1,20,IF(Data_Geotech[[#This Row],[Joint spacing (m)]]&lt;=3,25,30))))</f>
        <v>30</v>
      </c>
      <c r="AK6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68" s="6">
        <v>10</v>
      </c>
      <c r="AM68" s="117" t="str">
        <f>IF(Data_Geotech[[#This Row],[FIRS Code]]="R",IFERROR(SUM(Data_Geotech[[#This Row],[RMR76 - Strength rating]:[RMR76 - Ground water rating]]),""),"")</f>
        <v/>
      </c>
      <c r="AN68" s="39" t="e">
        <f>IF(Data_Geotech[[#This Row],[FIRS Code]]="R",(2*Data_Geotech[[#This Row],[RMR76 - Joint condition rating]])+(IF(Data_Geotech[[#This Row],[RQD (%)]]&gt;80,80/2,Data_Geotech[[#This Row],[RQD (%)]]/2)),"")</f>
        <v>#DIV/0!</v>
      </c>
      <c r="AO68" s="43" t="e">
        <f>LEFT(Data_Geotech[[#This Row],[Joint Set Rating]],FIND("-",Data_Geotech[[#This Row],[Joint Set Rating]],1)-2)</f>
        <v>#VALUE!</v>
      </c>
      <c r="AP6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68" s="5">
        <f t="shared" si="0"/>
        <v>1</v>
      </c>
      <c r="AR68" s="49" t="str">
        <f>IF(Data_Geotech[[#This Row],[FIRS Code]]="R",IFERROR((IF(Data_Geotech[[#This Row],[RQD (%)]]&lt;10,10,Data_Geotech[[#This Row],[RQD (%)]])/Data_Geotech[[#This Row],[Jn rating]])*Data_Geotech[[#This Row],[Jr/Ja]],""),"")</f>
        <v/>
      </c>
      <c r="AS68" s="45" t="str">
        <f>IF(Data_Geotech[[#This Row],[FIRS Code]]="R",IFERROR((IF(Data_Geotech[[#This Row],[RQD (%)]]&lt;10,10,Data_Geotech[[#This Row],[RQD (%)]])/Data_Geotech[[#This Row],[Jn rating]])*Data_Geotech[[#This Row],[Jr/Ja]]*Data_Geotech[[#This Row],[Jw/SRF]],""),"")</f>
        <v/>
      </c>
      <c r="AT68" s="12"/>
      <c r="AU68" s="13" t="e">
        <f>100-Data_Geotech[[#This Row],[RQD (%)]]</f>
        <v>#DIV/0!</v>
      </c>
      <c r="AV68" s="13" t="e">
        <f>100-Data_Geotech[[#This Row],[TCR (%)]]</f>
        <v>#DIV/0!</v>
      </c>
      <c r="AW68" s="62" t="e">
        <f>(Data_Geotech[[#This Row],[Fracture per interval]]+Data_Geotech[[#This Row],[Added fractures 
(BC, FLT, LC)]])/Data_Geotech[[#This Row],[TCR (m)]]</f>
        <v>#DIV/0!</v>
      </c>
      <c r="AX68" s="6" t="s">
        <v>109</v>
      </c>
      <c r="AY68" s="63" t="e">
        <f>7-MID(Data_Geotech[[#This Row],[Field Intact Rock Strength]],2,1)</f>
        <v>#VALUE!</v>
      </c>
      <c r="AZ68" s="63" t="e">
        <f>VLOOKUP(Data_Geotech[[#This Row],[Field Intact Rock Strength]],Table_FieldStrength[],2,FALSE)</f>
        <v>#N/A</v>
      </c>
      <c r="BA68" s="63" t="e">
        <f>VLOOKUP(Data_Geotech[[#This Row],[Field Intact Rock Strength]],Table_FieldStrength[],3,FALSE)</f>
        <v>#N/A</v>
      </c>
      <c r="BB68" s="63" t="e">
        <f>VLOOKUP(Data_Geotech[[#This Row],[Field Intact Rock Strength]],Table_FieldStrength[],4,FALSE)</f>
        <v>#N/A</v>
      </c>
      <c r="BC68" s="63" t="e">
        <f>100-Data_Geotech[[#This Row],[RMR76]]</f>
        <v>#VALUE!</v>
      </c>
      <c r="BD68" s="63" t="e">
        <f>LEFT(Data_Geotech[[#This Row],[Weathering/Alteration]],FIND("-",Data_Geotech[[#This Row],[Weathering/Alteration]])-2)</f>
        <v>#VALUE!</v>
      </c>
    </row>
    <row r="69" spans="1:56" ht="15.75" thickBot="1" x14ac:dyDescent="0.3">
      <c r="A69" t="s">
        <v>30</v>
      </c>
      <c r="B69" s="16" t="str">
        <f>VLOOKUP(Data_Geotech[[#This Row],[Hole ID]],Data_Log[],2,FALSE)</f>
        <v>CGF-02</v>
      </c>
      <c r="C69" s="5">
        <v>60</v>
      </c>
      <c r="D69" s="5">
        <v>62.93</v>
      </c>
      <c r="E69" s="5">
        <f>(Data_Geotech[[#This Row],[To (m)]]-Data_Geotech[[#This Row],[From (m)]])/2+Data_Geotech[[#This Row],[From (m)]]</f>
        <v>61.465000000000003</v>
      </c>
      <c r="F69" s="13">
        <f>Data_Geotech[[#This Row],[To (m)]]-Data_Geotech[[#This Row],[From (m)]]</f>
        <v>2.9299999999999997</v>
      </c>
      <c r="G69" s="5">
        <v>2.93</v>
      </c>
      <c r="H69" s="61">
        <f>Data_Geotech[[#This Row],[TCR (m)]]/Data_Geotech[[#This Row],[Run (m)]]*100</f>
        <v>100.00000000000003</v>
      </c>
      <c r="I69" s="151">
        <v>3.02</v>
      </c>
      <c r="J69" s="151">
        <v>3.02</v>
      </c>
      <c r="K69" s="5">
        <v>3.02</v>
      </c>
      <c r="L69" s="61">
        <f>Data_Geotech[[#This Row],[RQD (m)]]/Data_Geotech[[#This Row],[Run Reel (m)]]*100</f>
        <v>100</v>
      </c>
      <c r="M69" t="s">
        <v>569</v>
      </c>
      <c r="O69" t="s">
        <v>243</v>
      </c>
      <c r="P69" s="115" t="s">
        <v>397</v>
      </c>
      <c r="Q69" s="5" t="s">
        <v>313</v>
      </c>
      <c r="R69" s="5"/>
      <c r="S69" s="5"/>
      <c r="T69" s="5"/>
      <c r="U69" s="5"/>
      <c r="V69" s="6">
        <v>5</v>
      </c>
      <c r="W69" s="92">
        <f>SUMIFS(Discontinuities!$D$4:$D$9664,Discontinuities!$A$4:$A$9664,A69,Discontinuities!$C$4:$C$9664,"&gt;="&amp;C69,Discontinuities!$C$4:$C$9664,"&lt;"&amp;D69)
-SUMIFS(Discontinuities!$D$4:$D$9664,Discontinuities!$A$4:$A$9664,A69,Discontinuities!$C$4:$C$9664,"&gt;="&amp;C69,Discontinuities!$C$4:$C$9664,"&lt;"&amp;D69,Discontinuities!$E$4:$E$9664,"=BC")
-SUMIFS(Discontinuities!$D$4:$D$9664,Discontinuities!$A$4:$A$9664,A69,Discontinuities!$C$4:$C$9664,"&gt;="&amp;C69,Discontinuities!$C$4:$C$9664,"&lt;"&amp;D69,Discontinuities!$E$4:$E$9664,"=LC")
-SUMIFS(Discontinuities!$D$4:$D$9664,Discontinuities!$A$4:$A$9664,A69,Discontinuities!$C$4:$C$9664,"&gt;="&amp;C69,Discontinuities!$C$4:$C$9664,"&lt;"&amp;D69,Discontinuities!$E$4:$E$9664,"=FLT")</f>
        <v>5</v>
      </c>
      <c r="X69" t="s">
        <v>373</v>
      </c>
      <c r="AA69" s="12"/>
      <c r="AB69" s="43">
        <f>IFERROR(ROUND((Data_Geotech[[#This Row],[Fault (m)]]+Data_Geotech[[#This Row],[Broken Core (m)]]+Data_Geotech[[#This Row],[Lost Core (m)]])*30,0),0)</f>
        <v>0</v>
      </c>
      <c r="AC69" s="44">
        <f>IF(Data_Geotech[[#This Row],[Added fractures 
(BC, FLT, LC)]]+Data_Geotech[[#This Row],[Fracture per interval]]=0,99,1/((Data_Geotech[[#This Row],[Fracture per interval]]+Data_Geotech[[#This Row],[Added fractures 
(BC, FLT, LC)]])/Data_Geotech[[#This Row],[Run (m)]]))</f>
        <v>0.58599999999999997</v>
      </c>
      <c r="AD69" s="155" cm="1">
        <f t="array" ref="AD69">IFERROR(_xlfn.XLOOKUP(1,(A69=PLT!$A$4:$A$8886)*(Geotech!C69&lt;=PLT!$F$4:$F$8886)*(Geotech!D69&gt;=PLT!$F$4:$F$8886)*("Valid"=PLT!$P$4:$P$8886),PLT!$V$4:$V$8886),"")</f>
        <v>0</v>
      </c>
      <c r="AE69" s="156" t="str" cm="1">
        <f t="array" ref="AE69">IFERROR(_xlfn.XLOOKUP(1,(A69=PLT!$A$4:$A$8886)*(Geotech!C69&lt;=PLT!$F$4:$F$8886)*(Geotech!D69&gt;=PLT!$F$4:$F$8886)*(PLT!$V$4:$V$8886&lt;&gt;AD69)*("Valid"=PLT!$P$4:$P$7190),PLT!$V$4:$V$8886),"")</f>
        <v/>
      </c>
      <c r="AF69" s="156" t="str" cm="1">
        <f t="array" ref="AF69">IFERROR(_xlfn.XLOOKUP(1,(A69=PLT!$A$4:$A$8886)*(Geotech!C69&lt;=PLT!$F$4:$F$8886)*(Geotech!D69&gt;=PLT!$F$4:$F$8886)*(PLT!$V$4:$V$8886&lt;&gt;AD69)*(PLT!$V$4:$V$8886&lt;&gt;AE69)*("Valid"=PLT!$P$4:$P$7190),PLT!$V$4:$V$8886),"")</f>
        <v/>
      </c>
      <c r="AG69" s="44">
        <f>IFERROR(IF(AVERAGE(AD69:AF69)&gt;References!$BO$23,References!$BP$23,
IF(AVERAGE(AD69:AF69)&gt;References!$BO$22,References!$BP$22,
IF(AVERAGE(AD69:AF69)&gt;References!$BO$21,References!$BP$21,
IF(AVERAGE(AD69:AF69)&gt;References!$BO$20,References!$BP$20,
IF(AVERAGE(AD69:AF69)&gt;References!$BO$19,References!$BP$19,
IF(AVERAGE(AD69:AF69)&gt;References!$BO$18,References!$BP$18,
0)))))),"")</f>
        <v>0</v>
      </c>
      <c r="AH69" s="43">
        <f>IF(Data_Geotech[[#This Row],[Is50]]="",VLOOKUP(Data_Geotech[[#This Row],[Field Intact Rock Strength]],Table_RMR76_Strength[],2,FALSE),Data_Geotech[[#This Row],[Is50]])</f>
        <v>0</v>
      </c>
      <c r="AI69" s="43">
        <f>IF(Data_Geotech[[#This Row],[RQD (%)]]&lt;=25,3,IF(Data_Geotech[[#This Row],[RQD (%)]]&lt;=50,8,IF(Data_Geotech[[#This Row],[RQD (%)]]&lt;=75,13,IF(Data_Geotech[[#This Row],[RQD (%)]]&lt;=90,17,20))))</f>
        <v>20</v>
      </c>
      <c r="AJ69" s="43">
        <f>IF(Data_Geotech[[#This Row],[Joint spacing (m)]]&lt;=0.05,5,IF(Data_Geotech[[#This Row],[Joint spacing (m)]]&lt;=0.3,10,IF(Data_Geotech[[#This Row],[Joint spacing (m)]]&lt;=1,20,IF(Data_Geotech[[#This Row],[Joint spacing (m)]]&lt;=3,25,30))))</f>
        <v>20</v>
      </c>
      <c r="AK6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23</v>
      </c>
      <c r="AL69" s="6">
        <v>10</v>
      </c>
      <c r="AM69" s="117">
        <f>IF(Data_Geotech[[#This Row],[FIRS Code]]="R",IFERROR(SUM(Data_Geotech[[#This Row],[RMR76 - Strength rating]:[RMR76 - Ground water rating]]),""),"")</f>
        <v>73</v>
      </c>
      <c r="AN69" s="39">
        <f>IF(Data_Geotech[[#This Row],[FIRS Code]]="R",(2*Data_Geotech[[#This Row],[RMR76 - Joint condition rating]])+(IF(Data_Geotech[[#This Row],[RQD (%)]]&gt;80,80/2,Data_Geotech[[#This Row],[RQD (%)]]/2)),"")</f>
        <v>86</v>
      </c>
      <c r="AO69" s="43" t="str">
        <f>LEFT(Data_Geotech[[#This Row],[Joint Set Rating]],FIND("-",Data_Geotech[[#This Row],[Joint Set Rating]],1)-2)</f>
        <v>4</v>
      </c>
      <c r="AP6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1.9</v>
      </c>
      <c r="AQ69" s="5">
        <f t="shared" si="0"/>
        <v>1</v>
      </c>
      <c r="AR69" s="49">
        <f>IF(Data_Geotech[[#This Row],[FIRS Code]]="R",IFERROR((IF(Data_Geotech[[#This Row],[RQD (%)]]&lt;10,10,Data_Geotech[[#This Row],[RQD (%)]])/Data_Geotech[[#This Row],[Jn rating]])*Data_Geotech[[#This Row],[Jr/Ja]],""),"")</f>
        <v>47.5</v>
      </c>
      <c r="AS69" s="45">
        <f>IF(Data_Geotech[[#This Row],[FIRS Code]]="R",IFERROR((IF(Data_Geotech[[#This Row],[RQD (%)]]&lt;10,10,Data_Geotech[[#This Row],[RQD (%)]])/Data_Geotech[[#This Row],[Jn rating]])*Data_Geotech[[#This Row],[Jr/Ja]]*Data_Geotech[[#This Row],[Jw/SRF]],""),"")</f>
        <v>47.5</v>
      </c>
      <c r="AT69" s="12"/>
      <c r="AU69" s="13">
        <f>100-Data_Geotech[[#This Row],[RQD (%)]]</f>
        <v>0</v>
      </c>
      <c r="AV69" s="13">
        <f>100-Data_Geotech[[#This Row],[TCR (%)]]</f>
        <v>0</v>
      </c>
      <c r="AW69" s="62">
        <f>(Data_Geotech[[#This Row],[Fracture per interval]]+Data_Geotech[[#This Row],[Added fractures 
(BC, FLT, LC)]])/Data_Geotech[[#This Row],[TCR (m)]]</f>
        <v>1.7064846416382251</v>
      </c>
      <c r="AX69" s="6" t="s">
        <v>109</v>
      </c>
      <c r="AY69" s="63">
        <f>7-MID(Data_Geotech[[#This Row],[Field Intact Rock Strength]],2,1)</f>
        <v>2</v>
      </c>
      <c r="AZ69" s="63">
        <f>VLOOKUP(Data_Geotech[[#This Row],[Field Intact Rock Strength]],Table_FieldStrength[],2,FALSE)</f>
        <v>100</v>
      </c>
      <c r="BA69" s="63">
        <f>VLOOKUP(Data_Geotech[[#This Row],[Field Intact Rock Strength]],Table_FieldStrength[],3,FALSE)</f>
        <v>175</v>
      </c>
      <c r="BB69" s="63">
        <f>VLOOKUP(Data_Geotech[[#This Row],[Field Intact Rock Strength]],Table_FieldStrength[],4,FALSE)</f>
        <v>250</v>
      </c>
      <c r="BC69" s="63">
        <f>100-Data_Geotech[[#This Row],[RMR76]]</f>
        <v>27</v>
      </c>
      <c r="BD69" s="63" t="str">
        <f>LEFT(Data_Geotech[[#This Row],[Weathering/Alteration]],FIND("-",Data_Geotech[[#This Row],[Weathering/Alteration]])-2)</f>
        <v>W1/A1</v>
      </c>
    </row>
    <row r="70" spans="1:56" ht="15.75" thickBot="1" x14ac:dyDescent="0.3">
      <c r="A70" t="s">
        <v>30</v>
      </c>
      <c r="B70" s="16" t="str">
        <f>VLOOKUP(Data_Geotech[[#This Row],[Hole ID]],Data_Log[],2,FALSE)</f>
        <v>CGF-02</v>
      </c>
      <c r="C70" s="5">
        <v>62.93</v>
      </c>
      <c r="D70" s="5">
        <v>65.98</v>
      </c>
      <c r="E70" s="5">
        <f>(Data_Geotech[[#This Row],[To (m)]]-Data_Geotech[[#This Row],[From (m)]])/2+Data_Geotech[[#This Row],[From (m)]]</f>
        <v>64.454999999999998</v>
      </c>
      <c r="F70" s="13">
        <f>Data_Geotech[[#This Row],[To (m)]]-Data_Geotech[[#This Row],[From (m)]]</f>
        <v>3.0500000000000043</v>
      </c>
      <c r="G70" s="5">
        <v>3.05</v>
      </c>
      <c r="H70" s="61">
        <f>Data_Geotech[[#This Row],[TCR (m)]]/Data_Geotech[[#This Row],[Run (m)]]*100</f>
        <v>99.999999999999858</v>
      </c>
      <c r="I70" s="151">
        <v>3.03</v>
      </c>
      <c r="J70" s="151">
        <v>3.03</v>
      </c>
      <c r="K70" s="5">
        <v>3.03</v>
      </c>
      <c r="L70" s="61">
        <f>Data_Geotech[[#This Row],[RQD (m)]]/Data_Geotech[[#This Row],[Run Reel (m)]]*100</f>
        <v>100</v>
      </c>
      <c r="M70" t="s">
        <v>569</v>
      </c>
      <c r="O70" t="s">
        <v>243</v>
      </c>
      <c r="P70" s="115" t="s">
        <v>397</v>
      </c>
      <c r="Q70" s="5" t="s">
        <v>313</v>
      </c>
      <c r="R70" s="5"/>
      <c r="S70" s="5"/>
      <c r="T70" s="5"/>
      <c r="U70" s="5"/>
      <c r="V70" s="6">
        <v>4</v>
      </c>
      <c r="W70" s="92">
        <f>SUMIFS(Discontinuities!$D$4:$D$9664,Discontinuities!$A$4:$A$9664,A70,Discontinuities!$C$4:$C$9664,"&gt;="&amp;C70,Discontinuities!$C$4:$C$9664,"&lt;"&amp;D70)
-SUMIFS(Discontinuities!$D$4:$D$9664,Discontinuities!$A$4:$A$9664,A70,Discontinuities!$C$4:$C$9664,"&gt;="&amp;C70,Discontinuities!$C$4:$C$9664,"&lt;"&amp;D70,Discontinuities!$E$4:$E$9664,"=BC")
-SUMIFS(Discontinuities!$D$4:$D$9664,Discontinuities!$A$4:$A$9664,A70,Discontinuities!$C$4:$C$9664,"&gt;="&amp;C70,Discontinuities!$C$4:$C$9664,"&lt;"&amp;D70,Discontinuities!$E$4:$E$9664,"=LC")
-SUMIFS(Discontinuities!$D$4:$D$9664,Discontinuities!$A$4:$A$9664,A70,Discontinuities!$C$4:$C$9664,"&gt;="&amp;C70,Discontinuities!$C$4:$C$9664,"&lt;"&amp;D70,Discontinuities!$E$4:$E$9664,"=FLT")</f>
        <v>4</v>
      </c>
      <c r="X70" t="s">
        <v>400</v>
      </c>
      <c r="AA70" s="12"/>
      <c r="AB70" s="43">
        <f>IFERROR(ROUND((Data_Geotech[[#This Row],[Fault (m)]]+Data_Geotech[[#This Row],[Broken Core (m)]]+Data_Geotech[[#This Row],[Lost Core (m)]])*30,0),0)</f>
        <v>0</v>
      </c>
      <c r="AC70" s="44">
        <f>IF(Data_Geotech[[#This Row],[Added fractures 
(BC, FLT, LC)]]+Data_Geotech[[#This Row],[Fracture per interval]]=0,99,1/((Data_Geotech[[#This Row],[Fracture per interval]]+Data_Geotech[[#This Row],[Added fractures 
(BC, FLT, LC)]])/Data_Geotech[[#This Row],[Run (m)]]))</f>
        <v>0.76250000000000107</v>
      </c>
      <c r="AD70" s="155" t="str" cm="1">
        <f t="array" ref="AD70">IFERROR(_xlfn.XLOOKUP(1,(A70=PLT!$A$4:$A$8886)*(Geotech!C70&lt;=PLT!$F$4:$F$8886)*(Geotech!D70&gt;=PLT!$F$4:$F$8886)*("Valid"=PLT!$P$4:$P$8886),PLT!$V$4:$V$8886),"")</f>
        <v/>
      </c>
      <c r="AE70" s="156" t="str" cm="1">
        <f t="array" ref="AE70">IFERROR(_xlfn.XLOOKUP(1,(A70=PLT!$A$4:$A$8886)*(Geotech!C70&lt;=PLT!$F$4:$F$8886)*(Geotech!D70&gt;=PLT!$F$4:$F$8886)*(PLT!$V$4:$V$8886&lt;&gt;AD70)*("Valid"=PLT!$P$4:$P$7190),PLT!$V$4:$V$8886),"")</f>
        <v/>
      </c>
      <c r="AF70" s="156" t="str" cm="1">
        <f t="array" ref="AF70">IFERROR(_xlfn.XLOOKUP(1,(A70=PLT!$A$4:$A$8886)*(Geotech!C70&lt;=PLT!$F$4:$F$8886)*(Geotech!D70&gt;=PLT!$F$4:$F$8886)*(PLT!$V$4:$V$8886&lt;&gt;AD70)*(PLT!$V$4:$V$8886&lt;&gt;AE70)*("Valid"=PLT!$P$4:$P$7190),PLT!$V$4:$V$8886),"")</f>
        <v/>
      </c>
      <c r="AG70" s="44" t="str">
        <f>IFERROR(IF(AVERAGE(AD70:AF70)&gt;References!$BO$23,References!$BP$23,
IF(AVERAGE(AD70:AF70)&gt;References!$BO$22,References!$BP$22,
IF(AVERAGE(AD70:AF70)&gt;References!$BO$21,References!$BP$21,
IF(AVERAGE(AD70:AF70)&gt;References!$BO$20,References!$BP$20,
IF(AVERAGE(AD70:AF70)&gt;References!$BO$19,References!$BP$19,
IF(AVERAGE(AD70:AF70)&gt;References!$BO$18,References!$BP$18,
0)))))),"")</f>
        <v/>
      </c>
      <c r="AH70" s="43">
        <f>IF(Data_Geotech[[#This Row],[Is50]]="",VLOOKUP(Data_Geotech[[#This Row],[Field Intact Rock Strength]],Table_RMR76_Strength[],2,FALSE),Data_Geotech[[#This Row],[Is50]])</f>
        <v>12</v>
      </c>
      <c r="AI70" s="43">
        <f>IF(Data_Geotech[[#This Row],[RQD (%)]]&lt;=25,3,IF(Data_Geotech[[#This Row],[RQD (%)]]&lt;=50,8,IF(Data_Geotech[[#This Row],[RQD (%)]]&lt;=75,13,IF(Data_Geotech[[#This Row],[RQD (%)]]&lt;=90,17,20))))</f>
        <v>20</v>
      </c>
      <c r="AJ70" s="43">
        <f>IF(Data_Geotech[[#This Row],[Joint spacing (m)]]&lt;=0.05,5,IF(Data_Geotech[[#This Row],[Joint spacing (m)]]&lt;=0.3,10,IF(Data_Geotech[[#This Row],[Joint spacing (m)]]&lt;=1,20,IF(Data_Geotech[[#This Row],[Joint spacing (m)]]&lt;=3,25,30))))</f>
        <v>20</v>
      </c>
      <c r="AK7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70" s="6">
        <v>10</v>
      </c>
      <c r="AM70" s="117">
        <f>IF(Data_Geotech[[#This Row],[FIRS Code]]="R",IFERROR(SUM(Data_Geotech[[#This Row],[RMR76 - Strength rating]:[RMR76 - Ground water rating]]),""),"")</f>
        <v>78</v>
      </c>
      <c r="AN70" s="39">
        <f>IF(Data_Geotech[[#This Row],[FIRS Code]]="R",(2*Data_Geotech[[#This Row],[RMR76 - Joint condition rating]])+(IF(Data_Geotech[[#This Row],[RQD (%)]]&gt;80,80/2,Data_Geotech[[#This Row],[RQD (%)]]/2)),"")</f>
        <v>72</v>
      </c>
      <c r="AO70" s="43" t="str">
        <f>LEFT(Data_Geotech[[#This Row],[Joint Set Rating]],FIND("-",Data_Geotech[[#This Row],[Joint Set Rating]],1)-2)</f>
        <v>6</v>
      </c>
      <c r="AP7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70" s="5">
        <f t="shared" si="0"/>
        <v>1</v>
      </c>
      <c r="AR70" s="49">
        <f>IF(Data_Geotech[[#This Row],[FIRS Code]]="R",IFERROR((IF(Data_Geotech[[#This Row],[RQD (%)]]&lt;10,10,Data_Geotech[[#This Row],[RQD (%)]])/Data_Geotech[[#This Row],[Jn rating]])*Data_Geotech[[#This Row],[Jr/Ja]],""),"")</f>
        <v>16.666666666666668</v>
      </c>
      <c r="AS70" s="45">
        <f>IF(Data_Geotech[[#This Row],[FIRS Code]]="R",IFERROR((IF(Data_Geotech[[#This Row],[RQD (%)]]&lt;10,10,Data_Geotech[[#This Row],[RQD (%)]])/Data_Geotech[[#This Row],[Jn rating]])*Data_Geotech[[#This Row],[Jr/Ja]]*Data_Geotech[[#This Row],[Jw/SRF]],""),"")</f>
        <v>16.666666666666668</v>
      </c>
      <c r="AT70" s="12"/>
      <c r="AU70" s="13">
        <f>100-Data_Geotech[[#This Row],[RQD (%)]]</f>
        <v>0</v>
      </c>
      <c r="AV70" s="13">
        <f>100-Data_Geotech[[#This Row],[TCR (%)]]</f>
        <v>1.4210854715202004E-13</v>
      </c>
      <c r="AW70" s="62">
        <f>(Data_Geotech[[#This Row],[Fracture per interval]]+Data_Geotech[[#This Row],[Added fractures 
(BC, FLT, LC)]])/Data_Geotech[[#This Row],[TCR (m)]]</f>
        <v>1.3114754098360657</v>
      </c>
      <c r="AX70" s="6" t="s">
        <v>109</v>
      </c>
      <c r="AY70" s="63">
        <f>7-MID(Data_Geotech[[#This Row],[Field Intact Rock Strength]],2,1)</f>
        <v>2</v>
      </c>
      <c r="AZ70" s="63">
        <f>VLOOKUP(Data_Geotech[[#This Row],[Field Intact Rock Strength]],Table_FieldStrength[],2,FALSE)</f>
        <v>100</v>
      </c>
      <c r="BA70" s="63">
        <f>VLOOKUP(Data_Geotech[[#This Row],[Field Intact Rock Strength]],Table_FieldStrength[],3,FALSE)</f>
        <v>175</v>
      </c>
      <c r="BB70" s="63">
        <f>VLOOKUP(Data_Geotech[[#This Row],[Field Intact Rock Strength]],Table_FieldStrength[],4,FALSE)</f>
        <v>250</v>
      </c>
      <c r="BC70" s="63">
        <f>100-Data_Geotech[[#This Row],[RMR76]]</f>
        <v>22</v>
      </c>
      <c r="BD70" s="63" t="str">
        <f>LEFT(Data_Geotech[[#This Row],[Weathering/Alteration]],FIND("-",Data_Geotech[[#This Row],[Weathering/Alteration]])-2)</f>
        <v>W1/A1</v>
      </c>
    </row>
    <row r="71" spans="1:56" ht="15.75" thickBot="1" x14ac:dyDescent="0.3">
      <c r="A71" t="s">
        <v>30</v>
      </c>
      <c r="B71" s="16" t="str">
        <f>VLOOKUP(Data_Geotech[[#This Row],[Hole ID]],Data_Log[],2,FALSE)</f>
        <v>CGF-02</v>
      </c>
      <c r="C71" s="5">
        <v>65.98</v>
      </c>
      <c r="D71" s="5">
        <v>66.38</v>
      </c>
      <c r="E71" s="5">
        <f>(Data_Geotech[[#This Row],[To (m)]]-Data_Geotech[[#This Row],[From (m)]])/2+Data_Geotech[[#This Row],[From (m)]]</f>
        <v>66.180000000000007</v>
      </c>
      <c r="F71" s="13">
        <f>Data_Geotech[[#This Row],[To (m)]]-Data_Geotech[[#This Row],[From (m)]]</f>
        <v>0.39999999999999147</v>
      </c>
      <c r="G71" s="5">
        <v>0.4</v>
      </c>
      <c r="H71" s="61">
        <f>Data_Geotech[[#This Row],[TCR (m)]]/Data_Geotech[[#This Row],[Run (m)]]*100</f>
        <v>100.00000000000213</v>
      </c>
      <c r="I71" s="151">
        <v>0.4</v>
      </c>
      <c r="J71" s="151">
        <v>0.4</v>
      </c>
      <c r="K71" s="5">
        <v>0.4</v>
      </c>
      <c r="L71" s="61">
        <f>Data_Geotech[[#This Row],[RQD (m)]]/Data_Geotech[[#This Row],[Run Reel (m)]]*100</f>
        <v>100</v>
      </c>
      <c r="M71" t="s">
        <v>569</v>
      </c>
      <c r="O71" t="s">
        <v>243</v>
      </c>
      <c r="P71" s="115" t="s">
        <v>397</v>
      </c>
      <c r="Q71" s="5" t="s">
        <v>313</v>
      </c>
      <c r="R71" s="5"/>
      <c r="S71" s="5"/>
      <c r="T71" s="5"/>
      <c r="U71" s="5"/>
      <c r="V71" s="6">
        <v>0</v>
      </c>
      <c r="W71" s="92">
        <f>SUMIFS(Discontinuities!$D$4:$D$9664,Discontinuities!$A$4:$A$9664,A71,Discontinuities!$C$4:$C$9664,"&gt;="&amp;C71,Discontinuities!$C$4:$C$9664,"&lt;"&amp;D71)
-SUMIFS(Discontinuities!$D$4:$D$9664,Discontinuities!$A$4:$A$9664,A71,Discontinuities!$C$4:$C$9664,"&gt;="&amp;C71,Discontinuities!$C$4:$C$9664,"&lt;"&amp;D71,Discontinuities!$E$4:$E$9664,"=BC")
-SUMIFS(Discontinuities!$D$4:$D$9664,Discontinuities!$A$4:$A$9664,A71,Discontinuities!$C$4:$C$9664,"&gt;="&amp;C71,Discontinuities!$C$4:$C$9664,"&lt;"&amp;D71,Discontinuities!$E$4:$E$9664,"=LC")
-SUMIFS(Discontinuities!$D$4:$D$9664,Discontinuities!$A$4:$A$9664,A71,Discontinuities!$C$4:$C$9664,"&gt;="&amp;C71,Discontinuities!$C$4:$C$9664,"&lt;"&amp;D71,Discontinuities!$E$4:$E$9664,"=FLT")</f>
        <v>0</v>
      </c>
      <c r="X71" t="s">
        <v>345</v>
      </c>
      <c r="AA71" s="12"/>
      <c r="AB71" s="43">
        <f>IFERROR(ROUND((Data_Geotech[[#This Row],[Fault (m)]]+Data_Geotech[[#This Row],[Broken Core (m)]]+Data_Geotech[[#This Row],[Lost Core (m)]])*30,0),0)</f>
        <v>0</v>
      </c>
      <c r="AC71" s="44">
        <f>IF(Data_Geotech[[#This Row],[Added fractures 
(BC, FLT, LC)]]+Data_Geotech[[#This Row],[Fracture per interval]]=0,99,1/((Data_Geotech[[#This Row],[Fracture per interval]]+Data_Geotech[[#This Row],[Added fractures 
(BC, FLT, LC)]])/Data_Geotech[[#This Row],[Run (m)]]))</f>
        <v>99</v>
      </c>
      <c r="AD71" s="155" cm="1">
        <f t="array" ref="AD71">IFERROR(_xlfn.XLOOKUP(1,(A71=PLT!$A$4:$A$8886)*(Geotech!C71&lt;=PLT!$F$4:$F$8886)*(Geotech!D71&gt;=PLT!$F$4:$F$8886)*("Valid"=PLT!$P$4:$P$8886),PLT!$V$4:$V$8886),"")</f>
        <v>0</v>
      </c>
      <c r="AE71" s="156" t="str" cm="1">
        <f t="array" ref="AE71">IFERROR(_xlfn.XLOOKUP(1,(A71=PLT!$A$4:$A$8886)*(Geotech!C71&lt;=PLT!$F$4:$F$8886)*(Geotech!D71&gt;=PLT!$F$4:$F$8886)*(PLT!$V$4:$V$8886&lt;&gt;AD71)*("Valid"=PLT!$P$4:$P$7190),PLT!$V$4:$V$8886),"")</f>
        <v/>
      </c>
      <c r="AF71" s="156" t="str" cm="1">
        <f t="array" ref="AF71">IFERROR(_xlfn.XLOOKUP(1,(A71=PLT!$A$4:$A$8886)*(Geotech!C71&lt;=PLT!$F$4:$F$8886)*(Geotech!D71&gt;=PLT!$F$4:$F$8886)*(PLT!$V$4:$V$8886&lt;&gt;AD71)*(PLT!$V$4:$V$8886&lt;&gt;AE71)*("Valid"=PLT!$P$4:$P$7190),PLT!$V$4:$V$8886),"")</f>
        <v/>
      </c>
      <c r="AG71" s="44">
        <f>IFERROR(IF(AVERAGE(AD71:AF71)&gt;References!$BO$23,References!$BP$23,
IF(AVERAGE(AD71:AF71)&gt;References!$BO$22,References!$BP$22,
IF(AVERAGE(AD71:AF71)&gt;References!$BO$21,References!$BP$21,
IF(AVERAGE(AD71:AF71)&gt;References!$BO$20,References!$BP$20,
IF(AVERAGE(AD71:AF71)&gt;References!$BO$19,References!$BP$19,
IF(AVERAGE(AD71:AF71)&gt;References!$BO$18,References!$BP$18,
0)))))),"")</f>
        <v>0</v>
      </c>
      <c r="AH71" s="43">
        <f>IF(Data_Geotech[[#This Row],[Is50]]="",VLOOKUP(Data_Geotech[[#This Row],[Field Intact Rock Strength]],Table_RMR76_Strength[],2,FALSE),Data_Geotech[[#This Row],[Is50]])</f>
        <v>0</v>
      </c>
      <c r="AI71" s="43">
        <f>IF(Data_Geotech[[#This Row],[RQD (%)]]&lt;=25,3,IF(Data_Geotech[[#This Row],[RQD (%)]]&lt;=50,8,IF(Data_Geotech[[#This Row],[RQD (%)]]&lt;=75,13,IF(Data_Geotech[[#This Row],[RQD (%)]]&lt;=90,17,20))))</f>
        <v>20</v>
      </c>
      <c r="AJ71" s="43">
        <f>IF(Data_Geotech[[#This Row],[Joint spacing (m)]]&lt;=0.05,5,IF(Data_Geotech[[#This Row],[Joint spacing (m)]]&lt;=0.3,10,IF(Data_Geotech[[#This Row],[Joint spacing (m)]]&lt;=1,20,IF(Data_Geotech[[#This Row],[Joint spacing (m)]]&lt;=3,25,30))))</f>
        <v>30</v>
      </c>
      <c r="AK7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71" s="6">
        <v>10</v>
      </c>
      <c r="AM71" s="117">
        <f>IF(Data_Geotech[[#This Row],[FIRS Code]]="R",IFERROR(SUM(Data_Geotech[[#This Row],[RMR76 - Strength rating]:[RMR76 - Ground water rating]]),""),"")</f>
        <v>85</v>
      </c>
      <c r="AN71" s="39">
        <f>IF(Data_Geotech[[#This Row],[FIRS Code]]="R",(2*Data_Geotech[[#This Row],[RMR76 - Joint condition rating]])+(IF(Data_Geotech[[#This Row],[RQD (%)]]&gt;80,80/2,Data_Geotech[[#This Row],[RQD (%)]]/2)),"")</f>
        <v>90</v>
      </c>
      <c r="AO71" s="43" t="str">
        <f>LEFT(Data_Geotech[[#This Row],[Joint Set Rating]],FIND("-",Data_Geotech[[#This Row],[Joint Set Rating]],1)-2)</f>
        <v>3</v>
      </c>
      <c r="AP7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71" s="5">
        <f t="shared" si="0"/>
        <v>1</v>
      </c>
      <c r="AR71" s="49">
        <f>IF(Data_Geotech[[#This Row],[FIRS Code]]="R",IFERROR((IF(Data_Geotech[[#This Row],[RQD (%)]]&lt;10,10,Data_Geotech[[#This Row],[RQD (%)]])/Data_Geotech[[#This Row],[Jn rating]])*Data_Geotech[[#This Row],[Jr/Ja]],""),"")</f>
        <v>177.77777777777777</v>
      </c>
      <c r="AS71" s="45">
        <f>IF(Data_Geotech[[#This Row],[FIRS Code]]="R",IFERROR((IF(Data_Geotech[[#This Row],[RQD (%)]]&lt;10,10,Data_Geotech[[#This Row],[RQD (%)]])/Data_Geotech[[#This Row],[Jn rating]])*Data_Geotech[[#This Row],[Jr/Ja]]*Data_Geotech[[#This Row],[Jw/SRF]],""),"")</f>
        <v>177.77777777777777</v>
      </c>
      <c r="AT71" s="12"/>
      <c r="AU71" s="13">
        <f>100-Data_Geotech[[#This Row],[RQD (%)]]</f>
        <v>0</v>
      </c>
      <c r="AV71" s="13">
        <f>100-Data_Geotech[[#This Row],[TCR (%)]]</f>
        <v>-2.1316282072803006E-12</v>
      </c>
      <c r="AW71" s="62">
        <f>(Data_Geotech[[#This Row],[Fracture per interval]]+Data_Geotech[[#This Row],[Added fractures 
(BC, FLT, LC)]])/Data_Geotech[[#This Row],[TCR (m)]]</f>
        <v>0</v>
      </c>
      <c r="AX71" s="6" t="s">
        <v>109</v>
      </c>
      <c r="AY71" s="63">
        <f>7-MID(Data_Geotech[[#This Row],[Field Intact Rock Strength]],2,1)</f>
        <v>2</v>
      </c>
      <c r="AZ71" s="63">
        <f>VLOOKUP(Data_Geotech[[#This Row],[Field Intact Rock Strength]],Table_FieldStrength[],2,FALSE)</f>
        <v>100</v>
      </c>
      <c r="BA71" s="63">
        <f>VLOOKUP(Data_Geotech[[#This Row],[Field Intact Rock Strength]],Table_FieldStrength[],3,FALSE)</f>
        <v>175</v>
      </c>
      <c r="BB71" s="63">
        <f>VLOOKUP(Data_Geotech[[#This Row],[Field Intact Rock Strength]],Table_FieldStrength[],4,FALSE)</f>
        <v>250</v>
      </c>
      <c r="BC71" s="63">
        <f>100-Data_Geotech[[#This Row],[RMR76]]</f>
        <v>15</v>
      </c>
      <c r="BD71" s="63" t="str">
        <f>LEFT(Data_Geotech[[#This Row],[Weathering/Alteration]],FIND("-",Data_Geotech[[#This Row],[Weathering/Alteration]])-2)</f>
        <v>W1/A1</v>
      </c>
    </row>
    <row r="72" spans="1:56" ht="15.75" thickBot="1" x14ac:dyDescent="0.3">
      <c r="A72" t="s">
        <v>30</v>
      </c>
      <c r="B72" s="16" t="str">
        <f>VLOOKUP(Data_Geotech[[#This Row],[Hole ID]],Data_Log[],2,FALSE)</f>
        <v>CGF-02</v>
      </c>
      <c r="C72" s="5">
        <v>66.38</v>
      </c>
      <c r="D72" s="5">
        <v>66.81</v>
      </c>
      <c r="E72" s="5">
        <f>(Data_Geotech[[#This Row],[To (m)]]-Data_Geotech[[#This Row],[From (m)]])/2+Data_Geotech[[#This Row],[From (m)]]</f>
        <v>66.594999999999999</v>
      </c>
      <c r="F72" s="13">
        <f>Data_Geotech[[#This Row],[To (m)]]-Data_Geotech[[#This Row],[From (m)]]</f>
        <v>0.43000000000000682</v>
      </c>
      <c r="G72" s="5">
        <v>0.43</v>
      </c>
      <c r="H72" s="61">
        <f>Data_Geotech[[#This Row],[TCR (m)]]/Data_Geotech[[#This Row],[Run (m)]]*100</f>
        <v>99.999999999998408</v>
      </c>
      <c r="I72" s="151">
        <v>0.43</v>
      </c>
      <c r="J72" s="151">
        <v>0.43</v>
      </c>
      <c r="K72" s="5">
        <v>0.43</v>
      </c>
      <c r="L72" s="61">
        <f>Data_Geotech[[#This Row],[RQD (m)]]/Data_Geotech[[#This Row],[Run Reel (m)]]*100</f>
        <v>100</v>
      </c>
      <c r="M72" t="s">
        <v>590</v>
      </c>
      <c r="O72" t="s">
        <v>278</v>
      </c>
      <c r="P72" s="115" t="s">
        <v>370</v>
      </c>
      <c r="Q72" s="5" t="s">
        <v>313</v>
      </c>
      <c r="R72" s="5"/>
      <c r="S72" s="5"/>
      <c r="T72" s="5"/>
      <c r="U72" s="5"/>
      <c r="V72" s="6">
        <v>2</v>
      </c>
      <c r="W72" s="92">
        <f>SUMIFS(Discontinuities!$D$4:$D$9664,Discontinuities!$A$4:$A$9664,A72,Discontinuities!$C$4:$C$9664,"&gt;="&amp;C72,Discontinuities!$C$4:$C$9664,"&lt;"&amp;D72)
-SUMIFS(Discontinuities!$D$4:$D$9664,Discontinuities!$A$4:$A$9664,A72,Discontinuities!$C$4:$C$9664,"&gt;="&amp;C72,Discontinuities!$C$4:$C$9664,"&lt;"&amp;D72,Discontinuities!$E$4:$E$9664,"=BC")
-SUMIFS(Discontinuities!$D$4:$D$9664,Discontinuities!$A$4:$A$9664,A72,Discontinuities!$C$4:$C$9664,"&gt;="&amp;C72,Discontinuities!$C$4:$C$9664,"&lt;"&amp;D72,Discontinuities!$E$4:$E$9664,"=LC")
-SUMIFS(Discontinuities!$D$4:$D$9664,Discontinuities!$A$4:$A$9664,A72,Discontinuities!$C$4:$C$9664,"&gt;="&amp;C72,Discontinuities!$C$4:$C$9664,"&lt;"&amp;D72,Discontinuities!$E$4:$E$9664,"=FLT")</f>
        <v>2</v>
      </c>
      <c r="X72" t="s">
        <v>345</v>
      </c>
      <c r="Z72" t="s">
        <v>594</v>
      </c>
      <c r="AA72" s="12"/>
      <c r="AB72" s="43">
        <f>IFERROR(ROUND((Data_Geotech[[#This Row],[Fault (m)]]+Data_Geotech[[#This Row],[Broken Core (m)]]+Data_Geotech[[#This Row],[Lost Core (m)]])*30,0),0)</f>
        <v>0</v>
      </c>
      <c r="AC72" s="44">
        <f>IF(Data_Geotech[[#This Row],[Added fractures 
(BC, FLT, LC)]]+Data_Geotech[[#This Row],[Fracture per interval]]=0,99,1/((Data_Geotech[[#This Row],[Fracture per interval]]+Data_Geotech[[#This Row],[Added fractures 
(BC, FLT, LC)]])/Data_Geotech[[#This Row],[Run (m)]]))</f>
        <v>0.21500000000000338</v>
      </c>
      <c r="AD72" s="155" cm="1">
        <f t="array" ref="AD72">IFERROR(_xlfn.XLOOKUP(1,(A72=PLT!$A$4:$A$8886)*(Geotech!C72&lt;=PLT!$F$4:$F$8886)*(Geotech!D72&gt;=PLT!$F$4:$F$8886)*("Valid"=PLT!$P$4:$P$8886),PLT!$V$4:$V$8886),"")</f>
        <v>0</v>
      </c>
      <c r="AE72" s="156" t="str" cm="1">
        <f t="array" ref="AE72">IFERROR(_xlfn.XLOOKUP(1,(A72=PLT!$A$4:$A$8886)*(Geotech!C72&lt;=PLT!$F$4:$F$8886)*(Geotech!D72&gt;=PLT!$F$4:$F$8886)*(PLT!$V$4:$V$8886&lt;&gt;AD72)*("Valid"=PLT!$P$4:$P$7190),PLT!$V$4:$V$8886),"")</f>
        <v/>
      </c>
      <c r="AF72" s="156" t="str" cm="1">
        <f t="array" ref="AF72">IFERROR(_xlfn.XLOOKUP(1,(A72=PLT!$A$4:$A$8886)*(Geotech!C72&lt;=PLT!$F$4:$F$8886)*(Geotech!D72&gt;=PLT!$F$4:$F$8886)*(PLT!$V$4:$V$8886&lt;&gt;AD72)*(PLT!$V$4:$V$8886&lt;&gt;AE72)*("Valid"=PLT!$P$4:$P$7190),PLT!$V$4:$V$8886),"")</f>
        <v/>
      </c>
      <c r="AG72" s="44">
        <f>IFERROR(IF(AVERAGE(AD72:AF72)&gt;References!$BO$23,References!$BP$23,
IF(AVERAGE(AD72:AF72)&gt;References!$BO$22,References!$BP$22,
IF(AVERAGE(AD72:AF72)&gt;References!$BO$21,References!$BP$21,
IF(AVERAGE(AD72:AF72)&gt;References!$BO$20,References!$BP$20,
IF(AVERAGE(AD72:AF72)&gt;References!$BO$19,References!$BP$19,
IF(AVERAGE(AD72:AF72)&gt;References!$BO$18,References!$BP$18,
0)))))),"")</f>
        <v>0</v>
      </c>
      <c r="AH72" s="43">
        <f>IF(Data_Geotech[[#This Row],[Is50]]="",VLOOKUP(Data_Geotech[[#This Row],[Field Intact Rock Strength]],Table_RMR76_Strength[],2,FALSE),Data_Geotech[[#This Row],[Is50]])</f>
        <v>0</v>
      </c>
      <c r="AI72" s="43">
        <f>IF(Data_Geotech[[#This Row],[RQD (%)]]&lt;=25,3,IF(Data_Geotech[[#This Row],[RQD (%)]]&lt;=50,8,IF(Data_Geotech[[#This Row],[RQD (%)]]&lt;=75,13,IF(Data_Geotech[[#This Row],[RQD (%)]]&lt;=90,17,20))))</f>
        <v>20</v>
      </c>
      <c r="AJ72" s="43">
        <f>IF(Data_Geotech[[#This Row],[Joint spacing (m)]]&lt;=0.05,5,IF(Data_Geotech[[#This Row],[Joint spacing (m)]]&lt;=0.3,10,IF(Data_Geotech[[#This Row],[Joint spacing (m)]]&lt;=1,20,IF(Data_Geotech[[#This Row],[Joint spacing (m)]]&lt;=3,25,30))))</f>
        <v>10</v>
      </c>
      <c r="AK7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72" s="6">
        <v>10</v>
      </c>
      <c r="AM72" s="117">
        <f>IF(Data_Geotech[[#This Row],[FIRS Code]]="R",IFERROR(SUM(Data_Geotech[[#This Row],[RMR76 - Strength rating]:[RMR76 - Ground water rating]]),""),"")</f>
        <v>58.5</v>
      </c>
      <c r="AN72" s="39">
        <f>IF(Data_Geotech[[#This Row],[FIRS Code]]="R",(2*Data_Geotech[[#This Row],[RMR76 - Joint condition rating]])+(IF(Data_Geotech[[#This Row],[RQD (%)]]&gt;80,80/2,Data_Geotech[[#This Row],[RQD (%)]]/2)),"")</f>
        <v>77</v>
      </c>
      <c r="AO72" s="43" t="str">
        <f>LEFT(Data_Geotech[[#This Row],[Joint Set Rating]],FIND("-",Data_Geotech[[#This Row],[Joint Set Rating]],1)-2)</f>
        <v>3</v>
      </c>
      <c r="AP7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72" s="5">
        <f t="shared" si="0"/>
        <v>1</v>
      </c>
      <c r="AR72" s="49">
        <f>IF(Data_Geotech[[#This Row],[FIRS Code]]="R",IFERROR((IF(Data_Geotech[[#This Row],[RQD (%)]]&lt;10,10,Data_Geotech[[#This Row],[RQD (%)]])/Data_Geotech[[#This Row],[Jn rating]])*Data_Geotech[[#This Row],[Jr/Ja]],""),"")</f>
        <v>33.333333333333336</v>
      </c>
      <c r="AS72" s="45">
        <f>IF(Data_Geotech[[#This Row],[FIRS Code]]="R",IFERROR((IF(Data_Geotech[[#This Row],[RQD (%)]]&lt;10,10,Data_Geotech[[#This Row],[RQD (%)]])/Data_Geotech[[#This Row],[Jn rating]])*Data_Geotech[[#This Row],[Jr/Ja]]*Data_Geotech[[#This Row],[Jw/SRF]],""),"")</f>
        <v>33.333333333333336</v>
      </c>
      <c r="AT72" s="12"/>
      <c r="AU72" s="13">
        <f>100-Data_Geotech[[#This Row],[RQD (%)]]</f>
        <v>0</v>
      </c>
      <c r="AV72" s="13">
        <f>100-Data_Geotech[[#This Row],[TCR (%)]]</f>
        <v>1.5916157281026244E-12</v>
      </c>
      <c r="AW72" s="62">
        <f>(Data_Geotech[[#This Row],[Fracture per interval]]+Data_Geotech[[#This Row],[Added fractures 
(BC, FLT, LC)]])/Data_Geotech[[#This Row],[TCR (m)]]</f>
        <v>4.6511627906976747</v>
      </c>
      <c r="AX72" s="6" t="s">
        <v>109</v>
      </c>
      <c r="AY72" s="63">
        <f>7-MID(Data_Geotech[[#This Row],[Field Intact Rock Strength]],2,1)</f>
        <v>3</v>
      </c>
      <c r="AZ72" s="63">
        <f>VLOOKUP(Data_Geotech[[#This Row],[Field Intact Rock Strength]],Table_FieldStrength[],2,FALSE)</f>
        <v>50</v>
      </c>
      <c r="BA72" s="63">
        <f>VLOOKUP(Data_Geotech[[#This Row],[Field Intact Rock Strength]],Table_FieldStrength[],3,FALSE)</f>
        <v>75</v>
      </c>
      <c r="BB72" s="63">
        <f>VLOOKUP(Data_Geotech[[#This Row],[Field Intact Rock Strength]],Table_FieldStrength[],4,FALSE)</f>
        <v>100</v>
      </c>
      <c r="BC72" s="63">
        <f>100-Data_Geotech[[#This Row],[RMR76]]</f>
        <v>41.5</v>
      </c>
      <c r="BD72" s="63" t="str">
        <f>LEFT(Data_Geotech[[#This Row],[Weathering/Alteration]],FIND("-",Data_Geotech[[#This Row],[Weathering/Alteration]])-2)</f>
        <v>W2/A2</v>
      </c>
    </row>
    <row r="73" spans="1:56" ht="15.75" thickBot="1" x14ac:dyDescent="0.3">
      <c r="A73" t="s">
        <v>30</v>
      </c>
      <c r="B73" s="16" t="str">
        <f>VLOOKUP(Data_Geotech[[#This Row],[Hole ID]],Data_Log[],2,FALSE)</f>
        <v>CGF-02</v>
      </c>
      <c r="C73" s="5">
        <v>66.81</v>
      </c>
      <c r="D73" s="5">
        <v>68.86</v>
      </c>
      <c r="E73" s="5">
        <f>(Data_Geotech[[#This Row],[To (m)]]-Data_Geotech[[#This Row],[From (m)]])/2+Data_Geotech[[#This Row],[From (m)]]</f>
        <v>67.835000000000008</v>
      </c>
      <c r="F73" s="13">
        <f>Data_Geotech[[#This Row],[To (m)]]-Data_Geotech[[#This Row],[From (m)]]</f>
        <v>2.0499999999999972</v>
      </c>
      <c r="G73" s="5">
        <v>2.0499999999999998</v>
      </c>
      <c r="H73" s="61">
        <f>Data_Geotech[[#This Row],[TCR (m)]]/Data_Geotech[[#This Row],[Run (m)]]*100</f>
        <v>100.00000000000013</v>
      </c>
      <c r="I73" s="151">
        <v>2.04</v>
      </c>
      <c r="J73" s="151">
        <v>2.04</v>
      </c>
      <c r="K73" s="5">
        <f>2.04-0.06-0.05-0.05-0.02</f>
        <v>1.8599999999999999</v>
      </c>
      <c r="L73" s="61">
        <f>Data_Geotech[[#This Row],[RQD (m)]]/Data_Geotech[[#This Row],[Run Reel (m)]]*100</f>
        <v>91.176470588235276</v>
      </c>
      <c r="M73" t="s">
        <v>569</v>
      </c>
      <c r="O73" t="s">
        <v>243</v>
      </c>
      <c r="P73" s="115" t="s">
        <v>416</v>
      </c>
      <c r="Q73" s="5" t="s">
        <v>313</v>
      </c>
      <c r="R73" s="5"/>
      <c r="S73" s="5">
        <v>0.06</v>
      </c>
      <c r="T73" s="5"/>
      <c r="U73" s="5"/>
      <c r="V73" s="6">
        <v>10</v>
      </c>
      <c r="W73" s="92">
        <f>SUMIFS(Discontinuities!$D$4:$D$9664,Discontinuities!$A$4:$A$9664,A73,Discontinuities!$C$4:$C$9664,"&gt;="&amp;C73,Discontinuities!$C$4:$C$9664,"&lt;"&amp;D73)
-SUMIFS(Discontinuities!$D$4:$D$9664,Discontinuities!$A$4:$A$9664,A73,Discontinuities!$C$4:$C$9664,"&gt;="&amp;C73,Discontinuities!$C$4:$C$9664,"&lt;"&amp;D73,Discontinuities!$E$4:$E$9664,"=BC")
-SUMIFS(Discontinuities!$D$4:$D$9664,Discontinuities!$A$4:$A$9664,A73,Discontinuities!$C$4:$C$9664,"&gt;="&amp;C73,Discontinuities!$C$4:$C$9664,"&lt;"&amp;D73,Discontinuities!$E$4:$E$9664,"=LC")
-SUMIFS(Discontinuities!$D$4:$D$9664,Discontinuities!$A$4:$A$9664,A73,Discontinuities!$C$4:$C$9664,"&gt;="&amp;C73,Discontinuities!$C$4:$C$9664,"&lt;"&amp;D73,Discontinuities!$E$4:$E$9664,"=FLT")</f>
        <v>10</v>
      </c>
      <c r="X73" t="s">
        <v>400</v>
      </c>
      <c r="Z73" t="s">
        <v>595</v>
      </c>
      <c r="AA73" s="12" t="s">
        <v>113</v>
      </c>
      <c r="AB73" s="43">
        <f>IFERROR(ROUND((Data_Geotech[[#This Row],[Fault (m)]]+Data_Geotech[[#This Row],[Broken Core (m)]]+Data_Geotech[[#This Row],[Lost Core (m)]])*30,0),0)</f>
        <v>2</v>
      </c>
      <c r="AC73" s="44">
        <f>IF(Data_Geotech[[#This Row],[Added fractures 
(BC, FLT, LC)]]+Data_Geotech[[#This Row],[Fracture per interval]]=0,99,1/((Data_Geotech[[#This Row],[Fracture per interval]]+Data_Geotech[[#This Row],[Added fractures 
(BC, FLT, LC)]])/Data_Geotech[[#This Row],[Run (m)]]))</f>
        <v>0.17083333333333311</v>
      </c>
      <c r="AD73" s="155" cm="1">
        <f t="array" ref="AD73">IFERROR(_xlfn.XLOOKUP(1,(A73=PLT!$A$4:$A$8886)*(Geotech!C73&lt;=PLT!$F$4:$F$8886)*(Geotech!D73&gt;=PLT!$F$4:$F$8886)*("Valid"=PLT!$P$4:$P$8886),PLT!$V$4:$V$8886),"")</f>
        <v>0</v>
      </c>
      <c r="AE73" s="156" t="str" cm="1">
        <f t="array" ref="AE73">IFERROR(_xlfn.XLOOKUP(1,(A73=PLT!$A$4:$A$8886)*(Geotech!C73&lt;=PLT!$F$4:$F$8886)*(Geotech!D73&gt;=PLT!$F$4:$F$8886)*(PLT!$V$4:$V$8886&lt;&gt;AD73)*("Valid"=PLT!$P$4:$P$7190),PLT!$V$4:$V$8886),"")</f>
        <v/>
      </c>
      <c r="AF73" s="156" t="str" cm="1">
        <f t="array" ref="AF73">IFERROR(_xlfn.XLOOKUP(1,(A73=PLT!$A$4:$A$8886)*(Geotech!C73&lt;=PLT!$F$4:$F$8886)*(Geotech!D73&gt;=PLT!$F$4:$F$8886)*(PLT!$V$4:$V$8886&lt;&gt;AD73)*(PLT!$V$4:$V$8886&lt;&gt;AE73)*("Valid"=PLT!$P$4:$P$7190),PLT!$V$4:$V$8886),"")</f>
        <v/>
      </c>
      <c r="AG73" s="44">
        <f>IFERROR(IF(AVERAGE(AD73:AF73)&gt;References!$BO$23,References!$BP$23,
IF(AVERAGE(AD73:AF73)&gt;References!$BO$22,References!$BP$22,
IF(AVERAGE(AD73:AF73)&gt;References!$BO$21,References!$BP$21,
IF(AVERAGE(AD73:AF73)&gt;References!$BO$20,References!$BP$20,
IF(AVERAGE(AD73:AF73)&gt;References!$BO$19,References!$BP$19,
IF(AVERAGE(AD73:AF73)&gt;References!$BO$18,References!$BP$18,
0)))))),"")</f>
        <v>0</v>
      </c>
      <c r="AH73" s="43">
        <f>IF(Data_Geotech[[#This Row],[Is50]]="",VLOOKUP(Data_Geotech[[#This Row],[Field Intact Rock Strength]],Table_RMR76_Strength[],2,FALSE),Data_Geotech[[#This Row],[Is50]])</f>
        <v>0</v>
      </c>
      <c r="AI73" s="43">
        <f>IF(Data_Geotech[[#This Row],[RQD (%)]]&lt;=25,3,IF(Data_Geotech[[#This Row],[RQD (%)]]&lt;=50,8,IF(Data_Geotech[[#This Row],[RQD (%)]]&lt;=75,13,IF(Data_Geotech[[#This Row],[RQD (%)]]&lt;=90,17,20))))</f>
        <v>20</v>
      </c>
      <c r="AJ73" s="43">
        <f>IF(Data_Geotech[[#This Row],[Joint spacing (m)]]&lt;=0.05,5,IF(Data_Geotech[[#This Row],[Joint spacing (m)]]&lt;=0.3,10,IF(Data_Geotech[[#This Row],[Joint spacing (m)]]&lt;=1,20,IF(Data_Geotech[[#This Row],[Joint spacing (m)]]&lt;=3,25,30))))</f>
        <v>10</v>
      </c>
      <c r="AK7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73" s="6">
        <v>10</v>
      </c>
      <c r="AM73" s="117">
        <f>IF(Data_Geotech[[#This Row],[FIRS Code]]="R",IFERROR(SUM(Data_Geotech[[#This Row],[RMR76 - Strength rating]:[RMR76 - Ground water rating]]),""),"")</f>
        <v>56</v>
      </c>
      <c r="AN73" s="39">
        <f>IF(Data_Geotech[[#This Row],[FIRS Code]]="R",(2*Data_Geotech[[#This Row],[RMR76 - Joint condition rating]])+(IF(Data_Geotech[[#This Row],[RQD (%)]]&gt;80,80/2,Data_Geotech[[#This Row],[RQD (%)]]/2)),"")</f>
        <v>72</v>
      </c>
      <c r="AO73" s="43" t="str">
        <f>LEFT(Data_Geotech[[#This Row],[Joint Set Rating]],FIND("-",Data_Geotech[[#This Row],[Joint Set Rating]],1)-2)</f>
        <v>6</v>
      </c>
      <c r="AP7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0.67500000000000004</v>
      </c>
      <c r="AQ73" s="5">
        <f t="shared" si="0"/>
        <v>1</v>
      </c>
      <c r="AR73" s="49">
        <f>IF(Data_Geotech[[#This Row],[FIRS Code]]="R",IFERROR((IF(Data_Geotech[[#This Row],[RQD (%)]]&lt;10,10,Data_Geotech[[#This Row],[RQD (%)]])/Data_Geotech[[#This Row],[Jn rating]])*Data_Geotech[[#This Row],[Jr/Ja]],""),"")</f>
        <v>10.257352941176469</v>
      </c>
      <c r="AS73" s="45">
        <f>IF(Data_Geotech[[#This Row],[FIRS Code]]="R",IFERROR((IF(Data_Geotech[[#This Row],[RQD (%)]]&lt;10,10,Data_Geotech[[#This Row],[RQD (%)]])/Data_Geotech[[#This Row],[Jn rating]])*Data_Geotech[[#This Row],[Jr/Ja]]*Data_Geotech[[#This Row],[Jw/SRF]],""),"")</f>
        <v>10.257352941176469</v>
      </c>
      <c r="AT73" s="12"/>
      <c r="AU73" s="13">
        <f>100-Data_Geotech[[#This Row],[RQD (%)]]</f>
        <v>8.8235294117647243</v>
      </c>
      <c r="AV73" s="13">
        <f>100-Data_Geotech[[#This Row],[TCR (%)]]</f>
        <v>-1.2789769243681803E-13</v>
      </c>
      <c r="AW73" s="62">
        <f>(Data_Geotech[[#This Row],[Fracture per interval]]+Data_Geotech[[#This Row],[Added fractures 
(BC, FLT, LC)]])/Data_Geotech[[#This Row],[TCR (m)]]</f>
        <v>5.8536585365853666</v>
      </c>
      <c r="AX73" s="6" t="s">
        <v>109</v>
      </c>
      <c r="AY73" s="63">
        <f>7-MID(Data_Geotech[[#This Row],[Field Intact Rock Strength]],2,1)</f>
        <v>1</v>
      </c>
      <c r="AZ73" s="63">
        <f>VLOOKUP(Data_Geotech[[#This Row],[Field Intact Rock Strength]],Table_FieldStrength[],2,FALSE)</f>
        <v>250</v>
      </c>
      <c r="BA73" s="63">
        <f>VLOOKUP(Data_Geotech[[#This Row],[Field Intact Rock Strength]],Table_FieldStrength[],3,FALSE)</f>
        <v>275</v>
      </c>
      <c r="BB73" s="63">
        <f>VLOOKUP(Data_Geotech[[#This Row],[Field Intact Rock Strength]],Table_FieldStrength[],4,FALSE)</f>
        <v>300</v>
      </c>
      <c r="BC73" s="63">
        <f>100-Data_Geotech[[#This Row],[RMR76]]</f>
        <v>44</v>
      </c>
      <c r="BD73" s="63" t="str">
        <f>LEFT(Data_Geotech[[#This Row],[Weathering/Alteration]],FIND("-",Data_Geotech[[#This Row],[Weathering/Alteration]])-2)</f>
        <v>W1/A1</v>
      </c>
    </row>
    <row r="74" spans="1:56" ht="15.75" thickBot="1" x14ac:dyDescent="0.3">
      <c r="A74" t="s">
        <v>30</v>
      </c>
      <c r="B74" s="16" t="str">
        <f>VLOOKUP(Data_Geotech[[#This Row],[Hole ID]],Data_Log[],2,FALSE)</f>
        <v>CGF-02</v>
      </c>
      <c r="C74" s="5">
        <v>68.86</v>
      </c>
      <c r="D74" s="5">
        <v>70.34</v>
      </c>
      <c r="E74" s="5">
        <f>(Data_Geotech[[#This Row],[To (m)]]-Data_Geotech[[#This Row],[From (m)]])/2+Data_Geotech[[#This Row],[From (m)]]</f>
        <v>69.599999999999994</v>
      </c>
      <c r="F74" s="13">
        <f>Data_Geotech[[#This Row],[To (m)]]-Data_Geotech[[#This Row],[From (m)]]</f>
        <v>1.480000000000004</v>
      </c>
      <c r="G74" s="5">
        <v>1.48</v>
      </c>
      <c r="H74" s="61">
        <f>Data_Geotech[[#This Row],[TCR (m)]]/Data_Geotech[[#This Row],[Run (m)]]*100</f>
        <v>99.99999999999973</v>
      </c>
      <c r="I74" s="151">
        <v>1.51</v>
      </c>
      <c r="J74" s="151">
        <v>1.51</v>
      </c>
      <c r="K74" s="5">
        <v>1.51</v>
      </c>
      <c r="L74" s="61">
        <f>Data_Geotech[[#This Row],[RQD (m)]]/Data_Geotech[[#This Row],[Run Reel (m)]]*100</f>
        <v>100</v>
      </c>
      <c r="M74" t="s">
        <v>569</v>
      </c>
      <c r="O74" t="s">
        <v>243</v>
      </c>
      <c r="P74" s="115" t="s">
        <v>416</v>
      </c>
      <c r="Q74" s="5" t="s">
        <v>313</v>
      </c>
      <c r="R74" s="5"/>
      <c r="S74" s="5"/>
      <c r="T74" s="5"/>
      <c r="U74" s="5"/>
      <c r="V74" s="6">
        <v>3</v>
      </c>
      <c r="W74" s="92">
        <f>SUMIFS(Discontinuities!$D$4:$D$9664,Discontinuities!$A$4:$A$9664,A74,Discontinuities!$C$4:$C$9664,"&gt;="&amp;C74,Discontinuities!$C$4:$C$9664,"&lt;"&amp;D74)
-SUMIFS(Discontinuities!$D$4:$D$9664,Discontinuities!$A$4:$A$9664,A74,Discontinuities!$C$4:$C$9664,"&gt;="&amp;C74,Discontinuities!$C$4:$C$9664,"&lt;"&amp;D74,Discontinuities!$E$4:$E$9664,"=BC")
-SUMIFS(Discontinuities!$D$4:$D$9664,Discontinuities!$A$4:$A$9664,A74,Discontinuities!$C$4:$C$9664,"&gt;="&amp;C74,Discontinuities!$C$4:$C$9664,"&lt;"&amp;D74,Discontinuities!$E$4:$E$9664,"=LC")
-SUMIFS(Discontinuities!$D$4:$D$9664,Discontinuities!$A$4:$A$9664,A74,Discontinuities!$C$4:$C$9664,"&gt;="&amp;C74,Discontinuities!$C$4:$C$9664,"&lt;"&amp;D74,Discontinuities!$E$4:$E$9664,"=FLT")</f>
        <v>3</v>
      </c>
      <c r="X74" t="s">
        <v>345</v>
      </c>
      <c r="AA74" s="12"/>
      <c r="AB74" s="43">
        <f>IFERROR(ROUND((Data_Geotech[[#This Row],[Fault (m)]]+Data_Geotech[[#This Row],[Broken Core (m)]]+Data_Geotech[[#This Row],[Lost Core (m)]])*30,0),0)</f>
        <v>0</v>
      </c>
      <c r="AC74" s="44">
        <f>IF(Data_Geotech[[#This Row],[Added fractures 
(BC, FLT, LC)]]+Data_Geotech[[#This Row],[Fracture per interval]]=0,99,1/((Data_Geotech[[#This Row],[Fracture per interval]]+Data_Geotech[[#This Row],[Added fractures 
(BC, FLT, LC)]])/Data_Geotech[[#This Row],[Run (m)]]))</f>
        <v>0.49333333333333468</v>
      </c>
      <c r="AD74" s="155" t="str" cm="1">
        <f t="array" ref="AD74">IFERROR(_xlfn.XLOOKUP(1,(A74=PLT!$A$4:$A$8886)*(Geotech!C74&lt;=PLT!$F$4:$F$8886)*(Geotech!D74&gt;=PLT!$F$4:$F$8886)*("Valid"=PLT!$P$4:$P$8886),PLT!$V$4:$V$8886),"")</f>
        <v/>
      </c>
      <c r="AE74" s="156" t="str" cm="1">
        <f t="array" ref="AE74">IFERROR(_xlfn.XLOOKUP(1,(A74=PLT!$A$4:$A$8886)*(Geotech!C74&lt;=PLT!$F$4:$F$8886)*(Geotech!D74&gt;=PLT!$F$4:$F$8886)*(PLT!$V$4:$V$8886&lt;&gt;AD74)*("Valid"=PLT!$P$4:$P$7190),PLT!$V$4:$V$8886),"")</f>
        <v/>
      </c>
      <c r="AF74" s="156" t="str" cm="1">
        <f t="array" ref="AF74">IFERROR(_xlfn.XLOOKUP(1,(A74=PLT!$A$4:$A$8886)*(Geotech!C74&lt;=PLT!$F$4:$F$8886)*(Geotech!D74&gt;=PLT!$F$4:$F$8886)*(PLT!$V$4:$V$8886&lt;&gt;AD74)*(PLT!$V$4:$V$8886&lt;&gt;AE74)*("Valid"=PLT!$P$4:$P$7190),PLT!$V$4:$V$8886),"")</f>
        <v/>
      </c>
      <c r="AG74" s="44" t="str">
        <f>IFERROR(IF(AVERAGE(AD74:AF74)&gt;References!$BO$23,References!$BP$23,
IF(AVERAGE(AD74:AF74)&gt;References!$BO$22,References!$BP$22,
IF(AVERAGE(AD74:AF74)&gt;References!$BO$21,References!$BP$21,
IF(AVERAGE(AD74:AF74)&gt;References!$BO$20,References!$BP$20,
IF(AVERAGE(AD74:AF74)&gt;References!$BO$19,References!$BP$19,
IF(AVERAGE(AD74:AF74)&gt;References!$BO$18,References!$BP$18,
0)))))),"")</f>
        <v/>
      </c>
      <c r="AH74" s="43">
        <f>IF(Data_Geotech[[#This Row],[Is50]]="",VLOOKUP(Data_Geotech[[#This Row],[Field Intact Rock Strength]],Table_RMR76_Strength[],2,FALSE),Data_Geotech[[#This Row],[Is50]])</f>
        <v>15</v>
      </c>
      <c r="AI74" s="43">
        <f>IF(Data_Geotech[[#This Row],[RQD (%)]]&lt;=25,3,IF(Data_Geotech[[#This Row],[RQD (%)]]&lt;=50,8,IF(Data_Geotech[[#This Row],[RQD (%)]]&lt;=75,13,IF(Data_Geotech[[#This Row],[RQD (%)]]&lt;=90,17,20))))</f>
        <v>20</v>
      </c>
      <c r="AJ74" s="43">
        <f>IF(Data_Geotech[[#This Row],[Joint spacing (m)]]&lt;=0.05,5,IF(Data_Geotech[[#This Row],[Joint spacing (m)]]&lt;=0.3,10,IF(Data_Geotech[[#This Row],[Joint spacing (m)]]&lt;=1,20,IF(Data_Geotech[[#This Row],[Joint spacing (m)]]&lt;=3,25,30))))</f>
        <v>20</v>
      </c>
      <c r="AK7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74" s="6">
        <v>10</v>
      </c>
      <c r="AM74" s="117">
        <f>IF(Data_Geotech[[#This Row],[FIRS Code]]="R",IFERROR(SUM(Data_Geotech[[#This Row],[RMR76 - Strength rating]:[RMR76 - Ground water rating]]),""),"")</f>
        <v>77</v>
      </c>
      <c r="AN74" s="39">
        <f>IF(Data_Geotech[[#This Row],[FIRS Code]]="R",(2*Data_Geotech[[#This Row],[RMR76 - Joint condition rating]])+(IF(Data_Geotech[[#This Row],[RQD (%)]]&gt;80,80/2,Data_Geotech[[#This Row],[RQD (%)]]/2)),"")</f>
        <v>64</v>
      </c>
      <c r="AO74" s="43" t="str">
        <f>LEFT(Data_Geotech[[#This Row],[Joint Set Rating]],FIND("-",Data_Geotech[[#This Row],[Joint Set Rating]],1)-2)</f>
        <v>3</v>
      </c>
      <c r="AP7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0.375</v>
      </c>
      <c r="AQ74" s="5">
        <f t="shared" si="0"/>
        <v>1</v>
      </c>
      <c r="AR74" s="49">
        <f>IF(Data_Geotech[[#This Row],[FIRS Code]]="R",IFERROR((IF(Data_Geotech[[#This Row],[RQD (%)]]&lt;10,10,Data_Geotech[[#This Row],[RQD (%)]])/Data_Geotech[[#This Row],[Jn rating]])*Data_Geotech[[#This Row],[Jr/Ja]],""),"")</f>
        <v>12.5</v>
      </c>
      <c r="AS74" s="45">
        <f>IF(Data_Geotech[[#This Row],[FIRS Code]]="R",IFERROR((IF(Data_Geotech[[#This Row],[RQD (%)]]&lt;10,10,Data_Geotech[[#This Row],[RQD (%)]])/Data_Geotech[[#This Row],[Jn rating]])*Data_Geotech[[#This Row],[Jr/Ja]]*Data_Geotech[[#This Row],[Jw/SRF]],""),"")</f>
        <v>12.5</v>
      </c>
      <c r="AT74" s="12"/>
      <c r="AU74" s="13">
        <f>100-Data_Geotech[[#This Row],[RQD (%)]]</f>
        <v>0</v>
      </c>
      <c r="AV74" s="13">
        <f>100-Data_Geotech[[#This Row],[TCR (%)]]</f>
        <v>2.7000623958883807E-13</v>
      </c>
      <c r="AW74" s="62">
        <f>(Data_Geotech[[#This Row],[Fracture per interval]]+Data_Geotech[[#This Row],[Added fractures 
(BC, FLT, LC)]])/Data_Geotech[[#This Row],[TCR (m)]]</f>
        <v>2.0270270270270272</v>
      </c>
      <c r="AX74" s="6" t="s">
        <v>109</v>
      </c>
      <c r="AY74" s="63">
        <f>7-MID(Data_Geotech[[#This Row],[Field Intact Rock Strength]],2,1)</f>
        <v>1</v>
      </c>
      <c r="AZ74" s="63">
        <f>VLOOKUP(Data_Geotech[[#This Row],[Field Intact Rock Strength]],Table_FieldStrength[],2,FALSE)</f>
        <v>250</v>
      </c>
      <c r="BA74" s="63">
        <f>VLOOKUP(Data_Geotech[[#This Row],[Field Intact Rock Strength]],Table_FieldStrength[],3,FALSE)</f>
        <v>275</v>
      </c>
      <c r="BB74" s="63">
        <f>VLOOKUP(Data_Geotech[[#This Row],[Field Intact Rock Strength]],Table_FieldStrength[],4,FALSE)</f>
        <v>300</v>
      </c>
      <c r="BC74" s="63">
        <f>100-Data_Geotech[[#This Row],[RMR76]]</f>
        <v>23</v>
      </c>
      <c r="BD74" s="63" t="str">
        <f>LEFT(Data_Geotech[[#This Row],[Weathering/Alteration]],FIND("-",Data_Geotech[[#This Row],[Weathering/Alteration]])-2)</f>
        <v>W1/A1</v>
      </c>
    </row>
    <row r="75" spans="1:56" ht="15.75" thickBot="1" x14ac:dyDescent="0.3">
      <c r="A75" t="s">
        <v>30</v>
      </c>
      <c r="B75" s="16" t="str">
        <f>VLOOKUP(Data_Geotech[[#This Row],[Hole ID]],Data_Log[],2,FALSE)</f>
        <v>CGF-02</v>
      </c>
      <c r="C75" s="5">
        <v>70.34</v>
      </c>
      <c r="D75" s="5">
        <v>71.94</v>
      </c>
      <c r="E75" s="5">
        <f>(Data_Geotech[[#This Row],[To (m)]]-Data_Geotech[[#This Row],[From (m)]])/2+Data_Geotech[[#This Row],[From (m)]]</f>
        <v>71.14</v>
      </c>
      <c r="F75" s="13">
        <f>Data_Geotech[[#This Row],[To (m)]]-Data_Geotech[[#This Row],[From (m)]]</f>
        <v>1.5999999999999943</v>
      </c>
      <c r="G75" s="5">
        <v>1.6</v>
      </c>
      <c r="H75" s="61">
        <f>Data_Geotech[[#This Row],[TCR (m)]]/Data_Geotech[[#This Row],[Run (m)]]*100</f>
        <v>100.00000000000036</v>
      </c>
      <c r="I75" s="151">
        <v>1.55</v>
      </c>
      <c r="J75" s="151">
        <v>1.55</v>
      </c>
      <c r="K75" s="5">
        <v>1.55</v>
      </c>
      <c r="L75" s="61">
        <f>Data_Geotech[[#This Row],[RQD (m)]]/Data_Geotech[[#This Row],[Run Reel (m)]]*100</f>
        <v>100</v>
      </c>
      <c r="M75" t="s">
        <v>584</v>
      </c>
      <c r="O75" t="s">
        <v>243</v>
      </c>
      <c r="P75" s="115" t="s">
        <v>416</v>
      </c>
      <c r="Q75" s="5" t="s">
        <v>313</v>
      </c>
      <c r="R75" s="5"/>
      <c r="S75" s="5"/>
      <c r="T75" s="5"/>
      <c r="U75" s="5"/>
      <c r="V75" s="6">
        <v>4</v>
      </c>
      <c r="W75" s="92">
        <f>SUMIFS(Discontinuities!$D$4:$D$9664,Discontinuities!$A$4:$A$9664,A75,Discontinuities!$C$4:$C$9664,"&gt;="&amp;C75,Discontinuities!$C$4:$C$9664,"&lt;"&amp;D75)
-SUMIFS(Discontinuities!$D$4:$D$9664,Discontinuities!$A$4:$A$9664,A75,Discontinuities!$C$4:$C$9664,"&gt;="&amp;C75,Discontinuities!$C$4:$C$9664,"&lt;"&amp;D75,Discontinuities!$E$4:$E$9664,"=BC")
-SUMIFS(Discontinuities!$D$4:$D$9664,Discontinuities!$A$4:$A$9664,A75,Discontinuities!$C$4:$C$9664,"&gt;="&amp;C75,Discontinuities!$C$4:$C$9664,"&lt;"&amp;D75,Discontinuities!$E$4:$E$9664,"=LC")
-SUMIFS(Discontinuities!$D$4:$D$9664,Discontinuities!$A$4:$A$9664,A75,Discontinuities!$C$4:$C$9664,"&gt;="&amp;C75,Discontinuities!$C$4:$C$9664,"&lt;"&amp;D75,Discontinuities!$E$4:$E$9664,"=FLT")</f>
        <v>4</v>
      </c>
      <c r="X75" t="s">
        <v>345</v>
      </c>
      <c r="AA75" s="12"/>
      <c r="AB75" s="43">
        <f>IFERROR(ROUND((Data_Geotech[[#This Row],[Fault (m)]]+Data_Geotech[[#This Row],[Broken Core (m)]]+Data_Geotech[[#This Row],[Lost Core (m)]])*30,0),0)</f>
        <v>0</v>
      </c>
      <c r="AC75" s="44">
        <f>IF(Data_Geotech[[#This Row],[Added fractures 
(BC, FLT, LC)]]+Data_Geotech[[#This Row],[Fracture per interval]]=0,99,1/((Data_Geotech[[#This Row],[Fracture per interval]]+Data_Geotech[[#This Row],[Added fractures 
(BC, FLT, LC)]])/Data_Geotech[[#This Row],[Run (m)]]))</f>
        <v>0.39999999999999858</v>
      </c>
      <c r="AD75" s="155" cm="1">
        <f t="array" ref="AD75">IFERROR(_xlfn.XLOOKUP(1,(A75=PLT!$A$4:$A$8886)*(Geotech!C75&lt;=PLT!$F$4:$F$8886)*(Geotech!D75&gt;=PLT!$F$4:$F$8886)*("Valid"=PLT!$P$4:$P$8886),PLT!$V$4:$V$8886),"")</f>
        <v>0</v>
      </c>
      <c r="AE75" s="156" t="str" cm="1">
        <f t="array" ref="AE75">IFERROR(_xlfn.XLOOKUP(1,(A75=PLT!$A$4:$A$8886)*(Geotech!C75&lt;=PLT!$F$4:$F$8886)*(Geotech!D75&gt;=PLT!$F$4:$F$8886)*(PLT!$V$4:$V$8886&lt;&gt;AD75)*("Valid"=PLT!$P$4:$P$7190),PLT!$V$4:$V$8886),"")</f>
        <v/>
      </c>
      <c r="AF75" s="156" t="str" cm="1">
        <f t="array" ref="AF75">IFERROR(_xlfn.XLOOKUP(1,(A75=PLT!$A$4:$A$8886)*(Geotech!C75&lt;=PLT!$F$4:$F$8886)*(Geotech!D75&gt;=PLT!$F$4:$F$8886)*(PLT!$V$4:$V$8886&lt;&gt;AD75)*(PLT!$V$4:$V$8886&lt;&gt;AE75)*("Valid"=PLT!$P$4:$P$7190),PLT!$V$4:$V$8886),"")</f>
        <v/>
      </c>
      <c r="AG75" s="44">
        <f>IFERROR(IF(AVERAGE(AD75:AF75)&gt;References!$BO$23,References!$BP$23,
IF(AVERAGE(AD75:AF75)&gt;References!$BO$22,References!$BP$22,
IF(AVERAGE(AD75:AF75)&gt;References!$BO$21,References!$BP$21,
IF(AVERAGE(AD75:AF75)&gt;References!$BO$20,References!$BP$20,
IF(AVERAGE(AD75:AF75)&gt;References!$BO$19,References!$BP$19,
IF(AVERAGE(AD75:AF75)&gt;References!$BO$18,References!$BP$18,
0)))))),"")</f>
        <v>0</v>
      </c>
      <c r="AH75" s="43">
        <f>IF(Data_Geotech[[#This Row],[Is50]]="",VLOOKUP(Data_Geotech[[#This Row],[Field Intact Rock Strength]],Table_RMR76_Strength[],2,FALSE),Data_Geotech[[#This Row],[Is50]])</f>
        <v>0</v>
      </c>
      <c r="AI75" s="43">
        <f>IF(Data_Geotech[[#This Row],[RQD (%)]]&lt;=25,3,IF(Data_Geotech[[#This Row],[RQD (%)]]&lt;=50,8,IF(Data_Geotech[[#This Row],[RQD (%)]]&lt;=75,13,IF(Data_Geotech[[#This Row],[RQD (%)]]&lt;=90,17,20))))</f>
        <v>20</v>
      </c>
      <c r="AJ75" s="43">
        <f>IF(Data_Geotech[[#This Row],[Joint spacing (m)]]&lt;=0.05,5,IF(Data_Geotech[[#This Row],[Joint spacing (m)]]&lt;=0.3,10,IF(Data_Geotech[[#This Row],[Joint spacing (m)]]&lt;=1,20,IF(Data_Geotech[[#This Row],[Joint spacing (m)]]&lt;=3,25,30))))</f>
        <v>20</v>
      </c>
      <c r="AK7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75" s="6">
        <v>10</v>
      </c>
      <c r="AM75" s="117">
        <f>IF(Data_Geotech[[#This Row],[FIRS Code]]="R",IFERROR(SUM(Data_Geotech[[#This Row],[RMR76 - Strength rating]:[RMR76 - Ground water rating]]),""),"")</f>
        <v>72.5</v>
      </c>
      <c r="AN75" s="39">
        <f>IF(Data_Geotech[[#This Row],[FIRS Code]]="R",(2*Data_Geotech[[#This Row],[RMR76 - Joint condition rating]])+(IF(Data_Geotech[[#This Row],[RQD (%)]]&gt;80,80/2,Data_Geotech[[#This Row],[RQD (%)]]/2)),"")</f>
        <v>85</v>
      </c>
      <c r="AO75" s="43" t="str">
        <f>LEFT(Data_Geotech[[#This Row],[Joint Set Rating]],FIND("-",Data_Geotech[[#This Row],[Joint Set Rating]],1)-2)</f>
        <v>3</v>
      </c>
      <c r="AP7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75" s="5">
        <f t="shared" si="0"/>
        <v>1</v>
      </c>
      <c r="AR75" s="49">
        <f>IF(Data_Geotech[[#This Row],[FIRS Code]]="R",IFERROR((IF(Data_Geotech[[#This Row],[RQD (%)]]&lt;10,10,Data_Geotech[[#This Row],[RQD (%)]])/Data_Geotech[[#This Row],[Jn rating]])*Data_Geotech[[#This Row],[Jr/Ja]],""),"")</f>
        <v>41.666666666666671</v>
      </c>
      <c r="AS75" s="45">
        <f>IF(Data_Geotech[[#This Row],[FIRS Code]]="R",IFERROR((IF(Data_Geotech[[#This Row],[RQD (%)]]&lt;10,10,Data_Geotech[[#This Row],[RQD (%)]])/Data_Geotech[[#This Row],[Jn rating]])*Data_Geotech[[#This Row],[Jr/Ja]]*Data_Geotech[[#This Row],[Jw/SRF]],""),"")</f>
        <v>41.666666666666671</v>
      </c>
      <c r="AT75" s="12"/>
      <c r="AU75" s="13">
        <f>100-Data_Geotech[[#This Row],[RQD (%)]]</f>
        <v>0</v>
      </c>
      <c r="AV75" s="13">
        <f>100-Data_Geotech[[#This Row],[TCR (%)]]</f>
        <v>-3.5527136788005009E-13</v>
      </c>
      <c r="AW75" s="62">
        <f>(Data_Geotech[[#This Row],[Fracture per interval]]+Data_Geotech[[#This Row],[Added fractures 
(BC, FLT, LC)]])/Data_Geotech[[#This Row],[TCR (m)]]</f>
        <v>2.5</v>
      </c>
      <c r="AX75" s="6" t="s">
        <v>109</v>
      </c>
      <c r="AY75" s="63">
        <f>7-MID(Data_Geotech[[#This Row],[Field Intact Rock Strength]],2,1)</f>
        <v>1</v>
      </c>
      <c r="AZ75" s="63">
        <f>VLOOKUP(Data_Geotech[[#This Row],[Field Intact Rock Strength]],Table_FieldStrength[],2,FALSE)</f>
        <v>250</v>
      </c>
      <c r="BA75" s="63">
        <f>VLOOKUP(Data_Geotech[[#This Row],[Field Intact Rock Strength]],Table_FieldStrength[],3,FALSE)</f>
        <v>275</v>
      </c>
      <c r="BB75" s="63">
        <f>VLOOKUP(Data_Geotech[[#This Row],[Field Intact Rock Strength]],Table_FieldStrength[],4,FALSE)</f>
        <v>300</v>
      </c>
      <c r="BC75" s="63">
        <f>100-Data_Geotech[[#This Row],[RMR76]]</f>
        <v>27.5</v>
      </c>
      <c r="BD75" s="63" t="str">
        <f>LEFT(Data_Geotech[[#This Row],[Weathering/Alteration]],FIND("-",Data_Geotech[[#This Row],[Weathering/Alteration]])-2)</f>
        <v>W1/A1</v>
      </c>
    </row>
    <row r="76" spans="1:56" ht="15.75" thickBot="1" x14ac:dyDescent="0.3">
      <c r="A76" t="s">
        <v>30</v>
      </c>
      <c r="B76" s="16" t="str">
        <f>VLOOKUP(Data_Geotech[[#This Row],[Hole ID]],Data_Log[],2,FALSE)</f>
        <v>CGF-02</v>
      </c>
      <c r="C76" s="5">
        <v>71.94</v>
      </c>
      <c r="D76" s="5">
        <v>75.069999999999993</v>
      </c>
      <c r="E76" s="5">
        <f>(Data_Geotech[[#This Row],[To (m)]]-Data_Geotech[[#This Row],[From (m)]])/2+Data_Geotech[[#This Row],[From (m)]]</f>
        <v>73.504999999999995</v>
      </c>
      <c r="F76" s="13">
        <f>Data_Geotech[[#This Row],[To (m)]]-Data_Geotech[[#This Row],[From (m)]]</f>
        <v>3.1299999999999955</v>
      </c>
      <c r="G76" s="5">
        <v>3.13</v>
      </c>
      <c r="H76" s="61">
        <f>Data_Geotech[[#This Row],[TCR (m)]]/Data_Geotech[[#This Row],[Run (m)]]*100</f>
        <v>100.00000000000013</v>
      </c>
      <c r="I76" s="151">
        <v>3.16</v>
      </c>
      <c r="J76" s="151">
        <v>3.16</v>
      </c>
      <c r="K76" s="5">
        <v>3.16</v>
      </c>
      <c r="L76" s="61">
        <f>Data_Geotech[[#This Row],[RQD (m)]]/Data_Geotech[[#This Row],[Run Reel (m)]]*100</f>
        <v>100</v>
      </c>
      <c r="M76" t="s">
        <v>584</v>
      </c>
      <c r="O76" t="s">
        <v>243</v>
      </c>
      <c r="P76" s="115" t="s">
        <v>397</v>
      </c>
      <c r="Q76" s="5" t="s">
        <v>281</v>
      </c>
      <c r="R76" s="5"/>
      <c r="S76" s="5"/>
      <c r="T76" s="5"/>
      <c r="U76" s="5"/>
      <c r="V76" s="6">
        <v>5</v>
      </c>
      <c r="W76" s="92">
        <f>SUMIFS(Discontinuities!$D$4:$D$9664,Discontinuities!$A$4:$A$9664,A76,Discontinuities!$C$4:$C$9664,"&gt;="&amp;C76,Discontinuities!$C$4:$C$9664,"&lt;"&amp;D76)
-SUMIFS(Discontinuities!$D$4:$D$9664,Discontinuities!$A$4:$A$9664,A76,Discontinuities!$C$4:$C$9664,"&gt;="&amp;C76,Discontinuities!$C$4:$C$9664,"&lt;"&amp;D76,Discontinuities!$E$4:$E$9664,"=BC")
-SUMIFS(Discontinuities!$D$4:$D$9664,Discontinuities!$A$4:$A$9664,A76,Discontinuities!$C$4:$C$9664,"&gt;="&amp;C76,Discontinuities!$C$4:$C$9664,"&lt;"&amp;D76,Discontinuities!$E$4:$E$9664,"=LC")
-SUMIFS(Discontinuities!$D$4:$D$9664,Discontinuities!$A$4:$A$9664,A76,Discontinuities!$C$4:$C$9664,"&gt;="&amp;C76,Discontinuities!$C$4:$C$9664,"&lt;"&amp;D76,Discontinuities!$E$4:$E$9664,"=FLT")</f>
        <v>5</v>
      </c>
      <c r="X76" t="s">
        <v>432</v>
      </c>
      <c r="AA76" s="12"/>
      <c r="AB76" s="43">
        <f>IFERROR(ROUND((Data_Geotech[[#This Row],[Fault (m)]]+Data_Geotech[[#This Row],[Broken Core (m)]]+Data_Geotech[[#This Row],[Lost Core (m)]])*30,0),0)</f>
        <v>0</v>
      </c>
      <c r="AC76" s="44">
        <f>IF(Data_Geotech[[#This Row],[Added fractures 
(BC, FLT, LC)]]+Data_Geotech[[#This Row],[Fracture per interval]]=0,99,1/((Data_Geotech[[#This Row],[Fracture per interval]]+Data_Geotech[[#This Row],[Added fractures 
(BC, FLT, LC)]])/Data_Geotech[[#This Row],[Run (m)]]))</f>
        <v>0.62599999999999911</v>
      </c>
      <c r="AD76" s="155" cm="1">
        <f t="array" ref="AD76">IFERROR(_xlfn.XLOOKUP(1,(A76=PLT!$A$4:$A$8886)*(Geotech!C76&lt;=PLT!$F$4:$F$8886)*(Geotech!D76&gt;=PLT!$F$4:$F$8886)*("Valid"=PLT!$P$4:$P$8886),PLT!$V$4:$V$8886),"")</f>
        <v>0</v>
      </c>
      <c r="AE76" s="156" t="str" cm="1">
        <f t="array" ref="AE76">IFERROR(_xlfn.XLOOKUP(1,(A76=PLT!$A$4:$A$8886)*(Geotech!C76&lt;=PLT!$F$4:$F$8886)*(Geotech!D76&gt;=PLT!$F$4:$F$8886)*(PLT!$V$4:$V$8886&lt;&gt;AD76)*("Valid"=PLT!$P$4:$P$7190),PLT!$V$4:$V$8886),"")</f>
        <v/>
      </c>
      <c r="AF76" s="156" t="str" cm="1">
        <f t="array" ref="AF76">IFERROR(_xlfn.XLOOKUP(1,(A76=PLT!$A$4:$A$8886)*(Geotech!C76&lt;=PLT!$F$4:$F$8886)*(Geotech!D76&gt;=PLT!$F$4:$F$8886)*(PLT!$V$4:$V$8886&lt;&gt;AD76)*(PLT!$V$4:$V$8886&lt;&gt;AE76)*("Valid"=PLT!$P$4:$P$7190),PLT!$V$4:$V$8886),"")</f>
        <v/>
      </c>
      <c r="AG76" s="44">
        <f>IFERROR(IF(AVERAGE(AD76:AF76)&gt;References!$BO$23,References!$BP$23,
IF(AVERAGE(AD76:AF76)&gt;References!$BO$22,References!$BP$22,
IF(AVERAGE(AD76:AF76)&gt;References!$BO$21,References!$BP$21,
IF(AVERAGE(AD76:AF76)&gt;References!$BO$20,References!$BP$20,
IF(AVERAGE(AD76:AF76)&gt;References!$BO$19,References!$BP$19,
IF(AVERAGE(AD76:AF76)&gt;References!$BO$18,References!$BP$18,
0)))))),"")</f>
        <v>0</v>
      </c>
      <c r="AH76" s="43">
        <f>IF(Data_Geotech[[#This Row],[Is50]]="",VLOOKUP(Data_Geotech[[#This Row],[Field Intact Rock Strength]],Table_RMR76_Strength[],2,FALSE),Data_Geotech[[#This Row],[Is50]])</f>
        <v>0</v>
      </c>
      <c r="AI76" s="43">
        <f>IF(Data_Geotech[[#This Row],[RQD (%)]]&lt;=25,3,IF(Data_Geotech[[#This Row],[RQD (%)]]&lt;=50,8,IF(Data_Geotech[[#This Row],[RQD (%)]]&lt;=75,13,IF(Data_Geotech[[#This Row],[RQD (%)]]&lt;=90,17,20))))</f>
        <v>20</v>
      </c>
      <c r="AJ76" s="43">
        <f>IF(Data_Geotech[[#This Row],[Joint spacing (m)]]&lt;=0.05,5,IF(Data_Geotech[[#This Row],[Joint spacing (m)]]&lt;=0.3,10,IF(Data_Geotech[[#This Row],[Joint spacing (m)]]&lt;=1,20,IF(Data_Geotech[[#This Row],[Joint spacing (m)]]&lt;=3,25,30))))</f>
        <v>20</v>
      </c>
      <c r="AK7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v>
      </c>
      <c r="AL76" s="6">
        <v>10</v>
      </c>
      <c r="AM76" s="117">
        <f>IF(Data_Geotech[[#This Row],[FIRS Code]]="R",IFERROR(SUM(Data_Geotech[[#This Row],[RMR76 - Strength rating]:[RMR76 - Ground water rating]]),""),"")</f>
        <v>72</v>
      </c>
      <c r="AN76" s="39">
        <f>IF(Data_Geotech[[#This Row],[FIRS Code]]="R",(2*Data_Geotech[[#This Row],[RMR76 - Joint condition rating]])+(IF(Data_Geotech[[#This Row],[RQD (%)]]&gt;80,80/2,Data_Geotech[[#This Row],[RQD (%)]]/2)),"")</f>
        <v>84</v>
      </c>
      <c r="AO76" s="43" t="str">
        <f>LEFT(Data_Geotech[[#This Row],[Joint Set Rating]],FIND("-",Data_Geotech[[#This Row],[Joint Set Rating]],1)-2)</f>
        <v>12</v>
      </c>
      <c r="AP7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1.8</v>
      </c>
      <c r="AQ76" s="5">
        <f t="shared" si="0"/>
        <v>1</v>
      </c>
      <c r="AR76" s="49">
        <f>IF(Data_Geotech[[#This Row],[FIRS Code]]="R",IFERROR((IF(Data_Geotech[[#This Row],[RQD (%)]]&lt;10,10,Data_Geotech[[#This Row],[RQD (%)]])/Data_Geotech[[#This Row],[Jn rating]])*Data_Geotech[[#This Row],[Jr/Ja]],""),"")</f>
        <v>15.000000000000002</v>
      </c>
      <c r="AS76" s="45">
        <f>IF(Data_Geotech[[#This Row],[FIRS Code]]="R",IFERROR((IF(Data_Geotech[[#This Row],[RQD (%)]]&lt;10,10,Data_Geotech[[#This Row],[RQD (%)]])/Data_Geotech[[#This Row],[Jn rating]])*Data_Geotech[[#This Row],[Jr/Ja]]*Data_Geotech[[#This Row],[Jw/SRF]],""),"")</f>
        <v>15.000000000000002</v>
      </c>
      <c r="AT76" s="12"/>
      <c r="AU76" s="13">
        <f>100-Data_Geotech[[#This Row],[RQD (%)]]</f>
        <v>0</v>
      </c>
      <c r="AV76" s="13">
        <f>100-Data_Geotech[[#This Row],[TCR (%)]]</f>
        <v>-1.2789769243681803E-13</v>
      </c>
      <c r="AW76" s="62">
        <f>(Data_Geotech[[#This Row],[Fracture per interval]]+Data_Geotech[[#This Row],[Added fractures 
(BC, FLT, LC)]])/Data_Geotech[[#This Row],[TCR (m)]]</f>
        <v>1.5974440894568691</v>
      </c>
      <c r="AX76" s="6" t="s">
        <v>109</v>
      </c>
      <c r="AY76" s="63">
        <f>7-MID(Data_Geotech[[#This Row],[Field Intact Rock Strength]],2,1)</f>
        <v>2</v>
      </c>
      <c r="AZ76" s="63">
        <f>VLOOKUP(Data_Geotech[[#This Row],[Field Intact Rock Strength]],Table_FieldStrength[],2,FALSE)</f>
        <v>100</v>
      </c>
      <c r="BA76" s="63">
        <f>VLOOKUP(Data_Geotech[[#This Row],[Field Intact Rock Strength]],Table_FieldStrength[],3,FALSE)</f>
        <v>175</v>
      </c>
      <c r="BB76" s="63">
        <f>VLOOKUP(Data_Geotech[[#This Row],[Field Intact Rock Strength]],Table_FieldStrength[],4,FALSE)</f>
        <v>250</v>
      </c>
      <c r="BC76" s="63">
        <f>100-Data_Geotech[[#This Row],[RMR76]]</f>
        <v>28</v>
      </c>
      <c r="BD76" s="63" t="str">
        <f>LEFT(Data_Geotech[[#This Row],[Weathering/Alteration]],FIND("-",Data_Geotech[[#This Row],[Weathering/Alteration]])-2)</f>
        <v>W1/A1</v>
      </c>
    </row>
    <row r="77" spans="1:56" ht="15.75" thickBot="1" x14ac:dyDescent="0.3">
      <c r="A77" t="s">
        <v>30</v>
      </c>
      <c r="B77" s="16" t="str">
        <f>VLOOKUP(Data_Geotech[[#This Row],[Hole ID]],Data_Log[],2,FALSE)</f>
        <v>CGF-02</v>
      </c>
      <c r="C77" s="5">
        <v>75.069999999999993</v>
      </c>
      <c r="D77" s="5">
        <v>76.33</v>
      </c>
      <c r="E77" s="5">
        <f>(Data_Geotech[[#This Row],[To (m)]]-Data_Geotech[[#This Row],[From (m)]])/2+Data_Geotech[[#This Row],[From (m)]]</f>
        <v>75.699999999999989</v>
      </c>
      <c r="F77" s="13">
        <f>Data_Geotech[[#This Row],[To (m)]]-Data_Geotech[[#This Row],[From (m)]]</f>
        <v>1.2600000000000051</v>
      </c>
      <c r="G77" s="5">
        <v>1.26</v>
      </c>
      <c r="H77" s="61">
        <f>Data_Geotech[[#This Row],[TCR (m)]]/Data_Geotech[[#This Row],[Run (m)]]*100</f>
        <v>99.999999999999588</v>
      </c>
      <c r="I77" s="151">
        <v>1.24</v>
      </c>
      <c r="J77" s="151">
        <v>1.24</v>
      </c>
      <c r="K77" s="5">
        <v>1.24</v>
      </c>
      <c r="L77" s="61">
        <f>Data_Geotech[[#This Row],[RQD (m)]]/Data_Geotech[[#This Row],[Run Reel (m)]]*100</f>
        <v>100</v>
      </c>
      <c r="M77" t="s">
        <v>584</v>
      </c>
      <c r="O77" t="s">
        <v>243</v>
      </c>
      <c r="P77" s="115" t="s">
        <v>416</v>
      </c>
      <c r="Q77" s="5" t="s">
        <v>281</v>
      </c>
      <c r="R77" s="5"/>
      <c r="S77" s="5"/>
      <c r="T77" s="5"/>
      <c r="U77" s="5"/>
      <c r="V77" s="6">
        <v>2</v>
      </c>
      <c r="W77" s="92">
        <f>SUMIFS(Discontinuities!$D$4:$D$9664,Discontinuities!$A$4:$A$9664,A77,Discontinuities!$C$4:$C$9664,"&gt;="&amp;C77,Discontinuities!$C$4:$C$9664,"&lt;"&amp;D77)
-SUMIFS(Discontinuities!$D$4:$D$9664,Discontinuities!$A$4:$A$9664,A77,Discontinuities!$C$4:$C$9664,"&gt;="&amp;C77,Discontinuities!$C$4:$C$9664,"&lt;"&amp;D77,Discontinuities!$E$4:$E$9664,"=BC")
-SUMIFS(Discontinuities!$D$4:$D$9664,Discontinuities!$A$4:$A$9664,A77,Discontinuities!$C$4:$C$9664,"&gt;="&amp;C77,Discontinuities!$C$4:$C$9664,"&lt;"&amp;D77,Discontinuities!$E$4:$E$9664,"=LC")
-SUMIFS(Discontinuities!$D$4:$D$9664,Discontinuities!$A$4:$A$9664,A77,Discontinuities!$C$4:$C$9664,"&gt;="&amp;C77,Discontinuities!$C$4:$C$9664,"&lt;"&amp;D77,Discontinuities!$E$4:$E$9664,"=FLT")</f>
        <v>2</v>
      </c>
      <c r="X77" t="s">
        <v>345</v>
      </c>
      <c r="AA77" s="132"/>
      <c r="AB77" s="133">
        <f>IFERROR(ROUND((Data_Geotech[[#This Row],[Fault (m)]]+Data_Geotech[[#This Row],[Broken Core (m)]]+Data_Geotech[[#This Row],[Lost Core (m)]])*30,0),0)</f>
        <v>0</v>
      </c>
      <c r="AC77" s="134">
        <f>IF(Data_Geotech[[#This Row],[Added fractures 
(BC, FLT, LC)]]+Data_Geotech[[#This Row],[Fracture per interval]]=0,99,1/((Data_Geotech[[#This Row],[Fracture per interval]]+Data_Geotech[[#This Row],[Added fractures 
(BC, FLT, LC)]])/Data_Geotech[[#This Row],[Run (m)]]))</f>
        <v>0.63000000000000256</v>
      </c>
      <c r="AD77" s="155" cm="1">
        <f t="array" ref="AD77">IFERROR(_xlfn.XLOOKUP(1,(A77=PLT!$A$4:$A$8886)*(Geotech!C77&lt;=PLT!$F$4:$F$8886)*(Geotech!D77&gt;=PLT!$F$4:$F$8886)*("Valid"=PLT!$P$4:$P$8886),PLT!$V$4:$V$8886),"")</f>
        <v>0</v>
      </c>
      <c r="AE77" s="156" t="str" cm="1">
        <f t="array" ref="AE77">IFERROR(_xlfn.XLOOKUP(1,(A77=PLT!$A$4:$A$8886)*(Geotech!C77&lt;=PLT!$F$4:$F$8886)*(Geotech!D77&gt;=PLT!$F$4:$F$8886)*(PLT!$V$4:$V$8886&lt;&gt;AD77)*("Valid"=PLT!$P$4:$P$7190),PLT!$V$4:$V$8886),"")</f>
        <v/>
      </c>
      <c r="AF77" s="156" t="str" cm="1">
        <f t="array" ref="AF77">IFERROR(_xlfn.XLOOKUP(1,(A77=PLT!$A$4:$A$8886)*(Geotech!C77&lt;=PLT!$F$4:$F$8886)*(Geotech!D77&gt;=PLT!$F$4:$F$8886)*(PLT!$V$4:$V$8886&lt;&gt;AD77)*(PLT!$V$4:$V$8886&lt;&gt;AE77)*("Valid"=PLT!$P$4:$P$7190),PLT!$V$4:$V$8886),"")</f>
        <v/>
      </c>
      <c r="AG77" s="135">
        <f>IFERROR(IF(AVERAGE(AD77:AF77)&gt;References!$BO$23,References!$BP$23,
IF(AVERAGE(AD77:AF77)&gt;References!$BO$22,References!$BP$22,
IF(AVERAGE(AD77:AF77)&gt;References!$BO$21,References!$BP$21,
IF(AVERAGE(AD77:AF77)&gt;References!$BO$20,References!$BP$20,
IF(AVERAGE(AD77:AF77)&gt;References!$BO$19,References!$BP$19,
IF(AVERAGE(AD77:AF77)&gt;References!$BO$18,References!$BP$18,
0)))))),"")</f>
        <v>0</v>
      </c>
      <c r="AH77" s="43">
        <f>IF(Data_Geotech[[#This Row],[Is50]]="",VLOOKUP(Data_Geotech[[#This Row],[Field Intact Rock Strength]],Table_RMR76_Strength[],2,FALSE),Data_Geotech[[#This Row],[Is50]])</f>
        <v>0</v>
      </c>
      <c r="AI77" s="136">
        <f>IF(Data_Geotech[[#This Row],[RQD (%)]]&lt;=25,3,IF(Data_Geotech[[#This Row],[RQD (%)]]&lt;=50,8,IF(Data_Geotech[[#This Row],[RQD (%)]]&lt;=75,13,IF(Data_Geotech[[#This Row],[RQD (%)]]&lt;=90,17,20))))</f>
        <v>20</v>
      </c>
      <c r="AJ77" s="136">
        <f>IF(Data_Geotech[[#This Row],[Joint spacing (m)]]&lt;=0.05,5,IF(Data_Geotech[[#This Row],[Joint spacing (m)]]&lt;=0.3,10,IF(Data_Geotech[[#This Row],[Joint spacing (m)]]&lt;=1,20,IF(Data_Geotech[[#This Row],[Joint spacing (m)]]&lt;=3,25,30))))</f>
        <v>20</v>
      </c>
      <c r="AK7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77" s="6">
        <v>10</v>
      </c>
      <c r="AM77" s="137">
        <f>IF(Data_Geotech[[#This Row],[FIRS Code]]="R",IFERROR(SUM(Data_Geotech[[#This Row],[RMR76 - Strength rating]:[RMR76 - Ground water rating]]),""),"")</f>
        <v>68.5</v>
      </c>
      <c r="AN77" s="137">
        <f>IF(Data_Geotech[[#This Row],[FIRS Code]]="R",(2*Data_Geotech[[#This Row],[RMR76 - Joint condition rating]])+(IF(Data_Geotech[[#This Row],[RQD (%)]]&gt;80,80/2,Data_Geotech[[#This Row],[RQD (%)]]/2)),"")</f>
        <v>77</v>
      </c>
      <c r="AO77" s="136" t="str">
        <f>LEFT(Data_Geotech[[#This Row],[Joint Set Rating]],FIND("-",Data_Geotech[[#This Row],[Joint Set Rating]],1)-2)</f>
        <v>3</v>
      </c>
      <c r="AP7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77" s="143">
        <f>1/1</f>
        <v>1</v>
      </c>
      <c r="AR77" s="138">
        <f>IF(Data_Geotech[[#This Row],[FIRS Code]]="R",IFERROR((IF(Data_Geotech[[#This Row],[RQD (%)]]&lt;10,10,Data_Geotech[[#This Row],[RQD (%)]])/Data_Geotech[[#This Row],[Jn rating]])*Data_Geotech[[#This Row],[Jr/Ja]],""),"")</f>
        <v>33.333333333333336</v>
      </c>
      <c r="AS77" s="139">
        <f>IF(Data_Geotech[[#This Row],[FIRS Code]]="R",IFERROR((IF(Data_Geotech[[#This Row],[RQD (%)]]&lt;10,10,Data_Geotech[[#This Row],[RQD (%)]])/Data_Geotech[[#This Row],[Jn rating]])*Data_Geotech[[#This Row],[Jr/Ja]]*Data_Geotech[[#This Row],[Jw/SRF]],""),"")</f>
        <v>33.333333333333336</v>
      </c>
      <c r="AT77" s="12"/>
      <c r="AU77" s="13">
        <f>100-Data_Geotech[[#This Row],[RQD (%)]]</f>
        <v>0</v>
      </c>
      <c r="AV77" s="13">
        <f>100-Data_Geotech[[#This Row],[TCR (%)]]</f>
        <v>4.1211478674085811E-13</v>
      </c>
      <c r="AW77" s="62">
        <f>(Data_Geotech[[#This Row],[Fracture per interval]]+Data_Geotech[[#This Row],[Added fractures 
(BC, FLT, LC)]])/Data_Geotech[[#This Row],[TCR (m)]]</f>
        <v>1.5873015873015872</v>
      </c>
      <c r="AX77" s="6" t="s">
        <v>109</v>
      </c>
      <c r="AY77" s="63">
        <f>7-MID(Data_Geotech[[#This Row],[Field Intact Rock Strength]],2,1)</f>
        <v>1</v>
      </c>
      <c r="AZ77" s="63">
        <f>VLOOKUP(Data_Geotech[[#This Row],[Field Intact Rock Strength]],Table_FieldStrength[],2,FALSE)</f>
        <v>250</v>
      </c>
      <c r="BA77" s="63">
        <f>VLOOKUP(Data_Geotech[[#This Row],[Field Intact Rock Strength]],Table_FieldStrength[],3,FALSE)</f>
        <v>275</v>
      </c>
      <c r="BB77" s="63">
        <f>VLOOKUP(Data_Geotech[[#This Row],[Field Intact Rock Strength]],Table_FieldStrength[],4,FALSE)</f>
        <v>300</v>
      </c>
      <c r="BC77" s="63">
        <f>100-Data_Geotech[[#This Row],[RMR76]]</f>
        <v>31.5</v>
      </c>
      <c r="BD77" s="63" t="str">
        <f>LEFT(Data_Geotech[[#This Row],[Weathering/Alteration]],FIND("-",Data_Geotech[[#This Row],[Weathering/Alteration]])-2)</f>
        <v>W1/A1</v>
      </c>
    </row>
    <row r="78" spans="1:56" ht="15.75" thickBot="1" x14ac:dyDescent="0.3">
      <c r="A78" t="s">
        <v>30</v>
      </c>
      <c r="B78" s="16" t="str">
        <f>VLOOKUP(Data_Geotech[[#This Row],[Hole ID]],Data_Log[],2,FALSE)</f>
        <v>CGF-02</v>
      </c>
      <c r="C78" s="5">
        <v>76.33</v>
      </c>
      <c r="D78" s="5">
        <v>78.05</v>
      </c>
      <c r="E78" s="5">
        <f>(Data_Geotech[[#This Row],[To (m)]]-Data_Geotech[[#This Row],[From (m)]])/2+Data_Geotech[[#This Row],[From (m)]]</f>
        <v>77.19</v>
      </c>
      <c r="F78" s="13">
        <f>Data_Geotech[[#This Row],[To (m)]]-Data_Geotech[[#This Row],[From (m)]]</f>
        <v>1.7199999999999989</v>
      </c>
      <c r="G78" s="5">
        <v>1.72</v>
      </c>
      <c r="H78" s="61">
        <f>Data_Geotech[[#This Row],[TCR (m)]]/Data_Geotech[[#This Row],[Run (m)]]*100</f>
        <v>100.00000000000007</v>
      </c>
      <c r="I78" s="151">
        <v>1.72</v>
      </c>
      <c r="J78" s="151">
        <v>1.72</v>
      </c>
      <c r="K78" s="5">
        <v>1.72</v>
      </c>
      <c r="L78" s="61">
        <f>Data_Geotech[[#This Row],[RQD (m)]]/Data_Geotech[[#This Row],[Run Reel (m)]]*100</f>
        <v>100</v>
      </c>
      <c r="M78" t="s">
        <v>580</v>
      </c>
      <c r="O78" t="s">
        <v>243</v>
      </c>
      <c r="P78" s="115" t="s">
        <v>397</v>
      </c>
      <c r="Q78" s="5" t="s">
        <v>313</v>
      </c>
      <c r="R78" s="5"/>
      <c r="S78" s="5"/>
      <c r="T78" s="5"/>
      <c r="U78" s="5"/>
      <c r="V78" s="6">
        <v>0</v>
      </c>
      <c r="W78" s="92">
        <f>SUMIFS(Discontinuities!$D$4:$D$9664,Discontinuities!$A$4:$A$9664,A78,Discontinuities!$C$4:$C$9664,"&gt;="&amp;C78,Discontinuities!$C$4:$C$9664,"&lt;"&amp;D78)
-SUMIFS(Discontinuities!$D$4:$D$9664,Discontinuities!$A$4:$A$9664,A78,Discontinuities!$C$4:$C$9664,"&gt;="&amp;C78,Discontinuities!$C$4:$C$9664,"&lt;"&amp;D78,Discontinuities!$E$4:$E$9664,"=BC")
-SUMIFS(Discontinuities!$D$4:$D$9664,Discontinuities!$A$4:$A$9664,A78,Discontinuities!$C$4:$C$9664,"&gt;="&amp;C78,Discontinuities!$C$4:$C$9664,"&lt;"&amp;D78,Discontinuities!$E$4:$E$9664,"=LC")
-SUMIFS(Discontinuities!$D$4:$D$9664,Discontinuities!$A$4:$A$9664,A78,Discontinuities!$C$4:$C$9664,"&gt;="&amp;C78,Discontinuities!$C$4:$C$9664,"&lt;"&amp;D78,Discontinuities!$E$4:$E$9664,"=FLT")</f>
        <v>0</v>
      </c>
      <c r="X78" t="s">
        <v>345</v>
      </c>
      <c r="AA78" s="12"/>
      <c r="AB78" s="43">
        <f>IFERROR(ROUND((Data_Geotech[[#This Row],[Fault (m)]]+Data_Geotech[[#This Row],[Broken Core (m)]]+Data_Geotech[[#This Row],[Lost Core (m)]])*30,0),0)</f>
        <v>0</v>
      </c>
      <c r="AC78" s="44">
        <f>IF(Data_Geotech[[#This Row],[Added fractures 
(BC, FLT, LC)]]+Data_Geotech[[#This Row],[Fracture per interval]]=0,99,1/((Data_Geotech[[#This Row],[Fracture per interval]]+Data_Geotech[[#This Row],[Added fractures 
(BC, FLT, LC)]])/Data_Geotech[[#This Row],[Run (m)]]))</f>
        <v>99</v>
      </c>
      <c r="AD78" s="155" t="str" cm="1">
        <f t="array" ref="AD78">IFERROR(_xlfn.XLOOKUP(1,(A78=PLT!$A$4:$A$8886)*(Geotech!C78&lt;=PLT!$F$4:$F$8886)*(Geotech!D78&gt;=PLT!$F$4:$F$8886)*("Valid"=PLT!$P$4:$P$8886),PLT!$V$4:$V$8886),"")</f>
        <v/>
      </c>
      <c r="AE78" s="156" t="str" cm="1">
        <f t="array" ref="AE78">IFERROR(_xlfn.XLOOKUP(1,(A78=PLT!$A$4:$A$8886)*(Geotech!C78&lt;=PLT!$F$4:$F$8886)*(Geotech!D78&gt;=PLT!$F$4:$F$8886)*(PLT!$V$4:$V$8886&lt;&gt;AD78)*("Valid"=PLT!$P$4:$P$7190),PLT!$V$4:$V$8886),"")</f>
        <v/>
      </c>
      <c r="AF78" s="156" t="str" cm="1">
        <f t="array" ref="AF78">IFERROR(_xlfn.XLOOKUP(1,(A78=PLT!$A$4:$A$8886)*(Geotech!C78&lt;=PLT!$F$4:$F$8886)*(Geotech!D78&gt;=PLT!$F$4:$F$8886)*(PLT!$V$4:$V$8886&lt;&gt;AD78)*(PLT!$V$4:$V$8886&lt;&gt;AE78)*("Valid"=PLT!$P$4:$P$7190),PLT!$V$4:$V$8886),"")</f>
        <v/>
      </c>
      <c r="AG78" s="44" t="str">
        <f>IFERROR(IF(AVERAGE(AD78:AF78)&gt;References!$BO$23,References!$BP$23,
IF(AVERAGE(AD78:AF78)&gt;References!$BO$22,References!$BP$22,
IF(AVERAGE(AD78:AF78)&gt;References!$BO$21,References!$BP$21,
IF(AVERAGE(AD78:AF78)&gt;References!$BO$20,References!$BP$20,
IF(AVERAGE(AD78:AF78)&gt;References!$BO$19,References!$BP$19,
IF(AVERAGE(AD78:AF78)&gt;References!$BO$18,References!$BP$18,
0)))))),"")</f>
        <v/>
      </c>
      <c r="AH78" s="43">
        <f>IF(Data_Geotech[[#This Row],[Is50]]="",VLOOKUP(Data_Geotech[[#This Row],[Field Intact Rock Strength]],Table_RMR76_Strength[],2,FALSE),Data_Geotech[[#This Row],[Is50]])</f>
        <v>12</v>
      </c>
      <c r="AI78" s="43">
        <f>IF(Data_Geotech[[#This Row],[RQD (%)]]&lt;=25,3,IF(Data_Geotech[[#This Row],[RQD (%)]]&lt;=50,8,IF(Data_Geotech[[#This Row],[RQD (%)]]&lt;=75,13,IF(Data_Geotech[[#This Row],[RQD (%)]]&lt;=90,17,20))))</f>
        <v>20</v>
      </c>
      <c r="AJ78" s="43">
        <f>IF(Data_Geotech[[#This Row],[Joint spacing (m)]]&lt;=0.05,5,IF(Data_Geotech[[#This Row],[Joint spacing (m)]]&lt;=0.3,10,IF(Data_Geotech[[#This Row],[Joint spacing (m)]]&lt;=1,20,IF(Data_Geotech[[#This Row],[Joint spacing (m)]]&lt;=3,25,30))))</f>
        <v>30</v>
      </c>
      <c r="AK7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78" s="6">
        <v>10</v>
      </c>
      <c r="AM78" s="117">
        <f>IF(Data_Geotech[[#This Row],[FIRS Code]]="R",IFERROR(SUM(Data_Geotech[[#This Row],[RMR76 - Strength rating]:[RMR76 - Ground water rating]]),""),"")</f>
        <v>97</v>
      </c>
      <c r="AN78" s="39">
        <f>IF(Data_Geotech[[#This Row],[FIRS Code]]="R",(2*Data_Geotech[[#This Row],[RMR76 - Joint condition rating]])+(IF(Data_Geotech[[#This Row],[RQD (%)]]&gt;80,80/2,Data_Geotech[[#This Row],[RQD (%)]]/2)),"")</f>
        <v>90</v>
      </c>
      <c r="AO78" s="43" t="str">
        <f>LEFT(Data_Geotech[[#This Row],[Joint Set Rating]],FIND("-",Data_Geotech[[#This Row],[Joint Set Rating]],1)-2)</f>
        <v>3</v>
      </c>
      <c r="AP7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78" s="5">
        <f t="shared" si="0"/>
        <v>1</v>
      </c>
      <c r="AR78" s="49">
        <f>IF(Data_Geotech[[#This Row],[FIRS Code]]="R",IFERROR((IF(Data_Geotech[[#This Row],[RQD (%)]]&lt;10,10,Data_Geotech[[#This Row],[RQD (%)]])/Data_Geotech[[#This Row],[Jn rating]])*Data_Geotech[[#This Row],[Jr/Ja]],""),"")</f>
        <v>177.77777777777777</v>
      </c>
      <c r="AS78" s="45">
        <f>IF(Data_Geotech[[#This Row],[FIRS Code]]="R",IFERROR((IF(Data_Geotech[[#This Row],[RQD (%)]]&lt;10,10,Data_Geotech[[#This Row],[RQD (%)]])/Data_Geotech[[#This Row],[Jn rating]])*Data_Geotech[[#This Row],[Jr/Ja]]*Data_Geotech[[#This Row],[Jw/SRF]],""),"")</f>
        <v>177.77777777777777</v>
      </c>
      <c r="AT78" s="12"/>
      <c r="AU78" s="13">
        <f>100-Data_Geotech[[#This Row],[RQD (%)]]</f>
        <v>0</v>
      </c>
      <c r="AV78" s="13">
        <f>100-Data_Geotech[[#This Row],[TCR (%)]]</f>
        <v>0</v>
      </c>
      <c r="AW78" s="62">
        <f>(Data_Geotech[[#This Row],[Fracture per interval]]+Data_Geotech[[#This Row],[Added fractures 
(BC, FLT, LC)]])/Data_Geotech[[#This Row],[TCR (m)]]</f>
        <v>0</v>
      </c>
      <c r="AX78" s="6" t="s">
        <v>109</v>
      </c>
      <c r="AY78" s="63">
        <f>7-MID(Data_Geotech[[#This Row],[Field Intact Rock Strength]],2,1)</f>
        <v>2</v>
      </c>
      <c r="AZ78" s="63">
        <f>VLOOKUP(Data_Geotech[[#This Row],[Field Intact Rock Strength]],Table_FieldStrength[],2,FALSE)</f>
        <v>100</v>
      </c>
      <c r="BA78" s="63">
        <f>VLOOKUP(Data_Geotech[[#This Row],[Field Intact Rock Strength]],Table_FieldStrength[],3,FALSE)</f>
        <v>175</v>
      </c>
      <c r="BB78" s="63">
        <f>VLOOKUP(Data_Geotech[[#This Row],[Field Intact Rock Strength]],Table_FieldStrength[],4,FALSE)</f>
        <v>250</v>
      </c>
      <c r="BC78" s="63">
        <f>100-Data_Geotech[[#This Row],[RMR76]]</f>
        <v>3</v>
      </c>
      <c r="BD78" s="63" t="str">
        <f>LEFT(Data_Geotech[[#This Row],[Weathering/Alteration]],FIND("-",Data_Geotech[[#This Row],[Weathering/Alteration]])-2)</f>
        <v>W1/A1</v>
      </c>
    </row>
    <row r="79" spans="1:56" ht="15.75" thickBot="1" x14ac:dyDescent="0.3">
      <c r="A79" t="s">
        <v>30</v>
      </c>
      <c r="B79" s="16" t="str">
        <f>VLOOKUP(Data_Geotech[[#This Row],[Hole ID]],Data_Log[],2,FALSE)</f>
        <v>CGF-02</v>
      </c>
      <c r="C79" s="5">
        <v>78.05</v>
      </c>
      <c r="D79" s="5">
        <v>81</v>
      </c>
      <c r="E79" s="5">
        <f>(Data_Geotech[[#This Row],[To (m)]]-Data_Geotech[[#This Row],[From (m)]])/2+Data_Geotech[[#This Row],[From (m)]]</f>
        <v>79.525000000000006</v>
      </c>
      <c r="F79" s="13">
        <f>Data_Geotech[[#This Row],[To (m)]]-Data_Geotech[[#This Row],[From (m)]]</f>
        <v>2.9500000000000028</v>
      </c>
      <c r="G79" s="5">
        <v>2.95</v>
      </c>
      <c r="H79" s="61">
        <f>Data_Geotech[[#This Row],[TCR (m)]]/Data_Geotech[[#This Row],[Run (m)]]*100</f>
        <v>99.999999999999915</v>
      </c>
      <c r="I79" s="151">
        <v>3</v>
      </c>
      <c r="J79" s="151">
        <v>3</v>
      </c>
      <c r="K79" s="5">
        <v>3</v>
      </c>
      <c r="L79" s="61">
        <f>Data_Geotech[[#This Row],[RQD (m)]]/Data_Geotech[[#This Row],[Run Reel (m)]]*100</f>
        <v>100</v>
      </c>
      <c r="M79" t="s">
        <v>580</v>
      </c>
      <c r="O79" t="s">
        <v>278</v>
      </c>
      <c r="P79" s="115" t="s">
        <v>416</v>
      </c>
      <c r="Q79" s="5" t="s">
        <v>313</v>
      </c>
      <c r="R79" s="5"/>
      <c r="S79" s="5"/>
      <c r="T79" s="5"/>
      <c r="U79" s="5"/>
      <c r="V79" s="6">
        <v>3</v>
      </c>
      <c r="W79" s="92">
        <f>SUMIFS(Discontinuities!$D$4:$D$9664,Discontinuities!$A$4:$A$9664,A79,Discontinuities!$C$4:$C$9664,"&gt;="&amp;C79,Discontinuities!$C$4:$C$9664,"&lt;"&amp;D79)
-SUMIFS(Discontinuities!$D$4:$D$9664,Discontinuities!$A$4:$A$9664,A79,Discontinuities!$C$4:$C$9664,"&gt;="&amp;C79,Discontinuities!$C$4:$C$9664,"&lt;"&amp;D79,Discontinuities!$E$4:$E$9664,"=BC")
-SUMIFS(Discontinuities!$D$4:$D$9664,Discontinuities!$A$4:$A$9664,A79,Discontinuities!$C$4:$C$9664,"&gt;="&amp;C79,Discontinuities!$C$4:$C$9664,"&lt;"&amp;D79,Discontinuities!$E$4:$E$9664,"=LC")
-SUMIFS(Discontinuities!$D$4:$D$9664,Discontinuities!$A$4:$A$9664,A79,Discontinuities!$C$4:$C$9664,"&gt;="&amp;C79,Discontinuities!$C$4:$C$9664,"&lt;"&amp;D79,Discontinuities!$E$4:$E$9664,"=FLT")</f>
        <v>3</v>
      </c>
      <c r="X79" t="s">
        <v>400</v>
      </c>
      <c r="AA79" s="12"/>
      <c r="AB79" s="43">
        <f>IFERROR(ROUND((Data_Geotech[[#This Row],[Fault (m)]]+Data_Geotech[[#This Row],[Broken Core (m)]]+Data_Geotech[[#This Row],[Lost Core (m)]])*30,0),0)</f>
        <v>0</v>
      </c>
      <c r="AC79" s="44">
        <f>IF(Data_Geotech[[#This Row],[Added fractures 
(BC, FLT, LC)]]+Data_Geotech[[#This Row],[Fracture per interval]]=0,99,1/((Data_Geotech[[#This Row],[Fracture per interval]]+Data_Geotech[[#This Row],[Added fractures 
(BC, FLT, LC)]])/Data_Geotech[[#This Row],[Run (m)]]))</f>
        <v>0.98333333333333428</v>
      </c>
      <c r="AD79" s="155" cm="1">
        <f t="array" ref="AD79">IFERROR(_xlfn.XLOOKUP(1,(A79=PLT!$A$4:$A$8886)*(Geotech!C79&lt;=PLT!$F$4:$F$8886)*(Geotech!D79&gt;=PLT!$F$4:$F$8886)*("Valid"=PLT!$P$4:$P$8886),PLT!$V$4:$V$8886),"")</f>
        <v>0</v>
      </c>
      <c r="AE79" s="156" t="str" cm="1">
        <f t="array" ref="AE79">IFERROR(_xlfn.XLOOKUP(1,(A79=PLT!$A$4:$A$8886)*(Geotech!C79&lt;=PLT!$F$4:$F$8886)*(Geotech!D79&gt;=PLT!$F$4:$F$8886)*(PLT!$V$4:$V$8886&lt;&gt;AD79)*("Valid"=PLT!$P$4:$P$7190),PLT!$V$4:$V$8886),"")</f>
        <v/>
      </c>
      <c r="AF79" s="156" t="str" cm="1">
        <f t="array" ref="AF79">IFERROR(_xlfn.XLOOKUP(1,(A79=PLT!$A$4:$A$8886)*(Geotech!C79&lt;=PLT!$F$4:$F$8886)*(Geotech!D79&gt;=PLT!$F$4:$F$8886)*(PLT!$V$4:$V$8886&lt;&gt;AD79)*(PLT!$V$4:$V$8886&lt;&gt;AE79)*("Valid"=PLT!$P$4:$P$7190),PLT!$V$4:$V$8886),"")</f>
        <v/>
      </c>
      <c r="AG79" s="44">
        <f>IFERROR(IF(AVERAGE(AD79:AF79)&gt;References!$BO$23,References!$BP$23,
IF(AVERAGE(AD79:AF79)&gt;References!$BO$22,References!$BP$22,
IF(AVERAGE(AD79:AF79)&gt;References!$BO$21,References!$BP$21,
IF(AVERAGE(AD79:AF79)&gt;References!$BO$20,References!$BP$20,
IF(AVERAGE(AD79:AF79)&gt;References!$BO$19,References!$BP$19,
IF(AVERAGE(AD79:AF79)&gt;References!$BO$18,References!$BP$18,
0)))))),"")</f>
        <v>0</v>
      </c>
      <c r="AH79" s="43">
        <f>IF(Data_Geotech[[#This Row],[Is50]]="",VLOOKUP(Data_Geotech[[#This Row],[Field Intact Rock Strength]],Table_RMR76_Strength[],2,FALSE),Data_Geotech[[#This Row],[Is50]])</f>
        <v>0</v>
      </c>
      <c r="AI79" s="43">
        <f>IF(Data_Geotech[[#This Row],[RQD (%)]]&lt;=25,3,IF(Data_Geotech[[#This Row],[RQD (%)]]&lt;=50,8,IF(Data_Geotech[[#This Row],[RQD (%)]]&lt;=75,13,IF(Data_Geotech[[#This Row],[RQD (%)]]&lt;=90,17,20))))</f>
        <v>20</v>
      </c>
      <c r="AJ79" s="43">
        <f>IF(Data_Geotech[[#This Row],[Joint spacing (m)]]&lt;=0.05,5,IF(Data_Geotech[[#This Row],[Joint spacing (m)]]&lt;=0.3,10,IF(Data_Geotech[[#This Row],[Joint spacing (m)]]&lt;=1,20,IF(Data_Geotech[[#This Row],[Joint spacing (m)]]&lt;=3,25,30))))</f>
        <v>20</v>
      </c>
      <c r="AK7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v>
      </c>
      <c r="AL79" s="6">
        <v>10</v>
      </c>
      <c r="AM79" s="117">
        <f>IF(Data_Geotech[[#This Row],[FIRS Code]]="R",IFERROR(SUM(Data_Geotech[[#This Row],[RMR76 - Strength rating]:[RMR76 - Ground water rating]]),""),"")</f>
        <v>67</v>
      </c>
      <c r="AN79" s="39">
        <f>IF(Data_Geotech[[#This Row],[FIRS Code]]="R",(2*Data_Geotech[[#This Row],[RMR76 - Joint condition rating]])+(IF(Data_Geotech[[#This Row],[RQD (%)]]&gt;80,80/2,Data_Geotech[[#This Row],[RQD (%)]]/2)),"")</f>
        <v>74</v>
      </c>
      <c r="AO79" s="43" t="str">
        <f>LEFT(Data_Geotech[[#This Row],[Joint Set Rating]],FIND("-",Data_Geotech[[#This Row],[Joint Set Rating]],1)-2)</f>
        <v>6</v>
      </c>
      <c r="AP7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0.91666666666666663</v>
      </c>
      <c r="AQ79" s="5">
        <f t="shared" si="0"/>
        <v>1</v>
      </c>
      <c r="AR79" s="49">
        <f>IF(Data_Geotech[[#This Row],[FIRS Code]]="R",IFERROR((IF(Data_Geotech[[#This Row],[RQD (%)]]&lt;10,10,Data_Geotech[[#This Row],[RQD (%)]])/Data_Geotech[[#This Row],[Jn rating]])*Data_Geotech[[#This Row],[Jr/Ja]],""),"")</f>
        <v>15.277777777777779</v>
      </c>
      <c r="AS79" s="45">
        <f>IF(Data_Geotech[[#This Row],[FIRS Code]]="R",IFERROR((IF(Data_Geotech[[#This Row],[RQD (%)]]&lt;10,10,Data_Geotech[[#This Row],[RQD (%)]])/Data_Geotech[[#This Row],[Jn rating]])*Data_Geotech[[#This Row],[Jr/Ja]]*Data_Geotech[[#This Row],[Jw/SRF]],""),"")</f>
        <v>15.277777777777779</v>
      </c>
      <c r="AT79" s="12"/>
      <c r="AU79" s="13">
        <f>100-Data_Geotech[[#This Row],[RQD (%)]]</f>
        <v>0</v>
      </c>
      <c r="AV79" s="13">
        <f>100-Data_Geotech[[#This Row],[TCR (%)]]</f>
        <v>0</v>
      </c>
      <c r="AW79" s="62">
        <f>(Data_Geotech[[#This Row],[Fracture per interval]]+Data_Geotech[[#This Row],[Added fractures 
(BC, FLT, LC)]])/Data_Geotech[[#This Row],[TCR (m)]]</f>
        <v>1.0169491525423728</v>
      </c>
      <c r="AX79" s="6" t="s">
        <v>109</v>
      </c>
      <c r="AY79" s="63">
        <f>7-MID(Data_Geotech[[#This Row],[Field Intact Rock Strength]],2,1)</f>
        <v>1</v>
      </c>
      <c r="AZ79" s="63">
        <f>VLOOKUP(Data_Geotech[[#This Row],[Field Intact Rock Strength]],Table_FieldStrength[],2,FALSE)</f>
        <v>250</v>
      </c>
      <c r="BA79" s="63">
        <f>VLOOKUP(Data_Geotech[[#This Row],[Field Intact Rock Strength]],Table_FieldStrength[],3,FALSE)</f>
        <v>275</v>
      </c>
      <c r="BB79" s="63">
        <f>VLOOKUP(Data_Geotech[[#This Row],[Field Intact Rock Strength]],Table_FieldStrength[],4,FALSE)</f>
        <v>300</v>
      </c>
      <c r="BC79" s="63">
        <f>100-Data_Geotech[[#This Row],[RMR76]]</f>
        <v>33</v>
      </c>
      <c r="BD79" s="63" t="str">
        <f>LEFT(Data_Geotech[[#This Row],[Weathering/Alteration]],FIND("-",Data_Geotech[[#This Row],[Weathering/Alteration]])-2)</f>
        <v>W2/A2</v>
      </c>
    </row>
    <row r="80" spans="1:56" ht="15.75" thickBot="1" x14ac:dyDescent="0.3">
      <c r="A80" t="s">
        <v>30</v>
      </c>
      <c r="B80" s="16" t="str">
        <f>VLOOKUP(Data_Geotech[[#This Row],[Hole ID]],Data_Log[],2,FALSE)</f>
        <v>CGF-02</v>
      </c>
      <c r="C80" s="5">
        <v>81</v>
      </c>
      <c r="D80" s="5">
        <v>84</v>
      </c>
      <c r="E80" s="5">
        <f>(Data_Geotech[[#This Row],[To (m)]]-Data_Geotech[[#This Row],[From (m)]])/2+Data_Geotech[[#This Row],[From (m)]]</f>
        <v>82.5</v>
      </c>
      <c r="F80" s="13">
        <f>Data_Geotech[[#This Row],[To (m)]]-Data_Geotech[[#This Row],[From (m)]]</f>
        <v>3</v>
      </c>
      <c r="G80" s="5">
        <v>3</v>
      </c>
      <c r="H80" s="61">
        <f>Data_Geotech[[#This Row],[TCR (m)]]/Data_Geotech[[#This Row],[Run (m)]]*100</f>
        <v>100</v>
      </c>
      <c r="I80" s="151">
        <v>2.96</v>
      </c>
      <c r="J80" s="151">
        <v>2.96</v>
      </c>
      <c r="K80" s="5">
        <v>2.96</v>
      </c>
      <c r="L80" s="61">
        <f>Data_Geotech[[#This Row],[RQD (m)]]/Data_Geotech[[#This Row],[Run Reel (m)]]*100</f>
        <v>100</v>
      </c>
      <c r="M80" t="s">
        <v>580</v>
      </c>
      <c r="O80" t="s">
        <v>243</v>
      </c>
      <c r="P80" s="115" t="s">
        <v>416</v>
      </c>
      <c r="Q80" s="5" t="s">
        <v>313</v>
      </c>
      <c r="R80" s="5"/>
      <c r="S80" s="5"/>
      <c r="T80" s="5"/>
      <c r="U80" s="5"/>
      <c r="V80" s="6">
        <v>1</v>
      </c>
      <c r="W80" s="92">
        <f>SUMIFS(Discontinuities!$D$4:$D$9664,Discontinuities!$A$4:$A$9664,A80,Discontinuities!$C$4:$C$9664,"&gt;="&amp;C80,Discontinuities!$C$4:$C$9664,"&lt;"&amp;D80)
-SUMIFS(Discontinuities!$D$4:$D$9664,Discontinuities!$A$4:$A$9664,A80,Discontinuities!$C$4:$C$9664,"&gt;="&amp;C80,Discontinuities!$C$4:$C$9664,"&lt;"&amp;D80,Discontinuities!$E$4:$E$9664,"=BC")
-SUMIFS(Discontinuities!$D$4:$D$9664,Discontinuities!$A$4:$A$9664,A80,Discontinuities!$C$4:$C$9664,"&gt;="&amp;C80,Discontinuities!$C$4:$C$9664,"&lt;"&amp;D80,Discontinuities!$E$4:$E$9664,"=LC")
-SUMIFS(Discontinuities!$D$4:$D$9664,Discontinuities!$A$4:$A$9664,A80,Discontinuities!$C$4:$C$9664,"&gt;="&amp;C80,Discontinuities!$C$4:$C$9664,"&lt;"&amp;D80,Discontinuities!$E$4:$E$9664,"=FLT")</f>
        <v>1</v>
      </c>
      <c r="X80" t="s">
        <v>400</v>
      </c>
      <c r="AA80" s="12"/>
      <c r="AB80" s="43">
        <f>IFERROR(ROUND((Data_Geotech[[#This Row],[Fault (m)]]+Data_Geotech[[#This Row],[Broken Core (m)]]+Data_Geotech[[#This Row],[Lost Core (m)]])*30,0),0)</f>
        <v>0</v>
      </c>
      <c r="AC80" s="44">
        <f>IF(Data_Geotech[[#This Row],[Added fractures 
(BC, FLT, LC)]]+Data_Geotech[[#This Row],[Fracture per interval]]=0,99,1/((Data_Geotech[[#This Row],[Fracture per interval]]+Data_Geotech[[#This Row],[Added fractures 
(BC, FLT, LC)]])/Data_Geotech[[#This Row],[Run (m)]]))</f>
        <v>3</v>
      </c>
      <c r="AD80" s="155" t="str" cm="1">
        <f t="array" ref="AD80">IFERROR(_xlfn.XLOOKUP(1,(A80=PLT!$A$4:$A$8886)*(Geotech!C80&lt;=PLT!$F$4:$F$8886)*(Geotech!D80&gt;=PLT!$F$4:$F$8886)*("Valid"=PLT!$P$4:$P$8886),PLT!$V$4:$V$8886),"")</f>
        <v/>
      </c>
      <c r="AE80" s="156" t="str" cm="1">
        <f t="array" ref="AE80">IFERROR(_xlfn.XLOOKUP(1,(A80=PLT!$A$4:$A$8886)*(Geotech!C80&lt;=PLT!$F$4:$F$8886)*(Geotech!D80&gt;=PLT!$F$4:$F$8886)*(PLT!$V$4:$V$8886&lt;&gt;AD80)*("Valid"=PLT!$P$4:$P$7190),PLT!$V$4:$V$8886),"")</f>
        <v/>
      </c>
      <c r="AF80" s="156" t="str" cm="1">
        <f t="array" ref="AF80">IFERROR(_xlfn.XLOOKUP(1,(A80=PLT!$A$4:$A$8886)*(Geotech!C80&lt;=PLT!$F$4:$F$8886)*(Geotech!D80&gt;=PLT!$F$4:$F$8886)*(PLT!$V$4:$V$8886&lt;&gt;AD80)*(PLT!$V$4:$V$8886&lt;&gt;AE80)*("Valid"=PLT!$P$4:$P$7190),PLT!$V$4:$V$8886),"")</f>
        <v/>
      </c>
      <c r="AG80" s="44" t="str">
        <f>IFERROR(IF(AVERAGE(AD80:AF80)&gt;References!$BO$23,References!$BP$23,
IF(AVERAGE(AD80:AF80)&gt;References!$BO$22,References!$BP$22,
IF(AVERAGE(AD80:AF80)&gt;References!$BO$21,References!$BP$21,
IF(AVERAGE(AD80:AF80)&gt;References!$BO$20,References!$BP$20,
IF(AVERAGE(AD80:AF80)&gt;References!$BO$19,References!$BP$19,
IF(AVERAGE(AD80:AF80)&gt;References!$BO$18,References!$BP$18,
0)))))),"")</f>
        <v/>
      </c>
      <c r="AH80" s="43">
        <f>IF(Data_Geotech[[#This Row],[Is50]]="",VLOOKUP(Data_Geotech[[#This Row],[Field Intact Rock Strength]],Table_RMR76_Strength[],2,FALSE),Data_Geotech[[#This Row],[Is50]])</f>
        <v>15</v>
      </c>
      <c r="AI80" s="43">
        <f>IF(Data_Geotech[[#This Row],[RQD (%)]]&lt;=25,3,IF(Data_Geotech[[#This Row],[RQD (%)]]&lt;=50,8,IF(Data_Geotech[[#This Row],[RQD (%)]]&lt;=75,13,IF(Data_Geotech[[#This Row],[RQD (%)]]&lt;=90,17,20))))</f>
        <v>20</v>
      </c>
      <c r="AJ80" s="43">
        <f>IF(Data_Geotech[[#This Row],[Joint spacing (m)]]&lt;=0.05,5,IF(Data_Geotech[[#This Row],[Joint spacing (m)]]&lt;=0.3,10,IF(Data_Geotech[[#This Row],[Joint spacing (m)]]&lt;=1,20,IF(Data_Geotech[[#This Row],[Joint spacing (m)]]&lt;=3,25,30))))</f>
        <v>25</v>
      </c>
      <c r="AK8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80" s="6">
        <v>10</v>
      </c>
      <c r="AM80" s="117">
        <f>IF(Data_Geotech[[#This Row],[FIRS Code]]="R",IFERROR(SUM(Data_Geotech[[#This Row],[RMR76 - Strength rating]:[RMR76 - Ground water rating]]),""),"")</f>
        <v>82</v>
      </c>
      <c r="AN80" s="39">
        <f>IF(Data_Geotech[[#This Row],[FIRS Code]]="R",(2*Data_Geotech[[#This Row],[RMR76 - Joint condition rating]])+(IF(Data_Geotech[[#This Row],[RQD (%)]]&gt;80,80/2,Data_Geotech[[#This Row],[RQD (%)]]/2)),"")</f>
        <v>64</v>
      </c>
      <c r="AO80" s="43" t="str">
        <f>LEFT(Data_Geotech[[#This Row],[Joint Set Rating]],FIND("-",Data_Geotech[[#This Row],[Joint Set Rating]],1)-2)</f>
        <v>6</v>
      </c>
      <c r="AP8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v>
      </c>
      <c r="AQ80" s="5">
        <f t="shared" si="0"/>
        <v>1</v>
      </c>
      <c r="AR80" s="49">
        <f>IF(Data_Geotech[[#This Row],[FIRS Code]]="R",IFERROR((IF(Data_Geotech[[#This Row],[RQD (%)]]&lt;10,10,Data_Geotech[[#This Row],[RQD (%)]])/Data_Geotech[[#This Row],[Jn rating]])*Data_Geotech[[#This Row],[Jr/Ja]],""),"")</f>
        <v>8.3333333333333339</v>
      </c>
      <c r="AS80" s="45">
        <f>IF(Data_Geotech[[#This Row],[FIRS Code]]="R",IFERROR((IF(Data_Geotech[[#This Row],[RQD (%)]]&lt;10,10,Data_Geotech[[#This Row],[RQD (%)]])/Data_Geotech[[#This Row],[Jn rating]])*Data_Geotech[[#This Row],[Jr/Ja]]*Data_Geotech[[#This Row],[Jw/SRF]],""),"")</f>
        <v>8.3333333333333339</v>
      </c>
      <c r="AT80" s="12"/>
      <c r="AU80" s="13">
        <f>100-Data_Geotech[[#This Row],[RQD (%)]]</f>
        <v>0</v>
      </c>
      <c r="AV80" s="13">
        <f>100-Data_Geotech[[#This Row],[TCR (%)]]</f>
        <v>0</v>
      </c>
      <c r="AW80" s="62">
        <f>(Data_Geotech[[#This Row],[Fracture per interval]]+Data_Geotech[[#This Row],[Added fractures 
(BC, FLT, LC)]])/Data_Geotech[[#This Row],[TCR (m)]]</f>
        <v>0.33333333333333331</v>
      </c>
      <c r="AX80" s="6" t="s">
        <v>109</v>
      </c>
      <c r="AY80" s="63">
        <f>7-MID(Data_Geotech[[#This Row],[Field Intact Rock Strength]],2,1)</f>
        <v>1</v>
      </c>
      <c r="AZ80" s="63">
        <f>VLOOKUP(Data_Geotech[[#This Row],[Field Intact Rock Strength]],Table_FieldStrength[],2,FALSE)</f>
        <v>250</v>
      </c>
      <c r="BA80" s="63">
        <f>VLOOKUP(Data_Geotech[[#This Row],[Field Intact Rock Strength]],Table_FieldStrength[],3,FALSE)</f>
        <v>275</v>
      </c>
      <c r="BB80" s="63">
        <f>VLOOKUP(Data_Geotech[[#This Row],[Field Intact Rock Strength]],Table_FieldStrength[],4,FALSE)</f>
        <v>300</v>
      </c>
      <c r="BC80" s="63">
        <f>100-Data_Geotech[[#This Row],[RMR76]]</f>
        <v>18</v>
      </c>
      <c r="BD80" s="63" t="str">
        <f>LEFT(Data_Geotech[[#This Row],[Weathering/Alteration]],FIND("-",Data_Geotech[[#This Row],[Weathering/Alteration]])-2)</f>
        <v>W1/A1</v>
      </c>
    </row>
    <row r="81" spans="1:56" ht="15.75" thickBot="1" x14ac:dyDescent="0.3">
      <c r="A81" t="s">
        <v>30</v>
      </c>
      <c r="B81" s="16" t="str">
        <f>VLOOKUP(Data_Geotech[[#This Row],[Hole ID]],Data_Log[],2,FALSE)</f>
        <v>CGF-02</v>
      </c>
      <c r="C81" s="5">
        <v>84</v>
      </c>
      <c r="D81" s="5">
        <v>86.98</v>
      </c>
      <c r="E81" s="5">
        <f>(Data_Geotech[[#This Row],[To (m)]]-Data_Geotech[[#This Row],[From (m)]])/2+Data_Geotech[[#This Row],[From (m)]]</f>
        <v>85.490000000000009</v>
      </c>
      <c r="F81" s="13">
        <f>Data_Geotech[[#This Row],[To (m)]]-Data_Geotech[[#This Row],[From (m)]]</f>
        <v>2.980000000000004</v>
      </c>
      <c r="G81" s="5">
        <v>2.98</v>
      </c>
      <c r="H81" s="61">
        <f>Data_Geotech[[#This Row],[TCR (m)]]/Data_Geotech[[#This Row],[Run (m)]]*100</f>
        <v>99.999999999999872</v>
      </c>
      <c r="I81" s="151">
        <v>2.98</v>
      </c>
      <c r="J81" s="151">
        <v>2.98</v>
      </c>
      <c r="K81" s="5">
        <v>2.98</v>
      </c>
      <c r="L81" s="61">
        <f>Data_Geotech[[#This Row],[RQD (m)]]/Data_Geotech[[#This Row],[Run Reel (m)]]*100</f>
        <v>100</v>
      </c>
      <c r="M81" t="s">
        <v>580</v>
      </c>
      <c r="O81" t="s">
        <v>243</v>
      </c>
      <c r="P81" s="115" t="s">
        <v>397</v>
      </c>
      <c r="Q81" s="5" t="s">
        <v>313</v>
      </c>
      <c r="R81" s="5"/>
      <c r="S81" s="5"/>
      <c r="T81" s="5"/>
      <c r="U81" s="5"/>
      <c r="V81" s="6">
        <v>7</v>
      </c>
      <c r="W81" s="92">
        <f>SUMIFS(Discontinuities!$D$4:$D$9664,Discontinuities!$A$4:$A$9664,A81,Discontinuities!$C$4:$C$9664,"&gt;="&amp;C81,Discontinuities!$C$4:$C$9664,"&lt;"&amp;D81)
-SUMIFS(Discontinuities!$D$4:$D$9664,Discontinuities!$A$4:$A$9664,A81,Discontinuities!$C$4:$C$9664,"&gt;="&amp;C81,Discontinuities!$C$4:$C$9664,"&lt;"&amp;D81,Discontinuities!$E$4:$E$9664,"=BC")
-SUMIFS(Discontinuities!$D$4:$D$9664,Discontinuities!$A$4:$A$9664,A81,Discontinuities!$C$4:$C$9664,"&gt;="&amp;C81,Discontinuities!$C$4:$C$9664,"&lt;"&amp;D81,Discontinuities!$E$4:$E$9664,"=LC")
-SUMIFS(Discontinuities!$D$4:$D$9664,Discontinuities!$A$4:$A$9664,A81,Discontinuities!$C$4:$C$9664,"&gt;="&amp;C81,Discontinuities!$C$4:$C$9664,"&lt;"&amp;D81,Discontinuities!$E$4:$E$9664,"=FLT")</f>
        <v>7</v>
      </c>
      <c r="X81" t="s">
        <v>345</v>
      </c>
      <c r="AA81" s="12"/>
      <c r="AB81" s="43">
        <f>IFERROR(ROUND((Data_Geotech[[#This Row],[Fault (m)]]+Data_Geotech[[#This Row],[Broken Core (m)]]+Data_Geotech[[#This Row],[Lost Core (m)]])*30,0),0)</f>
        <v>0</v>
      </c>
      <c r="AC81" s="44">
        <f>IF(Data_Geotech[[#This Row],[Added fractures 
(BC, FLT, LC)]]+Data_Geotech[[#This Row],[Fracture per interval]]=0,99,1/((Data_Geotech[[#This Row],[Fracture per interval]]+Data_Geotech[[#This Row],[Added fractures 
(BC, FLT, LC)]])/Data_Geotech[[#This Row],[Run (m)]]))</f>
        <v>0.42571428571428627</v>
      </c>
      <c r="AD81" s="155" cm="1">
        <f t="array" ref="AD81">IFERROR(_xlfn.XLOOKUP(1,(A81=PLT!$A$4:$A$8886)*(Geotech!C81&lt;=PLT!$F$4:$F$8886)*(Geotech!D81&gt;=PLT!$F$4:$F$8886)*("Valid"=PLT!$P$4:$P$8886),PLT!$V$4:$V$8886),"")</f>
        <v>0</v>
      </c>
      <c r="AE81" s="156" t="str" cm="1">
        <f t="array" ref="AE81">IFERROR(_xlfn.XLOOKUP(1,(A81=PLT!$A$4:$A$8886)*(Geotech!C81&lt;=PLT!$F$4:$F$8886)*(Geotech!D81&gt;=PLT!$F$4:$F$8886)*(PLT!$V$4:$V$8886&lt;&gt;AD81)*("Valid"=PLT!$P$4:$P$7190),PLT!$V$4:$V$8886),"")</f>
        <v/>
      </c>
      <c r="AF81" s="156" t="str" cm="1">
        <f t="array" ref="AF81">IFERROR(_xlfn.XLOOKUP(1,(A81=PLT!$A$4:$A$8886)*(Geotech!C81&lt;=PLT!$F$4:$F$8886)*(Geotech!D81&gt;=PLT!$F$4:$F$8886)*(PLT!$V$4:$V$8886&lt;&gt;AD81)*(PLT!$V$4:$V$8886&lt;&gt;AE81)*("Valid"=PLT!$P$4:$P$7190),PLT!$V$4:$V$8886),"")</f>
        <v/>
      </c>
      <c r="AG81" s="44">
        <f>IFERROR(IF(AVERAGE(AD81:AF81)&gt;References!$BO$23,References!$BP$23,
IF(AVERAGE(AD81:AF81)&gt;References!$BO$22,References!$BP$22,
IF(AVERAGE(AD81:AF81)&gt;References!$BO$21,References!$BP$21,
IF(AVERAGE(AD81:AF81)&gt;References!$BO$20,References!$BP$20,
IF(AVERAGE(AD81:AF81)&gt;References!$BO$19,References!$BP$19,
IF(AVERAGE(AD81:AF81)&gt;References!$BO$18,References!$BP$18,
0)))))),"")</f>
        <v>0</v>
      </c>
      <c r="AH81" s="43">
        <f>IF(Data_Geotech[[#This Row],[Is50]]="",VLOOKUP(Data_Geotech[[#This Row],[Field Intact Rock Strength]],Table_RMR76_Strength[],2,FALSE),Data_Geotech[[#This Row],[Is50]])</f>
        <v>0</v>
      </c>
      <c r="AI81" s="43">
        <f>IF(Data_Geotech[[#This Row],[RQD (%)]]&lt;=25,3,IF(Data_Geotech[[#This Row],[RQD (%)]]&lt;=50,8,IF(Data_Geotech[[#This Row],[RQD (%)]]&lt;=75,13,IF(Data_Geotech[[#This Row],[RQD (%)]]&lt;=90,17,20))))</f>
        <v>20</v>
      </c>
      <c r="AJ81" s="43">
        <f>IF(Data_Geotech[[#This Row],[Joint spacing (m)]]&lt;=0.05,5,IF(Data_Geotech[[#This Row],[Joint spacing (m)]]&lt;=0.3,10,IF(Data_Geotech[[#This Row],[Joint spacing (m)]]&lt;=1,20,IF(Data_Geotech[[#This Row],[Joint spacing (m)]]&lt;=3,25,30))))</f>
        <v>20</v>
      </c>
      <c r="AK8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v>
      </c>
      <c r="AL81" s="6">
        <v>10</v>
      </c>
      <c r="AM81" s="117">
        <f>IF(Data_Geotech[[#This Row],[FIRS Code]]="R",IFERROR(SUM(Data_Geotech[[#This Row],[RMR76 - Strength rating]:[RMR76 - Ground water rating]]),""),"")</f>
        <v>68</v>
      </c>
      <c r="AN81" s="39">
        <f>IF(Data_Geotech[[#This Row],[FIRS Code]]="R",(2*Data_Geotech[[#This Row],[RMR76 - Joint condition rating]])+(IF(Data_Geotech[[#This Row],[RQD (%)]]&gt;80,80/2,Data_Geotech[[#This Row],[RQD (%)]]/2)),"")</f>
        <v>76</v>
      </c>
      <c r="AO81" s="43" t="str">
        <f>LEFT(Data_Geotech[[#This Row],[Joint Set Rating]],FIND("-",Data_Geotech[[#This Row],[Joint Set Rating]],1)-2)</f>
        <v>3</v>
      </c>
      <c r="AP8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0.8928571428571429</v>
      </c>
      <c r="AQ81" s="5">
        <f t="shared" si="0"/>
        <v>1</v>
      </c>
      <c r="AR81" s="49">
        <f>IF(Data_Geotech[[#This Row],[FIRS Code]]="R",IFERROR((IF(Data_Geotech[[#This Row],[RQD (%)]]&lt;10,10,Data_Geotech[[#This Row],[RQD (%)]])/Data_Geotech[[#This Row],[Jn rating]])*Data_Geotech[[#This Row],[Jr/Ja]],""),"")</f>
        <v>29.761904761904766</v>
      </c>
      <c r="AS81" s="45">
        <f>IF(Data_Geotech[[#This Row],[FIRS Code]]="R",IFERROR((IF(Data_Geotech[[#This Row],[RQD (%)]]&lt;10,10,Data_Geotech[[#This Row],[RQD (%)]])/Data_Geotech[[#This Row],[Jn rating]])*Data_Geotech[[#This Row],[Jr/Ja]]*Data_Geotech[[#This Row],[Jw/SRF]],""),"")</f>
        <v>29.761904761904766</v>
      </c>
      <c r="AT81" s="12"/>
      <c r="AU81" s="13">
        <f>100-Data_Geotech[[#This Row],[RQD (%)]]</f>
        <v>0</v>
      </c>
      <c r="AV81" s="13">
        <f>100-Data_Geotech[[#This Row],[TCR (%)]]</f>
        <v>1.2789769243681803E-13</v>
      </c>
      <c r="AW81" s="62">
        <f>(Data_Geotech[[#This Row],[Fracture per interval]]+Data_Geotech[[#This Row],[Added fractures 
(BC, FLT, LC)]])/Data_Geotech[[#This Row],[TCR (m)]]</f>
        <v>2.348993288590604</v>
      </c>
      <c r="AX81" s="6" t="s">
        <v>109</v>
      </c>
      <c r="AY81" s="63">
        <f>7-MID(Data_Geotech[[#This Row],[Field Intact Rock Strength]],2,1)</f>
        <v>2</v>
      </c>
      <c r="AZ81" s="63">
        <f>VLOOKUP(Data_Geotech[[#This Row],[Field Intact Rock Strength]],Table_FieldStrength[],2,FALSE)</f>
        <v>100</v>
      </c>
      <c r="BA81" s="63">
        <f>VLOOKUP(Data_Geotech[[#This Row],[Field Intact Rock Strength]],Table_FieldStrength[],3,FALSE)</f>
        <v>175</v>
      </c>
      <c r="BB81" s="63">
        <f>VLOOKUP(Data_Geotech[[#This Row],[Field Intact Rock Strength]],Table_FieldStrength[],4,FALSE)</f>
        <v>250</v>
      </c>
      <c r="BC81" s="63">
        <f>100-Data_Geotech[[#This Row],[RMR76]]</f>
        <v>32</v>
      </c>
      <c r="BD81" s="63" t="str">
        <f>LEFT(Data_Geotech[[#This Row],[Weathering/Alteration]],FIND("-",Data_Geotech[[#This Row],[Weathering/Alteration]])-2)</f>
        <v>W1/A1</v>
      </c>
    </row>
    <row r="82" spans="1:56" ht="15.75" thickBot="1" x14ac:dyDescent="0.3">
      <c r="A82" t="s">
        <v>30</v>
      </c>
      <c r="B82" s="16" t="str">
        <f>VLOOKUP(Data_Geotech[[#This Row],[Hole ID]],Data_Log[],2,FALSE)</f>
        <v>CGF-02</v>
      </c>
      <c r="C82" s="5">
        <v>86.98</v>
      </c>
      <c r="D82" s="5">
        <v>89.97</v>
      </c>
      <c r="E82" s="5">
        <f>(Data_Geotech[[#This Row],[To (m)]]-Data_Geotech[[#This Row],[From (m)]])/2+Data_Geotech[[#This Row],[From (m)]]</f>
        <v>88.474999999999994</v>
      </c>
      <c r="F82" s="13">
        <f>Data_Geotech[[#This Row],[To (m)]]-Data_Geotech[[#This Row],[From (m)]]</f>
        <v>2.9899999999999949</v>
      </c>
      <c r="G82" s="5">
        <v>2.99</v>
      </c>
      <c r="H82" s="61">
        <f>Data_Geotech[[#This Row],[TCR (m)]]/Data_Geotech[[#This Row],[Run (m)]]*100</f>
        <v>100.00000000000017</v>
      </c>
      <c r="I82" s="151">
        <v>2.96</v>
      </c>
      <c r="J82" s="151">
        <v>2.96</v>
      </c>
      <c r="K82" s="5">
        <v>2.96</v>
      </c>
      <c r="L82" s="61">
        <f>Data_Geotech[[#This Row],[RQD (m)]]/Data_Geotech[[#This Row],[Run Reel (m)]]*100</f>
        <v>100</v>
      </c>
      <c r="M82" t="s">
        <v>580</v>
      </c>
      <c r="O82" t="s">
        <v>243</v>
      </c>
      <c r="P82" s="115" t="s">
        <v>370</v>
      </c>
      <c r="Q82" s="5" t="s">
        <v>313</v>
      </c>
      <c r="R82" s="5"/>
      <c r="S82" s="5"/>
      <c r="T82" s="5"/>
      <c r="U82" s="5"/>
      <c r="V82" s="6">
        <v>4</v>
      </c>
      <c r="W82" s="92">
        <f>SUMIFS(Discontinuities!$D$4:$D$9664,Discontinuities!$A$4:$A$9664,A82,Discontinuities!$C$4:$C$9664,"&gt;="&amp;C82,Discontinuities!$C$4:$C$9664,"&lt;"&amp;D82)
-SUMIFS(Discontinuities!$D$4:$D$9664,Discontinuities!$A$4:$A$9664,A82,Discontinuities!$C$4:$C$9664,"&gt;="&amp;C82,Discontinuities!$C$4:$C$9664,"&lt;"&amp;D82,Discontinuities!$E$4:$E$9664,"=BC")
-SUMIFS(Discontinuities!$D$4:$D$9664,Discontinuities!$A$4:$A$9664,A82,Discontinuities!$C$4:$C$9664,"&gt;="&amp;C82,Discontinuities!$C$4:$C$9664,"&lt;"&amp;D82,Discontinuities!$E$4:$E$9664,"=LC")
-SUMIFS(Discontinuities!$D$4:$D$9664,Discontinuities!$A$4:$A$9664,A82,Discontinuities!$C$4:$C$9664,"&gt;="&amp;C82,Discontinuities!$C$4:$C$9664,"&lt;"&amp;D82,Discontinuities!$E$4:$E$9664,"=FLT")</f>
        <v>4</v>
      </c>
      <c r="X82" t="s">
        <v>400</v>
      </c>
      <c r="AA82" s="12"/>
      <c r="AB82" s="43">
        <f>IFERROR(ROUND((Data_Geotech[[#This Row],[Fault (m)]]+Data_Geotech[[#This Row],[Broken Core (m)]]+Data_Geotech[[#This Row],[Lost Core (m)]])*30,0),0)</f>
        <v>0</v>
      </c>
      <c r="AC82" s="44">
        <f>IF(Data_Geotech[[#This Row],[Added fractures 
(BC, FLT, LC)]]+Data_Geotech[[#This Row],[Fracture per interval]]=0,99,1/((Data_Geotech[[#This Row],[Fracture per interval]]+Data_Geotech[[#This Row],[Added fractures 
(BC, FLT, LC)]])/Data_Geotech[[#This Row],[Run (m)]]))</f>
        <v>0.74749999999999872</v>
      </c>
      <c r="AD82" s="155" cm="1">
        <f t="array" ref="AD82">IFERROR(_xlfn.XLOOKUP(1,(A82=PLT!$A$4:$A$8886)*(Geotech!C82&lt;=PLT!$F$4:$F$8886)*(Geotech!D82&gt;=PLT!$F$4:$F$8886)*("Valid"=PLT!$P$4:$P$8886),PLT!$V$4:$V$8886),"")</f>
        <v>0</v>
      </c>
      <c r="AE82" s="156" t="str" cm="1">
        <f t="array" ref="AE82">IFERROR(_xlfn.XLOOKUP(1,(A82=PLT!$A$4:$A$8886)*(Geotech!C82&lt;=PLT!$F$4:$F$8886)*(Geotech!D82&gt;=PLT!$F$4:$F$8886)*(PLT!$V$4:$V$8886&lt;&gt;AD82)*("Valid"=PLT!$P$4:$P$7190),PLT!$V$4:$V$8886),"")</f>
        <v/>
      </c>
      <c r="AF82" s="156" t="str" cm="1">
        <f t="array" ref="AF82">IFERROR(_xlfn.XLOOKUP(1,(A82=PLT!$A$4:$A$8886)*(Geotech!C82&lt;=PLT!$F$4:$F$8886)*(Geotech!D82&gt;=PLT!$F$4:$F$8886)*(PLT!$V$4:$V$8886&lt;&gt;AD82)*(PLT!$V$4:$V$8886&lt;&gt;AE82)*("Valid"=PLT!$P$4:$P$7190),PLT!$V$4:$V$8886),"")</f>
        <v/>
      </c>
      <c r="AG82" s="44">
        <f>IFERROR(IF(AVERAGE(AD82:AF82)&gt;References!$BO$23,References!$BP$23,
IF(AVERAGE(AD82:AF82)&gt;References!$BO$22,References!$BP$22,
IF(AVERAGE(AD82:AF82)&gt;References!$BO$21,References!$BP$21,
IF(AVERAGE(AD82:AF82)&gt;References!$BO$20,References!$BP$20,
IF(AVERAGE(AD82:AF82)&gt;References!$BO$19,References!$BP$19,
IF(AVERAGE(AD82:AF82)&gt;References!$BO$18,References!$BP$18,
0)))))),"")</f>
        <v>0</v>
      </c>
      <c r="AH82" s="43">
        <f>IF(Data_Geotech[[#This Row],[Is50]]="",VLOOKUP(Data_Geotech[[#This Row],[Field Intact Rock Strength]],Table_RMR76_Strength[],2,FALSE),Data_Geotech[[#This Row],[Is50]])</f>
        <v>0</v>
      </c>
      <c r="AI82" s="43">
        <f>IF(Data_Geotech[[#This Row],[RQD (%)]]&lt;=25,3,IF(Data_Geotech[[#This Row],[RQD (%)]]&lt;=50,8,IF(Data_Geotech[[#This Row],[RQD (%)]]&lt;=75,13,IF(Data_Geotech[[#This Row],[RQD (%)]]&lt;=90,17,20))))</f>
        <v>20</v>
      </c>
      <c r="AJ82" s="43">
        <f>IF(Data_Geotech[[#This Row],[Joint spacing (m)]]&lt;=0.05,5,IF(Data_Geotech[[#This Row],[Joint spacing (m)]]&lt;=0.3,10,IF(Data_Geotech[[#This Row],[Joint spacing (m)]]&lt;=1,20,IF(Data_Geotech[[#This Row],[Joint spacing (m)]]&lt;=3,25,30))))</f>
        <v>20</v>
      </c>
      <c r="AK8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16.5</v>
      </c>
      <c r="AL82" s="6">
        <v>10</v>
      </c>
      <c r="AM82" s="117">
        <f>IF(Data_Geotech[[#This Row],[FIRS Code]]="R",IFERROR(SUM(Data_Geotech[[#This Row],[RMR76 - Strength rating]:[RMR76 - Ground water rating]]),""),"")</f>
        <v>66.5</v>
      </c>
      <c r="AN82" s="39">
        <f>IF(Data_Geotech[[#This Row],[FIRS Code]]="R",(2*Data_Geotech[[#This Row],[RMR76 - Joint condition rating]])+(IF(Data_Geotech[[#This Row],[RQD (%)]]&gt;80,80/2,Data_Geotech[[#This Row],[RQD (%)]]/2)),"")</f>
        <v>73</v>
      </c>
      <c r="AO82" s="43" t="str">
        <f>LEFT(Data_Geotech[[#This Row],[Joint Set Rating]],FIND("-",Data_Geotech[[#This Row],[Joint Set Rating]],1)-2)</f>
        <v>6</v>
      </c>
      <c r="AP8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0.875</v>
      </c>
      <c r="AQ82" s="5">
        <f t="shared" si="0"/>
        <v>1</v>
      </c>
      <c r="AR82" s="49">
        <f>IF(Data_Geotech[[#This Row],[FIRS Code]]="R",IFERROR((IF(Data_Geotech[[#This Row],[RQD (%)]]&lt;10,10,Data_Geotech[[#This Row],[RQD (%)]])/Data_Geotech[[#This Row],[Jn rating]])*Data_Geotech[[#This Row],[Jr/Ja]],""),"")</f>
        <v>14.583333333333334</v>
      </c>
      <c r="AS82" s="45">
        <f>IF(Data_Geotech[[#This Row],[FIRS Code]]="R",IFERROR((IF(Data_Geotech[[#This Row],[RQD (%)]]&lt;10,10,Data_Geotech[[#This Row],[RQD (%)]])/Data_Geotech[[#This Row],[Jn rating]])*Data_Geotech[[#This Row],[Jr/Ja]]*Data_Geotech[[#This Row],[Jw/SRF]],""),"")</f>
        <v>14.583333333333334</v>
      </c>
      <c r="AT82" s="12"/>
      <c r="AU82" s="13">
        <f>100-Data_Geotech[[#This Row],[RQD (%)]]</f>
        <v>0</v>
      </c>
      <c r="AV82" s="13">
        <f>100-Data_Geotech[[#This Row],[TCR (%)]]</f>
        <v>-1.7053025658242404E-13</v>
      </c>
      <c r="AW82" s="62">
        <f>(Data_Geotech[[#This Row],[Fracture per interval]]+Data_Geotech[[#This Row],[Added fractures 
(BC, FLT, LC)]])/Data_Geotech[[#This Row],[TCR (m)]]</f>
        <v>1.3377926421404682</v>
      </c>
      <c r="AX82" s="6" t="s">
        <v>109</v>
      </c>
      <c r="AY82" s="63">
        <f>7-MID(Data_Geotech[[#This Row],[Field Intact Rock Strength]],2,1)</f>
        <v>3</v>
      </c>
      <c r="AZ82" s="63">
        <f>VLOOKUP(Data_Geotech[[#This Row],[Field Intact Rock Strength]],Table_FieldStrength[],2,FALSE)</f>
        <v>50</v>
      </c>
      <c r="BA82" s="63">
        <f>VLOOKUP(Data_Geotech[[#This Row],[Field Intact Rock Strength]],Table_FieldStrength[],3,FALSE)</f>
        <v>75</v>
      </c>
      <c r="BB82" s="63">
        <f>VLOOKUP(Data_Geotech[[#This Row],[Field Intact Rock Strength]],Table_FieldStrength[],4,FALSE)</f>
        <v>100</v>
      </c>
      <c r="BC82" s="63">
        <f>100-Data_Geotech[[#This Row],[RMR76]]</f>
        <v>33.5</v>
      </c>
      <c r="BD82" s="63" t="str">
        <f>LEFT(Data_Geotech[[#This Row],[Weathering/Alteration]],FIND("-",Data_Geotech[[#This Row],[Weathering/Alteration]])-2)</f>
        <v>W1/A1</v>
      </c>
    </row>
    <row r="83" spans="1:56" ht="15.75" thickBot="1" x14ac:dyDescent="0.3">
      <c r="A83" t="s">
        <v>30</v>
      </c>
      <c r="B83" s="16" t="str">
        <f>VLOOKUP(Data_Geotech[[#This Row],[Hole ID]],Data_Log[],2,FALSE)</f>
        <v>CGF-02</v>
      </c>
      <c r="C83" s="5">
        <v>89.97</v>
      </c>
      <c r="D83" s="5">
        <v>93</v>
      </c>
      <c r="E83" s="5">
        <f>(Data_Geotech[[#This Row],[To (m)]]-Data_Geotech[[#This Row],[From (m)]])/2+Data_Geotech[[#This Row],[From (m)]]</f>
        <v>91.484999999999999</v>
      </c>
      <c r="F83" s="13">
        <f>Data_Geotech[[#This Row],[To (m)]]-Data_Geotech[[#This Row],[From (m)]]</f>
        <v>3.0300000000000011</v>
      </c>
      <c r="G83" s="5">
        <v>3.03</v>
      </c>
      <c r="H83" s="61">
        <f>Data_Geotech[[#This Row],[TCR (m)]]/Data_Geotech[[#This Row],[Run (m)]]*100</f>
        <v>99.999999999999957</v>
      </c>
      <c r="I83" s="151">
        <v>3.04</v>
      </c>
      <c r="J83" s="151">
        <v>3.04</v>
      </c>
      <c r="K83" s="5">
        <v>3.04</v>
      </c>
      <c r="L83" s="61">
        <f>Data_Geotech[[#This Row],[RQD (m)]]/Data_Geotech[[#This Row],[Run Reel (m)]]*100</f>
        <v>100</v>
      </c>
      <c r="M83" t="s">
        <v>580</v>
      </c>
      <c r="O83" t="s">
        <v>243</v>
      </c>
      <c r="P83" s="115" t="s">
        <v>397</v>
      </c>
      <c r="Q83" s="5" t="s">
        <v>281</v>
      </c>
      <c r="R83" s="5"/>
      <c r="S83" s="5"/>
      <c r="T83" s="5"/>
      <c r="U83" s="5"/>
      <c r="V83" s="6">
        <v>4</v>
      </c>
      <c r="W83" s="92">
        <f>SUMIFS(Discontinuities!$D$4:$D$9664,Discontinuities!$A$4:$A$9664,A83,Discontinuities!$C$4:$C$9664,"&gt;="&amp;C83,Discontinuities!$C$4:$C$9664,"&lt;"&amp;D83)
-SUMIFS(Discontinuities!$D$4:$D$9664,Discontinuities!$A$4:$A$9664,A83,Discontinuities!$C$4:$C$9664,"&gt;="&amp;C83,Discontinuities!$C$4:$C$9664,"&lt;"&amp;D83,Discontinuities!$E$4:$E$9664,"=BC")
-SUMIFS(Discontinuities!$D$4:$D$9664,Discontinuities!$A$4:$A$9664,A83,Discontinuities!$C$4:$C$9664,"&gt;="&amp;C83,Discontinuities!$C$4:$C$9664,"&lt;"&amp;D83,Discontinuities!$E$4:$E$9664,"=LC")
-SUMIFS(Discontinuities!$D$4:$D$9664,Discontinuities!$A$4:$A$9664,A83,Discontinuities!$C$4:$C$9664,"&gt;="&amp;C83,Discontinuities!$C$4:$C$9664,"&lt;"&amp;D83,Discontinuities!$E$4:$E$9664,"=FLT")</f>
        <v>4</v>
      </c>
      <c r="X83" t="s">
        <v>417</v>
      </c>
      <c r="AA83" s="12"/>
      <c r="AB83" s="43">
        <f>IFERROR(ROUND((Data_Geotech[[#This Row],[Fault (m)]]+Data_Geotech[[#This Row],[Broken Core (m)]]+Data_Geotech[[#This Row],[Lost Core (m)]])*30,0),0)</f>
        <v>0</v>
      </c>
      <c r="AC83" s="44">
        <f>IF(Data_Geotech[[#This Row],[Added fractures 
(BC, FLT, LC)]]+Data_Geotech[[#This Row],[Fracture per interval]]=0,99,1/((Data_Geotech[[#This Row],[Fracture per interval]]+Data_Geotech[[#This Row],[Added fractures 
(BC, FLT, LC)]])/Data_Geotech[[#This Row],[Run (m)]]))</f>
        <v>0.75750000000000028</v>
      </c>
      <c r="AD83" s="155" cm="1">
        <f t="array" ref="AD83">IFERROR(_xlfn.XLOOKUP(1,(A83=PLT!$A$4:$A$8886)*(Geotech!C83&lt;=PLT!$F$4:$F$8886)*(Geotech!D83&gt;=PLT!$F$4:$F$8886)*("Valid"=PLT!$P$4:$P$8886),PLT!$V$4:$V$8886),"")</f>
        <v>0</v>
      </c>
      <c r="AE83" s="156" t="str" cm="1">
        <f t="array" ref="AE83">IFERROR(_xlfn.XLOOKUP(1,(A83=PLT!$A$4:$A$8886)*(Geotech!C83&lt;=PLT!$F$4:$F$8886)*(Geotech!D83&gt;=PLT!$F$4:$F$8886)*(PLT!$V$4:$V$8886&lt;&gt;AD83)*("Valid"=PLT!$P$4:$P$7190),PLT!$V$4:$V$8886),"")</f>
        <v/>
      </c>
      <c r="AF83" s="156" t="str" cm="1">
        <f t="array" ref="AF83">IFERROR(_xlfn.XLOOKUP(1,(A83=PLT!$A$4:$A$8886)*(Geotech!C83&lt;=PLT!$F$4:$F$8886)*(Geotech!D83&gt;=PLT!$F$4:$F$8886)*(PLT!$V$4:$V$8886&lt;&gt;AD83)*(PLT!$V$4:$V$8886&lt;&gt;AE83)*("Valid"=PLT!$P$4:$P$7190),PLT!$V$4:$V$8886),"")</f>
        <v/>
      </c>
      <c r="AG83" s="44">
        <f>IFERROR(IF(AVERAGE(AD83:AF83)&gt;References!$BO$23,References!$BP$23,
IF(AVERAGE(AD83:AF83)&gt;References!$BO$22,References!$BP$22,
IF(AVERAGE(AD83:AF83)&gt;References!$BO$21,References!$BP$21,
IF(AVERAGE(AD83:AF83)&gt;References!$BO$20,References!$BP$20,
IF(AVERAGE(AD83:AF83)&gt;References!$BO$19,References!$BP$19,
IF(AVERAGE(AD83:AF83)&gt;References!$BO$18,References!$BP$18,
0)))))),"")</f>
        <v>0</v>
      </c>
      <c r="AH83" s="43">
        <f>IF(Data_Geotech[[#This Row],[Is50]]="",VLOOKUP(Data_Geotech[[#This Row],[Field Intact Rock Strength]],Table_RMR76_Strength[],2,FALSE),Data_Geotech[[#This Row],[Is50]])</f>
        <v>0</v>
      </c>
      <c r="AI83" s="43">
        <f>IF(Data_Geotech[[#This Row],[RQD (%)]]&lt;=25,3,IF(Data_Geotech[[#This Row],[RQD (%)]]&lt;=50,8,IF(Data_Geotech[[#This Row],[RQD (%)]]&lt;=75,13,IF(Data_Geotech[[#This Row],[RQD (%)]]&lt;=90,17,20))))</f>
        <v>20</v>
      </c>
      <c r="AJ83" s="43">
        <f>IF(Data_Geotech[[#This Row],[Joint spacing (m)]]&lt;=0.05,5,IF(Data_Geotech[[#This Row],[Joint spacing (m)]]&lt;=0.3,10,IF(Data_Geotech[[#This Row],[Joint spacing (m)]]&lt;=1,20,IF(Data_Geotech[[#This Row],[Joint spacing (m)]]&lt;=3,25,30))))</f>
        <v>20</v>
      </c>
      <c r="AK8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15.25</v>
      </c>
      <c r="AL83" s="6">
        <v>10</v>
      </c>
      <c r="AM83" s="117">
        <f>IF(Data_Geotech[[#This Row],[FIRS Code]]="R",IFERROR(SUM(Data_Geotech[[#This Row],[RMR76 - Strength rating]:[RMR76 - Ground water rating]]),""),"")</f>
        <v>65.25</v>
      </c>
      <c r="AN83" s="39">
        <f>IF(Data_Geotech[[#This Row],[FIRS Code]]="R",(2*Data_Geotech[[#This Row],[RMR76 - Joint condition rating]])+(IF(Data_Geotech[[#This Row],[RQD (%)]]&gt;80,80/2,Data_Geotech[[#This Row],[RQD (%)]]/2)),"")</f>
        <v>70.5</v>
      </c>
      <c r="AO83" s="43" t="str">
        <f>LEFT(Data_Geotech[[#This Row],[Joint Set Rating]],FIND("-",Data_Geotech[[#This Row],[Joint Set Rating]],1)-2)</f>
        <v>9</v>
      </c>
      <c r="AP8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83" s="5">
        <f t="shared" si="0"/>
        <v>1</v>
      </c>
      <c r="AR83" s="49">
        <f>IF(Data_Geotech[[#This Row],[FIRS Code]]="R",IFERROR((IF(Data_Geotech[[#This Row],[RQD (%)]]&lt;10,10,Data_Geotech[[#This Row],[RQD (%)]])/Data_Geotech[[#This Row],[Jn rating]])*Data_Geotech[[#This Row],[Jr/Ja]],""),"")</f>
        <v>12.5</v>
      </c>
      <c r="AS83" s="45">
        <f>IF(Data_Geotech[[#This Row],[FIRS Code]]="R",IFERROR((IF(Data_Geotech[[#This Row],[RQD (%)]]&lt;10,10,Data_Geotech[[#This Row],[RQD (%)]])/Data_Geotech[[#This Row],[Jn rating]])*Data_Geotech[[#This Row],[Jr/Ja]]*Data_Geotech[[#This Row],[Jw/SRF]],""),"")</f>
        <v>12.5</v>
      </c>
      <c r="AT83" s="12"/>
      <c r="AU83" s="13">
        <f>100-Data_Geotech[[#This Row],[RQD (%)]]</f>
        <v>0</v>
      </c>
      <c r="AV83" s="13">
        <f>100-Data_Geotech[[#This Row],[TCR (%)]]</f>
        <v>0</v>
      </c>
      <c r="AW83" s="62">
        <f>(Data_Geotech[[#This Row],[Fracture per interval]]+Data_Geotech[[#This Row],[Added fractures 
(BC, FLT, LC)]])/Data_Geotech[[#This Row],[TCR (m)]]</f>
        <v>1.3201320132013201</v>
      </c>
      <c r="AX83" s="6" t="s">
        <v>109</v>
      </c>
      <c r="AY83" s="63">
        <f>7-MID(Data_Geotech[[#This Row],[Field Intact Rock Strength]],2,1)</f>
        <v>2</v>
      </c>
      <c r="AZ83" s="63">
        <f>VLOOKUP(Data_Geotech[[#This Row],[Field Intact Rock Strength]],Table_FieldStrength[],2,FALSE)</f>
        <v>100</v>
      </c>
      <c r="BA83" s="63">
        <f>VLOOKUP(Data_Geotech[[#This Row],[Field Intact Rock Strength]],Table_FieldStrength[],3,FALSE)</f>
        <v>175</v>
      </c>
      <c r="BB83" s="63">
        <f>VLOOKUP(Data_Geotech[[#This Row],[Field Intact Rock Strength]],Table_FieldStrength[],4,FALSE)</f>
        <v>250</v>
      </c>
      <c r="BC83" s="63">
        <f>100-Data_Geotech[[#This Row],[RMR76]]</f>
        <v>34.75</v>
      </c>
      <c r="BD83" s="63" t="str">
        <f>LEFT(Data_Geotech[[#This Row],[Weathering/Alteration]],FIND("-",Data_Geotech[[#This Row],[Weathering/Alteration]])-2)</f>
        <v>W1/A1</v>
      </c>
    </row>
    <row r="84" spans="1:56" ht="15.75" thickBot="1" x14ac:dyDescent="0.3">
      <c r="A84" t="s">
        <v>30</v>
      </c>
      <c r="B84" s="16" t="str">
        <f>VLOOKUP(Data_Geotech[[#This Row],[Hole ID]],Data_Log[],2,FALSE)</f>
        <v>CGF-02</v>
      </c>
      <c r="C84" s="5">
        <v>93</v>
      </c>
      <c r="D84" s="5">
        <v>96.09</v>
      </c>
      <c r="E84" s="5">
        <f>(Data_Geotech[[#This Row],[To (m)]]-Data_Geotech[[#This Row],[From (m)]])/2+Data_Geotech[[#This Row],[From (m)]]</f>
        <v>94.545000000000002</v>
      </c>
      <c r="F84" s="13">
        <f>Data_Geotech[[#This Row],[To (m)]]-Data_Geotech[[#This Row],[From (m)]]</f>
        <v>3.0900000000000034</v>
      </c>
      <c r="G84" s="5">
        <v>3.09</v>
      </c>
      <c r="H84" s="61">
        <f>Data_Geotech[[#This Row],[TCR (m)]]/Data_Geotech[[#This Row],[Run (m)]]*100</f>
        <v>99.999999999999886</v>
      </c>
      <c r="I84" s="151">
        <v>3.08</v>
      </c>
      <c r="J84" s="151">
        <v>3.08</v>
      </c>
      <c r="K84" s="5">
        <v>3.08</v>
      </c>
      <c r="L84" s="61">
        <f>Data_Geotech[[#This Row],[RQD (m)]]/Data_Geotech[[#This Row],[Run Reel (m)]]*100</f>
        <v>100</v>
      </c>
      <c r="M84" t="s">
        <v>580</v>
      </c>
      <c r="O84" t="s">
        <v>243</v>
      </c>
      <c r="P84" s="115" t="s">
        <v>416</v>
      </c>
      <c r="Q84" s="5" t="s">
        <v>313</v>
      </c>
      <c r="R84" s="5"/>
      <c r="S84" s="5"/>
      <c r="T84" s="5"/>
      <c r="U84" s="5"/>
      <c r="V84" s="6">
        <v>4</v>
      </c>
      <c r="W84" s="92">
        <f>SUMIFS(Discontinuities!$D$4:$D$9664,Discontinuities!$A$4:$A$9664,A84,Discontinuities!$C$4:$C$9664,"&gt;="&amp;C84,Discontinuities!$C$4:$C$9664,"&lt;"&amp;D84)
-SUMIFS(Discontinuities!$D$4:$D$9664,Discontinuities!$A$4:$A$9664,A84,Discontinuities!$C$4:$C$9664,"&gt;="&amp;C84,Discontinuities!$C$4:$C$9664,"&lt;"&amp;D84,Discontinuities!$E$4:$E$9664,"=BC")
-SUMIFS(Discontinuities!$D$4:$D$9664,Discontinuities!$A$4:$A$9664,A84,Discontinuities!$C$4:$C$9664,"&gt;="&amp;C84,Discontinuities!$C$4:$C$9664,"&lt;"&amp;D84,Discontinuities!$E$4:$E$9664,"=LC")
-SUMIFS(Discontinuities!$D$4:$D$9664,Discontinuities!$A$4:$A$9664,A84,Discontinuities!$C$4:$C$9664,"&gt;="&amp;C84,Discontinuities!$C$4:$C$9664,"&lt;"&amp;D84,Discontinuities!$E$4:$E$9664,"=FLT")</f>
        <v>4</v>
      </c>
      <c r="X84" t="s">
        <v>400</v>
      </c>
      <c r="AA84" s="12"/>
      <c r="AB84" s="43">
        <f>IFERROR(ROUND((Data_Geotech[[#This Row],[Fault (m)]]+Data_Geotech[[#This Row],[Broken Core (m)]]+Data_Geotech[[#This Row],[Lost Core (m)]])*30,0),0)</f>
        <v>0</v>
      </c>
      <c r="AC84" s="44">
        <f>IF(Data_Geotech[[#This Row],[Added fractures 
(BC, FLT, LC)]]+Data_Geotech[[#This Row],[Fracture per interval]]=0,99,1/((Data_Geotech[[#This Row],[Fracture per interval]]+Data_Geotech[[#This Row],[Added fractures 
(BC, FLT, LC)]])/Data_Geotech[[#This Row],[Run (m)]]))</f>
        <v>0.77250000000000085</v>
      </c>
      <c r="AD84" s="155" cm="1">
        <f t="array" ref="AD84">IFERROR(_xlfn.XLOOKUP(1,(A84=PLT!$A$4:$A$8886)*(Geotech!C84&lt;=PLT!$F$4:$F$8886)*(Geotech!D84&gt;=PLT!$F$4:$F$8886)*("Valid"=PLT!$P$4:$P$8886),PLT!$V$4:$V$8886),"")</f>
        <v>0</v>
      </c>
      <c r="AE84" s="156" t="str" cm="1">
        <f t="array" ref="AE84">IFERROR(_xlfn.XLOOKUP(1,(A84=PLT!$A$4:$A$8886)*(Geotech!C84&lt;=PLT!$F$4:$F$8886)*(Geotech!D84&gt;=PLT!$F$4:$F$8886)*(PLT!$V$4:$V$8886&lt;&gt;AD84)*("Valid"=PLT!$P$4:$P$7190),PLT!$V$4:$V$8886),"")</f>
        <v/>
      </c>
      <c r="AF84" s="156" t="str" cm="1">
        <f t="array" ref="AF84">IFERROR(_xlfn.XLOOKUP(1,(A84=PLT!$A$4:$A$8886)*(Geotech!C84&lt;=PLT!$F$4:$F$8886)*(Geotech!D84&gt;=PLT!$F$4:$F$8886)*(PLT!$V$4:$V$8886&lt;&gt;AD84)*(PLT!$V$4:$V$8886&lt;&gt;AE84)*("Valid"=PLT!$P$4:$P$7190),PLT!$V$4:$V$8886),"")</f>
        <v/>
      </c>
      <c r="AG84" s="44">
        <f>IFERROR(IF(AVERAGE(AD84:AF84)&gt;References!$BO$23,References!$BP$23,
IF(AVERAGE(AD84:AF84)&gt;References!$BO$22,References!$BP$22,
IF(AVERAGE(AD84:AF84)&gt;References!$BO$21,References!$BP$21,
IF(AVERAGE(AD84:AF84)&gt;References!$BO$20,References!$BP$20,
IF(AVERAGE(AD84:AF84)&gt;References!$BO$19,References!$BP$19,
IF(AVERAGE(AD84:AF84)&gt;References!$BO$18,References!$BP$18,
0)))))),"")</f>
        <v>0</v>
      </c>
      <c r="AH84" s="43">
        <f>IF(Data_Geotech[[#This Row],[Is50]]="",VLOOKUP(Data_Geotech[[#This Row],[Field Intact Rock Strength]],Table_RMR76_Strength[],2,FALSE),Data_Geotech[[#This Row],[Is50]])</f>
        <v>0</v>
      </c>
      <c r="AI84" s="43">
        <f>IF(Data_Geotech[[#This Row],[RQD (%)]]&lt;=25,3,IF(Data_Geotech[[#This Row],[RQD (%)]]&lt;=50,8,IF(Data_Geotech[[#This Row],[RQD (%)]]&lt;=75,13,IF(Data_Geotech[[#This Row],[RQD (%)]]&lt;=90,17,20))))</f>
        <v>20</v>
      </c>
      <c r="AJ84" s="43">
        <f>IF(Data_Geotech[[#This Row],[Joint spacing (m)]]&lt;=0.05,5,IF(Data_Geotech[[#This Row],[Joint spacing (m)]]&lt;=0.3,10,IF(Data_Geotech[[#This Row],[Joint spacing (m)]]&lt;=1,20,IF(Data_Geotech[[#This Row],[Joint spacing (m)]]&lt;=3,25,30))))</f>
        <v>20</v>
      </c>
      <c r="AK8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13</v>
      </c>
      <c r="AL84" s="6">
        <v>10</v>
      </c>
      <c r="AM84" s="117">
        <f>IF(Data_Geotech[[#This Row],[FIRS Code]]="R",IFERROR(SUM(Data_Geotech[[#This Row],[RMR76 - Strength rating]:[RMR76 - Ground water rating]]),""),"")</f>
        <v>63</v>
      </c>
      <c r="AN84" s="39">
        <f>IF(Data_Geotech[[#This Row],[FIRS Code]]="R",(2*Data_Geotech[[#This Row],[RMR76 - Joint condition rating]])+(IF(Data_Geotech[[#This Row],[RQD (%)]]&gt;80,80/2,Data_Geotech[[#This Row],[RQD (%)]]/2)),"")</f>
        <v>66</v>
      </c>
      <c r="AO84" s="43" t="str">
        <f>LEFT(Data_Geotech[[#This Row],[Joint Set Rating]],FIND("-",Data_Geotech[[#This Row],[Joint Set Rating]],1)-2)</f>
        <v>6</v>
      </c>
      <c r="AP8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0.875</v>
      </c>
      <c r="AQ84" s="5">
        <f t="shared" si="0"/>
        <v>1</v>
      </c>
      <c r="AR84" s="49">
        <f>IF(Data_Geotech[[#This Row],[FIRS Code]]="R",IFERROR((IF(Data_Geotech[[#This Row],[RQD (%)]]&lt;10,10,Data_Geotech[[#This Row],[RQD (%)]])/Data_Geotech[[#This Row],[Jn rating]])*Data_Geotech[[#This Row],[Jr/Ja]],""),"")</f>
        <v>14.583333333333334</v>
      </c>
      <c r="AS84" s="45">
        <f>IF(Data_Geotech[[#This Row],[FIRS Code]]="R",IFERROR((IF(Data_Geotech[[#This Row],[RQD (%)]]&lt;10,10,Data_Geotech[[#This Row],[RQD (%)]])/Data_Geotech[[#This Row],[Jn rating]])*Data_Geotech[[#This Row],[Jr/Ja]]*Data_Geotech[[#This Row],[Jw/SRF]],""),"")</f>
        <v>14.583333333333334</v>
      </c>
      <c r="AT84" s="12"/>
      <c r="AU84" s="13">
        <f>100-Data_Geotech[[#This Row],[RQD (%)]]</f>
        <v>0</v>
      </c>
      <c r="AV84" s="13">
        <f>100-Data_Geotech[[#This Row],[TCR (%)]]</f>
        <v>1.1368683772161603E-13</v>
      </c>
      <c r="AW84" s="62">
        <f>(Data_Geotech[[#This Row],[Fracture per interval]]+Data_Geotech[[#This Row],[Added fractures 
(BC, FLT, LC)]])/Data_Geotech[[#This Row],[TCR (m)]]</f>
        <v>1.2944983818770228</v>
      </c>
      <c r="AX84" s="6" t="s">
        <v>109</v>
      </c>
      <c r="AY84" s="63">
        <f>7-MID(Data_Geotech[[#This Row],[Field Intact Rock Strength]],2,1)</f>
        <v>1</v>
      </c>
      <c r="AZ84" s="63">
        <f>VLOOKUP(Data_Geotech[[#This Row],[Field Intact Rock Strength]],Table_FieldStrength[],2,FALSE)</f>
        <v>250</v>
      </c>
      <c r="BA84" s="63">
        <f>VLOOKUP(Data_Geotech[[#This Row],[Field Intact Rock Strength]],Table_FieldStrength[],3,FALSE)</f>
        <v>275</v>
      </c>
      <c r="BB84" s="63">
        <f>VLOOKUP(Data_Geotech[[#This Row],[Field Intact Rock Strength]],Table_FieldStrength[],4,FALSE)</f>
        <v>300</v>
      </c>
      <c r="BC84" s="63">
        <f>100-Data_Geotech[[#This Row],[RMR76]]</f>
        <v>37</v>
      </c>
      <c r="BD84" s="63" t="str">
        <f>LEFT(Data_Geotech[[#This Row],[Weathering/Alteration]],FIND("-",Data_Geotech[[#This Row],[Weathering/Alteration]])-2)</f>
        <v>W1/A1</v>
      </c>
    </row>
    <row r="85" spans="1:56" ht="15.75" thickBot="1" x14ac:dyDescent="0.3">
      <c r="A85" t="s">
        <v>30</v>
      </c>
      <c r="B85" s="16" t="str">
        <f>VLOOKUP(Data_Geotech[[#This Row],[Hole ID]],Data_Log[],2,FALSE)</f>
        <v>CGF-02</v>
      </c>
      <c r="C85" s="5">
        <v>96.09</v>
      </c>
      <c r="D85" s="5">
        <v>99</v>
      </c>
      <c r="E85" s="5">
        <f>(Data_Geotech[[#This Row],[To (m)]]-Data_Geotech[[#This Row],[From (m)]])/2+Data_Geotech[[#This Row],[From (m)]]</f>
        <v>97.545000000000002</v>
      </c>
      <c r="F85" s="13">
        <f>Data_Geotech[[#This Row],[To (m)]]-Data_Geotech[[#This Row],[From (m)]]</f>
        <v>2.9099999999999966</v>
      </c>
      <c r="G85" s="5">
        <v>2.91</v>
      </c>
      <c r="H85" s="61">
        <f>Data_Geotech[[#This Row],[TCR (m)]]/Data_Geotech[[#This Row],[Run (m)]]*100</f>
        <v>100.00000000000011</v>
      </c>
      <c r="I85" s="151">
        <v>3.1</v>
      </c>
      <c r="J85" s="151">
        <v>3.1</v>
      </c>
      <c r="K85" s="5">
        <v>3.01</v>
      </c>
      <c r="L85" s="61">
        <f>Data_Geotech[[#This Row],[RQD (m)]]/Data_Geotech[[#This Row],[Run Reel (m)]]*100</f>
        <v>97.09677419354837</v>
      </c>
      <c r="M85" t="s">
        <v>580</v>
      </c>
      <c r="O85" t="s">
        <v>243</v>
      </c>
      <c r="P85" s="115" t="s">
        <v>342</v>
      </c>
      <c r="Q85" s="5" t="s">
        <v>346</v>
      </c>
      <c r="R85" s="5"/>
      <c r="S85" s="5"/>
      <c r="T85" s="5"/>
      <c r="U85" s="5"/>
      <c r="V85" s="6">
        <v>5</v>
      </c>
      <c r="W85" s="92">
        <f>SUMIFS(Discontinuities!$D$4:$D$9664,Discontinuities!$A$4:$A$9664,A85,Discontinuities!$C$4:$C$9664,"&gt;="&amp;C85,Discontinuities!$C$4:$C$9664,"&lt;"&amp;D85)
-SUMIFS(Discontinuities!$D$4:$D$9664,Discontinuities!$A$4:$A$9664,A85,Discontinuities!$C$4:$C$9664,"&gt;="&amp;C85,Discontinuities!$C$4:$C$9664,"&lt;"&amp;D85,Discontinuities!$E$4:$E$9664,"=BC")
-SUMIFS(Discontinuities!$D$4:$D$9664,Discontinuities!$A$4:$A$9664,A85,Discontinuities!$C$4:$C$9664,"&gt;="&amp;C85,Discontinuities!$C$4:$C$9664,"&lt;"&amp;D85,Discontinuities!$E$4:$E$9664,"=LC")
-SUMIFS(Discontinuities!$D$4:$D$9664,Discontinuities!$A$4:$A$9664,A85,Discontinuities!$C$4:$C$9664,"&gt;="&amp;C85,Discontinuities!$C$4:$C$9664,"&lt;"&amp;D85,Discontinuities!$E$4:$E$9664,"=FLT")</f>
        <v>5</v>
      </c>
      <c r="X85" t="s">
        <v>417</v>
      </c>
      <c r="AA85" s="12"/>
      <c r="AB85" s="43">
        <f>IFERROR(ROUND((Data_Geotech[[#This Row],[Fault (m)]]+Data_Geotech[[#This Row],[Broken Core (m)]]+Data_Geotech[[#This Row],[Lost Core (m)]])*30,0),0)</f>
        <v>0</v>
      </c>
      <c r="AC85" s="44">
        <f>IF(Data_Geotech[[#This Row],[Added fractures 
(BC, FLT, LC)]]+Data_Geotech[[#This Row],[Fracture per interval]]=0,99,1/((Data_Geotech[[#This Row],[Fracture per interval]]+Data_Geotech[[#This Row],[Added fractures 
(BC, FLT, LC)]])/Data_Geotech[[#This Row],[Run (m)]]))</f>
        <v>0.5819999999999993</v>
      </c>
      <c r="AD85" s="155" cm="1">
        <f t="array" ref="AD85">IFERROR(_xlfn.XLOOKUP(1,(A85=PLT!$A$4:$A$8886)*(Geotech!C85&lt;=PLT!$F$4:$F$8886)*(Geotech!D85&gt;=PLT!$F$4:$F$8886)*("Valid"=PLT!$P$4:$P$8886),PLT!$V$4:$V$8886),"")</f>
        <v>0</v>
      </c>
      <c r="AE85" s="156" t="str" cm="1">
        <f t="array" ref="AE85">IFERROR(_xlfn.XLOOKUP(1,(A85=PLT!$A$4:$A$8886)*(Geotech!C85&lt;=PLT!$F$4:$F$8886)*(Geotech!D85&gt;=PLT!$F$4:$F$8886)*(PLT!$V$4:$V$8886&lt;&gt;AD85)*("Valid"=PLT!$P$4:$P$7190),PLT!$V$4:$V$8886),"")</f>
        <v/>
      </c>
      <c r="AF85" s="156" t="str" cm="1">
        <f t="array" ref="AF85">IFERROR(_xlfn.XLOOKUP(1,(A85=PLT!$A$4:$A$8886)*(Geotech!C85&lt;=PLT!$F$4:$F$8886)*(Geotech!D85&gt;=PLT!$F$4:$F$8886)*(PLT!$V$4:$V$8886&lt;&gt;AD85)*(PLT!$V$4:$V$8886&lt;&gt;AE85)*("Valid"=PLT!$P$4:$P$7190),PLT!$V$4:$V$8886),"")</f>
        <v/>
      </c>
      <c r="AG85" s="44">
        <f>IFERROR(IF(AVERAGE(AD85:AF85)&gt;References!$BO$23,References!$BP$23,
IF(AVERAGE(AD85:AF85)&gt;References!$BO$22,References!$BP$22,
IF(AVERAGE(AD85:AF85)&gt;References!$BO$21,References!$BP$21,
IF(AVERAGE(AD85:AF85)&gt;References!$BO$20,References!$BP$20,
IF(AVERAGE(AD85:AF85)&gt;References!$BO$19,References!$BP$19,
IF(AVERAGE(AD85:AF85)&gt;References!$BO$18,References!$BP$18,
0)))))),"")</f>
        <v>0</v>
      </c>
      <c r="AH85" s="43">
        <f>IF(Data_Geotech[[#This Row],[Is50]]="",VLOOKUP(Data_Geotech[[#This Row],[Field Intact Rock Strength]],Table_RMR76_Strength[],2,FALSE),Data_Geotech[[#This Row],[Is50]])</f>
        <v>0</v>
      </c>
      <c r="AI85" s="43">
        <f>IF(Data_Geotech[[#This Row],[RQD (%)]]&lt;=25,3,IF(Data_Geotech[[#This Row],[RQD (%)]]&lt;=50,8,IF(Data_Geotech[[#This Row],[RQD (%)]]&lt;=75,13,IF(Data_Geotech[[#This Row],[RQD (%)]]&lt;=90,17,20))))</f>
        <v>20</v>
      </c>
      <c r="AJ85" s="43">
        <f>IF(Data_Geotech[[#This Row],[Joint spacing (m)]]&lt;=0.05,5,IF(Data_Geotech[[#This Row],[Joint spacing (m)]]&lt;=0.3,10,IF(Data_Geotech[[#This Row],[Joint spacing (m)]]&lt;=1,20,IF(Data_Geotech[[#This Row],[Joint spacing (m)]]&lt;=3,25,30))))</f>
        <v>20</v>
      </c>
      <c r="AK8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19.2</v>
      </c>
      <c r="AL85" s="6">
        <v>10</v>
      </c>
      <c r="AM85" s="117">
        <f>IF(Data_Geotech[[#This Row],[FIRS Code]]="R",IFERROR(SUM(Data_Geotech[[#This Row],[RMR76 - Strength rating]:[RMR76 - Ground water rating]]),""),"")</f>
        <v>69.2</v>
      </c>
      <c r="AN85" s="39">
        <f>IF(Data_Geotech[[#This Row],[FIRS Code]]="R",(2*Data_Geotech[[#This Row],[RMR76 - Joint condition rating]])+(IF(Data_Geotech[[#This Row],[RQD (%)]]&gt;80,80/2,Data_Geotech[[#This Row],[RQD (%)]]/2)),"")</f>
        <v>78.400000000000006</v>
      </c>
      <c r="AO85" s="43" t="str">
        <f>LEFT(Data_Geotech[[#This Row],[Joint Set Rating]],FIND("-",Data_Geotech[[#This Row],[Joint Set Rating]],1)-2)</f>
        <v>9</v>
      </c>
      <c r="AP8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1.4</v>
      </c>
      <c r="AQ85" s="5">
        <f t="shared" si="0"/>
        <v>1</v>
      </c>
      <c r="AR85" s="49">
        <f>IF(Data_Geotech[[#This Row],[FIRS Code]]="R",IFERROR((IF(Data_Geotech[[#This Row],[RQD (%)]]&lt;10,10,Data_Geotech[[#This Row],[RQD (%)]])/Data_Geotech[[#This Row],[Jn rating]])*Data_Geotech[[#This Row],[Jr/Ja]],""),"")</f>
        <v>15.103942652329746</v>
      </c>
      <c r="AS85" s="45">
        <f>IF(Data_Geotech[[#This Row],[FIRS Code]]="R",IFERROR((IF(Data_Geotech[[#This Row],[RQD (%)]]&lt;10,10,Data_Geotech[[#This Row],[RQD (%)]])/Data_Geotech[[#This Row],[Jn rating]])*Data_Geotech[[#This Row],[Jr/Ja]]*Data_Geotech[[#This Row],[Jw/SRF]],""),"")</f>
        <v>15.103942652329746</v>
      </c>
      <c r="AT85" s="12"/>
      <c r="AU85" s="13">
        <f>100-Data_Geotech[[#This Row],[RQD (%)]]</f>
        <v>2.9032258064516299</v>
      </c>
      <c r="AV85" s="13">
        <f>100-Data_Geotech[[#This Row],[TCR (%)]]</f>
        <v>-1.1368683772161603E-13</v>
      </c>
      <c r="AW85" s="62">
        <f>(Data_Geotech[[#This Row],[Fracture per interval]]+Data_Geotech[[#This Row],[Added fractures 
(BC, FLT, LC)]])/Data_Geotech[[#This Row],[TCR (m)]]</f>
        <v>1.7182130584192439</v>
      </c>
      <c r="AX85" s="6" t="s">
        <v>109</v>
      </c>
      <c r="AY85" s="63">
        <f>7-MID(Data_Geotech[[#This Row],[Field Intact Rock Strength]],2,1)</f>
        <v>4</v>
      </c>
      <c r="AZ85" s="63">
        <f>VLOOKUP(Data_Geotech[[#This Row],[Field Intact Rock Strength]],Table_FieldStrength[],2,FALSE)</f>
        <v>25</v>
      </c>
      <c r="BA85" s="63">
        <f>VLOOKUP(Data_Geotech[[#This Row],[Field Intact Rock Strength]],Table_FieldStrength[],3,FALSE)</f>
        <v>37.5</v>
      </c>
      <c r="BB85" s="63">
        <f>VLOOKUP(Data_Geotech[[#This Row],[Field Intact Rock Strength]],Table_FieldStrength[],4,FALSE)</f>
        <v>50</v>
      </c>
      <c r="BC85" s="63">
        <f>100-Data_Geotech[[#This Row],[RMR76]]</f>
        <v>30.799999999999997</v>
      </c>
      <c r="BD85" s="63" t="str">
        <f>LEFT(Data_Geotech[[#This Row],[Weathering/Alteration]],FIND("-",Data_Geotech[[#This Row],[Weathering/Alteration]])-2)</f>
        <v>W1/A1</v>
      </c>
    </row>
    <row r="86" spans="1:56" ht="15.75" thickBot="1" x14ac:dyDescent="0.3">
      <c r="A86" t="s">
        <v>30</v>
      </c>
      <c r="B86" s="16" t="str">
        <f>VLOOKUP(Data_Geotech[[#This Row],[Hole ID]],Data_Log[],2,FALSE)</f>
        <v>CGF-02</v>
      </c>
      <c r="C86" s="5">
        <v>99</v>
      </c>
      <c r="D86" s="5">
        <v>102</v>
      </c>
      <c r="E86" s="5">
        <f>(Data_Geotech[[#This Row],[To (m)]]-Data_Geotech[[#This Row],[From (m)]])/2+Data_Geotech[[#This Row],[From (m)]]</f>
        <v>100.5</v>
      </c>
      <c r="F86" s="13">
        <f>Data_Geotech[[#This Row],[To (m)]]-Data_Geotech[[#This Row],[From (m)]]</f>
        <v>3</v>
      </c>
      <c r="G86" s="5">
        <v>3</v>
      </c>
      <c r="H86" s="61">
        <f>Data_Geotech[[#This Row],[TCR (m)]]/Data_Geotech[[#This Row],[Run (m)]]*100</f>
        <v>100</v>
      </c>
      <c r="I86" s="151">
        <v>3.05</v>
      </c>
      <c r="J86" s="151">
        <v>3.05</v>
      </c>
      <c r="K86" s="5">
        <f>3.05-0.21</f>
        <v>2.84</v>
      </c>
      <c r="L86" s="61">
        <f>Data_Geotech[[#This Row],[RQD (m)]]/Data_Geotech[[#This Row],[Run Reel (m)]]*100</f>
        <v>93.114754098360649</v>
      </c>
      <c r="M86" t="s">
        <v>580</v>
      </c>
      <c r="O86" t="s">
        <v>243</v>
      </c>
      <c r="P86" s="115" t="s">
        <v>416</v>
      </c>
      <c r="Q86" s="5" t="s">
        <v>313</v>
      </c>
      <c r="R86" s="5"/>
      <c r="S86" s="5">
        <v>0.21</v>
      </c>
      <c r="T86" s="5"/>
      <c r="U86" s="5"/>
      <c r="V86" s="6">
        <v>5</v>
      </c>
      <c r="W86" s="92">
        <f>SUMIFS(Discontinuities!$D$4:$D$9664,Discontinuities!$A$4:$A$9664,A86,Discontinuities!$C$4:$C$9664,"&gt;="&amp;C86,Discontinuities!$C$4:$C$9664,"&lt;"&amp;D86)
-SUMIFS(Discontinuities!$D$4:$D$9664,Discontinuities!$A$4:$A$9664,A86,Discontinuities!$C$4:$C$9664,"&gt;="&amp;C86,Discontinuities!$C$4:$C$9664,"&lt;"&amp;D86,Discontinuities!$E$4:$E$9664,"=BC")
-SUMIFS(Discontinuities!$D$4:$D$9664,Discontinuities!$A$4:$A$9664,A86,Discontinuities!$C$4:$C$9664,"&gt;="&amp;C86,Discontinuities!$C$4:$C$9664,"&lt;"&amp;D86,Discontinuities!$E$4:$E$9664,"=LC")
-SUMIFS(Discontinuities!$D$4:$D$9664,Discontinuities!$A$4:$A$9664,A86,Discontinuities!$C$4:$C$9664,"&gt;="&amp;C86,Discontinuities!$C$4:$C$9664,"&lt;"&amp;D86,Discontinuities!$E$4:$E$9664,"=FLT")</f>
        <v>5</v>
      </c>
      <c r="X86" t="s">
        <v>432</v>
      </c>
      <c r="AA86" s="12"/>
      <c r="AB86" s="43">
        <f>IFERROR(ROUND((Data_Geotech[[#This Row],[Fault (m)]]+Data_Geotech[[#This Row],[Broken Core (m)]]+Data_Geotech[[#This Row],[Lost Core (m)]])*30,0),0)</f>
        <v>6</v>
      </c>
      <c r="AC86" s="44">
        <f>IF(Data_Geotech[[#This Row],[Added fractures 
(BC, FLT, LC)]]+Data_Geotech[[#This Row],[Fracture per interval]]=0,99,1/((Data_Geotech[[#This Row],[Fracture per interval]]+Data_Geotech[[#This Row],[Added fractures 
(BC, FLT, LC)]])/Data_Geotech[[#This Row],[Run (m)]]))</f>
        <v>0.27272727272727276</v>
      </c>
      <c r="AD86" s="155" cm="1">
        <f t="array" ref="AD86">IFERROR(_xlfn.XLOOKUP(1,(A86=PLT!$A$4:$A$8886)*(Geotech!C86&lt;=PLT!$F$4:$F$8886)*(Geotech!D86&gt;=PLT!$F$4:$F$8886)*("Valid"=PLT!$P$4:$P$8886),PLT!$V$4:$V$8886),"")</f>
        <v>0</v>
      </c>
      <c r="AE86" s="156" t="str" cm="1">
        <f t="array" ref="AE86">IFERROR(_xlfn.XLOOKUP(1,(A86=PLT!$A$4:$A$8886)*(Geotech!C86&lt;=PLT!$F$4:$F$8886)*(Geotech!D86&gt;=PLT!$F$4:$F$8886)*(PLT!$V$4:$V$8886&lt;&gt;AD86)*("Valid"=PLT!$P$4:$P$7190),PLT!$V$4:$V$8886),"")</f>
        <v/>
      </c>
      <c r="AF86" s="156" t="str" cm="1">
        <f t="array" ref="AF86">IFERROR(_xlfn.XLOOKUP(1,(A86=PLT!$A$4:$A$8886)*(Geotech!C86&lt;=PLT!$F$4:$F$8886)*(Geotech!D86&gt;=PLT!$F$4:$F$8886)*(PLT!$V$4:$V$8886&lt;&gt;AD86)*(PLT!$V$4:$V$8886&lt;&gt;AE86)*("Valid"=PLT!$P$4:$P$7190),PLT!$V$4:$V$8886),"")</f>
        <v/>
      </c>
      <c r="AG86" s="44">
        <f>IFERROR(IF(AVERAGE(AD86:AF86)&gt;References!$BO$23,References!$BP$23,
IF(AVERAGE(AD86:AF86)&gt;References!$BO$22,References!$BP$22,
IF(AVERAGE(AD86:AF86)&gt;References!$BO$21,References!$BP$21,
IF(AVERAGE(AD86:AF86)&gt;References!$BO$20,References!$BP$20,
IF(AVERAGE(AD86:AF86)&gt;References!$BO$19,References!$BP$19,
IF(AVERAGE(AD86:AF86)&gt;References!$BO$18,References!$BP$18,
0)))))),"")</f>
        <v>0</v>
      </c>
      <c r="AH86" s="43">
        <f>IF(Data_Geotech[[#This Row],[Is50]]="",VLOOKUP(Data_Geotech[[#This Row],[Field Intact Rock Strength]],Table_RMR76_Strength[],2,FALSE),Data_Geotech[[#This Row],[Is50]])</f>
        <v>0</v>
      </c>
      <c r="AI86" s="43">
        <f>IF(Data_Geotech[[#This Row],[RQD (%)]]&lt;=25,3,IF(Data_Geotech[[#This Row],[RQD (%)]]&lt;=50,8,IF(Data_Geotech[[#This Row],[RQD (%)]]&lt;=75,13,IF(Data_Geotech[[#This Row],[RQD (%)]]&lt;=90,17,20))))</f>
        <v>20</v>
      </c>
      <c r="AJ86" s="43">
        <f>IF(Data_Geotech[[#This Row],[Joint spacing (m)]]&lt;=0.05,5,IF(Data_Geotech[[#This Row],[Joint spacing (m)]]&lt;=0.3,10,IF(Data_Geotech[[#This Row],[Joint spacing (m)]]&lt;=1,20,IF(Data_Geotech[[#This Row],[Joint spacing (m)]]&lt;=3,25,30))))</f>
        <v>10</v>
      </c>
      <c r="AK8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17.8</v>
      </c>
      <c r="AL86" s="6">
        <v>10</v>
      </c>
      <c r="AM86" s="117">
        <f>IF(Data_Geotech[[#This Row],[FIRS Code]]="R",IFERROR(SUM(Data_Geotech[[#This Row],[RMR76 - Strength rating]:[RMR76 - Ground water rating]]),""),"")</f>
        <v>57.8</v>
      </c>
      <c r="AN86" s="39">
        <f>IF(Data_Geotech[[#This Row],[FIRS Code]]="R",(2*Data_Geotech[[#This Row],[RMR76 - Joint condition rating]])+(IF(Data_Geotech[[#This Row],[RQD (%)]]&gt;80,80/2,Data_Geotech[[#This Row],[RQD (%)]]/2)),"")</f>
        <v>75.599999999999994</v>
      </c>
      <c r="AO86" s="43" t="str">
        <f>LEFT(Data_Geotech[[#This Row],[Joint Set Rating]],FIND("-",Data_Geotech[[#This Row],[Joint Set Rating]],1)-2)</f>
        <v>12</v>
      </c>
      <c r="AP8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86" s="5">
        <f t="shared" si="0"/>
        <v>1</v>
      </c>
      <c r="AR86" s="49">
        <f>IF(Data_Geotech[[#This Row],[FIRS Code]]="R",IFERROR((IF(Data_Geotech[[#This Row],[RQD (%)]]&lt;10,10,Data_Geotech[[#This Row],[RQD (%)]])/Data_Geotech[[#This Row],[Jn rating]])*Data_Geotech[[#This Row],[Jr/Ja]],""),"")</f>
        <v>7.7595628415300544</v>
      </c>
      <c r="AS86" s="45">
        <f>IF(Data_Geotech[[#This Row],[FIRS Code]]="R",IFERROR((IF(Data_Geotech[[#This Row],[RQD (%)]]&lt;10,10,Data_Geotech[[#This Row],[RQD (%)]])/Data_Geotech[[#This Row],[Jn rating]])*Data_Geotech[[#This Row],[Jr/Ja]]*Data_Geotech[[#This Row],[Jw/SRF]],""),"")</f>
        <v>7.7595628415300544</v>
      </c>
      <c r="AT86" s="12"/>
      <c r="AU86" s="13">
        <f>100-Data_Geotech[[#This Row],[RQD (%)]]</f>
        <v>6.885245901639351</v>
      </c>
      <c r="AV86" s="13">
        <f>100-Data_Geotech[[#This Row],[TCR (%)]]</f>
        <v>0</v>
      </c>
      <c r="AW86" s="62">
        <f>(Data_Geotech[[#This Row],[Fracture per interval]]+Data_Geotech[[#This Row],[Added fractures 
(BC, FLT, LC)]])/Data_Geotech[[#This Row],[TCR (m)]]</f>
        <v>3.6666666666666665</v>
      </c>
      <c r="AX86" s="6" t="s">
        <v>109</v>
      </c>
      <c r="AY86" s="63">
        <f>7-MID(Data_Geotech[[#This Row],[Field Intact Rock Strength]],2,1)</f>
        <v>1</v>
      </c>
      <c r="AZ86" s="63">
        <f>VLOOKUP(Data_Geotech[[#This Row],[Field Intact Rock Strength]],Table_FieldStrength[],2,FALSE)</f>
        <v>250</v>
      </c>
      <c r="BA86" s="63">
        <f>VLOOKUP(Data_Geotech[[#This Row],[Field Intact Rock Strength]],Table_FieldStrength[],3,FALSE)</f>
        <v>275</v>
      </c>
      <c r="BB86" s="63">
        <f>VLOOKUP(Data_Geotech[[#This Row],[Field Intact Rock Strength]],Table_FieldStrength[],4,FALSE)</f>
        <v>300</v>
      </c>
      <c r="BC86" s="63">
        <f>100-Data_Geotech[[#This Row],[RMR76]]</f>
        <v>42.2</v>
      </c>
      <c r="BD86" s="63" t="str">
        <f>LEFT(Data_Geotech[[#This Row],[Weathering/Alteration]],FIND("-",Data_Geotech[[#This Row],[Weathering/Alteration]])-2)</f>
        <v>W1/A1</v>
      </c>
    </row>
    <row r="87" spans="1:56" ht="15.75" thickBot="1" x14ac:dyDescent="0.3">
      <c r="A87" t="s">
        <v>30</v>
      </c>
      <c r="B87" s="16" t="str">
        <f>VLOOKUP(Data_Geotech[[#This Row],[Hole ID]],Data_Log[],2,FALSE)</f>
        <v>CGF-02</v>
      </c>
      <c r="C87" s="5">
        <v>102</v>
      </c>
      <c r="D87" s="5">
        <v>103.8</v>
      </c>
      <c r="E87" s="5">
        <f>(Data_Geotech[[#This Row],[To (m)]]-Data_Geotech[[#This Row],[From (m)]])/2+Data_Geotech[[#This Row],[From (m)]]</f>
        <v>102.9</v>
      </c>
      <c r="F87" s="13">
        <f>Data_Geotech[[#This Row],[To (m)]]-Data_Geotech[[#This Row],[From (m)]]</f>
        <v>1.7999999999999972</v>
      </c>
      <c r="G87" s="5">
        <v>1.8</v>
      </c>
      <c r="H87" s="61">
        <f>Data_Geotech[[#This Row],[TCR (m)]]/Data_Geotech[[#This Row],[Run (m)]]*100</f>
        <v>100.00000000000016</v>
      </c>
      <c r="I87" s="151">
        <v>1.84</v>
      </c>
      <c r="J87" s="151">
        <v>1.84</v>
      </c>
      <c r="K87" s="5">
        <v>1.84</v>
      </c>
      <c r="L87" s="61">
        <f>Data_Geotech[[#This Row],[RQD (m)]]/Data_Geotech[[#This Row],[Run Reel (m)]]*100</f>
        <v>100</v>
      </c>
      <c r="M87" t="s">
        <v>580</v>
      </c>
      <c r="O87" t="s">
        <v>278</v>
      </c>
      <c r="P87" s="115" t="s">
        <v>416</v>
      </c>
      <c r="Q87" s="5" t="s">
        <v>313</v>
      </c>
      <c r="R87" s="5"/>
      <c r="S87" s="5"/>
      <c r="T87" s="5"/>
      <c r="U87" s="5"/>
      <c r="V87" s="6">
        <v>1</v>
      </c>
      <c r="W87" s="92">
        <f>SUMIFS(Discontinuities!$D$4:$D$9664,Discontinuities!$A$4:$A$9664,A87,Discontinuities!$C$4:$C$9664,"&gt;="&amp;C87,Discontinuities!$C$4:$C$9664,"&lt;"&amp;D87)
-SUMIFS(Discontinuities!$D$4:$D$9664,Discontinuities!$A$4:$A$9664,A87,Discontinuities!$C$4:$C$9664,"&gt;="&amp;C87,Discontinuities!$C$4:$C$9664,"&lt;"&amp;D87,Discontinuities!$E$4:$E$9664,"=BC")
-SUMIFS(Discontinuities!$D$4:$D$9664,Discontinuities!$A$4:$A$9664,A87,Discontinuities!$C$4:$C$9664,"&gt;="&amp;C87,Discontinuities!$C$4:$C$9664,"&lt;"&amp;D87,Discontinuities!$E$4:$E$9664,"=LC")
-SUMIFS(Discontinuities!$D$4:$D$9664,Discontinuities!$A$4:$A$9664,A87,Discontinuities!$C$4:$C$9664,"&gt;="&amp;C87,Discontinuities!$C$4:$C$9664,"&lt;"&amp;D87,Discontinuities!$E$4:$E$9664,"=FLT")</f>
        <v>1</v>
      </c>
      <c r="X87" t="s">
        <v>400</v>
      </c>
      <c r="Z87" t="s">
        <v>596</v>
      </c>
      <c r="AA87" s="12"/>
      <c r="AB87" s="43">
        <f>IFERROR(ROUND((Data_Geotech[[#This Row],[Fault (m)]]+Data_Geotech[[#This Row],[Broken Core (m)]]+Data_Geotech[[#This Row],[Lost Core (m)]])*30,0),0)</f>
        <v>0</v>
      </c>
      <c r="AC87" s="44">
        <f>IF(Data_Geotech[[#This Row],[Added fractures 
(BC, FLT, LC)]]+Data_Geotech[[#This Row],[Fracture per interval]]=0,99,1/((Data_Geotech[[#This Row],[Fracture per interval]]+Data_Geotech[[#This Row],[Added fractures 
(BC, FLT, LC)]])/Data_Geotech[[#This Row],[Run (m)]]))</f>
        <v>1.7999999999999969</v>
      </c>
      <c r="AD87" s="155" cm="1">
        <f t="array" ref="AD87">IFERROR(_xlfn.XLOOKUP(1,(A87=PLT!$A$4:$A$8886)*(Geotech!C87&lt;=PLT!$F$4:$F$8886)*(Geotech!D87&gt;=PLT!$F$4:$F$8886)*("Valid"=PLT!$P$4:$P$8886),PLT!$V$4:$V$8886),"")</f>
        <v>0</v>
      </c>
      <c r="AE87" s="156" t="str" cm="1">
        <f t="array" ref="AE87">IFERROR(_xlfn.XLOOKUP(1,(A87=PLT!$A$4:$A$8886)*(Geotech!C87&lt;=PLT!$F$4:$F$8886)*(Geotech!D87&gt;=PLT!$F$4:$F$8886)*(PLT!$V$4:$V$8886&lt;&gt;AD87)*("Valid"=PLT!$P$4:$P$7190),PLT!$V$4:$V$8886),"")</f>
        <v/>
      </c>
      <c r="AF87" s="156" t="str" cm="1">
        <f t="array" ref="AF87">IFERROR(_xlfn.XLOOKUP(1,(A87=PLT!$A$4:$A$8886)*(Geotech!C87&lt;=PLT!$F$4:$F$8886)*(Geotech!D87&gt;=PLT!$F$4:$F$8886)*(PLT!$V$4:$V$8886&lt;&gt;AD87)*(PLT!$V$4:$V$8886&lt;&gt;AE87)*("Valid"=PLT!$P$4:$P$7190),PLT!$V$4:$V$8886),"")</f>
        <v/>
      </c>
      <c r="AG87" s="44">
        <f>IFERROR(IF(AVERAGE(AD87:AF87)&gt;References!$BO$23,References!$BP$23,
IF(AVERAGE(AD87:AF87)&gt;References!$BO$22,References!$BP$22,
IF(AVERAGE(AD87:AF87)&gt;References!$BO$21,References!$BP$21,
IF(AVERAGE(AD87:AF87)&gt;References!$BO$20,References!$BP$20,
IF(AVERAGE(AD87:AF87)&gt;References!$BO$19,References!$BP$19,
IF(AVERAGE(AD87:AF87)&gt;References!$BO$18,References!$BP$18,
0)))))),"")</f>
        <v>0</v>
      </c>
      <c r="AH87" s="43">
        <f>IF(Data_Geotech[[#This Row],[Is50]]="",VLOOKUP(Data_Geotech[[#This Row],[Field Intact Rock Strength]],Table_RMR76_Strength[],2,FALSE),Data_Geotech[[#This Row],[Is50]])</f>
        <v>0</v>
      </c>
      <c r="AI87" s="43">
        <f>IF(Data_Geotech[[#This Row],[RQD (%)]]&lt;=25,3,IF(Data_Geotech[[#This Row],[RQD (%)]]&lt;=50,8,IF(Data_Geotech[[#This Row],[RQD (%)]]&lt;=75,13,IF(Data_Geotech[[#This Row],[RQD (%)]]&lt;=90,17,20))))</f>
        <v>20</v>
      </c>
      <c r="AJ87" s="43">
        <f>IF(Data_Geotech[[#This Row],[Joint spacing (m)]]&lt;=0.05,5,IF(Data_Geotech[[#This Row],[Joint spacing (m)]]&lt;=0.3,10,IF(Data_Geotech[[#This Row],[Joint spacing (m)]]&lt;=1,20,IF(Data_Geotech[[#This Row],[Joint spacing (m)]]&lt;=3,25,30))))</f>
        <v>25</v>
      </c>
      <c r="AK8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87" s="6">
        <v>10</v>
      </c>
      <c r="AM87" s="117">
        <f>IF(Data_Geotech[[#This Row],[FIRS Code]]="R",IFERROR(SUM(Data_Geotech[[#This Row],[RMR76 - Strength rating]:[RMR76 - Ground water rating]]),""),"")</f>
        <v>61</v>
      </c>
      <c r="AN87" s="39">
        <f>IF(Data_Geotech[[#This Row],[FIRS Code]]="R",(2*Data_Geotech[[#This Row],[RMR76 - Joint condition rating]])+(IF(Data_Geotech[[#This Row],[RQD (%)]]&gt;80,80/2,Data_Geotech[[#This Row],[RQD (%)]]/2)),"")</f>
        <v>52</v>
      </c>
      <c r="AO87" s="43" t="str">
        <f>LEFT(Data_Geotech[[#This Row],[Joint Set Rating]],FIND("-",Data_Geotech[[#This Row],[Joint Set Rating]],1)-2)</f>
        <v>6</v>
      </c>
      <c r="AP8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v>
      </c>
      <c r="AQ87" s="5">
        <f t="shared" si="0"/>
        <v>1</v>
      </c>
      <c r="AR87" s="49">
        <f>IF(Data_Geotech[[#This Row],[FIRS Code]]="R",IFERROR((IF(Data_Geotech[[#This Row],[RQD (%)]]&lt;10,10,Data_Geotech[[#This Row],[RQD (%)]])/Data_Geotech[[#This Row],[Jn rating]])*Data_Geotech[[#This Row],[Jr/Ja]],""),"")</f>
        <v>8.3333333333333339</v>
      </c>
      <c r="AS87" s="45">
        <f>IF(Data_Geotech[[#This Row],[FIRS Code]]="R",IFERROR((IF(Data_Geotech[[#This Row],[RQD (%)]]&lt;10,10,Data_Geotech[[#This Row],[RQD (%)]])/Data_Geotech[[#This Row],[Jn rating]])*Data_Geotech[[#This Row],[Jr/Ja]]*Data_Geotech[[#This Row],[Jw/SRF]],""),"")</f>
        <v>8.3333333333333339</v>
      </c>
      <c r="AT87" s="12"/>
      <c r="AU87" s="13">
        <f>100-Data_Geotech[[#This Row],[RQD (%)]]</f>
        <v>0</v>
      </c>
      <c r="AV87" s="13">
        <f>100-Data_Geotech[[#This Row],[TCR (%)]]</f>
        <v>-1.5631940186722204E-13</v>
      </c>
      <c r="AW87" s="62">
        <f>(Data_Geotech[[#This Row],[Fracture per interval]]+Data_Geotech[[#This Row],[Added fractures 
(BC, FLT, LC)]])/Data_Geotech[[#This Row],[TCR (m)]]</f>
        <v>0.55555555555555558</v>
      </c>
      <c r="AX87" s="6" t="s">
        <v>109</v>
      </c>
      <c r="AY87" s="63">
        <f>7-MID(Data_Geotech[[#This Row],[Field Intact Rock Strength]],2,1)</f>
        <v>1</v>
      </c>
      <c r="AZ87" s="63">
        <f>VLOOKUP(Data_Geotech[[#This Row],[Field Intact Rock Strength]],Table_FieldStrength[],2,FALSE)</f>
        <v>250</v>
      </c>
      <c r="BA87" s="63">
        <f>VLOOKUP(Data_Geotech[[#This Row],[Field Intact Rock Strength]],Table_FieldStrength[],3,FALSE)</f>
        <v>275</v>
      </c>
      <c r="BB87" s="63">
        <f>VLOOKUP(Data_Geotech[[#This Row],[Field Intact Rock Strength]],Table_FieldStrength[],4,FALSE)</f>
        <v>300</v>
      </c>
      <c r="BC87" s="63">
        <f>100-Data_Geotech[[#This Row],[RMR76]]</f>
        <v>39</v>
      </c>
      <c r="BD87" s="63" t="str">
        <f>LEFT(Data_Geotech[[#This Row],[Weathering/Alteration]],FIND("-",Data_Geotech[[#This Row],[Weathering/Alteration]])-2)</f>
        <v>W2/A2</v>
      </c>
    </row>
    <row r="88" spans="1:56" s="91" customFormat="1" ht="15.75" thickBot="1" x14ac:dyDescent="0.3">
      <c r="A88" s="91" t="s">
        <v>30</v>
      </c>
      <c r="B88" s="167" t="str">
        <f>VLOOKUP(Data_Geotech[[#This Row],[Hole ID]],Data_Log[],2,FALSE)</f>
        <v>CGF-02</v>
      </c>
      <c r="C88" s="155">
        <v>103.8</v>
      </c>
      <c r="D88" s="155">
        <v>105</v>
      </c>
      <c r="E88" s="155">
        <f>(Data_Geotech[[#This Row],[To (m)]]-Data_Geotech[[#This Row],[From (m)]])/2+Data_Geotech[[#This Row],[From (m)]]</f>
        <v>104.4</v>
      </c>
      <c r="F88" s="155">
        <f>Data_Geotech[[#This Row],[To (m)]]-Data_Geotech[[#This Row],[From (m)]]</f>
        <v>1.2000000000000028</v>
      </c>
      <c r="G88" s="155">
        <v>1.2</v>
      </c>
      <c r="H88" s="168">
        <f>Data_Geotech[[#This Row],[TCR (m)]]/Data_Geotech[[#This Row],[Run (m)]]*100</f>
        <v>99.999999999999758</v>
      </c>
      <c r="I88" s="168">
        <v>1.25</v>
      </c>
      <c r="J88" s="168">
        <v>1.25</v>
      </c>
      <c r="K88" s="155">
        <v>1.19</v>
      </c>
      <c r="L88" s="168">
        <f>Data_Geotech[[#This Row],[RQD (m)]]/Data_Geotech[[#This Row],[Run Reel (m)]]*100</f>
        <v>95.199999999999989</v>
      </c>
      <c r="M88" s="91" t="s">
        <v>584</v>
      </c>
      <c r="O88" s="91" t="s">
        <v>243</v>
      </c>
      <c r="P88" s="169" t="s">
        <v>397</v>
      </c>
      <c r="Q88" s="155" t="s">
        <v>313</v>
      </c>
      <c r="R88" s="155"/>
      <c r="S88" s="155"/>
      <c r="T88" s="155"/>
      <c r="U88" s="155"/>
      <c r="V88" s="148">
        <v>4</v>
      </c>
      <c r="W88" s="170">
        <f>SUMIFS(Discontinuities!$D$4:$D$9664,Discontinuities!$A$4:$A$9664,A88,Discontinuities!$C$4:$C$9664,"&gt;="&amp;C88,Discontinuities!$C$4:$C$9664,"&lt;"&amp;D88)
-SUMIFS(Discontinuities!$D$4:$D$9664,Discontinuities!$A$4:$A$9664,A88,Discontinuities!$C$4:$C$9664,"&gt;="&amp;C88,Discontinuities!$C$4:$C$9664,"&lt;"&amp;D88,Discontinuities!$E$4:$E$9664,"=BC")
-SUMIFS(Discontinuities!$D$4:$D$9664,Discontinuities!$A$4:$A$9664,A88,Discontinuities!$C$4:$C$9664,"&gt;="&amp;C88,Discontinuities!$C$4:$C$9664,"&lt;"&amp;D88,Discontinuities!$E$4:$E$9664,"=LC")
-SUMIFS(Discontinuities!$D$4:$D$9664,Discontinuities!$A$4:$A$9664,A88,Discontinuities!$C$4:$C$9664,"&gt;="&amp;C88,Discontinuities!$C$4:$C$9664,"&lt;"&amp;D88,Discontinuities!$E$4:$E$9664,"=FLT")</f>
        <v>4</v>
      </c>
      <c r="X88" s="91" t="s">
        <v>400</v>
      </c>
      <c r="Y88" s="148"/>
      <c r="AB88" s="171">
        <f>IFERROR(ROUND((Data_Geotech[[#This Row],[Fault (m)]]+Data_Geotech[[#This Row],[Broken Core (m)]]+Data_Geotech[[#This Row],[Lost Core (m)]])*30,0),0)</f>
        <v>0</v>
      </c>
      <c r="AC88" s="172">
        <f>IF(Data_Geotech[[#This Row],[Added fractures 
(BC, FLT, LC)]]+Data_Geotech[[#This Row],[Fracture per interval]]=0,99,1/((Data_Geotech[[#This Row],[Fracture per interval]]+Data_Geotech[[#This Row],[Added fractures 
(BC, FLT, LC)]])/Data_Geotech[[#This Row],[Run (m)]]))</f>
        <v>0.30000000000000071</v>
      </c>
      <c r="AD88" s="155" cm="1">
        <f t="array" ref="AD88">IFERROR(_xlfn.XLOOKUP(1,(A88=PLT!$A$4:$A$8886)*(Geotech!C88&lt;=PLT!$F$4:$F$8886)*(Geotech!D88&gt;=PLT!$F$4:$F$8886)*("Valid"=PLT!$P$4:$P$8886),PLT!$V$4:$V$8886),"")</f>
        <v>0</v>
      </c>
      <c r="AE88" s="156" t="str" cm="1">
        <f t="array" ref="AE88">IFERROR(_xlfn.XLOOKUP(1,(A88=PLT!$A$4:$A$8886)*(Geotech!C88&lt;=PLT!$F$4:$F$8886)*(Geotech!D88&gt;=PLT!$F$4:$F$8886)*(PLT!$V$4:$V$8886&lt;&gt;AD88)*("Valid"=PLT!$P$4:$P$7190),PLT!$V$4:$V$8886),"")</f>
        <v/>
      </c>
      <c r="AF88" s="156" t="str" cm="1">
        <f t="array" ref="AF88">IFERROR(_xlfn.XLOOKUP(1,(A88=PLT!$A$4:$A$8886)*(Geotech!C88&lt;=PLT!$F$4:$F$8886)*(Geotech!D88&gt;=PLT!$F$4:$F$8886)*(PLT!$V$4:$V$8886&lt;&gt;AD88)*(PLT!$V$4:$V$8886&lt;&gt;AE88)*("Valid"=PLT!$P$4:$P$7190),PLT!$V$4:$V$8886),"")</f>
        <v/>
      </c>
      <c r="AG88" s="172">
        <f>IFERROR(IF(AVERAGE(AD88:AF88)&gt;References!$BO$23,References!$BP$23,
IF(AVERAGE(AD88:AF88)&gt;References!$BO$22,References!$BP$22,
IF(AVERAGE(AD88:AF88)&gt;References!$BO$21,References!$BP$21,
IF(AVERAGE(AD88:AF88)&gt;References!$BO$20,References!$BP$20,
IF(AVERAGE(AD88:AF88)&gt;References!$BO$19,References!$BP$19,
IF(AVERAGE(AD88:AF88)&gt;References!$BO$18,References!$BP$18,
0)))))),"")</f>
        <v>0</v>
      </c>
      <c r="AH88" s="171">
        <f>IF(Data_Geotech[[#This Row],[Is50]]="",VLOOKUP(Data_Geotech[[#This Row],[Field Intact Rock Strength]],Table_RMR76_Strength[],2,FALSE),Data_Geotech[[#This Row],[Is50]])</f>
        <v>0</v>
      </c>
      <c r="AI88" s="171">
        <f>IF(Data_Geotech[[#This Row],[RQD (%)]]&lt;=25,3,IF(Data_Geotech[[#This Row],[RQD (%)]]&lt;=50,8,IF(Data_Geotech[[#This Row],[RQD (%)]]&lt;=75,13,IF(Data_Geotech[[#This Row],[RQD (%)]]&lt;=90,17,20))))</f>
        <v>20</v>
      </c>
      <c r="AJ88" s="171">
        <f>IF(Data_Geotech[[#This Row],[Joint spacing (m)]]&lt;=0.05,5,IF(Data_Geotech[[#This Row],[Joint spacing (m)]]&lt;=0.3,10,IF(Data_Geotech[[#This Row],[Joint spacing (m)]]&lt;=1,20,IF(Data_Geotech[[#This Row],[Joint spacing (m)]]&lt;=3,25,30))))</f>
        <v>20</v>
      </c>
      <c r="AK88"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21.25</v>
      </c>
      <c r="AL88" s="148">
        <v>10</v>
      </c>
      <c r="AM88" s="173">
        <f>IF(Data_Geotech[[#This Row],[FIRS Code]]="R",IFERROR(SUM(Data_Geotech[[#This Row],[RMR76 - Strength rating]:[RMR76 - Ground water rating]]),""),"")</f>
        <v>71.25</v>
      </c>
      <c r="AN88" s="174">
        <f>IF(Data_Geotech[[#This Row],[FIRS Code]]="R",(2*Data_Geotech[[#This Row],[RMR76 - Joint condition rating]])+(IF(Data_Geotech[[#This Row],[RQD (%)]]&gt;80,80/2,Data_Geotech[[#This Row],[RQD (%)]]/2)),"")</f>
        <v>82.5</v>
      </c>
      <c r="AO88" s="171" t="str">
        <f>LEFT(Data_Geotech[[#This Row],[Joint Set Rating]],FIND("-",Data_Geotech[[#This Row],[Joint Set Rating]],1)-2)</f>
        <v>6</v>
      </c>
      <c r="AP88"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88" s="155">
        <f t="shared" si="0"/>
        <v>1</v>
      </c>
      <c r="AR88" s="175">
        <f>IF(Data_Geotech[[#This Row],[FIRS Code]]="R",IFERROR((IF(Data_Geotech[[#This Row],[RQD (%)]]&lt;10,10,Data_Geotech[[#This Row],[RQD (%)]])/Data_Geotech[[#This Row],[Jn rating]])*Data_Geotech[[#This Row],[Jr/Ja]],""),"")</f>
        <v>23.799999999999997</v>
      </c>
      <c r="AS88" s="176">
        <f>IF(Data_Geotech[[#This Row],[FIRS Code]]="R",IFERROR((IF(Data_Geotech[[#This Row],[RQD (%)]]&lt;10,10,Data_Geotech[[#This Row],[RQD (%)]])/Data_Geotech[[#This Row],[Jn rating]])*Data_Geotech[[#This Row],[Jr/Ja]]*Data_Geotech[[#This Row],[Jw/SRF]],""),"")</f>
        <v>23.799999999999997</v>
      </c>
      <c r="AU88" s="155">
        <f>100-Data_Geotech[[#This Row],[RQD (%)]]</f>
        <v>4.8000000000000114</v>
      </c>
      <c r="AV88" s="155">
        <f>100-Data_Geotech[[#This Row],[TCR (%)]]</f>
        <v>2.4158453015843406E-13</v>
      </c>
      <c r="AW88" s="170">
        <f>(Data_Geotech[[#This Row],[Fracture per interval]]+Data_Geotech[[#This Row],[Added fractures 
(BC, FLT, LC)]])/Data_Geotech[[#This Row],[TCR (m)]]</f>
        <v>3.3333333333333335</v>
      </c>
      <c r="AX88" s="148" t="s">
        <v>109</v>
      </c>
      <c r="AY88" s="148">
        <f>7-MID(Data_Geotech[[#This Row],[Field Intact Rock Strength]],2,1)</f>
        <v>2</v>
      </c>
      <c r="AZ88" s="148">
        <f>VLOOKUP(Data_Geotech[[#This Row],[Field Intact Rock Strength]],Table_FieldStrength[],2,FALSE)</f>
        <v>100</v>
      </c>
      <c r="BA88" s="148">
        <f>VLOOKUP(Data_Geotech[[#This Row],[Field Intact Rock Strength]],Table_FieldStrength[],3,FALSE)</f>
        <v>175</v>
      </c>
      <c r="BB88" s="148">
        <f>VLOOKUP(Data_Geotech[[#This Row],[Field Intact Rock Strength]],Table_FieldStrength[],4,FALSE)</f>
        <v>250</v>
      </c>
      <c r="BC88" s="148">
        <f>100-Data_Geotech[[#This Row],[RMR76]]</f>
        <v>28.75</v>
      </c>
      <c r="BD88" s="148" t="str">
        <f>LEFT(Data_Geotech[[#This Row],[Weathering/Alteration]],FIND("-",Data_Geotech[[#This Row],[Weathering/Alteration]])-2)</f>
        <v>W1/A1</v>
      </c>
    </row>
    <row r="89" spans="1:56" ht="15.75" thickBot="1" x14ac:dyDescent="0.3">
      <c r="A89" t="s">
        <v>30</v>
      </c>
      <c r="B89" s="16" t="str">
        <f>VLOOKUP(Data_Geotech[[#This Row],[Hole ID]],Data_Log[],2,FALSE)</f>
        <v>CGF-02</v>
      </c>
      <c r="C89" s="5">
        <v>105</v>
      </c>
      <c r="D89" s="5">
        <v>106.36</v>
      </c>
      <c r="E89" s="5">
        <f>(Data_Geotech[[#This Row],[To (m)]]-Data_Geotech[[#This Row],[From (m)]])/2+Data_Geotech[[#This Row],[From (m)]]</f>
        <v>105.68</v>
      </c>
      <c r="F89" s="13">
        <f>Data_Geotech[[#This Row],[To (m)]]-Data_Geotech[[#This Row],[From (m)]]</f>
        <v>1.3599999999999994</v>
      </c>
      <c r="G89" s="5">
        <v>1.36</v>
      </c>
      <c r="H89" s="61">
        <f>Data_Geotech[[#This Row],[TCR (m)]]/Data_Geotech[[#This Row],[Run (m)]]*100</f>
        <v>100.00000000000004</v>
      </c>
      <c r="I89" s="151">
        <v>1.36</v>
      </c>
      <c r="J89" s="151">
        <v>1.36</v>
      </c>
      <c r="K89" s="5">
        <v>1.36</v>
      </c>
      <c r="L89" s="61">
        <f>Data_Geotech[[#This Row],[RQD (m)]]/Data_Geotech[[#This Row],[Run Reel (m)]]*100</f>
        <v>100</v>
      </c>
      <c r="M89" t="s">
        <v>584</v>
      </c>
      <c r="O89" t="s">
        <v>243</v>
      </c>
      <c r="P89" s="115" t="s">
        <v>416</v>
      </c>
      <c r="Q89" s="5" t="s">
        <v>281</v>
      </c>
      <c r="R89" s="5"/>
      <c r="S89" s="5"/>
      <c r="T89" s="5"/>
      <c r="U89" s="5"/>
      <c r="V89" s="6">
        <v>2</v>
      </c>
      <c r="W89" s="92">
        <f>SUMIFS(Discontinuities!$D$4:$D$9664,Discontinuities!$A$4:$A$9664,A89,Discontinuities!$C$4:$C$9664,"&gt;="&amp;C89,Discontinuities!$C$4:$C$9664,"&lt;"&amp;D89)
-SUMIFS(Discontinuities!$D$4:$D$9664,Discontinuities!$A$4:$A$9664,A89,Discontinuities!$C$4:$C$9664,"&gt;="&amp;C89,Discontinuities!$C$4:$C$9664,"&lt;"&amp;D89,Discontinuities!$E$4:$E$9664,"=BC")
-SUMIFS(Discontinuities!$D$4:$D$9664,Discontinuities!$A$4:$A$9664,A89,Discontinuities!$C$4:$C$9664,"&gt;="&amp;C89,Discontinuities!$C$4:$C$9664,"&lt;"&amp;D89,Discontinuities!$E$4:$E$9664,"=LC")
-SUMIFS(Discontinuities!$D$4:$D$9664,Discontinuities!$A$4:$A$9664,A89,Discontinuities!$C$4:$C$9664,"&gt;="&amp;C89,Discontinuities!$C$4:$C$9664,"&lt;"&amp;D89,Discontinuities!$E$4:$E$9664,"=FLT")</f>
        <v>2</v>
      </c>
      <c r="X89" t="s">
        <v>312</v>
      </c>
      <c r="Z89" t="s">
        <v>597</v>
      </c>
      <c r="AA89" s="12"/>
      <c r="AB89" s="43">
        <f>IFERROR(ROUND((Data_Geotech[[#This Row],[Fault (m)]]+Data_Geotech[[#This Row],[Broken Core (m)]]+Data_Geotech[[#This Row],[Lost Core (m)]])*30,0),0)</f>
        <v>0</v>
      </c>
      <c r="AC89" s="44">
        <f>IF(Data_Geotech[[#This Row],[Added fractures 
(BC, FLT, LC)]]+Data_Geotech[[#This Row],[Fracture per interval]]=0,99,1/((Data_Geotech[[#This Row],[Fracture per interval]]+Data_Geotech[[#This Row],[Added fractures 
(BC, FLT, LC)]])/Data_Geotech[[#This Row],[Run (m)]]))</f>
        <v>0.67999999999999972</v>
      </c>
      <c r="AD89" s="155" cm="1">
        <f t="array" ref="AD89">IFERROR(_xlfn.XLOOKUP(1,(A89=PLT!$A$4:$A$8886)*(Geotech!C89&lt;=PLT!$F$4:$F$8886)*(Geotech!D89&gt;=PLT!$F$4:$F$8886)*("Valid"=PLT!$P$4:$P$8886),PLT!$V$4:$V$8886),"")</f>
        <v>0</v>
      </c>
      <c r="AE89" s="156" t="str" cm="1">
        <f t="array" ref="AE89">IFERROR(_xlfn.XLOOKUP(1,(A89=PLT!$A$4:$A$8886)*(Geotech!C89&lt;=PLT!$F$4:$F$8886)*(Geotech!D89&gt;=PLT!$F$4:$F$8886)*(PLT!$V$4:$V$8886&lt;&gt;AD89)*("Valid"=PLT!$P$4:$P$7190),PLT!$V$4:$V$8886),"")</f>
        <v/>
      </c>
      <c r="AF89" s="156" t="str" cm="1">
        <f t="array" ref="AF89">IFERROR(_xlfn.XLOOKUP(1,(A89=PLT!$A$4:$A$8886)*(Geotech!C89&lt;=PLT!$F$4:$F$8886)*(Geotech!D89&gt;=PLT!$F$4:$F$8886)*(PLT!$V$4:$V$8886&lt;&gt;AD89)*(PLT!$V$4:$V$8886&lt;&gt;AE89)*("Valid"=PLT!$P$4:$P$7190),PLT!$V$4:$V$8886),"")</f>
        <v/>
      </c>
      <c r="AG89" s="44">
        <f>IFERROR(IF(AVERAGE(AD89:AF89)&gt;References!$BO$23,References!$BP$23,
IF(AVERAGE(AD89:AF89)&gt;References!$BO$22,References!$BP$22,
IF(AVERAGE(AD89:AF89)&gt;References!$BO$21,References!$BP$21,
IF(AVERAGE(AD89:AF89)&gt;References!$BO$20,References!$BP$20,
IF(AVERAGE(AD89:AF89)&gt;References!$BO$19,References!$BP$19,
IF(AVERAGE(AD89:AF89)&gt;References!$BO$18,References!$BP$18,
0)))))),"")</f>
        <v>0</v>
      </c>
      <c r="AH89" s="43">
        <f>IF(Data_Geotech[[#This Row],[Is50]]="",VLOOKUP(Data_Geotech[[#This Row],[Field Intact Rock Strength]],Table_RMR76_Strength[],2,FALSE),Data_Geotech[[#This Row],[Is50]])</f>
        <v>0</v>
      </c>
      <c r="AI89" s="43">
        <f>IF(Data_Geotech[[#This Row],[RQD (%)]]&lt;=25,3,IF(Data_Geotech[[#This Row],[RQD (%)]]&lt;=50,8,IF(Data_Geotech[[#This Row],[RQD (%)]]&lt;=75,13,IF(Data_Geotech[[#This Row],[RQD (%)]]&lt;=90,17,20))))</f>
        <v>20</v>
      </c>
      <c r="AJ89" s="43">
        <f>IF(Data_Geotech[[#This Row],[Joint spacing (m)]]&lt;=0.05,5,IF(Data_Geotech[[#This Row],[Joint spacing (m)]]&lt;=0.3,10,IF(Data_Geotech[[#This Row],[Joint spacing (m)]]&lt;=1,20,IF(Data_Geotech[[#This Row],[Joint spacing (m)]]&lt;=3,25,30))))</f>
        <v>20</v>
      </c>
      <c r="AK8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89" s="6">
        <v>10</v>
      </c>
      <c r="AM89" s="117">
        <f>IF(Data_Geotech[[#This Row],[FIRS Code]]="R",IFERROR(SUM(Data_Geotech[[#This Row],[RMR76 - Strength rating]:[RMR76 - Ground water rating]]),""),"")</f>
        <v>70</v>
      </c>
      <c r="AN89" s="39">
        <f>IF(Data_Geotech[[#This Row],[FIRS Code]]="R",(2*Data_Geotech[[#This Row],[RMR76 - Joint condition rating]])+(IF(Data_Geotech[[#This Row],[RQD (%)]]&gt;80,80/2,Data_Geotech[[#This Row],[RQD (%)]]/2)),"")</f>
        <v>80</v>
      </c>
      <c r="AO89" s="43" t="str">
        <f>LEFT(Data_Geotech[[#This Row],[Joint Set Rating]],FIND("-",Data_Geotech[[#This Row],[Joint Set Rating]],1)-2)</f>
        <v>2</v>
      </c>
      <c r="AP8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89" s="5">
        <f t="shared" si="0"/>
        <v>1</v>
      </c>
      <c r="AR89" s="49">
        <f>IF(Data_Geotech[[#This Row],[FIRS Code]]="R",IFERROR((IF(Data_Geotech[[#This Row],[RQD (%)]]&lt;10,10,Data_Geotech[[#This Row],[RQD (%)]])/Data_Geotech[[#This Row],[Jn rating]])*Data_Geotech[[#This Row],[Jr/Ja]],""),"")</f>
        <v>50</v>
      </c>
      <c r="AS89" s="45">
        <f>IF(Data_Geotech[[#This Row],[FIRS Code]]="R",IFERROR((IF(Data_Geotech[[#This Row],[RQD (%)]]&lt;10,10,Data_Geotech[[#This Row],[RQD (%)]])/Data_Geotech[[#This Row],[Jn rating]])*Data_Geotech[[#This Row],[Jr/Ja]]*Data_Geotech[[#This Row],[Jw/SRF]],""),"")</f>
        <v>50</v>
      </c>
      <c r="AT89" s="12"/>
      <c r="AU89" s="13">
        <f>100-Data_Geotech[[#This Row],[RQD (%)]]</f>
        <v>0</v>
      </c>
      <c r="AV89" s="13">
        <f>100-Data_Geotech[[#This Row],[TCR (%)]]</f>
        <v>0</v>
      </c>
      <c r="AW89" s="62">
        <f>(Data_Geotech[[#This Row],[Fracture per interval]]+Data_Geotech[[#This Row],[Added fractures 
(BC, FLT, LC)]])/Data_Geotech[[#This Row],[TCR (m)]]</f>
        <v>1.4705882352941175</v>
      </c>
      <c r="AX89" s="6" t="s">
        <v>109</v>
      </c>
      <c r="AY89" s="63">
        <f>7-MID(Data_Geotech[[#This Row],[Field Intact Rock Strength]],2,1)</f>
        <v>1</v>
      </c>
      <c r="AZ89" s="63">
        <f>VLOOKUP(Data_Geotech[[#This Row],[Field Intact Rock Strength]],Table_FieldStrength[],2,FALSE)</f>
        <v>250</v>
      </c>
      <c r="BA89" s="63">
        <f>VLOOKUP(Data_Geotech[[#This Row],[Field Intact Rock Strength]],Table_FieldStrength[],3,FALSE)</f>
        <v>275</v>
      </c>
      <c r="BB89" s="63">
        <f>VLOOKUP(Data_Geotech[[#This Row],[Field Intact Rock Strength]],Table_FieldStrength[],4,FALSE)</f>
        <v>300</v>
      </c>
      <c r="BC89" s="63">
        <f>100-Data_Geotech[[#This Row],[RMR76]]</f>
        <v>30</v>
      </c>
      <c r="BD89" s="63" t="str">
        <f>LEFT(Data_Geotech[[#This Row],[Weathering/Alteration]],FIND("-",Data_Geotech[[#This Row],[Weathering/Alteration]])-2)</f>
        <v>W1/A1</v>
      </c>
    </row>
    <row r="90" spans="1:56" ht="15.75" thickBot="1" x14ac:dyDescent="0.3">
      <c r="A90" t="s">
        <v>30</v>
      </c>
      <c r="B90" s="16" t="str">
        <f>VLOOKUP(Data_Geotech[[#This Row],[Hole ID]],Data_Log[],2,FALSE)</f>
        <v>CGF-02</v>
      </c>
      <c r="C90" s="5">
        <v>106.36</v>
      </c>
      <c r="D90" s="5">
        <v>107.98</v>
      </c>
      <c r="E90" s="5">
        <f>(Data_Geotech[[#This Row],[To (m)]]-Data_Geotech[[#This Row],[From (m)]])/2+Data_Geotech[[#This Row],[From (m)]]</f>
        <v>107.17</v>
      </c>
      <c r="F90" s="13">
        <f>Data_Geotech[[#This Row],[To (m)]]-Data_Geotech[[#This Row],[From (m)]]</f>
        <v>1.6200000000000045</v>
      </c>
      <c r="G90" s="5">
        <v>1.62</v>
      </c>
      <c r="H90" s="61">
        <f>Data_Geotech[[#This Row],[TCR (m)]]/Data_Geotech[[#This Row],[Run (m)]]*100</f>
        <v>99.999999999999716</v>
      </c>
      <c r="I90" s="151">
        <v>1.61</v>
      </c>
      <c r="J90" s="151">
        <v>1.61</v>
      </c>
      <c r="K90" s="5">
        <v>1.61</v>
      </c>
      <c r="L90" s="61">
        <f>Data_Geotech[[#This Row],[RQD (m)]]/Data_Geotech[[#This Row],[Run Reel (m)]]*100</f>
        <v>100</v>
      </c>
      <c r="M90" t="s">
        <v>569</v>
      </c>
      <c r="O90" t="s">
        <v>243</v>
      </c>
      <c r="P90" s="115" t="s">
        <v>416</v>
      </c>
      <c r="Q90" s="5" t="s">
        <v>281</v>
      </c>
      <c r="R90" s="5"/>
      <c r="S90" s="5"/>
      <c r="T90" s="5"/>
      <c r="U90" s="5"/>
      <c r="V90" s="6">
        <v>2</v>
      </c>
      <c r="W90" s="92">
        <f>SUMIFS(Discontinuities!$D$4:$D$9664,Discontinuities!$A$4:$A$9664,A90,Discontinuities!$C$4:$C$9664,"&gt;="&amp;C90,Discontinuities!$C$4:$C$9664,"&lt;"&amp;D90)
-SUMIFS(Discontinuities!$D$4:$D$9664,Discontinuities!$A$4:$A$9664,A90,Discontinuities!$C$4:$C$9664,"&gt;="&amp;C90,Discontinuities!$C$4:$C$9664,"&lt;"&amp;D90,Discontinuities!$E$4:$E$9664,"=BC")
-SUMIFS(Discontinuities!$D$4:$D$9664,Discontinuities!$A$4:$A$9664,A90,Discontinuities!$C$4:$C$9664,"&gt;="&amp;C90,Discontinuities!$C$4:$C$9664,"&lt;"&amp;D90,Discontinuities!$E$4:$E$9664,"=LC")
-SUMIFS(Discontinuities!$D$4:$D$9664,Discontinuities!$A$4:$A$9664,A90,Discontinuities!$C$4:$C$9664,"&gt;="&amp;C90,Discontinuities!$C$4:$C$9664,"&lt;"&amp;D90,Discontinuities!$E$4:$E$9664,"=FLT")</f>
        <v>2</v>
      </c>
      <c r="X90" t="s">
        <v>345</v>
      </c>
      <c r="AA90" s="12"/>
      <c r="AB90" s="43">
        <f>IFERROR(ROUND((Data_Geotech[[#This Row],[Fault (m)]]+Data_Geotech[[#This Row],[Broken Core (m)]]+Data_Geotech[[#This Row],[Lost Core (m)]])*30,0),0)</f>
        <v>0</v>
      </c>
      <c r="AC90" s="44">
        <f>IF(Data_Geotech[[#This Row],[Added fractures 
(BC, FLT, LC)]]+Data_Geotech[[#This Row],[Fracture per interval]]=0,99,1/((Data_Geotech[[#This Row],[Fracture per interval]]+Data_Geotech[[#This Row],[Added fractures 
(BC, FLT, LC)]])/Data_Geotech[[#This Row],[Run (m)]]))</f>
        <v>0.81000000000000227</v>
      </c>
      <c r="AD90" s="155" t="str" cm="1">
        <f t="array" ref="AD90">IFERROR(_xlfn.XLOOKUP(1,(A90=PLT!$A$4:$A$8886)*(Geotech!C90&lt;=PLT!$F$4:$F$8886)*(Geotech!D90&gt;=PLT!$F$4:$F$8886)*("Valid"=PLT!$P$4:$P$8886),PLT!$V$4:$V$8886),"")</f>
        <v/>
      </c>
      <c r="AE90" s="156" t="str" cm="1">
        <f t="array" ref="AE90">IFERROR(_xlfn.XLOOKUP(1,(A90=PLT!$A$4:$A$8886)*(Geotech!C90&lt;=PLT!$F$4:$F$8886)*(Geotech!D90&gt;=PLT!$F$4:$F$8886)*(PLT!$V$4:$V$8886&lt;&gt;AD90)*("Valid"=PLT!$P$4:$P$7190),PLT!$V$4:$V$8886),"")</f>
        <v/>
      </c>
      <c r="AF90" s="156" t="str" cm="1">
        <f t="array" ref="AF90">IFERROR(_xlfn.XLOOKUP(1,(A90=PLT!$A$4:$A$8886)*(Geotech!C90&lt;=PLT!$F$4:$F$8886)*(Geotech!D90&gt;=PLT!$F$4:$F$8886)*(PLT!$V$4:$V$8886&lt;&gt;AD90)*(PLT!$V$4:$V$8886&lt;&gt;AE90)*("Valid"=PLT!$P$4:$P$7190),PLT!$V$4:$V$8886),"")</f>
        <v/>
      </c>
      <c r="AG90" s="44" t="str">
        <f>IFERROR(IF(AVERAGE(AD90:AF90)&gt;References!$BO$23,References!$BP$23,
IF(AVERAGE(AD90:AF90)&gt;References!$BO$22,References!$BP$22,
IF(AVERAGE(AD90:AF90)&gt;References!$BO$21,References!$BP$21,
IF(AVERAGE(AD90:AF90)&gt;References!$BO$20,References!$BP$20,
IF(AVERAGE(AD90:AF90)&gt;References!$BO$19,References!$BP$19,
IF(AVERAGE(AD90:AF90)&gt;References!$BO$18,References!$BP$18,
0)))))),"")</f>
        <v/>
      </c>
      <c r="AH90" s="43">
        <f>IF(Data_Geotech[[#This Row],[Is50]]="",VLOOKUP(Data_Geotech[[#This Row],[Field Intact Rock Strength]],Table_RMR76_Strength[],2,FALSE),Data_Geotech[[#This Row],[Is50]])</f>
        <v>15</v>
      </c>
      <c r="AI90" s="43">
        <f>IF(Data_Geotech[[#This Row],[RQD (%)]]&lt;=25,3,IF(Data_Geotech[[#This Row],[RQD (%)]]&lt;=50,8,IF(Data_Geotech[[#This Row],[RQD (%)]]&lt;=75,13,IF(Data_Geotech[[#This Row],[RQD (%)]]&lt;=90,17,20))))</f>
        <v>20</v>
      </c>
      <c r="AJ90" s="43">
        <f>IF(Data_Geotech[[#This Row],[Joint spacing (m)]]&lt;=0.05,5,IF(Data_Geotech[[#This Row],[Joint spacing (m)]]&lt;=0.3,10,IF(Data_Geotech[[#This Row],[Joint spacing (m)]]&lt;=1,20,IF(Data_Geotech[[#This Row],[Joint spacing (m)]]&lt;=3,25,30))))</f>
        <v>20</v>
      </c>
      <c r="AK9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90" s="6">
        <v>10</v>
      </c>
      <c r="AM90" s="117">
        <f>IF(Data_Geotech[[#This Row],[FIRS Code]]="R",IFERROR(SUM(Data_Geotech[[#This Row],[RMR76 - Strength rating]:[RMR76 - Ground water rating]]),""),"")</f>
        <v>90</v>
      </c>
      <c r="AN90" s="39">
        <f>IF(Data_Geotech[[#This Row],[FIRS Code]]="R",(2*Data_Geotech[[#This Row],[RMR76 - Joint condition rating]])+(IF(Data_Geotech[[#This Row],[RQD (%)]]&gt;80,80/2,Data_Geotech[[#This Row],[RQD (%)]]/2)),"")</f>
        <v>90</v>
      </c>
      <c r="AO90" s="43" t="str">
        <f>LEFT(Data_Geotech[[#This Row],[Joint Set Rating]],FIND("-",Data_Geotech[[#This Row],[Joint Set Rating]],1)-2)</f>
        <v>3</v>
      </c>
      <c r="AP9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90" s="5">
        <f t="shared" si="0"/>
        <v>1</v>
      </c>
      <c r="AR90" s="49">
        <f>IF(Data_Geotech[[#This Row],[FIRS Code]]="R",IFERROR((IF(Data_Geotech[[#This Row],[RQD (%)]]&lt;10,10,Data_Geotech[[#This Row],[RQD (%)]])/Data_Geotech[[#This Row],[Jn rating]])*Data_Geotech[[#This Row],[Jr/Ja]],""),"")</f>
        <v>50</v>
      </c>
      <c r="AS90" s="45">
        <f>IF(Data_Geotech[[#This Row],[FIRS Code]]="R",IFERROR((IF(Data_Geotech[[#This Row],[RQD (%)]]&lt;10,10,Data_Geotech[[#This Row],[RQD (%)]])/Data_Geotech[[#This Row],[Jn rating]])*Data_Geotech[[#This Row],[Jr/Ja]]*Data_Geotech[[#This Row],[Jw/SRF]],""),"")</f>
        <v>50</v>
      </c>
      <c r="AT90" s="12"/>
      <c r="AU90" s="13">
        <f>100-Data_Geotech[[#This Row],[RQD (%)]]</f>
        <v>0</v>
      </c>
      <c r="AV90" s="13">
        <f>100-Data_Geotech[[#This Row],[TCR (%)]]</f>
        <v>2.8421709430404007E-13</v>
      </c>
      <c r="AW90" s="62">
        <f>(Data_Geotech[[#This Row],[Fracture per interval]]+Data_Geotech[[#This Row],[Added fractures 
(BC, FLT, LC)]])/Data_Geotech[[#This Row],[TCR (m)]]</f>
        <v>1.2345679012345678</v>
      </c>
      <c r="AX90" s="6" t="s">
        <v>109</v>
      </c>
      <c r="AY90" s="63">
        <f>7-MID(Data_Geotech[[#This Row],[Field Intact Rock Strength]],2,1)</f>
        <v>1</v>
      </c>
      <c r="AZ90" s="63">
        <f>VLOOKUP(Data_Geotech[[#This Row],[Field Intact Rock Strength]],Table_FieldStrength[],2,FALSE)</f>
        <v>250</v>
      </c>
      <c r="BA90" s="63">
        <f>VLOOKUP(Data_Geotech[[#This Row],[Field Intact Rock Strength]],Table_FieldStrength[],3,FALSE)</f>
        <v>275</v>
      </c>
      <c r="BB90" s="63">
        <f>VLOOKUP(Data_Geotech[[#This Row],[Field Intact Rock Strength]],Table_FieldStrength[],4,FALSE)</f>
        <v>300</v>
      </c>
      <c r="BC90" s="63">
        <f>100-Data_Geotech[[#This Row],[RMR76]]</f>
        <v>10</v>
      </c>
      <c r="BD90" s="63" t="str">
        <f>LEFT(Data_Geotech[[#This Row],[Weathering/Alteration]],FIND("-",Data_Geotech[[#This Row],[Weathering/Alteration]])-2)</f>
        <v>W1/A1</v>
      </c>
    </row>
    <row r="91" spans="1:56" ht="15.75" thickBot="1" x14ac:dyDescent="0.3">
      <c r="A91" t="s">
        <v>30</v>
      </c>
      <c r="B91" s="16" t="str">
        <f>VLOOKUP(Data_Geotech[[#This Row],[Hole ID]],Data_Log[],2,FALSE)</f>
        <v>CGF-02</v>
      </c>
      <c r="C91" s="5">
        <v>107.98</v>
      </c>
      <c r="D91" s="5">
        <v>111</v>
      </c>
      <c r="E91" s="5">
        <f>(Data_Geotech[[#This Row],[To (m)]]-Data_Geotech[[#This Row],[From (m)]])/2+Data_Geotech[[#This Row],[From (m)]]</f>
        <v>109.49000000000001</v>
      </c>
      <c r="F91" s="13">
        <f>Data_Geotech[[#This Row],[To (m)]]-Data_Geotech[[#This Row],[From (m)]]</f>
        <v>3.019999999999996</v>
      </c>
      <c r="G91" s="5">
        <v>3.02</v>
      </c>
      <c r="H91" s="61">
        <f>Data_Geotech[[#This Row],[TCR (m)]]/Data_Geotech[[#This Row],[Run (m)]]*100</f>
        <v>100.00000000000013</v>
      </c>
      <c r="I91" s="151">
        <v>3.12</v>
      </c>
      <c r="J91" s="151">
        <v>3.12</v>
      </c>
      <c r="K91" s="5">
        <f>3.12-0.17-0.06</f>
        <v>2.89</v>
      </c>
      <c r="L91" s="61">
        <f>Data_Geotech[[#This Row],[RQD (m)]]/Data_Geotech[[#This Row],[Run Reel (m)]]*100</f>
        <v>92.628205128205138</v>
      </c>
      <c r="M91" t="s">
        <v>569</v>
      </c>
      <c r="O91" t="s">
        <v>278</v>
      </c>
      <c r="P91" s="115" t="s">
        <v>416</v>
      </c>
      <c r="Q91" s="5" t="s">
        <v>346</v>
      </c>
      <c r="R91" s="5">
        <v>0.17</v>
      </c>
      <c r="S91" s="5">
        <v>0.06</v>
      </c>
      <c r="T91" s="5"/>
      <c r="U91" s="5"/>
      <c r="V91" s="6">
        <v>5</v>
      </c>
      <c r="W91" s="92">
        <f>SUMIFS(Discontinuities!$D$4:$D$9664,Discontinuities!$A$4:$A$9664,A91,Discontinuities!$C$4:$C$9664,"&gt;="&amp;C91,Discontinuities!$C$4:$C$9664,"&lt;"&amp;D91)
-SUMIFS(Discontinuities!$D$4:$D$9664,Discontinuities!$A$4:$A$9664,A91,Discontinuities!$C$4:$C$9664,"&gt;="&amp;C91,Discontinuities!$C$4:$C$9664,"&lt;"&amp;D91,Discontinuities!$E$4:$E$9664,"=BC")
-SUMIFS(Discontinuities!$D$4:$D$9664,Discontinuities!$A$4:$A$9664,A91,Discontinuities!$C$4:$C$9664,"&gt;="&amp;C91,Discontinuities!$C$4:$C$9664,"&lt;"&amp;D91,Discontinuities!$E$4:$E$9664,"=LC")
-SUMIFS(Discontinuities!$D$4:$D$9664,Discontinuities!$A$4:$A$9664,A91,Discontinuities!$C$4:$C$9664,"&gt;="&amp;C91,Discontinuities!$C$4:$C$9664,"&lt;"&amp;D91,Discontinuities!$E$4:$E$9664,"=FLT")</f>
        <v>5</v>
      </c>
      <c r="X91" t="s">
        <v>345</v>
      </c>
      <c r="AA91" s="12"/>
      <c r="AB91" s="43">
        <f>IFERROR(ROUND((Data_Geotech[[#This Row],[Fault (m)]]+Data_Geotech[[#This Row],[Broken Core (m)]]+Data_Geotech[[#This Row],[Lost Core (m)]])*30,0),0)</f>
        <v>7</v>
      </c>
      <c r="AC91" s="44">
        <f>IF(Data_Geotech[[#This Row],[Added fractures 
(BC, FLT, LC)]]+Data_Geotech[[#This Row],[Fracture per interval]]=0,99,1/((Data_Geotech[[#This Row],[Fracture per interval]]+Data_Geotech[[#This Row],[Added fractures 
(BC, FLT, LC)]])/Data_Geotech[[#This Row],[Run (m)]]))</f>
        <v>0.25166666666666632</v>
      </c>
      <c r="AD91" s="155" cm="1">
        <f t="array" ref="AD91">IFERROR(_xlfn.XLOOKUP(1,(A91=PLT!$A$4:$A$8886)*(Geotech!C91&lt;=PLT!$F$4:$F$8886)*(Geotech!D91&gt;=PLT!$F$4:$F$8886)*("Valid"=PLT!$P$4:$P$8886),PLT!$V$4:$V$8886),"")</f>
        <v>0</v>
      </c>
      <c r="AE91" s="156" t="str" cm="1">
        <f t="array" ref="AE91">IFERROR(_xlfn.XLOOKUP(1,(A91=PLT!$A$4:$A$8886)*(Geotech!C91&lt;=PLT!$F$4:$F$8886)*(Geotech!D91&gt;=PLT!$F$4:$F$8886)*(PLT!$V$4:$V$8886&lt;&gt;AD91)*("Valid"=PLT!$P$4:$P$7190),PLT!$V$4:$V$8886),"")</f>
        <v/>
      </c>
      <c r="AF91" s="156" t="str" cm="1">
        <f t="array" ref="AF91">IFERROR(_xlfn.XLOOKUP(1,(A91=PLT!$A$4:$A$8886)*(Geotech!C91&lt;=PLT!$F$4:$F$8886)*(Geotech!D91&gt;=PLT!$F$4:$F$8886)*(PLT!$V$4:$V$8886&lt;&gt;AD91)*(PLT!$V$4:$V$8886&lt;&gt;AE91)*("Valid"=PLT!$P$4:$P$7190),PLT!$V$4:$V$8886),"")</f>
        <v/>
      </c>
      <c r="AG91" s="44">
        <f>IFERROR(IF(AVERAGE(AD91:AF91)&gt;References!$BO$23,References!$BP$23,
IF(AVERAGE(AD91:AF91)&gt;References!$BO$22,References!$BP$22,
IF(AVERAGE(AD91:AF91)&gt;References!$BO$21,References!$BP$21,
IF(AVERAGE(AD91:AF91)&gt;References!$BO$20,References!$BP$20,
IF(AVERAGE(AD91:AF91)&gt;References!$BO$19,References!$BP$19,
IF(AVERAGE(AD91:AF91)&gt;References!$BO$18,References!$BP$18,
0)))))),"")</f>
        <v>0</v>
      </c>
      <c r="AH91" s="43">
        <f>IF(Data_Geotech[[#This Row],[Is50]]="",VLOOKUP(Data_Geotech[[#This Row],[Field Intact Rock Strength]],Table_RMR76_Strength[],2,FALSE),Data_Geotech[[#This Row],[Is50]])</f>
        <v>0</v>
      </c>
      <c r="AI91" s="43">
        <f>IF(Data_Geotech[[#This Row],[RQD (%)]]&lt;=25,3,IF(Data_Geotech[[#This Row],[RQD (%)]]&lt;=50,8,IF(Data_Geotech[[#This Row],[RQD (%)]]&lt;=75,13,IF(Data_Geotech[[#This Row],[RQD (%)]]&lt;=90,17,20))))</f>
        <v>20</v>
      </c>
      <c r="AJ91" s="43">
        <f>IF(Data_Geotech[[#This Row],[Joint spacing (m)]]&lt;=0.05,5,IF(Data_Geotech[[#This Row],[Joint spacing (m)]]&lt;=0.3,10,IF(Data_Geotech[[#This Row],[Joint spacing (m)]]&lt;=1,20,IF(Data_Geotech[[#This Row],[Joint spacing (m)]]&lt;=3,25,30))))</f>
        <v>10</v>
      </c>
      <c r="AK9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14.4</v>
      </c>
      <c r="AL91" s="6">
        <v>10</v>
      </c>
      <c r="AM91" s="117">
        <f>IF(Data_Geotech[[#This Row],[FIRS Code]]="R",IFERROR(SUM(Data_Geotech[[#This Row],[RMR76 - Strength rating]:[RMR76 - Ground water rating]]),""),"")</f>
        <v>54.4</v>
      </c>
      <c r="AN91" s="39">
        <f>IF(Data_Geotech[[#This Row],[FIRS Code]]="R",(2*Data_Geotech[[#This Row],[RMR76 - Joint condition rating]])+(IF(Data_Geotech[[#This Row],[RQD (%)]]&gt;80,80/2,Data_Geotech[[#This Row],[RQD (%)]]/2)),"")</f>
        <v>68.8</v>
      </c>
      <c r="AO91" s="43" t="str">
        <f>LEFT(Data_Geotech[[#This Row],[Joint Set Rating]],FIND("-",Data_Geotech[[#This Row],[Joint Set Rating]],1)-2)</f>
        <v>3</v>
      </c>
      <c r="AP9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v>
      </c>
      <c r="AQ91" s="5">
        <f t="shared" si="0"/>
        <v>1</v>
      </c>
      <c r="AR91" s="49">
        <f>IF(Data_Geotech[[#This Row],[FIRS Code]]="R",IFERROR((IF(Data_Geotech[[#This Row],[RQD (%)]]&lt;10,10,Data_Geotech[[#This Row],[RQD (%)]])/Data_Geotech[[#This Row],[Jn rating]])*Data_Geotech[[#This Row],[Jr/Ja]],""),"")</f>
        <v>24.700854700854705</v>
      </c>
      <c r="AS91" s="45">
        <f>IF(Data_Geotech[[#This Row],[FIRS Code]]="R",IFERROR((IF(Data_Geotech[[#This Row],[RQD (%)]]&lt;10,10,Data_Geotech[[#This Row],[RQD (%)]])/Data_Geotech[[#This Row],[Jn rating]])*Data_Geotech[[#This Row],[Jr/Ja]]*Data_Geotech[[#This Row],[Jw/SRF]],""),"")</f>
        <v>24.700854700854705</v>
      </c>
      <c r="AT91" s="12"/>
      <c r="AU91" s="13">
        <f>100-Data_Geotech[[#This Row],[RQD (%)]]</f>
        <v>7.3717948717948616</v>
      </c>
      <c r="AV91" s="13">
        <f>100-Data_Geotech[[#This Row],[TCR (%)]]</f>
        <v>-1.2789769243681803E-13</v>
      </c>
      <c r="AW91" s="62">
        <f>(Data_Geotech[[#This Row],[Fracture per interval]]+Data_Geotech[[#This Row],[Added fractures 
(BC, FLT, LC)]])/Data_Geotech[[#This Row],[TCR (m)]]</f>
        <v>3.9735099337748343</v>
      </c>
      <c r="AX91" s="6" t="s">
        <v>109</v>
      </c>
      <c r="AY91" s="63">
        <f>7-MID(Data_Geotech[[#This Row],[Field Intact Rock Strength]],2,1)</f>
        <v>1</v>
      </c>
      <c r="AZ91" s="63">
        <f>VLOOKUP(Data_Geotech[[#This Row],[Field Intact Rock Strength]],Table_FieldStrength[],2,FALSE)</f>
        <v>250</v>
      </c>
      <c r="BA91" s="63">
        <f>VLOOKUP(Data_Geotech[[#This Row],[Field Intact Rock Strength]],Table_FieldStrength[],3,FALSE)</f>
        <v>275</v>
      </c>
      <c r="BB91" s="63">
        <f>VLOOKUP(Data_Geotech[[#This Row],[Field Intact Rock Strength]],Table_FieldStrength[],4,FALSE)</f>
        <v>300</v>
      </c>
      <c r="BC91" s="63">
        <f>100-Data_Geotech[[#This Row],[RMR76]]</f>
        <v>45.6</v>
      </c>
      <c r="BD91" s="63" t="str">
        <f>LEFT(Data_Geotech[[#This Row],[Weathering/Alteration]],FIND("-",Data_Geotech[[#This Row],[Weathering/Alteration]])-2)</f>
        <v>W2/A2</v>
      </c>
    </row>
    <row r="92" spans="1:56" ht="15.75" thickBot="1" x14ac:dyDescent="0.3">
      <c r="A92" t="s">
        <v>30</v>
      </c>
      <c r="B92" s="16" t="str">
        <f>VLOOKUP(Data_Geotech[[#This Row],[Hole ID]],Data_Log[],2,FALSE)</f>
        <v>CGF-02</v>
      </c>
      <c r="C92" s="5">
        <v>111</v>
      </c>
      <c r="D92" s="5">
        <v>111.34</v>
      </c>
      <c r="E92" s="5">
        <f>(Data_Geotech[[#This Row],[To (m)]]-Data_Geotech[[#This Row],[From (m)]])/2+Data_Geotech[[#This Row],[From (m)]]</f>
        <v>111.17</v>
      </c>
      <c r="F92" s="13">
        <f>Data_Geotech[[#This Row],[To (m)]]-Data_Geotech[[#This Row],[From (m)]]</f>
        <v>0.34000000000000341</v>
      </c>
      <c r="G92" s="5">
        <v>0.34</v>
      </c>
      <c r="H92" s="61">
        <f>Data_Geotech[[#This Row],[TCR (m)]]/Data_Geotech[[#This Row],[Run (m)]]*100</f>
        <v>99.999999999999005</v>
      </c>
      <c r="I92" s="151">
        <v>0.34</v>
      </c>
      <c r="J92" s="151">
        <v>0.34</v>
      </c>
      <c r="K92" s="5">
        <v>0.34</v>
      </c>
      <c r="L92" s="61">
        <f>Data_Geotech[[#This Row],[RQD (m)]]/Data_Geotech[[#This Row],[Run Reel (m)]]*100</f>
        <v>100</v>
      </c>
      <c r="M92" t="s">
        <v>569</v>
      </c>
      <c r="O92" t="s">
        <v>278</v>
      </c>
      <c r="P92" s="115" t="s">
        <v>397</v>
      </c>
      <c r="Q92" s="5" t="s">
        <v>313</v>
      </c>
      <c r="R92" s="5"/>
      <c r="S92" s="5"/>
      <c r="T92" s="5"/>
      <c r="U92" s="5"/>
      <c r="V92" s="6">
        <v>2</v>
      </c>
      <c r="W92" s="92">
        <f>SUMIFS(Discontinuities!$D$4:$D$9664,Discontinuities!$A$4:$A$9664,A92,Discontinuities!$C$4:$C$9664,"&gt;="&amp;C92,Discontinuities!$C$4:$C$9664,"&lt;"&amp;D92)
-SUMIFS(Discontinuities!$D$4:$D$9664,Discontinuities!$A$4:$A$9664,A92,Discontinuities!$C$4:$C$9664,"&gt;="&amp;C92,Discontinuities!$C$4:$C$9664,"&lt;"&amp;D92,Discontinuities!$E$4:$E$9664,"=BC")
-SUMIFS(Discontinuities!$D$4:$D$9664,Discontinuities!$A$4:$A$9664,A92,Discontinuities!$C$4:$C$9664,"&gt;="&amp;C92,Discontinuities!$C$4:$C$9664,"&lt;"&amp;D92,Discontinuities!$E$4:$E$9664,"=LC")
-SUMIFS(Discontinuities!$D$4:$D$9664,Discontinuities!$A$4:$A$9664,A92,Discontinuities!$C$4:$C$9664,"&gt;="&amp;C92,Discontinuities!$C$4:$C$9664,"&lt;"&amp;D92,Discontinuities!$E$4:$E$9664,"=FLT")</f>
        <v>2</v>
      </c>
      <c r="X92" t="s">
        <v>345</v>
      </c>
      <c r="AA92" s="12"/>
      <c r="AB92" s="43">
        <f>IFERROR(ROUND((Data_Geotech[[#This Row],[Fault (m)]]+Data_Geotech[[#This Row],[Broken Core (m)]]+Data_Geotech[[#This Row],[Lost Core (m)]])*30,0),0)</f>
        <v>0</v>
      </c>
      <c r="AC92" s="44">
        <f>IF(Data_Geotech[[#This Row],[Added fractures 
(BC, FLT, LC)]]+Data_Geotech[[#This Row],[Fracture per interval]]=0,99,1/((Data_Geotech[[#This Row],[Fracture per interval]]+Data_Geotech[[#This Row],[Added fractures 
(BC, FLT, LC)]])/Data_Geotech[[#This Row],[Run (m)]]))</f>
        <v>0.17000000000000171</v>
      </c>
      <c r="AD92" s="155" t="str" cm="1">
        <f t="array" ref="AD92">IFERROR(_xlfn.XLOOKUP(1,(A92=PLT!$A$4:$A$8886)*(Geotech!C92&lt;=PLT!$F$4:$F$8886)*(Geotech!D92&gt;=PLT!$F$4:$F$8886)*("Valid"=PLT!$P$4:$P$8886),PLT!$V$4:$V$8886),"")</f>
        <v/>
      </c>
      <c r="AE92" s="156" t="str" cm="1">
        <f t="array" ref="AE92">IFERROR(_xlfn.XLOOKUP(1,(A92=PLT!$A$4:$A$8886)*(Geotech!C92&lt;=PLT!$F$4:$F$8886)*(Geotech!D92&gt;=PLT!$F$4:$F$8886)*(PLT!$V$4:$V$8886&lt;&gt;AD92)*("Valid"=PLT!$P$4:$P$7190),PLT!$V$4:$V$8886),"")</f>
        <v/>
      </c>
      <c r="AF92" s="156" t="str" cm="1">
        <f t="array" ref="AF92">IFERROR(_xlfn.XLOOKUP(1,(A92=PLT!$A$4:$A$8886)*(Geotech!C92&lt;=PLT!$F$4:$F$8886)*(Geotech!D92&gt;=PLT!$F$4:$F$8886)*(PLT!$V$4:$V$8886&lt;&gt;AD92)*(PLT!$V$4:$V$8886&lt;&gt;AE92)*("Valid"=PLT!$P$4:$P$7190),PLT!$V$4:$V$8886),"")</f>
        <v/>
      </c>
      <c r="AG92" s="44" t="str">
        <f>IFERROR(IF(AVERAGE(AD92:AF92)&gt;References!$BO$23,References!$BP$23,
IF(AVERAGE(AD92:AF92)&gt;References!$BO$22,References!$BP$22,
IF(AVERAGE(AD92:AF92)&gt;References!$BO$21,References!$BP$21,
IF(AVERAGE(AD92:AF92)&gt;References!$BO$20,References!$BP$20,
IF(AVERAGE(AD92:AF92)&gt;References!$BO$19,References!$BP$19,
IF(AVERAGE(AD92:AF92)&gt;References!$BO$18,References!$BP$18,
0)))))),"")</f>
        <v/>
      </c>
      <c r="AH92" s="43">
        <f>IF(Data_Geotech[[#This Row],[Is50]]="",VLOOKUP(Data_Geotech[[#This Row],[Field Intact Rock Strength]],Table_RMR76_Strength[],2,FALSE),Data_Geotech[[#This Row],[Is50]])</f>
        <v>12</v>
      </c>
      <c r="AI92" s="43">
        <f>IF(Data_Geotech[[#This Row],[RQD (%)]]&lt;=25,3,IF(Data_Geotech[[#This Row],[RQD (%)]]&lt;=50,8,IF(Data_Geotech[[#This Row],[RQD (%)]]&lt;=75,13,IF(Data_Geotech[[#This Row],[RQD (%)]]&lt;=90,17,20))))</f>
        <v>20</v>
      </c>
      <c r="AJ92" s="43">
        <f>IF(Data_Geotech[[#This Row],[Joint spacing (m)]]&lt;=0.05,5,IF(Data_Geotech[[#This Row],[Joint spacing (m)]]&lt;=0.3,10,IF(Data_Geotech[[#This Row],[Joint spacing (m)]]&lt;=1,20,IF(Data_Geotech[[#This Row],[Joint spacing (m)]]&lt;=3,25,30))))</f>
        <v>10</v>
      </c>
      <c r="AK9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92" s="6">
        <v>10</v>
      </c>
      <c r="AM92" s="117">
        <f>IF(Data_Geotech[[#This Row],[FIRS Code]]="R",IFERROR(SUM(Data_Geotech[[#This Row],[RMR76 - Strength rating]:[RMR76 - Ground water rating]]),""),"")</f>
        <v>70.5</v>
      </c>
      <c r="AN92" s="39">
        <f>IF(Data_Geotech[[#This Row],[FIRS Code]]="R",(2*Data_Geotech[[#This Row],[RMR76 - Joint condition rating]])+(IF(Data_Geotech[[#This Row],[RQD (%)]]&gt;80,80/2,Data_Geotech[[#This Row],[RQD (%)]]/2)),"")</f>
        <v>77</v>
      </c>
      <c r="AO92" s="43" t="str">
        <f>LEFT(Data_Geotech[[#This Row],[Joint Set Rating]],FIND("-",Data_Geotech[[#This Row],[Joint Set Rating]],1)-2)</f>
        <v>3</v>
      </c>
      <c r="AP9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1.8333333333333333</v>
      </c>
      <c r="AQ92" s="5">
        <f t="shared" si="0"/>
        <v>1</v>
      </c>
      <c r="AR92" s="49">
        <f>IF(Data_Geotech[[#This Row],[FIRS Code]]="R",IFERROR((IF(Data_Geotech[[#This Row],[RQD (%)]]&lt;10,10,Data_Geotech[[#This Row],[RQD (%)]])/Data_Geotech[[#This Row],[Jn rating]])*Data_Geotech[[#This Row],[Jr/Ja]],""),"")</f>
        <v>61.111111111111114</v>
      </c>
      <c r="AS92" s="45">
        <f>IF(Data_Geotech[[#This Row],[FIRS Code]]="R",IFERROR((IF(Data_Geotech[[#This Row],[RQD (%)]]&lt;10,10,Data_Geotech[[#This Row],[RQD (%)]])/Data_Geotech[[#This Row],[Jn rating]])*Data_Geotech[[#This Row],[Jr/Ja]]*Data_Geotech[[#This Row],[Jw/SRF]],""),"")</f>
        <v>61.111111111111114</v>
      </c>
      <c r="AT92" s="12"/>
      <c r="AU92" s="13">
        <f>100-Data_Geotech[[#This Row],[RQD (%)]]</f>
        <v>0</v>
      </c>
      <c r="AV92" s="13">
        <f>100-Data_Geotech[[#This Row],[TCR (%)]]</f>
        <v>9.9475983006414026E-13</v>
      </c>
      <c r="AW92" s="62">
        <f>(Data_Geotech[[#This Row],[Fracture per interval]]+Data_Geotech[[#This Row],[Added fractures 
(BC, FLT, LC)]])/Data_Geotech[[#This Row],[TCR (m)]]</f>
        <v>5.8823529411764701</v>
      </c>
      <c r="AX92" s="6" t="s">
        <v>109</v>
      </c>
      <c r="AY92" s="63">
        <f>7-MID(Data_Geotech[[#This Row],[Field Intact Rock Strength]],2,1)</f>
        <v>2</v>
      </c>
      <c r="AZ92" s="63">
        <f>VLOOKUP(Data_Geotech[[#This Row],[Field Intact Rock Strength]],Table_FieldStrength[],2,FALSE)</f>
        <v>100</v>
      </c>
      <c r="BA92" s="63">
        <f>VLOOKUP(Data_Geotech[[#This Row],[Field Intact Rock Strength]],Table_FieldStrength[],3,FALSE)</f>
        <v>175</v>
      </c>
      <c r="BB92" s="63">
        <f>VLOOKUP(Data_Geotech[[#This Row],[Field Intact Rock Strength]],Table_FieldStrength[],4,FALSE)</f>
        <v>250</v>
      </c>
      <c r="BC92" s="63">
        <f>100-Data_Geotech[[#This Row],[RMR76]]</f>
        <v>29.5</v>
      </c>
      <c r="BD92" s="63" t="str">
        <f>LEFT(Data_Geotech[[#This Row],[Weathering/Alteration]],FIND("-",Data_Geotech[[#This Row],[Weathering/Alteration]])-2)</f>
        <v>W2/A2</v>
      </c>
    </row>
    <row r="93" spans="1:56" ht="15.75" thickBot="1" x14ac:dyDescent="0.3">
      <c r="A93" t="s">
        <v>30</v>
      </c>
      <c r="B93" s="16" t="str">
        <f>VLOOKUP(Data_Geotech[[#This Row],[Hole ID]],Data_Log[],2,FALSE)</f>
        <v>CGF-02</v>
      </c>
      <c r="C93" s="5">
        <v>111.34</v>
      </c>
      <c r="D93" s="5">
        <v>112</v>
      </c>
      <c r="E93" s="5">
        <f>(Data_Geotech[[#This Row],[To (m)]]-Data_Geotech[[#This Row],[From (m)]])/2+Data_Geotech[[#This Row],[From (m)]]</f>
        <v>111.67</v>
      </c>
      <c r="F93" s="13">
        <f>Data_Geotech[[#This Row],[To (m)]]-Data_Geotech[[#This Row],[From (m)]]</f>
        <v>0.65999999999999659</v>
      </c>
      <c r="G93" s="5">
        <v>0.66</v>
      </c>
      <c r="H93" s="61">
        <f>Data_Geotech[[#This Row],[TCR (m)]]/Data_Geotech[[#This Row],[Run (m)]]*100</f>
        <v>100.00000000000051</v>
      </c>
      <c r="I93" s="151">
        <v>0.66</v>
      </c>
      <c r="J93" s="151">
        <v>0.66</v>
      </c>
      <c r="K93" s="5">
        <v>0</v>
      </c>
      <c r="L93" s="61">
        <f>Data_Geotech[[#This Row],[RQD (m)]]/Data_Geotech[[#This Row],[Run Reel (m)]]*100</f>
        <v>0</v>
      </c>
      <c r="M93" t="s">
        <v>569</v>
      </c>
      <c r="O93" t="s">
        <v>310</v>
      </c>
      <c r="P93" s="115" t="s">
        <v>397</v>
      </c>
      <c r="Q93" s="5" t="s">
        <v>346</v>
      </c>
      <c r="R93" s="5">
        <v>0.66</v>
      </c>
      <c r="S93" s="5"/>
      <c r="T93" s="5"/>
      <c r="U93" s="5"/>
      <c r="V93" s="6">
        <v>0</v>
      </c>
      <c r="W93" s="92">
        <f>SUMIFS(Discontinuities!$D$4:$D$9664,Discontinuities!$A$4:$A$9664,A93,Discontinuities!$C$4:$C$9664,"&gt;="&amp;C93,Discontinuities!$C$4:$C$9664,"&lt;"&amp;D93)
-SUMIFS(Discontinuities!$D$4:$D$9664,Discontinuities!$A$4:$A$9664,A93,Discontinuities!$C$4:$C$9664,"&gt;="&amp;C93,Discontinuities!$C$4:$C$9664,"&lt;"&amp;D93,Discontinuities!$E$4:$E$9664,"=BC")
-SUMIFS(Discontinuities!$D$4:$D$9664,Discontinuities!$A$4:$A$9664,A93,Discontinuities!$C$4:$C$9664,"&gt;="&amp;C93,Discontinuities!$C$4:$C$9664,"&lt;"&amp;D93,Discontinuities!$E$4:$E$9664,"=LC")
-SUMIFS(Discontinuities!$D$4:$D$9664,Discontinuities!$A$4:$A$9664,A93,Discontinuities!$C$4:$C$9664,"&gt;="&amp;C93,Discontinuities!$C$4:$C$9664,"&lt;"&amp;D93,Discontinuities!$E$4:$E$9664,"=FLT")</f>
        <v>0</v>
      </c>
      <c r="X93" t="s">
        <v>345</v>
      </c>
      <c r="AA93" s="12"/>
      <c r="AB93" s="43">
        <f>IFERROR(ROUND((Data_Geotech[[#This Row],[Fault (m)]]+Data_Geotech[[#This Row],[Broken Core (m)]]+Data_Geotech[[#This Row],[Lost Core (m)]])*30,0),0)</f>
        <v>20</v>
      </c>
      <c r="AC93" s="44">
        <f>IF(Data_Geotech[[#This Row],[Added fractures 
(BC, FLT, LC)]]+Data_Geotech[[#This Row],[Fracture per interval]]=0,99,1/((Data_Geotech[[#This Row],[Fracture per interval]]+Data_Geotech[[#This Row],[Added fractures 
(BC, FLT, LC)]])/Data_Geotech[[#This Row],[Run (m)]]))</f>
        <v>3.2999999999999828E-2</v>
      </c>
      <c r="AD93" s="155" t="str" cm="1">
        <f t="array" ref="AD93">IFERROR(_xlfn.XLOOKUP(1,(A93=PLT!$A$4:$A$8886)*(Geotech!C93&lt;=PLT!$F$4:$F$8886)*(Geotech!D93&gt;=PLT!$F$4:$F$8886)*("Valid"=PLT!$P$4:$P$8886),PLT!$V$4:$V$8886),"")</f>
        <v/>
      </c>
      <c r="AE93" s="156" t="str" cm="1">
        <f t="array" ref="AE93">IFERROR(_xlfn.XLOOKUP(1,(A93=PLT!$A$4:$A$8886)*(Geotech!C93&lt;=PLT!$F$4:$F$8886)*(Geotech!D93&gt;=PLT!$F$4:$F$8886)*(PLT!$V$4:$V$8886&lt;&gt;AD93)*("Valid"=PLT!$P$4:$P$7190),PLT!$V$4:$V$8886),"")</f>
        <v/>
      </c>
      <c r="AF93" s="156" t="str" cm="1">
        <f t="array" ref="AF93">IFERROR(_xlfn.XLOOKUP(1,(A93=PLT!$A$4:$A$8886)*(Geotech!C93&lt;=PLT!$F$4:$F$8886)*(Geotech!D93&gt;=PLT!$F$4:$F$8886)*(PLT!$V$4:$V$8886&lt;&gt;AD93)*(PLT!$V$4:$V$8886&lt;&gt;AE93)*("Valid"=PLT!$P$4:$P$7190),PLT!$V$4:$V$8886),"")</f>
        <v/>
      </c>
      <c r="AG93" s="44" t="str">
        <f>IFERROR(IF(AVERAGE(AD93:AF93)&gt;References!$BO$23,References!$BP$23,
IF(AVERAGE(AD93:AF93)&gt;References!$BO$22,References!$BP$22,
IF(AVERAGE(AD93:AF93)&gt;References!$BO$21,References!$BP$21,
IF(AVERAGE(AD93:AF93)&gt;References!$BO$20,References!$BP$20,
IF(AVERAGE(AD93:AF93)&gt;References!$BO$19,References!$BP$19,
IF(AVERAGE(AD93:AF93)&gt;References!$BO$18,References!$BP$18,
0)))))),"")</f>
        <v/>
      </c>
      <c r="AH93" s="43">
        <f>IF(Data_Geotech[[#This Row],[Is50]]="",VLOOKUP(Data_Geotech[[#This Row],[Field Intact Rock Strength]],Table_RMR76_Strength[],2,FALSE),Data_Geotech[[#This Row],[Is50]])</f>
        <v>12</v>
      </c>
      <c r="AI93" s="43">
        <f>IF(Data_Geotech[[#This Row],[RQD (%)]]&lt;=25,3,IF(Data_Geotech[[#This Row],[RQD (%)]]&lt;=50,8,IF(Data_Geotech[[#This Row],[RQD (%)]]&lt;=75,13,IF(Data_Geotech[[#This Row],[RQD (%)]]&lt;=90,17,20))))</f>
        <v>3</v>
      </c>
      <c r="AJ93" s="43">
        <f>IF(Data_Geotech[[#This Row],[Joint spacing (m)]]&lt;=0.05,5,IF(Data_Geotech[[#This Row],[Joint spacing (m)]]&lt;=0.3,10,IF(Data_Geotech[[#This Row],[Joint spacing (m)]]&lt;=1,20,IF(Data_Geotech[[#This Row],[Joint spacing (m)]]&lt;=3,25,30))))</f>
        <v>5</v>
      </c>
      <c r="AK9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93" s="6">
        <v>10</v>
      </c>
      <c r="AM93" s="117">
        <f>IF(Data_Geotech[[#This Row],[FIRS Code]]="R",IFERROR(SUM(Data_Geotech[[#This Row],[RMR76 - Strength rating]:[RMR76 - Ground water rating]]),""),"")</f>
        <v>36</v>
      </c>
      <c r="AN93" s="39">
        <f>IF(Data_Geotech[[#This Row],[FIRS Code]]="R",(2*Data_Geotech[[#This Row],[RMR76 - Joint condition rating]])+(IF(Data_Geotech[[#This Row],[RQD (%)]]&gt;80,80/2,Data_Geotech[[#This Row],[RQD (%)]]/2)),"")</f>
        <v>12</v>
      </c>
      <c r="AO93" s="43" t="str">
        <f>LEFT(Data_Geotech[[#This Row],[Joint Set Rating]],FIND("-",Data_Geotech[[#This Row],[Joint Set Rating]],1)-2)</f>
        <v>3</v>
      </c>
      <c r="AP9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0.25</v>
      </c>
      <c r="AQ93" s="5">
        <f t="shared" si="0"/>
        <v>1</v>
      </c>
      <c r="AR93" s="49">
        <f>IF(Data_Geotech[[#This Row],[FIRS Code]]="R",IFERROR((IF(Data_Geotech[[#This Row],[RQD (%)]]&lt;10,10,Data_Geotech[[#This Row],[RQD (%)]])/Data_Geotech[[#This Row],[Jn rating]])*Data_Geotech[[#This Row],[Jr/Ja]],""),"")</f>
        <v>0.83333333333333337</v>
      </c>
      <c r="AS93" s="45">
        <f>IF(Data_Geotech[[#This Row],[FIRS Code]]="R",IFERROR((IF(Data_Geotech[[#This Row],[RQD (%)]]&lt;10,10,Data_Geotech[[#This Row],[RQD (%)]])/Data_Geotech[[#This Row],[Jn rating]])*Data_Geotech[[#This Row],[Jr/Ja]]*Data_Geotech[[#This Row],[Jw/SRF]],""),"")</f>
        <v>0.83333333333333337</v>
      </c>
      <c r="AT93" s="12"/>
      <c r="AU93" s="13">
        <f>100-Data_Geotech[[#This Row],[RQD (%)]]</f>
        <v>100</v>
      </c>
      <c r="AV93" s="13">
        <f>100-Data_Geotech[[#This Row],[TCR (%)]]</f>
        <v>-5.1159076974727213E-13</v>
      </c>
      <c r="AW93" s="62">
        <f>(Data_Geotech[[#This Row],[Fracture per interval]]+Data_Geotech[[#This Row],[Added fractures 
(BC, FLT, LC)]])/Data_Geotech[[#This Row],[TCR (m)]]</f>
        <v>30.303030303030301</v>
      </c>
      <c r="AX93" s="6" t="s">
        <v>109</v>
      </c>
      <c r="AY93" s="63">
        <f>7-MID(Data_Geotech[[#This Row],[Field Intact Rock Strength]],2,1)</f>
        <v>2</v>
      </c>
      <c r="AZ93" s="63">
        <f>VLOOKUP(Data_Geotech[[#This Row],[Field Intact Rock Strength]],Table_FieldStrength[],2,FALSE)</f>
        <v>100</v>
      </c>
      <c r="BA93" s="63">
        <f>VLOOKUP(Data_Geotech[[#This Row],[Field Intact Rock Strength]],Table_FieldStrength[],3,FALSE)</f>
        <v>175</v>
      </c>
      <c r="BB93" s="63">
        <f>VLOOKUP(Data_Geotech[[#This Row],[Field Intact Rock Strength]],Table_FieldStrength[],4,FALSE)</f>
        <v>250</v>
      </c>
      <c r="BC93" s="63">
        <f>100-Data_Geotech[[#This Row],[RMR76]]</f>
        <v>64</v>
      </c>
      <c r="BD93" s="63" t="str">
        <f>LEFT(Data_Geotech[[#This Row],[Weathering/Alteration]],FIND("-",Data_Geotech[[#This Row],[Weathering/Alteration]])-2)</f>
        <v>W3/A3</v>
      </c>
    </row>
    <row r="94" spans="1:56" ht="15.75" thickBot="1" x14ac:dyDescent="0.3">
      <c r="A94" t="s">
        <v>30</v>
      </c>
      <c r="B94" s="16" t="str">
        <f>VLOOKUP(Data_Geotech[[#This Row],[Hole ID]],Data_Log[],2,FALSE)</f>
        <v>CGF-02</v>
      </c>
      <c r="C94" s="5">
        <v>112</v>
      </c>
      <c r="D94" s="5">
        <v>114</v>
      </c>
      <c r="E94" s="5">
        <f>(Data_Geotech[[#This Row],[To (m)]]-Data_Geotech[[#This Row],[From (m)]])/2+Data_Geotech[[#This Row],[From (m)]]</f>
        <v>113</v>
      </c>
      <c r="F94" s="13">
        <f>Data_Geotech[[#This Row],[To (m)]]-Data_Geotech[[#This Row],[From (m)]]</f>
        <v>2</v>
      </c>
      <c r="G94" s="5">
        <v>2</v>
      </c>
      <c r="H94" s="61">
        <f>Data_Geotech[[#This Row],[TCR (m)]]/Data_Geotech[[#This Row],[Run (m)]]*100</f>
        <v>100</v>
      </c>
      <c r="I94" s="151">
        <v>2</v>
      </c>
      <c r="J94" s="151">
        <v>2</v>
      </c>
      <c r="K94" s="5">
        <v>1.85</v>
      </c>
      <c r="L94" s="61">
        <f>Data_Geotech[[#This Row],[RQD (m)]]/Data_Geotech[[#This Row],[Run Reel (m)]]*100</f>
        <v>92.5</v>
      </c>
      <c r="M94" t="s">
        <v>569</v>
      </c>
      <c r="O94" t="s">
        <v>278</v>
      </c>
      <c r="P94" s="115" t="s">
        <v>342</v>
      </c>
      <c r="Q94" s="5" t="s">
        <v>346</v>
      </c>
      <c r="R94" s="5"/>
      <c r="S94" s="5"/>
      <c r="T94" s="5"/>
      <c r="U94" s="5"/>
      <c r="V94" s="6">
        <v>5</v>
      </c>
      <c r="W94" s="92">
        <f>SUMIFS(Discontinuities!$D$4:$D$9664,Discontinuities!$A$4:$A$9664,A94,Discontinuities!$C$4:$C$9664,"&gt;="&amp;C94,Discontinuities!$C$4:$C$9664,"&lt;"&amp;D94)
-SUMIFS(Discontinuities!$D$4:$D$9664,Discontinuities!$A$4:$A$9664,A94,Discontinuities!$C$4:$C$9664,"&gt;="&amp;C94,Discontinuities!$C$4:$C$9664,"&lt;"&amp;D94,Discontinuities!$E$4:$E$9664,"=BC")
-SUMIFS(Discontinuities!$D$4:$D$9664,Discontinuities!$A$4:$A$9664,A94,Discontinuities!$C$4:$C$9664,"&gt;="&amp;C94,Discontinuities!$C$4:$C$9664,"&lt;"&amp;D94,Discontinuities!$E$4:$E$9664,"=LC")
-SUMIFS(Discontinuities!$D$4:$D$9664,Discontinuities!$A$4:$A$9664,A94,Discontinuities!$C$4:$C$9664,"&gt;="&amp;C94,Discontinuities!$C$4:$C$9664,"&lt;"&amp;D94,Discontinuities!$E$4:$E$9664,"=FLT")</f>
        <v>5</v>
      </c>
      <c r="X94" t="s">
        <v>400</v>
      </c>
      <c r="AA94" s="12"/>
      <c r="AB94" s="43">
        <f>IFERROR(ROUND((Data_Geotech[[#This Row],[Fault (m)]]+Data_Geotech[[#This Row],[Broken Core (m)]]+Data_Geotech[[#This Row],[Lost Core (m)]])*30,0),0)</f>
        <v>0</v>
      </c>
      <c r="AC94" s="44">
        <f>IF(Data_Geotech[[#This Row],[Added fractures 
(BC, FLT, LC)]]+Data_Geotech[[#This Row],[Fracture per interval]]=0,99,1/((Data_Geotech[[#This Row],[Fracture per interval]]+Data_Geotech[[#This Row],[Added fractures 
(BC, FLT, LC)]])/Data_Geotech[[#This Row],[Run (m)]]))</f>
        <v>0.4</v>
      </c>
      <c r="AD94" s="155" cm="1">
        <f t="array" ref="AD94">IFERROR(_xlfn.XLOOKUP(1,(A94=PLT!$A$4:$A$8886)*(Geotech!C94&lt;=PLT!$F$4:$F$8886)*(Geotech!D94&gt;=PLT!$F$4:$F$8886)*("Valid"=PLT!$P$4:$P$8886),PLT!$V$4:$V$8886),"")</f>
        <v>0</v>
      </c>
      <c r="AE94" s="156" t="str" cm="1">
        <f t="array" ref="AE94">IFERROR(_xlfn.XLOOKUP(1,(A94=PLT!$A$4:$A$8886)*(Geotech!C94&lt;=PLT!$F$4:$F$8886)*(Geotech!D94&gt;=PLT!$F$4:$F$8886)*(PLT!$V$4:$V$8886&lt;&gt;AD94)*("Valid"=PLT!$P$4:$P$7190),PLT!$V$4:$V$8886),"")</f>
        <v/>
      </c>
      <c r="AF94" s="156" t="str" cm="1">
        <f t="array" ref="AF94">IFERROR(_xlfn.XLOOKUP(1,(A94=PLT!$A$4:$A$8886)*(Geotech!C94&lt;=PLT!$F$4:$F$8886)*(Geotech!D94&gt;=PLT!$F$4:$F$8886)*(PLT!$V$4:$V$8886&lt;&gt;AD94)*(PLT!$V$4:$V$8886&lt;&gt;AE94)*("Valid"=PLT!$P$4:$P$7190),PLT!$V$4:$V$8886),"")</f>
        <v/>
      </c>
      <c r="AG94" s="44">
        <f>IFERROR(IF(AVERAGE(AD94:AF94)&gt;References!$BO$23,References!$BP$23,
IF(AVERAGE(AD94:AF94)&gt;References!$BO$22,References!$BP$22,
IF(AVERAGE(AD94:AF94)&gt;References!$BO$21,References!$BP$21,
IF(AVERAGE(AD94:AF94)&gt;References!$BO$20,References!$BP$20,
IF(AVERAGE(AD94:AF94)&gt;References!$BO$19,References!$BP$19,
IF(AVERAGE(AD94:AF94)&gt;References!$BO$18,References!$BP$18,
0)))))),"")</f>
        <v>0</v>
      </c>
      <c r="AH94" s="43">
        <f>IF(Data_Geotech[[#This Row],[Is50]]="",VLOOKUP(Data_Geotech[[#This Row],[Field Intact Rock Strength]],Table_RMR76_Strength[],2,FALSE),Data_Geotech[[#This Row],[Is50]])</f>
        <v>0</v>
      </c>
      <c r="AI94" s="43">
        <f>IF(Data_Geotech[[#This Row],[RQD (%)]]&lt;=25,3,IF(Data_Geotech[[#This Row],[RQD (%)]]&lt;=50,8,IF(Data_Geotech[[#This Row],[RQD (%)]]&lt;=75,13,IF(Data_Geotech[[#This Row],[RQD (%)]]&lt;=90,17,20))))</f>
        <v>20</v>
      </c>
      <c r="AJ94" s="43">
        <f>IF(Data_Geotech[[#This Row],[Joint spacing (m)]]&lt;=0.05,5,IF(Data_Geotech[[#This Row],[Joint spacing (m)]]&lt;=0.3,10,IF(Data_Geotech[[#This Row],[Joint spacing (m)]]&lt;=1,20,IF(Data_Geotech[[#This Row],[Joint spacing (m)]]&lt;=3,25,30))))</f>
        <v>20</v>
      </c>
      <c r="AK9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14.4</v>
      </c>
      <c r="AL94" s="6">
        <v>10</v>
      </c>
      <c r="AM94" s="117">
        <f>IF(Data_Geotech[[#This Row],[FIRS Code]]="R",IFERROR(SUM(Data_Geotech[[#This Row],[RMR76 - Strength rating]:[RMR76 - Ground water rating]]),""),"")</f>
        <v>64.400000000000006</v>
      </c>
      <c r="AN94" s="39">
        <f>IF(Data_Geotech[[#This Row],[FIRS Code]]="R",(2*Data_Geotech[[#This Row],[RMR76 - Joint condition rating]])+(IF(Data_Geotech[[#This Row],[RQD (%)]]&gt;80,80/2,Data_Geotech[[#This Row],[RQD (%)]]/2)),"")</f>
        <v>68.8</v>
      </c>
      <c r="AO94" s="43" t="str">
        <f>LEFT(Data_Geotech[[#This Row],[Joint Set Rating]],FIND("-",Data_Geotech[[#This Row],[Joint Set Rating]],1)-2)</f>
        <v>6</v>
      </c>
      <c r="AP9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94" s="5">
        <f t="shared" si="0"/>
        <v>1</v>
      </c>
      <c r="AR94" s="49">
        <f>IF(Data_Geotech[[#This Row],[FIRS Code]]="R",IFERROR((IF(Data_Geotech[[#This Row],[RQD (%)]]&lt;10,10,Data_Geotech[[#This Row],[RQD (%)]])/Data_Geotech[[#This Row],[Jn rating]])*Data_Geotech[[#This Row],[Jr/Ja]],""),"")</f>
        <v>11.5625</v>
      </c>
      <c r="AS94" s="45">
        <f>IF(Data_Geotech[[#This Row],[FIRS Code]]="R",IFERROR((IF(Data_Geotech[[#This Row],[RQD (%)]]&lt;10,10,Data_Geotech[[#This Row],[RQD (%)]])/Data_Geotech[[#This Row],[Jn rating]])*Data_Geotech[[#This Row],[Jr/Ja]]*Data_Geotech[[#This Row],[Jw/SRF]],""),"")</f>
        <v>11.5625</v>
      </c>
      <c r="AT94" s="12"/>
      <c r="AU94" s="13">
        <f>100-Data_Geotech[[#This Row],[RQD (%)]]</f>
        <v>7.5</v>
      </c>
      <c r="AV94" s="13">
        <f>100-Data_Geotech[[#This Row],[TCR (%)]]</f>
        <v>0</v>
      </c>
      <c r="AW94" s="62">
        <f>(Data_Geotech[[#This Row],[Fracture per interval]]+Data_Geotech[[#This Row],[Added fractures 
(BC, FLT, LC)]])/Data_Geotech[[#This Row],[TCR (m)]]</f>
        <v>2.5</v>
      </c>
      <c r="AX94" s="6" t="s">
        <v>109</v>
      </c>
      <c r="AY94" s="63">
        <f>7-MID(Data_Geotech[[#This Row],[Field Intact Rock Strength]],2,1)</f>
        <v>4</v>
      </c>
      <c r="AZ94" s="63">
        <f>VLOOKUP(Data_Geotech[[#This Row],[Field Intact Rock Strength]],Table_FieldStrength[],2,FALSE)</f>
        <v>25</v>
      </c>
      <c r="BA94" s="63">
        <f>VLOOKUP(Data_Geotech[[#This Row],[Field Intact Rock Strength]],Table_FieldStrength[],3,FALSE)</f>
        <v>37.5</v>
      </c>
      <c r="BB94" s="63">
        <f>VLOOKUP(Data_Geotech[[#This Row],[Field Intact Rock Strength]],Table_FieldStrength[],4,FALSE)</f>
        <v>50</v>
      </c>
      <c r="BC94" s="63">
        <f>100-Data_Geotech[[#This Row],[RMR76]]</f>
        <v>35.599999999999994</v>
      </c>
      <c r="BD94" s="63" t="str">
        <f>LEFT(Data_Geotech[[#This Row],[Weathering/Alteration]],FIND("-",Data_Geotech[[#This Row],[Weathering/Alteration]])-2)</f>
        <v>W2/A2</v>
      </c>
    </row>
    <row r="95" spans="1:56" ht="15.75" thickBot="1" x14ac:dyDescent="0.3">
      <c r="A95" t="s">
        <v>30</v>
      </c>
      <c r="B95" s="16" t="str">
        <f>VLOOKUP(Data_Geotech[[#This Row],[Hole ID]],Data_Log[],2,FALSE)</f>
        <v>CGF-02</v>
      </c>
      <c r="C95" s="5">
        <v>114</v>
      </c>
      <c r="D95" s="5">
        <v>116.05</v>
      </c>
      <c r="E95" s="5">
        <f>(Data_Geotech[[#This Row],[To (m)]]-Data_Geotech[[#This Row],[From (m)]])/2+Data_Geotech[[#This Row],[From (m)]]</f>
        <v>115.02500000000001</v>
      </c>
      <c r="F95" s="13">
        <f>Data_Geotech[[#This Row],[To (m)]]-Data_Geotech[[#This Row],[From (m)]]</f>
        <v>2.0499999999999972</v>
      </c>
      <c r="G95" s="5">
        <v>2.0499999999999998</v>
      </c>
      <c r="H95" s="61">
        <f>Data_Geotech[[#This Row],[TCR (m)]]/Data_Geotech[[#This Row],[Run (m)]]*100</f>
        <v>100.00000000000013</v>
      </c>
      <c r="I95" s="151">
        <v>2.04</v>
      </c>
      <c r="J95" s="151">
        <v>2.04</v>
      </c>
      <c r="K95" s="5">
        <v>2.04</v>
      </c>
      <c r="L95" s="61">
        <f>Data_Geotech[[#This Row],[RQD (m)]]/Data_Geotech[[#This Row],[Run Reel (m)]]*100</f>
        <v>100</v>
      </c>
      <c r="M95" t="s">
        <v>584</v>
      </c>
      <c r="O95" t="s">
        <v>278</v>
      </c>
      <c r="P95" s="115" t="s">
        <v>397</v>
      </c>
      <c r="Q95" s="5" t="s">
        <v>313</v>
      </c>
      <c r="R95" s="5"/>
      <c r="S95" s="5"/>
      <c r="T95" s="5"/>
      <c r="U95" s="5"/>
      <c r="V95" s="6">
        <v>4</v>
      </c>
      <c r="W95" s="92">
        <f>SUMIFS(Discontinuities!$D$4:$D$9664,Discontinuities!$A$4:$A$9664,A95,Discontinuities!$C$4:$C$9664,"&gt;="&amp;C95,Discontinuities!$C$4:$C$9664,"&lt;"&amp;D95)
-SUMIFS(Discontinuities!$D$4:$D$9664,Discontinuities!$A$4:$A$9664,A95,Discontinuities!$C$4:$C$9664,"&gt;="&amp;C95,Discontinuities!$C$4:$C$9664,"&lt;"&amp;D95,Discontinuities!$E$4:$E$9664,"=BC")
-SUMIFS(Discontinuities!$D$4:$D$9664,Discontinuities!$A$4:$A$9664,A95,Discontinuities!$C$4:$C$9664,"&gt;="&amp;C95,Discontinuities!$C$4:$C$9664,"&lt;"&amp;D95,Discontinuities!$E$4:$E$9664,"=LC")
-SUMIFS(Discontinuities!$D$4:$D$9664,Discontinuities!$A$4:$A$9664,A95,Discontinuities!$C$4:$C$9664,"&gt;="&amp;C95,Discontinuities!$C$4:$C$9664,"&lt;"&amp;D95,Discontinuities!$E$4:$E$9664,"=FLT")</f>
        <v>4</v>
      </c>
      <c r="X95" t="s">
        <v>400</v>
      </c>
      <c r="AA95" s="12"/>
      <c r="AB95" s="43">
        <f>IFERROR(ROUND((Data_Geotech[[#This Row],[Fault (m)]]+Data_Geotech[[#This Row],[Broken Core (m)]]+Data_Geotech[[#This Row],[Lost Core (m)]])*30,0),0)</f>
        <v>0</v>
      </c>
      <c r="AC95" s="44">
        <f>IF(Data_Geotech[[#This Row],[Added fractures 
(BC, FLT, LC)]]+Data_Geotech[[#This Row],[Fracture per interval]]=0,99,1/((Data_Geotech[[#This Row],[Fracture per interval]]+Data_Geotech[[#This Row],[Added fractures 
(BC, FLT, LC)]])/Data_Geotech[[#This Row],[Run (m)]]))</f>
        <v>0.51249999999999929</v>
      </c>
      <c r="AD95" s="155" cm="1">
        <f t="array" ref="AD95">IFERROR(_xlfn.XLOOKUP(1,(A95=PLT!$A$4:$A$8886)*(Geotech!C95&lt;=PLT!$F$4:$F$8886)*(Geotech!D95&gt;=PLT!$F$4:$F$8886)*("Valid"=PLT!$P$4:$P$8886),PLT!$V$4:$V$8886),"")</f>
        <v>0</v>
      </c>
      <c r="AE95" s="156" t="str" cm="1">
        <f t="array" ref="AE95">IFERROR(_xlfn.XLOOKUP(1,(A95=PLT!$A$4:$A$8886)*(Geotech!C95&lt;=PLT!$F$4:$F$8886)*(Geotech!D95&gt;=PLT!$F$4:$F$8886)*(PLT!$V$4:$V$8886&lt;&gt;AD95)*("Valid"=PLT!$P$4:$P$7190),PLT!$V$4:$V$8886),"")</f>
        <v/>
      </c>
      <c r="AF95" s="156" t="str" cm="1">
        <f t="array" ref="AF95">IFERROR(_xlfn.XLOOKUP(1,(A95=PLT!$A$4:$A$8886)*(Geotech!C95&lt;=PLT!$F$4:$F$8886)*(Geotech!D95&gt;=PLT!$F$4:$F$8886)*(PLT!$V$4:$V$8886&lt;&gt;AD95)*(PLT!$V$4:$V$8886&lt;&gt;AE95)*("Valid"=PLT!$P$4:$P$7190),PLT!$V$4:$V$8886),"")</f>
        <v/>
      </c>
      <c r="AG95" s="44">
        <f>IFERROR(IF(AVERAGE(AD95:AF95)&gt;References!$BO$23,References!$BP$23,
IF(AVERAGE(AD95:AF95)&gt;References!$BO$22,References!$BP$22,
IF(AVERAGE(AD95:AF95)&gt;References!$BO$21,References!$BP$21,
IF(AVERAGE(AD95:AF95)&gt;References!$BO$20,References!$BP$20,
IF(AVERAGE(AD95:AF95)&gt;References!$BO$19,References!$BP$19,
IF(AVERAGE(AD95:AF95)&gt;References!$BO$18,References!$BP$18,
0)))))),"")</f>
        <v>0</v>
      </c>
      <c r="AH95" s="43">
        <f>IF(Data_Geotech[[#This Row],[Is50]]="",VLOOKUP(Data_Geotech[[#This Row],[Field Intact Rock Strength]],Table_RMR76_Strength[],2,FALSE),Data_Geotech[[#This Row],[Is50]])</f>
        <v>0</v>
      </c>
      <c r="AI95" s="43">
        <f>IF(Data_Geotech[[#This Row],[RQD (%)]]&lt;=25,3,IF(Data_Geotech[[#This Row],[RQD (%)]]&lt;=50,8,IF(Data_Geotech[[#This Row],[RQD (%)]]&lt;=75,13,IF(Data_Geotech[[#This Row],[RQD (%)]]&lt;=90,17,20))))</f>
        <v>20</v>
      </c>
      <c r="AJ95" s="43">
        <f>IF(Data_Geotech[[#This Row],[Joint spacing (m)]]&lt;=0.05,5,IF(Data_Geotech[[#This Row],[Joint spacing (m)]]&lt;=0.3,10,IF(Data_Geotech[[#This Row],[Joint spacing (m)]]&lt;=1,20,IF(Data_Geotech[[#This Row],[Joint spacing (m)]]&lt;=3,25,30))))</f>
        <v>20</v>
      </c>
      <c r="AK9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21.25</v>
      </c>
      <c r="AL95" s="6">
        <v>10</v>
      </c>
      <c r="AM95" s="117">
        <f>IF(Data_Geotech[[#This Row],[FIRS Code]]="R",IFERROR(SUM(Data_Geotech[[#This Row],[RMR76 - Strength rating]:[RMR76 - Ground water rating]]),""),"")</f>
        <v>71.25</v>
      </c>
      <c r="AN95" s="39">
        <f>IF(Data_Geotech[[#This Row],[FIRS Code]]="R",(2*Data_Geotech[[#This Row],[RMR76 - Joint condition rating]])+(IF(Data_Geotech[[#This Row],[RQD (%)]]&gt;80,80/2,Data_Geotech[[#This Row],[RQD (%)]]/2)),"")</f>
        <v>82.5</v>
      </c>
      <c r="AO95" s="43" t="str">
        <f>LEFT(Data_Geotech[[#This Row],[Joint Set Rating]],FIND("-",Data_Geotech[[#This Row],[Joint Set Rating]],1)-2)</f>
        <v>6</v>
      </c>
      <c r="AP9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1.0625</v>
      </c>
      <c r="AQ95" s="5">
        <f t="shared" si="0"/>
        <v>1</v>
      </c>
      <c r="AR95" s="49">
        <f>IF(Data_Geotech[[#This Row],[FIRS Code]]="R",IFERROR((IF(Data_Geotech[[#This Row],[RQD (%)]]&lt;10,10,Data_Geotech[[#This Row],[RQD (%)]])/Data_Geotech[[#This Row],[Jn rating]])*Data_Geotech[[#This Row],[Jr/Ja]],""),"")</f>
        <v>17.708333333333336</v>
      </c>
      <c r="AS95" s="45">
        <f>IF(Data_Geotech[[#This Row],[FIRS Code]]="R",IFERROR((IF(Data_Geotech[[#This Row],[RQD (%)]]&lt;10,10,Data_Geotech[[#This Row],[RQD (%)]])/Data_Geotech[[#This Row],[Jn rating]])*Data_Geotech[[#This Row],[Jr/Ja]]*Data_Geotech[[#This Row],[Jw/SRF]],""),"")</f>
        <v>17.708333333333336</v>
      </c>
      <c r="AT95" s="12"/>
      <c r="AU95" s="13">
        <f>100-Data_Geotech[[#This Row],[RQD (%)]]</f>
        <v>0</v>
      </c>
      <c r="AV95" s="13">
        <f>100-Data_Geotech[[#This Row],[TCR (%)]]</f>
        <v>-1.2789769243681803E-13</v>
      </c>
      <c r="AW95" s="62">
        <f>(Data_Geotech[[#This Row],[Fracture per interval]]+Data_Geotech[[#This Row],[Added fractures 
(BC, FLT, LC)]])/Data_Geotech[[#This Row],[TCR (m)]]</f>
        <v>1.9512195121951221</v>
      </c>
      <c r="AX95" s="6" t="s">
        <v>109</v>
      </c>
      <c r="AY95" s="63">
        <f>7-MID(Data_Geotech[[#This Row],[Field Intact Rock Strength]],2,1)</f>
        <v>2</v>
      </c>
      <c r="AZ95" s="63">
        <f>VLOOKUP(Data_Geotech[[#This Row],[Field Intact Rock Strength]],Table_FieldStrength[],2,FALSE)</f>
        <v>100</v>
      </c>
      <c r="BA95" s="63">
        <f>VLOOKUP(Data_Geotech[[#This Row],[Field Intact Rock Strength]],Table_FieldStrength[],3,FALSE)</f>
        <v>175</v>
      </c>
      <c r="BB95" s="63">
        <f>VLOOKUP(Data_Geotech[[#This Row],[Field Intact Rock Strength]],Table_FieldStrength[],4,FALSE)</f>
        <v>250</v>
      </c>
      <c r="BC95" s="63">
        <f>100-Data_Geotech[[#This Row],[RMR76]]</f>
        <v>28.75</v>
      </c>
      <c r="BD95" s="63" t="str">
        <f>LEFT(Data_Geotech[[#This Row],[Weathering/Alteration]],FIND("-",Data_Geotech[[#This Row],[Weathering/Alteration]])-2)</f>
        <v>W2/A2</v>
      </c>
    </row>
    <row r="96" spans="1:56" ht="15.75" thickBot="1" x14ac:dyDescent="0.3">
      <c r="A96" t="s">
        <v>30</v>
      </c>
      <c r="B96" s="16" t="str">
        <f>VLOOKUP(Data_Geotech[[#This Row],[Hole ID]],Data_Log[],2,FALSE)</f>
        <v>CGF-02</v>
      </c>
      <c r="C96" s="5">
        <v>116.05</v>
      </c>
      <c r="D96" s="5">
        <v>116.97</v>
      </c>
      <c r="E96" s="5">
        <f>(Data_Geotech[[#This Row],[To (m)]]-Data_Geotech[[#This Row],[From (m)]])/2+Data_Geotech[[#This Row],[From (m)]]</f>
        <v>116.50999999999999</v>
      </c>
      <c r="F96" s="13">
        <f>Data_Geotech[[#This Row],[To (m)]]-Data_Geotech[[#This Row],[From (m)]]</f>
        <v>0.92000000000000171</v>
      </c>
      <c r="G96" s="5">
        <v>0.92</v>
      </c>
      <c r="H96" s="61">
        <f>Data_Geotech[[#This Row],[TCR (m)]]/Data_Geotech[[#This Row],[Run (m)]]*100</f>
        <v>99.999999999999829</v>
      </c>
      <c r="I96" s="151">
        <v>0.91</v>
      </c>
      <c r="J96" s="151">
        <v>0.91</v>
      </c>
      <c r="K96" s="5">
        <v>0.84</v>
      </c>
      <c r="L96" s="61">
        <f>Data_Geotech[[#This Row],[RQD (m)]]/Data_Geotech[[#This Row],[Run Reel (m)]]*100</f>
        <v>92.307692307692307</v>
      </c>
      <c r="M96" t="s">
        <v>569</v>
      </c>
      <c r="O96" t="s">
        <v>243</v>
      </c>
      <c r="P96" s="115" t="s">
        <v>416</v>
      </c>
      <c r="Q96" s="5" t="s">
        <v>313</v>
      </c>
      <c r="R96" s="5"/>
      <c r="S96" s="5"/>
      <c r="T96" s="5"/>
      <c r="U96" s="5"/>
      <c r="V96" s="6">
        <v>5</v>
      </c>
      <c r="W96" s="92">
        <f>SUMIFS(Discontinuities!$D$4:$D$9664,Discontinuities!$A$4:$A$9664,A96,Discontinuities!$C$4:$C$9664,"&gt;="&amp;C96,Discontinuities!$C$4:$C$9664,"&lt;"&amp;D96)
-SUMIFS(Discontinuities!$D$4:$D$9664,Discontinuities!$A$4:$A$9664,A96,Discontinuities!$C$4:$C$9664,"&gt;="&amp;C96,Discontinuities!$C$4:$C$9664,"&lt;"&amp;D96,Discontinuities!$E$4:$E$9664,"=BC")
-SUMIFS(Discontinuities!$D$4:$D$9664,Discontinuities!$A$4:$A$9664,A96,Discontinuities!$C$4:$C$9664,"&gt;="&amp;C96,Discontinuities!$C$4:$C$9664,"&lt;"&amp;D96,Discontinuities!$E$4:$E$9664,"=LC")
-SUMIFS(Discontinuities!$D$4:$D$9664,Discontinuities!$A$4:$A$9664,A96,Discontinuities!$C$4:$C$9664,"&gt;="&amp;C96,Discontinuities!$C$4:$C$9664,"&lt;"&amp;D96,Discontinuities!$E$4:$E$9664,"=FLT")</f>
        <v>5</v>
      </c>
      <c r="X96" t="s">
        <v>373</v>
      </c>
      <c r="AA96" s="12"/>
      <c r="AB96" s="43">
        <f>IFERROR(ROUND((Data_Geotech[[#This Row],[Fault (m)]]+Data_Geotech[[#This Row],[Broken Core (m)]]+Data_Geotech[[#This Row],[Lost Core (m)]])*30,0),0)</f>
        <v>0</v>
      </c>
      <c r="AC96" s="44">
        <f>IF(Data_Geotech[[#This Row],[Added fractures 
(BC, FLT, LC)]]+Data_Geotech[[#This Row],[Fracture per interval]]=0,99,1/((Data_Geotech[[#This Row],[Fracture per interval]]+Data_Geotech[[#This Row],[Added fractures 
(BC, FLT, LC)]])/Data_Geotech[[#This Row],[Run (m)]]))</f>
        <v>0.18400000000000036</v>
      </c>
      <c r="AD96" s="155" cm="1">
        <f t="array" ref="AD96">IFERROR(_xlfn.XLOOKUP(1,(A96=PLT!$A$4:$A$8886)*(Geotech!C96&lt;=PLT!$F$4:$F$8886)*(Geotech!D96&gt;=PLT!$F$4:$F$8886)*("Valid"=PLT!$P$4:$P$8886),PLT!$V$4:$V$8886),"")</f>
        <v>0</v>
      </c>
      <c r="AE96" s="156" t="str" cm="1">
        <f t="array" ref="AE96">IFERROR(_xlfn.XLOOKUP(1,(A96=PLT!$A$4:$A$8886)*(Geotech!C96&lt;=PLT!$F$4:$F$8886)*(Geotech!D96&gt;=PLT!$F$4:$F$8886)*(PLT!$V$4:$V$8886&lt;&gt;AD96)*("Valid"=PLT!$P$4:$P$7190),PLT!$V$4:$V$8886),"")</f>
        <v/>
      </c>
      <c r="AF96" s="156" t="str" cm="1">
        <f t="array" ref="AF96">IFERROR(_xlfn.XLOOKUP(1,(A96=PLT!$A$4:$A$8886)*(Geotech!C96&lt;=PLT!$F$4:$F$8886)*(Geotech!D96&gt;=PLT!$F$4:$F$8886)*(PLT!$V$4:$V$8886&lt;&gt;AD96)*(PLT!$V$4:$V$8886&lt;&gt;AE96)*("Valid"=PLT!$P$4:$P$7190),PLT!$V$4:$V$8886),"")</f>
        <v/>
      </c>
      <c r="AG96" s="44">
        <f>IFERROR(IF(AVERAGE(AD96:AF96)&gt;References!$BO$23,References!$BP$23,
IF(AVERAGE(AD96:AF96)&gt;References!$BO$22,References!$BP$22,
IF(AVERAGE(AD96:AF96)&gt;References!$BO$21,References!$BP$21,
IF(AVERAGE(AD96:AF96)&gt;References!$BO$20,References!$BP$20,
IF(AVERAGE(AD96:AF96)&gt;References!$BO$19,References!$BP$19,
IF(AVERAGE(AD96:AF96)&gt;References!$BO$18,References!$BP$18,
0)))))),"")</f>
        <v>0</v>
      </c>
      <c r="AH96" s="43">
        <f>IF(Data_Geotech[[#This Row],[Is50]]="",VLOOKUP(Data_Geotech[[#This Row],[Field Intact Rock Strength]],Table_RMR76_Strength[],2,FALSE),Data_Geotech[[#This Row],[Is50]])</f>
        <v>0</v>
      </c>
      <c r="AI96" s="43">
        <f>IF(Data_Geotech[[#This Row],[RQD (%)]]&lt;=25,3,IF(Data_Geotech[[#This Row],[RQD (%)]]&lt;=50,8,IF(Data_Geotech[[#This Row],[RQD (%)]]&lt;=75,13,IF(Data_Geotech[[#This Row],[RQD (%)]]&lt;=90,17,20))))</f>
        <v>20</v>
      </c>
      <c r="AJ96" s="43">
        <f>IF(Data_Geotech[[#This Row],[Joint spacing (m)]]&lt;=0.05,5,IF(Data_Geotech[[#This Row],[Joint spacing (m)]]&lt;=0.3,10,IF(Data_Geotech[[#This Row],[Joint spacing (m)]]&lt;=1,20,IF(Data_Geotech[[#This Row],[Joint spacing (m)]]&lt;=3,25,30))))</f>
        <v>10</v>
      </c>
      <c r="AK9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10</v>
      </c>
      <c r="AL96" s="6">
        <v>10</v>
      </c>
      <c r="AM96" s="117">
        <f>IF(Data_Geotech[[#This Row],[FIRS Code]]="R",IFERROR(SUM(Data_Geotech[[#This Row],[RMR76 - Strength rating]:[RMR76 - Ground water rating]]),""),"")</f>
        <v>50</v>
      </c>
      <c r="AN96" s="39">
        <f>IF(Data_Geotech[[#This Row],[FIRS Code]]="R",(2*Data_Geotech[[#This Row],[RMR76 - Joint condition rating]])+(IF(Data_Geotech[[#This Row],[RQD (%)]]&gt;80,80/2,Data_Geotech[[#This Row],[RQD (%)]]/2)),"")</f>
        <v>60</v>
      </c>
      <c r="AO96" s="43" t="str">
        <f>LEFT(Data_Geotech[[#This Row],[Joint Set Rating]],FIND("-",Data_Geotech[[#This Row],[Joint Set Rating]],1)-2)</f>
        <v>4</v>
      </c>
      <c r="AP9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0.47499999999999998</v>
      </c>
      <c r="AQ96" s="5">
        <f t="shared" si="0"/>
        <v>1</v>
      </c>
      <c r="AR96" s="49">
        <f>IF(Data_Geotech[[#This Row],[FIRS Code]]="R",IFERROR((IF(Data_Geotech[[#This Row],[RQD (%)]]&lt;10,10,Data_Geotech[[#This Row],[RQD (%)]])/Data_Geotech[[#This Row],[Jn rating]])*Data_Geotech[[#This Row],[Jr/Ja]],""),"")</f>
        <v>10.961538461538462</v>
      </c>
      <c r="AS96" s="45">
        <f>IF(Data_Geotech[[#This Row],[FIRS Code]]="R",IFERROR((IF(Data_Geotech[[#This Row],[RQD (%)]]&lt;10,10,Data_Geotech[[#This Row],[RQD (%)]])/Data_Geotech[[#This Row],[Jn rating]])*Data_Geotech[[#This Row],[Jr/Ja]]*Data_Geotech[[#This Row],[Jw/SRF]],""),"")</f>
        <v>10.961538461538462</v>
      </c>
      <c r="AT96" s="12"/>
      <c r="AU96" s="13">
        <f>100-Data_Geotech[[#This Row],[RQD (%)]]</f>
        <v>7.6923076923076934</v>
      </c>
      <c r="AV96" s="13">
        <f>100-Data_Geotech[[#This Row],[TCR (%)]]</f>
        <v>1.7053025658242404E-13</v>
      </c>
      <c r="AW96" s="62">
        <f>(Data_Geotech[[#This Row],[Fracture per interval]]+Data_Geotech[[#This Row],[Added fractures 
(BC, FLT, LC)]])/Data_Geotech[[#This Row],[TCR (m)]]</f>
        <v>5.4347826086956523</v>
      </c>
      <c r="AX96" s="6" t="s">
        <v>109</v>
      </c>
      <c r="AY96" s="63">
        <f>7-MID(Data_Geotech[[#This Row],[Field Intact Rock Strength]],2,1)</f>
        <v>1</v>
      </c>
      <c r="AZ96" s="63">
        <f>VLOOKUP(Data_Geotech[[#This Row],[Field Intact Rock Strength]],Table_FieldStrength[],2,FALSE)</f>
        <v>250</v>
      </c>
      <c r="BA96" s="63">
        <f>VLOOKUP(Data_Geotech[[#This Row],[Field Intact Rock Strength]],Table_FieldStrength[],3,FALSE)</f>
        <v>275</v>
      </c>
      <c r="BB96" s="63">
        <f>VLOOKUP(Data_Geotech[[#This Row],[Field Intact Rock Strength]],Table_FieldStrength[],4,FALSE)</f>
        <v>300</v>
      </c>
      <c r="BC96" s="63">
        <f>100-Data_Geotech[[#This Row],[RMR76]]</f>
        <v>50</v>
      </c>
      <c r="BD96" s="63" t="str">
        <f>LEFT(Data_Geotech[[#This Row],[Weathering/Alteration]],FIND("-",Data_Geotech[[#This Row],[Weathering/Alteration]])-2)</f>
        <v>W1/A1</v>
      </c>
    </row>
    <row r="97" spans="1:56" ht="15.75" thickBot="1" x14ac:dyDescent="0.3">
      <c r="A97" t="s">
        <v>30</v>
      </c>
      <c r="B97" s="16" t="str">
        <f>VLOOKUP(Data_Geotech[[#This Row],[Hole ID]],Data_Log[],2,FALSE)</f>
        <v>CGF-02</v>
      </c>
      <c r="C97" s="5">
        <v>116.97</v>
      </c>
      <c r="D97" s="5">
        <v>120</v>
      </c>
      <c r="E97" s="5">
        <f>(Data_Geotech[[#This Row],[To (m)]]-Data_Geotech[[#This Row],[From (m)]])/2+Data_Geotech[[#This Row],[From (m)]]</f>
        <v>118.485</v>
      </c>
      <c r="F97" s="13">
        <f>Data_Geotech[[#This Row],[To (m)]]-Data_Geotech[[#This Row],[From (m)]]</f>
        <v>3.0300000000000011</v>
      </c>
      <c r="G97" s="5">
        <v>3.03</v>
      </c>
      <c r="H97" s="61">
        <f>Data_Geotech[[#This Row],[TCR (m)]]/Data_Geotech[[#This Row],[Run (m)]]*100</f>
        <v>99.999999999999957</v>
      </c>
      <c r="I97" s="151">
        <v>3.03</v>
      </c>
      <c r="J97" s="151">
        <v>3.03</v>
      </c>
      <c r="K97" s="5">
        <v>2.96</v>
      </c>
      <c r="L97" s="61">
        <f>Data_Geotech[[#This Row],[RQD (m)]]/Data_Geotech[[#This Row],[Run Reel (m)]]*100</f>
        <v>97.689768976897696</v>
      </c>
      <c r="M97" t="s">
        <v>569</v>
      </c>
      <c r="O97" t="s">
        <v>243</v>
      </c>
      <c r="P97" s="115" t="s">
        <v>397</v>
      </c>
      <c r="Q97" s="5" t="s">
        <v>346</v>
      </c>
      <c r="R97" s="5"/>
      <c r="S97" s="5"/>
      <c r="T97" s="5"/>
      <c r="U97" s="5"/>
      <c r="V97" s="6">
        <v>10</v>
      </c>
      <c r="W97" s="92">
        <f>SUMIFS(Discontinuities!$D$4:$D$9664,Discontinuities!$A$4:$A$9664,A97,Discontinuities!$C$4:$C$9664,"&gt;="&amp;C97,Discontinuities!$C$4:$C$9664,"&lt;"&amp;D97)
-SUMIFS(Discontinuities!$D$4:$D$9664,Discontinuities!$A$4:$A$9664,A97,Discontinuities!$C$4:$C$9664,"&gt;="&amp;C97,Discontinuities!$C$4:$C$9664,"&lt;"&amp;D97,Discontinuities!$E$4:$E$9664,"=BC")
-SUMIFS(Discontinuities!$D$4:$D$9664,Discontinuities!$A$4:$A$9664,A97,Discontinuities!$C$4:$C$9664,"&gt;="&amp;C97,Discontinuities!$C$4:$C$9664,"&lt;"&amp;D97,Discontinuities!$E$4:$E$9664,"=LC")
-SUMIFS(Discontinuities!$D$4:$D$9664,Discontinuities!$A$4:$A$9664,A97,Discontinuities!$C$4:$C$9664,"&gt;="&amp;C97,Discontinuities!$C$4:$C$9664,"&lt;"&amp;D97,Discontinuities!$E$4:$E$9664,"=FLT")</f>
        <v>10</v>
      </c>
      <c r="X97" t="s">
        <v>417</v>
      </c>
      <c r="AA97" s="12"/>
      <c r="AB97" s="43">
        <f>IFERROR(ROUND((Data_Geotech[[#This Row],[Fault (m)]]+Data_Geotech[[#This Row],[Broken Core (m)]]+Data_Geotech[[#This Row],[Lost Core (m)]])*30,0),0)</f>
        <v>0</v>
      </c>
      <c r="AC97" s="44">
        <f>IF(Data_Geotech[[#This Row],[Added fractures 
(BC, FLT, LC)]]+Data_Geotech[[#This Row],[Fracture per interval]]=0,99,1/((Data_Geotech[[#This Row],[Fracture per interval]]+Data_Geotech[[#This Row],[Added fractures 
(BC, FLT, LC)]])/Data_Geotech[[#This Row],[Run (m)]]))</f>
        <v>0.3030000000000001</v>
      </c>
      <c r="AD97" s="155" cm="1">
        <f t="array" ref="AD97">IFERROR(_xlfn.XLOOKUP(1,(A97=PLT!$A$4:$A$8886)*(Geotech!C97&lt;=PLT!$F$4:$F$8886)*(Geotech!D97&gt;=PLT!$F$4:$F$8886)*("Valid"=PLT!$P$4:$P$8886),PLT!$V$4:$V$8886),"")</f>
        <v>0</v>
      </c>
      <c r="AE97" s="156" t="str" cm="1">
        <f t="array" ref="AE97">IFERROR(_xlfn.XLOOKUP(1,(A97=PLT!$A$4:$A$8886)*(Geotech!C97&lt;=PLT!$F$4:$F$8886)*(Geotech!D97&gt;=PLT!$F$4:$F$8886)*(PLT!$V$4:$V$8886&lt;&gt;AD97)*("Valid"=PLT!$P$4:$P$7190),PLT!$V$4:$V$8886),"")</f>
        <v/>
      </c>
      <c r="AF97" s="156" t="str" cm="1">
        <f t="array" ref="AF97">IFERROR(_xlfn.XLOOKUP(1,(A97=PLT!$A$4:$A$8886)*(Geotech!C97&lt;=PLT!$F$4:$F$8886)*(Geotech!D97&gt;=PLT!$F$4:$F$8886)*(PLT!$V$4:$V$8886&lt;&gt;AD97)*(PLT!$V$4:$V$8886&lt;&gt;AE97)*("Valid"=PLT!$P$4:$P$7190),PLT!$V$4:$V$8886),"")</f>
        <v/>
      </c>
      <c r="AG97" s="44">
        <f>IFERROR(IF(AVERAGE(AD97:AF97)&gt;References!$BO$23,References!$BP$23,
IF(AVERAGE(AD97:AF97)&gt;References!$BO$22,References!$BP$22,
IF(AVERAGE(AD97:AF97)&gt;References!$BO$21,References!$BP$21,
IF(AVERAGE(AD97:AF97)&gt;References!$BO$20,References!$BP$20,
IF(AVERAGE(AD97:AF97)&gt;References!$BO$19,References!$BP$19,
IF(AVERAGE(AD97:AF97)&gt;References!$BO$18,References!$BP$18,
0)))))),"")</f>
        <v>0</v>
      </c>
      <c r="AH97" s="43">
        <f>IF(Data_Geotech[[#This Row],[Is50]]="",VLOOKUP(Data_Geotech[[#This Row],[Field Intact Rock Strength]],Table_RMR76_Strength[],2,FALSE),Data_Geotech[[#This Row],[Is50]])</f>
        <v>0</v>
      </c>
      <c r="AI97" s="43">
        <f>IF(Data_Geotech[[#This Row],[RQD (%)]]&lt;=25,3,IF(Data_Geotech[[#This Row],[RQD (%)]]&lt;=50,8,IF(Data_Geotech[[#This Row],[RQD (%)]]&lt;=75,13,IF(Data_Geotech[[#This Row],[RQD (%)]]&lt;=90,17,20))))</f>
        <v>20</v>
      </c>
      <c r="AJ97" s="43">
        <f>IF(Data_Geotech[[#This Row],[Joint spacing (m)]]&lt;=0.05,5,IF(Data_Geotech[[#This Row],[Joint spacing (m)]]&lt;=0.3,10,IF(Data_Geotech[[#This Row],[Joint spacing (m)]]&lt;=1,20,IF(Data_Geotech[[#This Row],[Joint spacing (m)]]&lt;=3,25,30))))</f>
        <v>20</v>
      </c>
      <c r="AK9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v>
      </c>
      <c r="AL97" s="6">
        <v>10</v>
      </c>
      <c r="AM97" s="117">
        <f>IF(Data_Geotech[[#This Row],[FIRS Code]]="R",IFERROR(SUM(Data_Geotech[[#This Row],[RMR76 - Strength rating]:[RMR76 - Ground water rating]]),""),"")</f>
        <v>64</v>
      </c>
      <c r="AN97" s="39">
        <f>IF(Data_Geotech[[#This Row],[FIRS Code]]="R",(2*Data_Geotech[[#This Row],[RMR76 - Joint condition rating]])+(IF(Data_Geotech[[#This Row],[RQD (%)]]&gt;80,80/2,Data_Geotech[[#This Row],[RQD (%)]]/2)),"")</f>
        <v>68</v>
      </c>
      <c r="AO97" s="43" t="str">
        <f>LEFT(Data_Geotech[[#This Row],[Joint Set Rating]],FIND("-",Data_Geotech[[#This Row],[Joint Set Rating]],1)-2)</f>
        <v>9</v>
      </c>
      <c r="AP9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0.79166666666666674</v>
      </c>
      <c r="AQ97" s="5">
        <f t="shared" si="0"/>
        <v>1</v>
      </c>
      <c r="AR97" s="49">
        <f>IF(Data_Geotech[[#This Row],[FIRS Code]]="R",IFERROR((IF(Data_Geotech[[#This Row],[RQD (%)]]&lt;10,10,Data_Geotech[[#This Row],[RQD (%)]])/Data_Geotech[[#This Row],[Jn rating]])*Data_Geotech[[#This Row],[Jr/Ja]],""),"")</f>
        <v>8.5930815303752599</v>
      </c>
      <c r="AS97" s="45">
        <f>IF(Data_Geotech[[#This Row],[FIRS Code]]="R",IFERROR((IF(Data_Geotech[[#This Row],[RQD (%)]]&lt;10,10,Data_Geotech[[#This Row],[RQD (%)]])/Data_Geotech[[#This Row],[Jn rating]])*Data_Geotech[[#This Row],[Jr/Ja]]*Data_Geotech[[#This Row],[Jw/SRF]],""),"")</f>
        <v>8.5930815303752599</v>
      </c>
      <c r="AT97" s="12"/>
      <c r="AU97" s="13">
        <f>100-Data_Geotech[[#This Row],[RQD (%)]]</f>
        <v>2.310231023102304</v>
      </c>
      <c r="AV97" s="13">
        <f>100-Data_Geotech[[#This Row],[TCR (%)]]</f>
        <v>0</v>
      </c>
      <c r="AW97" s="62">
        <f>(Data_Geotech[[#This Row],[Fracture per interval]]+Data_Geotech[[#This Row],[Added fractures 
(BC, FLT, LC)]])/Data_Geotech[[#This Row],[TCR (m)]]</f>
        <v>3.3003300330033007</v>
      </c>
      <c r="AX97" s="6" t="s">
        <v>109</v>
      </c>
      <c r="AY97" s="63">
        <f>7-MID(Data_Geotech[[#This Row],[Field Intact Rock Strength]],2,1)</f>
        <v>2</v>
      </c>
      <c r="AZ97" s="63">
        <f>VLOOKUP(Data_Geotech[[#This Row],[Field Intact Rock Strength]],Table_FieldStrength[],2,FALSE)</f>
        <v>100</v>
      </c>
      <c r="BA97" s="63">
        <f>VLOOKUP(Data_Geotech[[#This Row],[Field Intact Rock Strength]],Table_FieldStrength[],3,FALSE)</f>
        <v>175</v>
      </c>
      <c r="BB97" s="63">
        <f>VLOOKUP(Data_Geotech[[#This Row],[Field Intact Rock Strength]],Table_FieldStrength[],4,FALSE)</f>
        <v>250</v>
      </c>
      <c r="BC97" s="63">
        <f>100-Data_Geotech[[#This Row],[RMR76]]</f>
        <v>36</v>
      </c>
      <c r="BD97" s="63" t="str">
        <f>LEFT(Data_Geotech[[#This Row],[Weathering/Alteration]],FIND("-",Data_Geotech[[#This Row],[Weathering/Alteration]])-2)</f>
        <v>W1/A1</v>
      </c>
    </row>
    <row r="98" spans="1:56" ht="15.75" thickBot="1" x14ac:dyDescent="0.3">
      <c r="A98" t="s">
        <v>30</v>
      </c>
      <c r="B98" s="16" t="str">
        <f>VLOOKUP(Data_Geotech[[#This Row],[Hole ID]],Data_Log[],2,FALSE)</f>
        <v>CGF-02</v>
      </c>
      <c r="C98" s="5">
        <v>120</v>
      </c>
      <c r="D98" s="5">
        <v>123.11</v>
      </c>
      <c r="E98" s="5">
        <f>(Data_Geotech[[#This Row],[To (m)]]-Data_Geotech[[#This Row],[From (m)]])/2+Data_Geotech[[#This Row],[From (m)]]</f>
        <v>121.55500000000001</v>
      </c>
      <c r="F98" s="13">
        <f>Data_Geotech[[#This Row],[To (m)]]-Data_Geotech[[#This Row],[From (m)]]</f>
        <v>3.1099999999999994</v>
      </c>
      <c r="G98" s="5">
        <v>3.11</v>
      </c>
      <c r="H98" s="61">
        <f>Data_Geotech[[#This Row],[TCR (m)]]/Data_Geotech[[#This Row],[Run (m)]]*100</f>
        <v>100.00000000000003</v>
      </c>
      <c r="I98" s="151">
        <v>3.11</v>
      </c>
      <c r="J98" s="151">
        <v>3.11</v>
      </c>
      <c r="K98" s="5">
        <f>3.11-0.03-0.07</f>
        <v>3.0100000000000002</v>
      </c>
      <c r="L98" s="61">
        <f>Data_Geotech[[#This Row],[RQD (m)]]/Data_Geotech[[#This Row],[Run Reel (m)]]*100</f>
        <v>96.784565916398719</v>
      </c>
      <c r="M98" t="s">
        <v>569</v>
      </c>
      <c r="O98" t="s">
        <v>278</v>
      </c>
      <c r="P98" s="115" t="s">
        <v>397</v>
      </c>
      <c r="Q98" s="5" t="s">
        <v>313</v>
      </c>
      <c r="R98" s="5"/>
      <c r="S98" s="5">
        <v>0.1</v>
      </c>
      <c r="T98" s="5"/>
      <c r="U98" s="5"/>
      <c r="V98" s="6">
        <v>7</v>
      </c>
      <c r="W98" s="92">
        <f>SUMIFS(Discontinuities!$D$4:$D$9664,Discontinuities!$A$4:$A$9664,A98,Discontinuities!$C$4:$C$9664,"&gt;="&amp;C98,Discontinuities!$C$4:$C$9664,"&lt;"&amp;D98)
-SUMIFS(Discontinuities!$D$4:$D$9664,Discontinuities!$A$4:$A$9664,A98,Discontinuities!$C$4:$C$9664,"&gt;="&amp;C98,Discontinuities!$C$4:$C$9664,"&lt;"&amp;D98,Discontinuities!$E$4:$E$9664,"=BC")
-SUMIFS(Discontinuities!$D$4:$D$9664,Discontinuities!$A$4:$A$9664,A98,Discontinuities!$C$4:$C$9664,"&gt;="&amp;C98,Discontinuities!$C$4:$C$9664,"&lt;"&amp;D98,Discontinuities!$E$4:$E$9664,"=LC")
-SUMIFS(Discontinuities!$D$4:$D$9664,Discontinuities!$A$4:$A$9664,A98,Discontinuities!$C$4:$C$9664,"&gt;="&amp;C98,Discontinuities!$C$4:$C$9664,"&lt;"&amp;D98,Discontinuities!$E$4:$E$9664,"=FLT")</f>
        <v>7</v>
      </c>
      <c r="X98" t="s">
        <v>400</v>
      </c>
      <c r="AA98" s="12"/>
      <c r="AB98" s="43">
        <f>IFERROR(ROUND((Data_Geotech[[#This Row],[Fault (m)]]+Data_Geotech[[#This Row],[Broken Core (m)]]+Data_Geotech[[#This Row],[Lost Core (m)]])*30,0),0)</f>
        <v>3</v>
      </c>
      <c r="AC98" s="44">
        <f>IF(Data_Geotech[[#This Row],[Added fractures 
(BC, FLT, LC)]]+Data_Geotech[[#This Row],[Fracture per interval]]=0,99,1/((Data_Geotech[[#This Row],[Fracture per interval]]+Data_Geotech[[#This Row],[Added fractures 
(BC, FLT, LC)]])/Data_Geotech[[#This Row],[Run (m)]]))</f>
        <v>0.31099999999999994</v>
      </c>
      <c r="AD98" s="155" cm="1">
        <f t="array" ref="AD98">IFERROR(_xlfn.XLOOKUP(1,(A98=PLT!$A$4:$A$8886)*(Geotech!C98&lt;=PLT!$F$4:$F$8886)*(Geotech!D98&gt;=PLT!$F$4:$F$8886)*("Valid"=PLT!$P$4:$P$8886),PLT!$V$4:$V$8886),"")</f>
        <v>0</v>
      </c>
      <c r="AE98" s="156" t="str" cm="1">
        <f t="array" ref="AE98">IFERROR(_xlfn.XLOOKUP(1,(A98=PLT!$A$4:$A$8886)*(Geotech!C98&lt;=PLT!$F$4:$F$8886)*(Geotech!D98&gt;=PLT!$F$4:$F$8886)*(PLT!$V$4:$V$8886&lt;&gt;AD98)*("Valid"=PLT!$P$4:$P$7190),PLT!$V$4:$V$8886),"")</f>
        <v/>
      </c>
      <c r="AF98" s="156" t="str" cm="1">
        <f t="array" ref="AF98">IFERROR(_xlfn.XLOOKUP(1,(A98=PLT!$A$4:$A$8886)*(Geotech!C98&lt;=PLT!$F$4:$F$8886)*(Geotech!D98&gt;=PLT!$F$4:$F$8886)*(PLT!$V$4:$V$8886&lt;&gt;AD98)*(PLT!$V$4:$V$8886&lt;&gt;AE98)*("Valid"=PLT!$P$4:$P$7190),PLT!$V$4:$V$8886),"")</f>
        <v/>
      </c>
      <c r="AG98" s="44">
        <f>IFERROR(IF(AVERAGE(AD98:AF98)&gt;References!$BO$23,References!$BP$23,
IF(AVERAGE(AD98:AF98)&gt;References!$BO$22,References!$BP$22,
IF(AVERAGE(AD98:AF98)&gt;References!$BO$21,References!$BP$21,
IF(AVERAGE(AD98:AF98)&gt;References!$BO$20,References!$BP$20,
IF(AVERAGE(AD98:AF98)&gt;References!$BO$19,References!$BP$19,
IF(AVERAGE(AD98:AF98)&gt;References!$BO$18,References!$BP$18,
0)))))),"")</f>
        <v>0</v>
      </c>
      <c r="AH98" s="43">
        <f>IF(Data_Geotech[[#This Row],[Is50]]="",VLOOKUP(Data_Geotech[[#This Row],[Field Intact Rock Strength]],Table_RMR76_Strength[],2,FALSE),Data_Geotech[[#This Row],[Is50]])</f>
        <v>0</v>
      </c>
      <c r="AI98" s="43">
        <f>IF(Data_Geotech[[#This Row],[RQD (%)]]&lt;=25,3,IF(Data_Geotech[[#This Row],[RQD (%)]]&lt;=50,8,IF(Data_Geotech[[#This Row],[RQD (%)]]&lt;=75,13,IF(Data_Geotech[[#This Row],[RQD (%)]]&lt;=90,17,20))))</f>
        <v>20</v>
      </c>
      <c r="AJ98" s="43">
        <f>IF(Data_Geotech[[#This Row],[Joint spacing (m)]]&lt;=0.05,5,IF(Data_Geotech[[#This Row],[Joint spacing (m)]]&lt;=0.3,10,IF(Data_Geotech[[#This Row],[Joint spacing (m)]]&lt;=1,20,IF(Data_Geotech[[#This Row],[Joint spacing (m)]]&lt;=3,25,30))))</f>
        <v>20</v>
      </c>
      <c r="AK9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12.571428571428571</v>
      </c>
      <c r="AL98" s="6">
        <v>10</v>
      </c>
      <c r="AM98" s="117">
        <f>IF(Data_Geotech[[#This Row],[FIRS Code]]="R",IFERROR(SUM(Data_Geotech[[#This Row],[RMR76 - Strength rating]:[RMR76 - Ground water rating]]),""),"")</f>
        <v>62.571428571428569</v>
      </c>
      <c r="AN98" s="39">
        <f>IF(Data_Geotech[[#This Row],[FIRS Code]]="R",(2*Data_Geotech[[#This Row],[RMR76 - Joint condition rating]])+(IF(Data_Geotech[[#This Row],[RQD (%)]]&gt;80,80/2,Data_Geotech[[#This Row],[RQD (%)]]/2)),"")</f>
        <v>65.142857142857139</v>
      </c>
      <c r="AO98" s="43" t="str">
        <f>LEFT(Data_Geotech[[#This Row],[Joint Set Rating]],FIND("-",Data_Geotech[[#This Row],[Joint Set Rating]],1)-2)</f>
        <v>6</v>
      </c>
      <c r="AP9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0.65476190476190488</v>
      </c>
      <c r="AQ98" s="5">
        <f t="shared" si="0"/>
        <v>1</v>
      </c>
      <c r="AR98" s="49">
        <f>IF(Data_Geotech[[#This Row],[FIRS Code]]="R",IFERROR((IF(Data_Geotech[[#This Row],[RQD (%)]]&lt;10,10,Data_Geotech[[#This Row],[RQD (%)]])/Data_Geotech[[#This Row],[Jn rating]])*Data_Geotech[[#This Row],[Jr/Ja]],""),"")</f>
        <v>10.561807788495893</v>
      </c>
      <c r="AS98" s="45">
        <f>IF(Data_Geotech[[#This Row],[FIRS Code]]="R",IFERROR((IF(Data_Geotech[[#This Row],[RQD (%)]]&lt;10,10,Data_Geotech[[#This Row],[RQD (%)]])/Data_Geotech[[#This Row],[Jn rating]])*Data_Geotech[[#This Row],[Jr/Ja]]*Data_Geotech[[#This Row],[Jw/SRF]],""),"")</f>
        <v>10.561807788495893</v>
      </c>
      <c r="AT98" s="12"/>
      <c r="AU98" s="13">
        <f>100-Data_Geotech[[#This Row],[RQD (%)]]</f>
        <v>3.2154340836012807</v>
      </c>
      <c r="AV98" s="13">
        <f>100-Data_Geotech[[#This Row],[TCR (%)]]</f>
        <v>0</v>
      </c>
      <c r="AW98" s="62">
        <f>(Data_Geotech[[#This Row],[Fracture per interval]]+Data_Geotech[[#This Row],[Added fractures 
(BC, FLT, LC)]])/Data_Geotech[[#This Row],[TCR (m)]]</f>
        <v>3.2154340836012865</v>
      </c>
      <c r="AX98" s="6" t="s">
        <v>109</v>
      </c>
      <c r="AY98" s="63">
        <f>7-MID(Data_Geotech[[#This Row],[Field Intact Rock Strength]],2,1)</f>
        <v>2</v>
      </c>
      <c r="AZ98" s="63">
        <f>VLOOKUP(Data_Geotech[[#This Row],[Field Intact Rock Strength]],Table_FieldStrength[],2,FALSE)</f>
        <v>100</v>
      </c>
      <c r="BA98" s="63">
        <f>VLOOKUP(Data_Geotech[[#This Row],[Field Intact Rock Strength]],Table_FieldStrength[],3,FALSE)</f>
        <v>175</v>
      </c>
      <c r="BB98" s="63">
        <f>VLOOKUP(Data_Geotech[[#This Row],[Field Intact Rock Strength]],Table_FieldStrength[],4,FALSE)</f>
        <v>250</v>
      </c>
      <c r="BC98" s="63">
        <f>100-Data_Geotech[[#This Row],[RMR76]]</f>
        <v>37.428571428571431</v>
      </c>
      <c r="BD98" s="63" t="str">
        <f>LEFT(Data_Geotech[[#This Row],[Weathering/Alteration]],FIND("-",Data_Geotech[[#This Row],[Weathering/Alteration]])-2)</f>
        <v>W2/A2</v>
      </c>
    </row>
    <row r="99" spans="1:56" ht="15.75" thickBot="1" x14ac:dyDescent="0.3">
      <c r="A99" t="s">
        <v>30</v>
      </c>
      <c r="B99" s="16" t="str">
        <f>VLOOKUP(Data_Geotech[[#This Row],[Hole ID]],Data_Log[],2,FALSE)</f>
        <v>CGF-02</v>
      </c>
      <c r="C99" s="5">
        <v>123.11</v>
      </c>
      <c r="D99" s="5">
        <v>124.22</v>
      </c>
      <c r="E99" s="5">
        <f>(Data_Geotech[[#This Row],[To (m)]]-Data_Geotech[[#This Row],[From (m)]])/2+Data_Geotech[[#This Row],[From (m)]]</f>
        <v>123.66499999999999</v>
      </c>
      <c r="F99" s="13">
        <f>Data_Geotech[[#This Row],[To (m)]]-Data_Geotech[[#This Row],[From (m)]]</f>
        <v>1.1099999999999994</v>
      </c>
      <c r="G99" s="5">
        <v>1.1100000000000001</v>
      </c>
      <c r="H99" s="61">
        <f>Data_Geotech[[#This Row],[TCR (m)]]/Data_Geotech[[#This Row],[Run (m)]]*100</f>
        <v>100.00000000000007</v>
      </c>
      <c r="I99" s="151">
        <v>1.1100000000000001</v>
      </c>
      <c r="J99" s="151">
        <v>1.1100000000000001</v>
      </c>
      <c r="K99" s="5">
        <v>1.1100000000000001</v>
      </c>
      <c r="L99" s="61">
        <f>Data_Geotech[[#This Row],[RQD (m)]]/Data_Geotech[[#This Row],[Run Reel (m)]]*100</f>
        <v>100</v>
      </c>
      <c r="M99" t="s">
        <v>569</v>
      </c>
      <c r="O99" t="s">
        <v>310</v>
      </c>
      <c r="P99" s="115" t="s">
        <v>342</v>
      </c>
      <c r="Q99" s="5" t="s">
        <v>346</v>
      </c>
      <c r="R99" s="5"/>
      <c r="S99" s="5"/>
      <c r="T99" s="5"/>
      <c r="U99" s="5"/>
      <c r="V99" s="6">
        <v>3</v>
      </c>
      <c r="W99" s="92">
        <f>SUMIFS(Discontinuities!$D$4:$D$9664,Discontinuities!$A$4:$A$9664,A99,Discontinuities!$C$4:$C$9664,"&gt;="&amp;C99,Discontinuities!$C$4:$C$9664,"&lt;"&amp;D99)
-SUMIFS(Discontinuities!$D$4:$D$9664,Discontinuities!$A$4:$A$9664,A99,Discontinuities!$C$4:$C$9664,"&gt;="&amp;C99,Discontinuities!$C$4:$C$9664,"&lt;"&amp;D99,Discontinuities!$E$4:$E$9664,"=BC")
-SUMIFS(Discontinuities!$D$4:$D$9664,Discontinuities!$A$4:$A$9664,A99,Discontinuities!$C$4:$C$9664,"&gt;="&amp;C99,Discontinuities!$C$4:$C$9664,"&lt;"&amp;D99,Discontinuities!$E$4:$E$9664,"=LC")
-SUMIFS(Discontinuities!$D$4:$D$9664,Discontinuities!$A$4:$A$9664,A99,Discontinuities!$C$4:$C$9664,"&gt;="&amp;C99,Discontinuities!$C$4:$C$9664,"&lt;"&amp;D99,Discontinuities!$E$4:$E$9664,"=FLT")</f>
        <v>3</v>
      </c>
      <c r="X99" t="s">
        <v>400</v>
      </c>
      <c r="AA99" s="12"/>
      <c r="AB99" s="43">
        <f>IFERROR(ROUND((Data_Geotech[[#This Row],[Fault (m)]]+Data_Geotech[[#This Row],[Broken Core (m)]]+Data_Geotech[[#This Row],[Lost Core (m)]])*30,0),0)</f>
        <v>0</v>
      </c>
      <c r="AC99" s="44">
        <f>IF(Data_Geotech[[#This Row],[Added fractures 
(BC, FLT, LC)]]+Data_Geotech[[#This Row],[Fracture per interval]]=0,99,1/((Data_Geotech[[#This Row],[Fracture per interval]]+Data_Geotech[[#This Row],[Added fractures 
(BC, FLT, LC)]])/Data_Geotech[[#This Row],[Run (m)]]))</f>
        <v>0.36999999999999983</v>
      </c>
      <c r="AD99" s="155" cm="1">
        <f t="array" ref="AD99">IFERROR(_xlfn.XLOOKUP(1,(A99=PLT!$A$4:$A$8886)*(Geotech!C99&lt;=PLT!$F$4:$F$8886)*(Geotech!D99&gt;=PLT!$F$4:$F$8886)*("Valid"=PLT!$P$4:$P$8886),PLT!$V$4:$V$8886),"")</f>
        <v>0</v>
      </c>
      <c r="AE99" s="156" t="str" cm="1">
        <f t="array" ref="AE99">IFERROR(_xlfn.XLOOKUP(1,(A99=PLT!$A$4:$A$8886)*(Geotech!C99&lt;=PLT!$F$4:$F$8886)*(Geotech!D99&gt;=PLT!$F$4:$F$8886)*(PLT!$V$4:$V$8886&lt;&gt;AD99)*("Valid"=PLT!$P$4:$P$7190),PLT!$V$4:$V$8886),"")</f>
        <v/>
      </c>
      <c r="AF99" s="156" t="str" cm="1">
        <f t="array" ref="AF99">IFERROR(_xlfn.XLOOKUP(1,(A99=PLT!$A$4:$A$8886)*(Geotech!C99&lt;=PLT!$F$4:$F$8886)*(Geotech!D99&gt;=PLT!$F$4:$F$8886)*(PLT!$V$4:$V$8886&lt;&gt;AD99)*(PLT!$V$4:$V$8886&lt;&gt;AE99)*("Valid"=PLT!$P$4:$P$7190),PLT!$V$4:$V$8886),"")</f>
        <v/>
      </c>
      <c r="AG99" s="44">
        <f>IFERROR(IF(AVERAGE(AD99:AF99)&gt;References!$BO$23,References!$BP$23,
IF(AVERAGE(AD99:AF99)&gt;References!$BO$22,References!$BP$22,
IF(AVERAGE(AD99:AF99)&gt;References!$BO$21,References!$BP$21,
IF(AVERAGE(AD99:AF99)&gt;References!$BO$20,References!$BP$20,
IF(AVERAGE(AD99:AF99)&gt;References!$BO$19,References!$BP$19,
IF(AVERAGE(AD99:AF99)&gt;References!$BO$18,References!$BP$18,
0)))))),"")</f>
        <v>0</v>
      </c>
      <c r="AH99" s="43">
        <f>IF(Data_Geotech[[#This Row],[Is50]]="",VLOOKUP(Data_Geotech[[#This Row],[Field Intact Rock Strength]],Table_RMR76_Strength[],2,FALSE),Data_Geotech[[#This Row],[Is50]])</f>
        <v>0</v>
      </c>
      <c r="AI99" s="43">
        <f>IF(Data_Geotech[[#This Row],[RQD (%)]]&lt;=25,3,IF(Data_Geotech[[#This Row],[RQD (%)]]&lt;=50,8,IF(Data_Geotech[[#This Row],[RQD (%)]]&lt;=75,13,IF(Data_Geotech[[#This Row],[RQD (%)]]&lt;=90,17,20))))</f>
        <v>20</v>
      </c>
      <c r="AJ99" s="43">
        <f>IF(Data_Geotech[[#This Row],[Joint spacing (m)]]&lt;=0.05,5,IF(Data_Geotech[[#This Row],[Joint spacing (m)]]&lt;=0.3,10,IF(Data_Geotech[[#This Row],[Joint spacing (m)]]&lt;=1,20,IF(Data_Geotech[[#This Row],[Joint spacing (m)]]&lt;=3,25,30))))</f>
        <v>20</v>
      </c>
      <c r="AK9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v>
      </c>
      <c r="AL99" s="6">
        <v>10</v>
      </c>
      <c r="AM99" s="117">
        <f>IF(Data_Geotech[[#This Row],[FIRS Code]]="R",IFERROR(SUM(Data_Geotech[[#This Row],[RMR76 - Strength rating]:[RMR76 - Ground water rating]]),""),"")</f>
        <v>67</v>
      </c>
      <c r="AN99" s="39">
        <f>IF(Data_Geotech[[#This Row],[FIRS Code]]="R",(2*Data_Geotech[[#This Row],[RMR76 - Joint condition rating]])+(IF(Data_Geotech[[#This Row],[RQD (%)]]&gt;80,80/2,Data_Geotech[[#This Row],[RQD (%)]]/2)),"")</f>
        <v>74</v>
      </c>
      <c r="AO99" s="43" t="str">
        <f>LEFT(Data_Geotech[[#This Row],[Joint Set Rating]],FIND("-",Data_Geotech[[#This Row],[Joint Set Rating]],1)-2)</f>
        <v>6</v>
      </c>
      <c r="AP9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1.5833333333333333</v>
      </c>
      <c r="AQ99" s="5">
        <f t="shared" si="0"/>
        <v>1</v>
      </c>
      <c r="AR99" s="49">
        <f>IF(Data_Geotech[[#This Row],[FIRS Code]]="R",IFERROR((IF(Data_Geotech[[#This Row],[RQD (%)]]&lt;10,10,Data_Geotech[[#This Row],[RQD (%)]])/Data_Geotech[[#This Row],[Jn rating]])*Data_Geotech[[#This Row],[Jr/Ja]],""),"")</f>
        <v>26.388888888888889</v>
      </c>
      <c r="AS99" s="45">
        <f>IF(Data_Geotech[[#This Row],[FIRS Code]]="R",IFERROR((IF(Data_Geotech[[#This Row],[RQD (%)]]&lt;10,10,Data_Geotech[[#This Row],[RQD (%)]])/Data_Geotech[[#This Row],[Jn rating]])*Data_Geotech[[#This Row],[Jr/Ja]]*Data_Geotech[[#This Row],[Jw/SRF]],""),"")</f>
        <v>26.388888888888889</v>
      </c>
      <c r="AT99" s="12"/>
      <c r="AU99" s="13">
        <f>100-Data_Geotech[[#This Row],[RQD (%)]]</f>
        <v>0</v>
      </c>
      <c r="AV99" s="13">
        <f>100-Data_Geotech[[#This Row],[TCR (%)]]</f>
        <v>0</v>
      </c>
      <c r="AW99" s="62">
        <f>(Data_Geotech[[#This Row],[Fracture per interval]]+Data_Geotech[[#This Row],[Added fractures 
(BC, FLT, LC)]])/Data_Geotech[[#This Row],[TCR (m)]]</f>
        <v>2.7027027027027026</v>
      </c>
      <c r="AX99" s="6" t="s">
        <v>109</v>
      </c>
      <c r="AY99" s="63">
        <f>7-MID(Data_Geotech[[#This Row],[Field Intact Rock Strength]],2,1)</f>
        <v>4</v>
      </c>
      <c r="AZ99" s="63">
        <f>VLOOKUP(Data_Geotech[[#This Row],[Field Intact Rock Strength]],Table_FieldStrength[],2,FALSE)</f>
        <v>25</v>
      </c>
      <c r="BA99" s="63">
        <f>VLOOKUP(Data_Geotech[[#This Row],[Field Intact Rock Strength]],Table_FieldStrength[],3,FALSE)</f>
        <v>37.5</v>
      </c>
      <c r="BB99" s="63">
        <f>VLOOKUP(Data_Geotech[[#This Row],[Field Intact Rock Strength]],Table_FieldStrength[],4,FALSE)</f>
        <v>50</v>
      </c>
      <c r="BC99" s="63">
        <f>100-Data_Geotech[[#This Row],[RMR76]]</f>
        <v>33</v>
      </c>
      <c r="BD99" s="63" t="str">
        <f>LEFT(Data_Geotech[[#This Row],[Weathering/Alteration]],FIND("-",Data_Geotech[[#This Row],[Weathering/Alteration]])-2)</f>
        <v>W3/A3</v>
      </c>
    </row>
    <row r="100" spans="1:56" ht="15.75" thickBot="1" x14ac:dyDescent="0.3">
      <c r="A100" t="s">
        <v>30</v>
      </c>
      <c r="B100" s="16" t="str">
        <f>VLOOKUP(Data_Geotech[[#This Row],[Hole ID]],Data_Log[],2,FALSE)</f>
        <v>CGF-02</v>
      </c>
      <c r="C100" s="5">
        <v>124.22</v>
      </c>
      <c r="D100" s="5">
        <v>125</v>
      </c>
      <c r="E100" s="5">
        <f>(Data_Geotech[[#This Row],[To (m)]]-Data_Geotech[[#This Row],[From (m)]])/2+Data_Geotech[[#This Row],[From (m)]]</f>
        <v>124.61</v>
      </c>
      <c r="F100" s="13">
        <f>Data_Geotech[[#This Row],[To (m)]]-Data_Geotech[[#This Row],[From (m)]]</f>
        <v>0.78000000000000114</v>
      </c>
      <c r="G100" s="5">
        <v>0.78</v>
      </c>
      <c r="H100" s="61">
        <f>Data_Geotech[[#This Row],[TCR (m)]]/Data_Geotech[[#This Row],[Run (m)]]*100</f>
        <v>99.999999999999858</v>
      </c>
      <c r="I100" s="151">
        <v>0.76</v>
      </c>
      <c r="J100" s="151">
        <v>0.76</v>
      </c>
      <c r="K100" s="5">
        <v>0.76</v>
      </c>
      <c r="L100" s="61">
        <f>Data_Geotech[[#This Row],[RQD (m)]]/Data_Geotech[[#This Row],[Run Reel (m)]]*100</f>
        <v>100</v>
      </c>
      <c r="M100" t="s">
        <v>584</v>
      </c>
      <c r="O100" t="s">
        <v>243</v>
      </c>
      <c r="P100" s="115" t="s">
        <v>370</v>
      </c>
      <c r="Q100" s="5" t="s">
        <v>313</v>
      </c>
      <c r="R100" s="5"/>
      <c r="S100" s="5"/>
      <c r="T100" s="5"/>
      <c r="U100" s="5"/>
      <c r="V100" s="6">
        <v>2</v>
      </c>
      <c r="W100" s="92">
        <f>SUMIFS(Discontinuities!$D$4:$D$9664,Discontinuities!$A$4:$A$9664,A100,Discontinuities!$C$4:$C$9664,"&gt;="&amp;C100,Discontinuities!$C$4:$C$9664,"&lt;"&amp;D100)
-SUMIFS(Discontinuities!$D$4:$D$9664,Discontinuities!$A$4:$A$9664,A100,Discontinuities!$C$4:$C$9664,"&gt;="&amp;C100,Discontinuities!$C$4:$C$9664,"&lt;"&amp;D100,Discontinuities!$E$4:$E$9664,"=BC")
-SUMIFS(Discontinuities!$D$4:$D$9664,Discontinuities!$A$4:$A$9664,A100,Discontinuities!$C$4:$C$9664,"&gt;="&amp;C100,Discontinuities!$C$4:$C$9664,"&lt;"&amp;D100,Discontinuities!$E$4:$E$9664,"=LC")
-SUMIFS(Discontinuities!$D$4:$D$9664,Discontinuities!$A$4:$A$9664,A100,Discontinuities!$C$4:$C$9664,"&gt;="&amp;C100,Discontinuities!$C$4:$C$9664,"&lt;"&amp;D100,Discontinuities!$E$4:$E$9664,"=FLT")</f>
        <v>2</v>
      </c>
      <c r="X100" t="s">
        <v>345</v>
      </c>
      <c r="AA100" s="12"/>
      <c r="AB100" s="43">
        <f>IFERROR(ROUND((Data_Geotech[[#This Row],[Fault (m)]]+Data_Geotech[[#This Row],[Broken Core (m)]]+Data_Geotech[[#This Row],[Lost Core (m)]])*30,0),0)</f>
        <v>0</v>
      </c>
      <c r="AC100" s="44">
        <f>IF(Data_Geotech[[#This Row],[Added fractures 
(BC, FLT, LC)]]+Data_Geotech[[#This Row],[Fracture per interval]]=0,99,1/((Data_Geotech[[#This Row],[Fracture per interval]]+Data_Geotech[[#This Row],[Added fractures 
(BC, FLT, LC)]])/Data_Geotech[[#This Row],[Run (m)]]))</f>
        <v>0.39000000000000057</v>
      </c>
      <c r="AD100" s="155" cm="1">
        <f t="array" ref="AD100">IFERROR(_xlfn.XLOOKUP(1,(A100=PLT!$A$4:$A$8886)*(Geotech!C100&lt;=PLT!$F$4:$F$8886)*(Geotech!D100&gt;=PLT!$F$4:$F$8886)*("Valid"=PLT!$P$4:$P$8886),PLT!$V$4:$V$8886),"")</f>
        <v>0</v>
      </c>
      <c r="AE100" s="156" t="str" cm="1">
        <f t="array" ref="AE100">IFERROR(_xlfn.XLOOKUP(1,(A100=PLT!$A$4:$A$8886)*(Geotech!C100&lt;=PLT!$F$4:$F$8886)*(Geotech!D100&gt;=PLT!$F$4:$F$8886)*(PLT!$V$4:$V$8886&lt;&gt;AD100)*("Valid"=PLT!$P$4:$P$7190),PLT!$V$4:$V$8886),"")</f>
        <v/>
      </c>
      <c r="AF100" s="156" t="str" cm="1">
        <f t="array" ref="AF100">IFERROR(_xlfn.XLOOKUP(1,(A100=PLT!$A$4:$A$8886)*(Geotech!C100&lt;=PLT!$F$4:$F$8886)*(Geotech!D100&gt;=PLT!$F$4:$F$8886)*(PLT!$V$4:$V$8886&lt;&gt;AD100)*(PLT!$V$4:$V$8886&lt;&gt;AE100)*("Valid"=PLT!$P$4:$P$7190),PLT!$V$4:$V$8886),"")</f>
        <v/>
      </c>
      <c r="AG100" s="44">
        <f>IFERROR(IF(AVERAGE(AD100:AF100)&gt;References!$BO$23,References!$BP$23,
IF(AVERAGE(AD100:AF100)&gt;References!$BO$22,References!$BP$22,
IF(AVERAGE(AD100:AF100)&gt;References!$BO$21,References!$BP$21,
IF(AVERAGE(AD100:AF100)&gt;References!$BO$20,References!$BP$20,
IF(AVERAGE(AD100:AF100)&gt;References!$BO$19,References!$BP$19,
IF(AVERAGE(AD100:AF100)&gt;References!$BO$18,References!$BP$18,
0)))))),"")</f>
        <v>0</v>
      </c>
      <c r="AH100" s="43">
        <f>IF(Data_Geotech[[#This Row],[Is50]]="",VLOOKUP(Data_Geotech[[#This Row],[Field Intact Rock Strength]],Table_RMR76_Strength[],2,FALSE),Data_Geotech[[#This Row],[Is50]])</f>
        <v>0</v>
      </c>
      <c r="AI100" s="43">
        <f>IF(Data_Geotech[[#This Row],[RQD (%)]]&lt;=25,3,IF(Data_Geotech[[#This Row],[RQD (%)]]&lt;=50,8,IF(Data_Geotech[[#This Row],[RQD (%)]]&lt;=75,13,IF(Data_Geotech[[#This Row],[RQD (%)]]&lt;=90,17,20))))</f>
        <v>20</v>
      </c>
      <c r="AJ100" s="43">
        <f>IF(Data_Geotech[[#This Row],[Joint spacing (m)]]&lt;=0.05,5,IF(Data_Geotech[[#This Row],[Joint spacing (m)]]&lt;=0.3,10,IF(Data_Geotech[[#This Row],[Joint spacing (m)]]&lt;=1,20,IF(Data_Geotech[[#This Row],[Joint spacing (m)]]&lt;=3,25,30))))</f>
        <v>20</v>
      </c>
      <c r="AK10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00" s="6">
        <v>10</v>
      </c>
      <c r="AM100" s="117">
        <f>IF(Data_Geotech[[#This Row],[FIRS Code]]="R",IFERROR(SUM(Data_Geotech[[#This Row],[RMR76 - Strength rating]:[RMR76 - Ground water rating]]),""),"")</f>
        <v>70</v>
      </c>
      <c r="AN100" s="39">
        <f>IF(Data_Geotech[[#This Row],[FIRS Code]]="R",(2*Data_Geotech[[#This Row],[RMR76 - Joint condition rating]])+(IF(Data_Geotech[[#This Row],[RQD (%)]]&gt;80,80/2,Data_Geotech[[#This Row],[RQD (%)]]/2)),"")</f>
        <v>80</v>
      </c>
      <c r="AO100" s="43" t="str">
        <f>LEFT(Data_Geotech[[#This Row],[Joint Set Rating]],FIND("-",Data_Geotech[[#This Row],[Joint Set Rating]],1)-2)</f>
        <v>3</v>
      </c>
      <c r="AP10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100" s="5">
        <f t="shared" si="0"/>
        <v>1</v>
      </c>
      <c r="AR100" s="49">
        <f>IF(Data_Geotech[[#This Row],[FIRS Code]]="R",IFERROR((IF(Data_Geotech[[#This Row],[RQD (%)]]&lt;10,10,Data_Geotech[[#This Row],[RQD (%)]])/Data_Geotech[[#This Row],[Jn rating]])*Data_Geotech[[#This Row],[Jr/Ja]],""),"")</f>
        <v>41.666666666666671</v>
      </c>
      <c r="AS100" s="45">
        <f>IF(Data_Geotech[[#This Row],[FIRS Code]]="R",IFERROR((IF(Data_Geotech[[#This Row],[RQD (%)]]&lt;10,10,Data_Geotech[[#This Row],[RQD (%)]])/Data_Geotech[[#This Row],[Jn rating]])*Data_Geotech[[#This Row],[Jr/Ja]]*Data_Geotech[[#This Row],[Jw/SRF]],""),"")</f>
        <v>41.666666666666671</v>
      </c>
      <c r="AT100" s="12"/>
      <c r="AU100" s="13">
        <f>100-Data_Geotech[[#This Row],[RQD (%)]]</f>
        <v>0</v>
      </c>
      <c r="AV100" s="13">
        <f>100-Data_Geotech[[#This Row],[TCR (%)]]</f>
        <v>1.4210854715202004E-13</v>
      </c>
      <c r="AW100" s="62">
        <f>(Data_Geotech[[#This Row],[Fracture per interval]]+Data_Geotech[[#This Row],[Added fractures 
(BC, FLT, LC)]])/Data_Geotech[[#This Row],[TCR (m)]]</f>
        <v>2.5641025641025639</v>
      </c>
      <c r="AX100" s="6" t="s">
        <v>109</v>
      </c>
      <c r="AY100" s="63">
        <f>7-MID(Data_Geotech[[#This Row],[Field Intact Rock Strength]],2,1)</f>
        <v>3</v>
      </c>
      <c r="AZ100" s="63">
        <f>VLOOKUP(Data_Geotech[[#This Row],[Field Intact Rock Strength]],Table_FieldStrength[],2,FALSE)</f>
        <v>50</v>
      </c>
      <c r="BA100" s="63">
        <f>VLOOKUP(Data_Geotech[[#This Row],[Field Intact Rock Strength]],Table_FieldStrength[],3,FALSE)</f>
        <v>75</v>
      </c>
      <c r="BB100" s="63">
        <f>VLOOKUP(Data_Geotech[[#This Row],[Field Intact Rock Strength]],Table_FieldStrength[],4,FALSE)</f>
        <v>100</v>
      </c>
      <c r="BC100" s="63">
        <f>100-Data_Geotech[[#This Row],[RMR76]]</f>
        <v>30</v>
      </c>
      <c r="BD100" s="63" t="str">
        <f>LEFT(Data_Geotech[[#This Row],[Weathering/Alteration]],FIND("-",Data_Geotech[[#This Row],[Weathering/Alteration]])-2)</f>
        <v>W1/A1</v>
      </c>
    </row>
    <row r="101" spans="1:56" ht="15.75" thickBot="1" x14ac:dyDescent="0.3">
      <c r="A101" t="s">
        <v>30</v>
      </c>
      <c r="B101" s="16" t="str">
        <f>VLOOKUP(Data_Geotech[[#This Row],[Hole ID]],Data_Log[],2,FALSE)</f>
        <v>CGF-02</v>
      </c>
      <c r="C101" s="5">
        <v>125</v>
      </c>
      <c r="D101" s="5">
        <v>126.18</v>
      </c>
      <c r="E101" s="5">
        <f>(Data_Geotech[[#This Row],[To (m)]]-Data_Geotech[[#This Row],[From (m)]])/2+Data_Geotech[[#This Row],[From (m)]]</f>
        <v>125.59</v>
      </c>
      <c r="F101" s="13">
        <f>Data_Geotech[[#This Row],[To (m)]]-Data_Geotech[[#This Row],[From (m)]]</f>
        <v>1.1800000000000068</v>
      </c>
      <c r="G101" s="5">
        <v>1.18</v>
      </c>
      <c r="H101" s="61">
        <f>Data_Geotech[[#This Row],[TCR (m)]]/Data_Geotech[[#This Row],[Run (m)]]*100</f>
        <v>99.999999999999417</v>
      </c>
      <c r="I101" s="151">
        <v>1.18</v>
      </c>
      <c r="J101" s="151">
        <v>1.18</v>
      </c>
      <c r="K101" s="5">
        <v>1.18</v>
      </c>
      <c r="L101" s="61">
        <f>Data_Geotech[[#This Row],[RQD (m)]]/Data_Geotech[[#This Row],[Run Reel (m)]]*100</f>
        <v>100</v>
      </c>
      <c r="M101" t="s">
        <v>569</v>
      </c>
      <c r="O101" t="s">
        <v>278</v>
      </c>
      <c r="P101" s="115" t="s">
        <v>397</v>
      </c>
      <c r="Q101" s="5" t="s">
        <v>313</v>
      </c>
      <c r="R101" s="5"/>
      <c r="S101" s="5"/>
      <c r="T101" s="5"/>
      <c r="U101" s="5"/>
      <c r="V101" s="6">
        <v>4</v>
      </c>
      <c r="W101" s="92">
        <f>SUMIFS(Discontinuities!$D$4:$D$9664,Discontinuities!$A$4:$A$9664,A101,Discontinuities!$C$4:$C$9664,"&gt;="&amp;C101,Discontinuities!$C$4:$C$9664,"&lt;"&amp;D101)
-SUMIFS(Discontinuities!$D$4:$D$9664,Discontinuities!$A$4:$A$9664,A101,Discontinuities!$C$4:$C$9664,"&gt;="&amp;C101,Discontinuities!$C$4:$C$9664,"&lt;"&amp;D101,Discontinuities!$E$4:$E$9664,"=BC")
-SUMIFS(Discontinuities!$D$4:$D$9664,Discontinuities!$A$4:$A$9664,A101,Discontinuities!$C$4:$C$9664,"&gt;="&amp;C101,Discontinuities!$C$4:$C$9664,"&lt;"&amp;D101,Discontinuities!$E$4:$E$9664,"=LC")
-SUMIFS(Discontinuities!$D$4:$D$9664,Discontinuities!$A$4:$A$9664,A101,Discontinuities!$C$4:$C$9664,"&gt;="&amp;C101,Discontinuities!$C$4:$C$9664,"&lt;"&amp;D101,Discontinuities!$E$4:$E$9664,"=FLT")</f>
        <v>4</v>
      </c>
      <c r="X101" t="s">
        <v>400</v>
      </c>
      <c r="AA101" s="12"/>
      <c r="AB101" s="43">
        <f>IFERROR(ROUND((Data_Geotech[[#This Row],[Fault (m)]]+Data_Geotech[[#This Row],[Broken Core (m)]]+Data_Geotech[[#This Row],[Lost Core (m)]])*30,0),0)</f>
        <v>0</v>
      </c>
      <c r="AC101" s="44">
        <f>IF(Data_Geotech[[#This Row],[Added fractures 
(BC, FLT, LC)]]+Data_Geotech[[#This Row],[Fracture per interval]]=0,99,1/((Data_Geotech[[#This Row],[Fracture per interval]]+Data_Geotech[[#This Row],[Added fractures 
(BC, FLT, LC)]])/Data_Geotech[[#This Row],[Run (m)]]))</f>
        <v>0.29500000000000171</v>
      </c>
      <c r="AD101" s="155" cm="1">
        <f t="array" ref="AD101">IFERROR(_xlfn.XLOOKUP(1,(A101=PLT!$A$4:$A$8886)*(Geotech!C101&lt;=PLT!$F$4:$F$8886)*(Geotech!D101&gt;=PLT!$F$4:$F$8886)*("Valid"=PLT!$P$4:$P$8886),PLT!$V$4:$V$8886),"")</f>
        <v>0</v>
      </c>
      <c r="AE101" s="156" t="str" cm="1">
        <f t="array" ref="AE101">IFERROR(_xlfn.XLOOKUP(1,(A101=PLT!$A$4:$A$8886)*(Geotech!C101&lt;=PLT!$F$4:$F$8886)*(Geotech!D101&gt;=PLT!$F$4:$F$8886)*(PLT!$V$4:$V$8886&lt;&gt;AD101)*("Valid"=PLT!$P$4:$P$7190),PLT!$V$4:$V$8886),"")</f>
        <v/>
      </c>
      <c r="AF101" s="156" t="str" cm="1">
        <f t="array" ref="AF101">IFERROR(_xlfn.XLOOKUP(1,(A101=PLT!$A$4:$A$8886)*(Geotech!C101&lt;=PLT!$F$4:$F$8886)*(Geotech!D101&gt;=PLT!$F$4:$F$8886)*(PLT!$V$4:$V$8886&lt;&gt;AD101)*(PLT!$V$4:$V$8886&lt;&gt;AE101)*("Valid"=PLT!$P$4:$P$7190),PLT!$V$4:$V$8886),"")</f>
        <v/>
      </c>
      <c r="AG101" s="44">
        <f>IFERROR(IF(AVERAGE(AD101:AF101)&gt;References!$BO$23,References!$BP$23,
IF(AVERAGE(AD101:AF101)&gt;References!$BO$22,References!$BP$22,
IF(AVERAGE(AD101:AF101)&gt;References!$BO$21,References!$BP$21,
IF(AVERAGE(AD101:AF101)&gt;References!$BO$20,References!$BP$20,
IF(AVERAGE(AD101:AF101)&gt;References!$BO$19,References!$BP$19,
IF(AVERAGE(AD101:AF101)&gt;References!$BO$18,References!$BP$18,
0)))))),"")</f>
        <v>0</v>
      </c>
      <c r="AH101" s="43">
        <f>IF(Data_Geotech[[#This Row],[Is50]]="",VLOOKUP(Data_Geotech[[#This Row],[Field Intact Rock Strength]],Table_RMR76_Strength[],2,FALSE),Data_Geotech[[#This Row],[Is50]])</f>
        <v>0</v>
      </c>
      <c r="AI101" s="43">
        <f>IF(Data_Geotech[[#This Row],[RQD (%)]]&lt;=25,3,IF(Data_Geotech[[#This Row],[RQD (%)]]&lt;=50,8,IF(Data_Geotech[[#This Row],[RQD (%)]]&lt;=75,13,IF(Data_Geotech[[#This Row],[RQD (%)]]&lt;=90,17,20))))</f>
        <v>20</v>
      </c>
      <c r="AJ101" s="43">
        <f>IF(Data_Geotech[[#This Row],[Joint spacing (m)]]&lt;=0.05,5,IF(Data_Geotech[[#This Row],[Joint spacing (m)]]&lt;=0.3,10,IF(Data_Geotech[[#This Row],[Joint spacing (m)]]&lt;=1,20,IF(Data_Geotech[[#This Row],[Joint spacing (m)]]&lt;=3,25,30))))</f>
        <v>10</v>
      </c>
      <c r="AK10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101" s="6">
        <v>10</v>
      </c>
      <c r="AM101" s="117">
        <f>IF(Data_Geotech[[#This Row],[FIRS Code]]="R",IFERROR(SUM(Data_Geotech[[#This Row],[RMR76 - Strength rating]:[RMR76 - Ground water rating]]),""),"")</f>
        <v>56</v>
      </c>
      <c r="AN101" s="39">
        <f>IF(Data_Geotech[[#This Row],[FIRS Code]]="R",(2*Data_Geotech[[#This Row],[RMR76 - Joint condition rating]])+(IF(Data_Geotech[[#This Row],[RQD (%)]]&gt;80,80/2,Data_Geotech[[#This Row],[RQD (%)]]/2)),"")</f>
        <v>72</v>
      </c>
      <c r="AO101" s="43" t="str">
        <f>LEFT(Data_Geotech[[#This Row],[Joint Set Rating]],FIND("-",Data_Geotech[[#This Row],[Joint Set Rating]],1)-2)</f>
        <v>6</v>
      </c>
      <c r="AP10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0.77083333333333326</v>
      </c>
      <c r="AQ101" s="5">
        <f t="shared" si="0"/>
        <v>1</v>
      </c>
      <c r="AR101" s="49">
        <f>IF(Data_Geotech[[#This Row],[FIRS Code]]="R",IFERROR((IF(Data_Geotech[[#This Row],[RQD (%)]]&lt;10,10,Data_Geotech[[#This Row],[RQD (%)]])/Data_Geotech[[#This Row],[Jn rating]])*Data_Geotech[[#This Row],[Jr/Ja]],""),"")</f>
        <v>12.847222222222221</v>
      </c>
      <c r="AS101" s="45">
        <f>IF(Data_Geotech[[#This Row],[FIRS Code]]="R",IFERROR((IF(Data_Geotech[[#This Row],[RQD (%)]]&lt;10,10,Data_Geotech[[#This Row],[RQD (%)]])/Data_Geotech[[#This Row],[Jn rating]])*Data_Geotech[[#This Row],[Jr/Ja]]*Data_Geotech[[#This Row],[Jw/SRF]],""),"")</f>
        <v>12.847222222222221</v>
      </c>
      <c r="AT101" s="12"/>
      <c r="AU101" s="13">
        <f>100-Data_Geotech[[#This Row],[RQD (%)]]</f>
        <v>0</v>
      </c>
      <c r="AV101" s="13">
        <f>100-Data_Geotech[[#This Row],[TCR (%)]]</f>
        <v>5.8264504332328215E-13</v>
      </c>
      <c r="AW101" s="62">
        <f>(Data_Geotech[[#This Row],[Fracture per interval]]+Data_Geotech[[#This Row],[Added fractures 
(BC, FLT, LC)]])/Data_Geotech[[#This Row],[TCR (m)]]</f>
        <v>3.3898305084745766</v>
      </c>
      <c r="AX101" s="6" t="s">
        <v>109</v>
      </c>
      <c r="AY101" s="63">
        <f>7-MID(Data_Geotech[[#This Row],[Field Intact Rock Strength]],2,1)</f>
        <v>2</v>
      </c>
      <c r="AZ101" s="63">
        <f>VLOOKUP(Data_Geotech[[#This Row],[Field Intact Rock Strength]],Table_FieldStrength[],2,FALSE)</f>
        <v>100</v>
      </c>
      <c r="BA101" s="63">
        <f>VLOOKUP(Data_Geotech[[#This Row],[Field Intact Rock Strength]],Table_FieldStrength[],3,FALSE)</f>
        <v>175</v>
      </c>
      <c r="BB101" s="63">
        <f>VLOOKUP(Data_Geotech[[#This Row],[Field Intact Rock Strength]],Table_FieldStrength[],4,FALSE)</f>
        <v>250</v>
      </c>
      <c r="BC101" s="63">
        <f>100-Data_Geotech[[#This Row],[RMR76]]</f>
        <v>44</v>
      </c>
      <c r="BD101" s="63" t="str">
        <f>LEFT(Data_Geotech[[#This Row],[Weathering/Alteration]],FIND("-",Data_Geotech[[#This Row],[Weathering/Alteration]])-2)</f>
        <v>W2/A2</v>
      </c>
    </row>
    <row r="102" spans="1:56" ht="15.75" thickBot="1" x14ac:dyDescent="0.3">
      <c r="A102" t="s">
        <v>30</v>
      </c>
      <c r="B102" s="16" t="str">
        <f>VLOOKUP(Data_Geotech[[#This Row],[Hole ID]],Data_Log[],2,FALSE)</f>
        <v>CGF-02</v>
      </c>
      <c r="C102" s="5">
        <v>126.18</v>
      </c>
      <c r="D102" s="5">
        <v>129</v>
      </c>
      <c r="E102" s="5">
        <f>(Data_Geotech[[#This Row],[To (m)]]-Data_Geotech[[#This Row],[From (m)]])/2+Data_Geotech[[#This Row],[From (m)]]</f>
        <v>127.59</v>
      </c>
      <c r="F102" s="13">
        <f>Data_Geotech[[#This Row],[To (m)]]-Data_Geotech[[#This Row],[From (m)]]</f>
        <v>2.8199999999999932</v>
      </c>
      <c r="G102" s="5">
        <v>2.82</v>
      </c>
      <c r="H102" s="61">
        <f>Data_Geotech[[#This Row],[TCR (m)]]/Data_Geotech[[#This Row],[Run (m)]]*100</f>
        <v>100.00000000000024</v>
      </c>
      <c r="I102" s="151">
        <v>2.85</v>
      </c>
      <c r="J102" s="151">
        <v>2.85</v>
      </c>
      <c r="K102" s="5">
        <v>2.85</v>
      </c>
      <c r="L102" s="61">
        <f>Data_Geotech[[#This Row],[RQD (m)]]/Data_Geotech[[#This Row],[Run Reel (m)]]*100</f>
        <v>100</v>
      </c>
      <c r="M102" t="s">
        <v>569</v>
      </c>
      <c r="O102" t="s">
        <v>278</v>
      </c>
      <c r="P102" s="115" t="s">
        <v>397</v>
      </c>
      <c r="Q102" s="5" t="s">
        <v>346</v>
      </c>
      <c r="R102" s="5"/>
      <c r="S102" s="5"/>
      <c r="T102" s="5"/>
      <c r="U102" s="5"/>
      <c r="V102" s="6">
        <v>6</v>
      </c>
      <c r="W102" s="92">
        <f>SUMIFS(Discontinuities!$D$4:$D$9664,Discontinuities!$A$4:$A$9664,A102,Discontinuities!$C$4:$C$9664,"&gt;="&amp;C102,Discontinuities!$C$4:$C$9664,"&lt;"&amp;D102)
-SUMIFS(Discontinuities!$D$4:$D$9664,Discontinuities!$A$4:$A$9664,A102,Discontinuities!$C$4:$C$9664,"&gt;="&amp;C102,Discontinuities!$C$4:$C$9664,"&lt;"&amp;D102,Discontinuities!$E$4:$E$9664,"=BC")
-SUMIFS(Discontinuities!$D$4:$D$9664,Discontinuities!$A$4:$A$9664,A102,Discontinuities!$C$4:$C$9664,"&gt;="&amp;C102,Discontinuities!$C$4:$C$9664,"&lt;"&amp;D102,Discontinuities!$E$4:$E$9664,"=LC")
-SUMIFS(Discontinuities!$D$4:$D$9664,Discontinuities!$A$4:$A$9664,A102,Discontinuities!$C$4:$C$9664,"&gt;="&amp;C102,Discontinuities!$C$4:$C$9664,"&lt;"&amp;D102,Discontinuities!$E$4:$E$9664,"=FLT")</f>
        <v>6</v>
      </c>
      <c r="X102" t="s">
        <v>373</v>
      </c>
      <c r="AA102" s="12"/>
      <c r="AB102" s="43">
        <f>IFERROR(ROUND((Data_Geotech[[#This Row],[Fault (m)]]+Data_Geotech[[#This Row],[Broken Core (m)]]+Data_Geotech[[#This Row],[Lost Core (m)]])*30,0),0)</f>
        <v>0</v>
      </c>
      <c r="AC102" s="44">
        <f>IF(Data_Geotech[[#This Row],[Added fractures 
(BC, FLT, LC)]]+Data_Geotech[[#This Row],[Fracture per interval]]=0,99,1/((Data_Geotech[[#This Row],[Fracture per interval]]+Data_Geotech[[#This Row],[Added fractures 
(BC, FLT, LC)]])/Data_Geotech[[#This Row],[Run (m)]]))</f>
        <v>0.46999999999999881</v>
      </c>
      <c r="AD102" s="155" cm="1">
        <f t="array" ref="AD102">IFERROR(_xlfn.XLOOKUP(1,(A102=PLT!$A$4:$A$8886)*(Geotech!C102&lt;=PLT!$F$4:$F$8886)*(Geotech!D102&gt;=PLT!$F$4:$F$8886)*("Valid"=PLT!$P$4:$P$8886),PLT!$V$4:$V$8886),"")</f>
        <v>0</v>
      </c>
      <c r="AE102" s="156" t="str" cm="1">
        <f t="array" ref="AE102">IFERROR(_xlfn.XLOOKUP(1,(A102=PLT!$A$4:$A$8886)*(Geotech!C102&lt;=PLT!$F$4:$F$8886)*(Geotech!D102&gt;=PLT!$F$4:$F$8886)*(PLT!$V$4:$V$8886&lt;&gt;AD102)*("Valid"=PLT!$P$4:$P$7190),PLT!$V$4:$V$8886),"")</f>
        <v/>
      </c>
      <c r="AF102" s="156" t="str" cm="1">
        <f t="array" ref="AF102">IFERROR(_xlfn.XLOOKUP(1,(A102=PLT!$A$4:$A$8886)*(Geotech!C102&lt;=PLT!$F$4:$F$8886)*(Geotech!D102&gt;=PLT!$F$4:$F$8886)*(PLT!$V$4:$V$8886&lt;&gt;AD102)*(PLT!$V$4:$V$8886&lt;&gt;AE102)*("Valid"=PLT!$P$4:$P$7190),PLT!$V$4:$V$8886),"")</f>
        <v/>
      </c>
      <c r="AG102" s="44">
        <f>IFERROR(IF(AVERAGE(AD102:AF102)&gt;References!$BO$23,References!$BP$23,
IF(AVERAGE(AD102:AF102)&gt;References!$BO$22,References!$BP$22,
IF(AVERAGE(AD102:AF102)&gt;References!$BO$21,References!$BP$21,
IF(AVERAGE(AD102:AF102)&gt;References!$BO$20,References!$BP$20,
IF(AVERAGE(AD102:AF102)&gt;References!$BO$19,References!$BP$19,
IF(AVERAGE(AD102:AF102)&gt;References!$BO$18,References!$BP$18,
0)))))),"")</f>
        <v>0</v>
      </c>
      <c r="AH102" s="43">
        <f>IF(Data_Geotech[[#This Row],[Is50]]="",VLOOKUP(Data_Geotech[[#This Row],[Field Intact Rock Strength]],Table_RMR76_Strength[],2,FALSE),Data_Geotech[[#This Row],[Is50]])</f>
        <v>0</v>
      </c>
      <c r="AI102" s="43">
        <f>IF(Data_Geotech[[#This Row],[RQD (%)]]&lt;=25,3,IF(Data_Geotech[[#This Row],[RQD (%)]]&lt;=50,8,IF(Data_Geotech[[#This Row],[RQD (%)]]&lt;=75,13,IF(Data_Geotech[[#This Row],[RQD (%)]]&lt;=90,17,20))))</f>
        <v>20</v>
      </c>
      <c r="AJ102" s="43">
        <f>IF(Data_Geotech[[#This Row],[Joint spacing (m)]]&lt;=0.05,5,IF(Data_Geotech[[#This Row],[Joint spacing (m)]]&lt;=0.3,10,IF(Data_Geotech[[#This Row],[Joint spacing (m)]]&lt;=1,20,IF(Data_Geotech[[#This Row],[Joint spacing (m)]]&lt;=3,25,30))))</f>
        <v>20</v>
      </c>
      <c r="AK10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13.666666666666666</v>
      </c>
      <c r="AL102" s="6">
        <v>10</v>
      </c>
      <c r="AM102" s="117">
        <f>IF(Data_Geotech[[#This Row],[FIRS Code]]="R",IFERROR(SUM(Data_Geotech[[#This Row],[RMR76 - Strength rating]:[RMR76 - Ground water rating]]),""),"")</f>
        <v>63.666666666666664</v>
      </c>
      <c r="AN102" s="39">
        <f>IF(Data_Geotech[[#This Row],[FIRS Code]]="R",(2*Data_Geotech[[#This Row],[RMR76 - Joint condition rating]])+(IF(Data_Geotech[[#This Row],[RQD (%)]]&gt;80,80/2,Data_Geotech[[#This Row],[RQD (%)]]/2)),"")</f>
        <v>67.333333333333329</v>
      </c>
      <c r="AO102" s="43" t="str">
        <f>LEFT(Data_Geotech[[#This Row],[Joint Set Rating]],FIND("-",Data_Geotech[[#This Row],[Joint Set Rating]],1)-2)</f>
        <v>4</v>
      </c>
      <c r="AP10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0.86111111111111116</v>
      </c>
      <c r="AQ102" s="5">
        <f t="shared" si="0"/>
        <v>1</v>
      </c>
      <c r="AR102" s="49">
        <f>IF(Data_Geotech[[#This Row],[FIRS Code]]="R",IFERROR((IF(Data_Geotech[[#This Row],[RQD (%)]]&lt;10,10,Data_Geotech[[#This Row],[RQD (%)]])/Data_Geotech[[#This Row],[Jn rating]])*Data_Geotech[[#This Row],[Jr/Ja]],""),"")</f>
        <v>21.527777777777779</v>
      </c>
      <c r="AS102" s="45">
        <f>IF(Data_Geotech[[#This Row],[FIRS Code]]="R",IFERROR((IF(Data_Geotech[[#This Row],[RQD (%)]]&lt;10,10,Data_Geotech[[#This Row],[RQD (%)]])/Data_Geotech[[#This Row],[Jn rating]])*Data_Geotech[[#This Row],[Jr/Ja]]*Data_Geotech[[#This Row],[Jw/SRF]],""),"")</f>
        <v>21.527777777777779</v>
      </c>
      <c r="AT102" s="12"/>
      <c r="AU102" s="13">
        <f>100-Data_Geotech[[#This Row],[RQD (%)]]</f>
        <v>0</v>
      </c>
      <c r="AV102" s="13">
        <f>100-Data_Geotech[[#This Row],[TCR (%)]]</f>
        <v>-2.4158453015843406E-13</v>
      </c>
      <c r="AW102" s="62">
        <f>(Data_Geotech[[#This Row],[Fracture per interval]]+Data_Geotech[[#This Row],[Added fractures 
(BC, FLT, LC)]])/Data_Geotech[[#This Row],[TCR (m)]]</f>
        <v>2.1276595744680851</v>
      </c>
      <c r="AX102" s="6" t="s">
        <v>109</v>
      </c>
      <c r="AY102" s="63">
        <f>7-MID(Data_Geotech[[#This Row],[Field Intact Rock Strength]],2,1)</f>
        <v>2</v>
      </c>
      <c r="AZ102" s="63">
        <f>VLOOKUP(Data_Geotech[[#This Row],[Field Intact Rock Strength]],Table_FieldStrength[],2,FALSE)</f>
        <v>100</v>
      </c>
      <c r="BA102" s="63">
        <f>VLOOKUP(Data_Geotech[[#This Row],[Field Intact Rock Strength]],Table_FieldStrength[],3,FALSE)</f>
        <v>175</v>
      </c>
      <c r="BB102" s="63">
        <f>VLOOKUP(Data_Geotech[[#This Row],[Field Intact Rock Strength]],Table_FieldStrength[],4,FALSE)</f>
        <v>250</v>
      </c>
      <c r="BC102" s="63">
        <f>100-Data_Geotech[[#This Row],[RMR76]]</f>
        <v>36.333333333333336</v>
      </c>
      <c r="BD102" s="63" t="str">
        <f>LEFT(Data_Geotech[[#This Row],[Weathering/Alteration]],FIND("-",Data_Geotech[[#This Row],[Weathering/Alteration]])-2)</f>
        <v>W2/A2</v>
      </c>
    </row>
    <row r="103" spans="1:56" ht="15.75" thickBot="1" x14ac:dyDescent="0.3">
      <c r="A103" t="s">
        <v>30</v>
      </c>
      <c r="B103" s="16" t="str">
        <f>VLOOKUP(Data_Geotech[[#This Row],[Hole ID]],Data_Log[],2,FALSE)</f>
        <v>CGF-02</v>
      </c>
      <c r="C103" s="5">
        <v>129</v>
      </c>
      <c r="D103" s="5">
        <v>132.08000000000001</v>
      </c>
      <c r="E103" s="5">
        <f>(Data_Geotech[[#This Row],[To (m)]]-Data_Geotech[[#This Row],[From (m)]])/2+Data_Geotech[[#This Row],[From (m)]]</f>
        <v>130.54000000000002</v>
      </c>
      <c r="F103" s="13">
        <f>Data_Geotech[[#This Row],[To (m)]]-Data_Geotech[[#This Row],[From (m)]]</f>
        <v>3.0800000000000125</v>
      </c>
      <c r="G103" s="5">
        <v>3.08</v>
      </c>
      <c r="H103" s="61">
        <f>Data_Geotech[[#This Row],[TCR (m)]]/Data_Geotech[[#This Row],[Run (m)]]*100</f>
        <v>99.999999999999602</v>
      </c>
      <c r="I103" s="151">
        <v>3.1</v>
      </c>
      <c r="J103" s="151">
        <v>3.1</v>
      </c>
      <c r="K103" s="5">
        <v>3.04</v>
      </c>
      <c r="L103" s="61">
        <f>Data_Geotech[[#This Row],[RQD (m)]]/Data_Geotech[[#This Row],[Run Reel (m)]]*100</f>
        <v>98.064516129032256</v>
      </c>
      <c r="M103" t="s">
        <v>569</v>
      </c>
      <c r="O103" t="s">
        <v>278</v>
      </c>
      <c r="P103" s="115" t="s">
        <v>397</v>
      </c>
      <c r="Q103" s="5" t="s">
        <v>313</v>
      </c>
      <c r="R103" s="5"/>
      <c r="S103" s="5">
        <v>0.06</v>
      </c>
      <c r="T103" s="5"/>
      <c r="U103" s="5"/>
      <c r="V103" s="6">
        <v>6</v>
      </c>
      <c r="W103" s="92">
        <f>SUMIFS(Discontinuities!$D$4:$D$9664,Discontinuities!$A$4:$A$9664,A103,Discontinuities!$C$4:$C$9664,"&gt;="&amp;C103,Discontinuities!$C$4:$C$9664,"&lt;"&amp;D103)
-SUMIFS(Discontinuities!$D$4:$D$9664,Discontinuities!$A$4:$A$9664,A103,Discontinuities!$C$4:$C$9664,"&gt;="&amp;C103,Discontinuities!$C$4:$C$9664,"&lt;"&amp;D103,Discontinuities!$E$4:$E$9664,"=BC")
-SUMIFS(Discontinuities!$D$4:$D$9664,Discontinuities!$A$4:$A$9664,A103,Discontinuities!$C$4:$C$9664,"&gt;="&amp;C103,Discontinuities!$C$4:$C$9664,"&lt;"&amp;D103,Discontinuities!$E$4:$E$9664,"=LC")
-SUMIFS(Discontinuities!$D$4:$D$9664,Discontinuities!$A$4:$A$9664,A103,Discontinuities!$C$4:$C$9664,"&gt;="&amp;C103,Discontinuities!$C$4:$C$9664,"&lt;"&amp;D103,Discontinuities!$E$4:$E$9664,"=FLT")</f>
        <v>6</v>
      </c>
      <c r="X103" t="s">
        <v>400</v>
      </c>
      <c r="AA103" s="12"/>
      <c r="AB103" s="43">
        <f>IFERROR(ROUND((Data_Geotech[[#This Row],[Fault (m)]]+Data_Geotech[[#This Row],[Broken Core (m)]]+Data_Geotech[[#This Row],[Lost Core (m)]])*30,0),0)</f>
        <v>2</v>
      </c>
      <c r="AC103" s="44">
        <f>IF(Data_Geotech[[#This Row],[Added fractures 
(BC, FLT, LC)]]+Data_Geotech[[#This Row],[Fracture per interval]]=0,99,1/((Data_Geotech[[#This Row],[Fracture per interval]]+Data_Geotech[[#This Row],[Added fractures 
(BC, FLT, LC)]])/Data_Geotech[[#This Row],[Run (m)]]))</f>
        <v>0.38500000000000156</v>
      </c>
      <c r="AD103" s="155" cm="1">
        <f t="array" ref="AD103">IFERROR(_xlfn.XLOOKUP(1,(A103=PLT!$A$4:$A$8886)*(Geotech!C103&lt;=PLT!$F$4:$F$8886)*(Geotech!D103&gt;=PLT!$F$4:$F$8886)*("Valid"=PLT!$P$4:$P$8886),PLT!$V$4:$V$8886),"")</f>
        <v>0</v>
      </c>
      <c r="AE103" s="156" t="str" cm="1">
        <f t="array" ref="AE103">IFERROR(_xlfn.XLOOKUP(1,(A103=PLT!$A$4:$A$8886)*(Geotech!C103&lt;=PLT!$F$4:$F$8886)*(Geotech!D103&gt;=PLT!$F$4:$F$8886)*(PLT!$V$4:$V$8886&lt;&gt;AD103)*("Valid"=PLT!$P$4:$P$7190),PLT!$V$4:$V$8886),"")</f>
        <v/>
      </c>
      <c r="AF103" s="156" t="str" cm="1">
        <f t="array" ref="AF103">IFERROR(_xlfn.XLOOKUP(1,(A103=PLT!$A$4:$A$8886)*(Geotech!C103&lt;=PLT!$F$4:$F$8886)*(Geotech!D103&gt;=PLT!$F$4:$F$8886)*(PLT!$V$4:$V$8886&lt;&gt;AD103)*(PLT!$V$4:$V$8886&lt;&gt;AE103)*("Valid"=PLT!$P$4:$P$7190),PLT!$V$4:$V$8886),"")</f>
        <v/>
      </c>
      <c r="AG103" s="44">
        <f>IFERROR(IF(AVERAGE(AD103:AF103)&gt;References!$BO$23,References!$BP$23,
IF(AVERAGE(AD103:AF103)&gt;References!$BO$22,References!$BP$22,
IF(AVERAGE(AD103:AF103)&gt;References!$BO$21,References!$BP$21,
IF(AVERAGE(AD103:AF103)&gt;References!$BO$20,References!$BP$20,
IF(AVERAGE(AD103:AF103)&gt;References!$BO$19,References!$BP$19,
IF(AVERAGE(AD103:AF103)&gt;References!$BO$18,References!$BP$18,
0)))))),"")</f>
        <v>0</v>
      </c>
      <c r="AH103" s="43">
        <f>IF(Data_Geotech[[#This Row],[Is50]]="",VLOOKUP(Data_Geotech[[#This Row],[Field Intact Rock Strength]],Table_RMR76_Strength[],2,FALSE),Data_Geotech[[#This Row],[Is50]])</f>
        <v>0</v>
      </c>
      <c r="AI103" s="43">
        <f>IF(Data_Geotech[[#This Row],[RQD (%)]]&lt;=25,3,IF(Data_Geotech[[#This Row],[RQD (%)]]&lt;=50,8,IF(Data_Geotech[[#This Row],[RQD (%)]]&lt;=75,13,IF(Data_Geotech[[#This Row],[RQD (%)]]&lt;=90,17,20))))</f>
        <v>20</v>
      </c>
      <c r="AJ103" s="43">
        <f>IF(Data_Geotech[[#This Row],[Joint spacing (m)]]&lt;=0.05,5,IF(Data_Geotech[[#This Row],[Joint spacing (m)]]&lt;=0.3,10,IF(Data_Geotech[[#This Row],[Joint spacing (m)]]&lt;=1,20,IF(Data_Geotech[[#This Row],[Joint spacing (m)]]&lt;=3,25,30))))</f>
        <v>20</v>
      </c>
      <c r="AK10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16.333333333333332</v>
      </c>
      <c r="AL103" s="6">
        <v>10</v>
      </c>
      <c r="AM103" s="117">
        <f>IF(Data_Geotech[[#This Row],[FIRS Code]]="R",IFERROR(SUM(Data_Geotech[[#This Row],[RMR76 - Strength rating]:[RMR76 - Ground water rating]]),""),"")</f>
        <v>66.333333333333329</v>
      </c>
      <c r="AN103" s="39">
        <f>IF(Data_Geotech[[#This Row],[FIRS Code]]="R",(2*Data_Geotech[[#This Row],[RMR76 - Joint condition rating]])+(IF(Data_Geotech[[#This Row],[RQD (%)]]&gt;80,80/2,Data_Geotech[[#This Row],[RQD (%)]]/2)),"")</f>
        <v>72.666666666666657</v>
      </c>
      <c r="AO103" s="43" t="str">
        <f>LEFT(Data_Geotech[[#This Row],[Joint Set Rating]],FIND("-",Data_Geotech[[#This Row],[Joint Set Rating]],1)-2)</f>
        <v>6</v>
      </c>
      <c r="AP10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1.0277777777777777</v>
      </c>
      <c r="AQ103" s="5">
        <f t="shared" si="0"/>
        <v>1</v>
      </c>
      <c r="AR103" s="49">
        <f>IF(Data_Geotech[[#This Row],[FIRS Code]]="R",IFERROR((IF(Data_Geotech[[#This Row],[RQD (%)]]&lt;10,10,Data_Geotech[[#This Row],[RQD (%)]])/Data_Geotech[[#This Row],[Jn rating]])*Data_Geotech[[#This Row],[Jr/Ja]],""),"")</f>
        <v>16.798088410991635</v>
      </c>
      <c r="AS103" s="45">
        <f>IF(Data_Geotech[[#This Row],[FIRS Code]]="R",IFERROR((IF(Data_Geotech[[#This Row],[RQD (%)]]&lt;10,10,Data_Geotech[[#This Row],[RQD (%)]])/Data_Geotech[[#This Row],[Jn rating]])*Data_Geotech[[#This Row],[Jr/Ja]]*Data_Geotech[[#This Row],[Jw/SRF]],""),"")</f>
        <v>16.798088410991635</v>
      </c>
      <c r="AT103" s="12"/>
      <c r="AU103" s="13">
        <f>100-Data_Geotech[[#This Row],[RQD (%)]]</f>
        <v>1.9354838709677438</v>
      </c>
      <c r="AV103" s="13">
        <f>100-Data_Geotech[[#This Row],[TCR (%)]]</f>
        <v>3.979039320256561E-13</v>
      </c>
      <c r="AW103" s="62">
        <f>(Data_Geotech[[#This Row],[Fracture per interval]]+Data_Geotech[[#This Row],[Added fractures 
(BC, FLT, LC)]])/Data_Geotech[[#This Row],[TCR (m)]]</f>
        <v>2.5974025974025974</v>
      </c>
      <c r="AX103" s="6" t="s">
        <v>109</v>
      </c>
      <c r="AY103" s="63">
        <f>7-MID(Data_Geotech[[#This Row],[Field Intact Rock Strength]],2,1)</f>
        <v>2</v>
      </c>
      <c r="AZ103" s="63">
        <f>VLOOKUP(Data_Geotech[[#This Row],[Field Intact Rock Strength]],Table_FieldStrength[],2,FALSE)</f>
        <v>100</v>
      </c>
      <c r="BA103" s="63">
        <f>VLOOKUP(Data_Geotech[[#This Row],[Field Intact Rock Strength]],Table_FieldStrength[],3,FALSE)</f>
        <v>175</v>
      </c>
      <c r="BB103" s="63">
        <f>VLOOKUP(Data_Geotech[[#This Row],[Field Intact Rock Strength]],Table_FieldStrength[],4,FALSE)</f>
        <v>250</v>
      </c>
      <c r="BC103" s="63">
        <f>100-Data_Geotech[[#This Row],[RMR76]]</f>
        <v>33.666666666666671</v>
      </c>
      <c r="BD103" s="63" t="str">
        <f>LEFT(Data_Geotech[[#This Row],[Weathering/Alteration]],FIND("-",Data_Geotech[[#This Row],[Weathering/Alteration]])-2)</f>
        <v>W2/A2</v>
      </c>
    </row>
    <row r="104" spans="1:56" ht="15.75" thickBot="1" x14ac:dyDescent="0.3">
      <c r="A104" t="s">
        <v>30</v>
      </c>
      <c r="B104" s="16" t="str">
        <f>VLOOKUP(Data_Geotech[[#This Row],[Hole ID]],Data_Log[],2,FALSE)</f>
        <v>CGF-02</v>
      </c>
      <c r="C104" s="5">
        <v>132.08000000000001</v>
      </c>
      <c r="D104" s="5">
        <v>135.05000000000001</v>
      </c>
      <c r="E104" s="5">
        <f>(Data_Geotech[[#This Row],[To (m)]]-Data_Geotech[[#This Row],[From (m)]])/2+Data_Geotech[[#This Row],[From (m)]]</f>
        <v>133.565</v>
      </c>
      <c r="F104" s="13">
        <f>Data_Geotech[[#This Row],[To (m)]]-Data_Geotech[[#This Row],[From (m)]]</f>
        <v>2.9699999999999989</v>
      </c>
      <c r="G104" s="5">
        <v>2.97</v>
      </c>
      <c r="H104" s="61">
        <f>Data_Geotech[[#This Row],[TCR (m)]]/Data_Geotech[[#This Row],[Run (m)]]*100</f>
        <v>100.00000000000004</v>
      </c>
      <c r="I104" s="151">
        <v>3</v>
      </c>
      <c r="J104" s="151">
        <v>3</v>
      </c>
      <c r="K104" s="5">
        <v>3</v>
      </c>
      <c r="L104" s="61">
        <f>Data_Geotech[[#This Row],[RQD (m)]]/Data_Geotech[[#This Row],[Run Reel (m)]]*100</f>
        <v>100</v>
      </c>
      <c r="M104" t="s">
        <v>569</v>
      </c>
      <c r="O104" t="s">
        <v>278</v>
      </c>
      <c r="P104" s="115" t="s">
        <v>397</v>
      </c>
      <c r="Q104" s="5" t="s">
        <v>313</v>
      </c>
      <c r="R104" s="5"/>
      <c r="S104" s="5"/>
      <c r="T104" s="5"/>
      <c r="U104" s="5"/>
      <c r="V104" s="6">
        <v>4</v>
      </c>
      <c r="W104" s="92">
        <f>SUMIFS(Discontinuities!$D$4:$D$9664,Discontinuities!$A$4:$A$9664,A104,Discontinuities!$C$4:$C$9664,"&gt;="&amp;C104,Discontinuities!$C$4:$C$9664,"&lt;"&amp;D104)
-SUMIFS(Discontinuities!$D$4:$D$9664,Discontinuities!$A$4:$A$9664,A104,Discontinuities!$C$4:$C$9664,"&gt;="&amp;C104,Discontinuities!$C$4:$C$9664,"&lt;"&amp;D104,Discontinuities!$E$4:$E$9664,"=BC")
-SUMIFS(Discontinuities!$D$4:$D$9664,Discontinuities!$A$4:$A$9664,A104,Discontinuities!$C$4:$C$9664,"&gt;="&amp;C104,Discontinuities!$C$4:$C$9664,"&lt;"&amp;D104,Discontinuities!$E$4:$E$9664,"=LC")
-SUMIFS(Discontinuities!$D$4:$D$9664,Discontinuities!$A$4:$A$9664,A104,Discontinuities!$C$4:$C$9664,"&gt;="&amp;C104,Discontinuities!$C$4:$C$9664,"&lt;"&amp;D104,Discontinuities!$E$4:$E$9664,"=FLT")</f>
        <v>4</v>
      </c>
      <c r="X104" t="s">
        <v>373</v>
      </c>
      <c r="AA104" s="12"/>
      <c r="AB104" s="43">
        <f>IFERROR(ROUND((Data_Geotech[[#This Row],[Fault (m)]]+Data_Geotech[[#This Row],[Broken Core (m)]]+Data_Geotech[[#This Row],[Lost Core (m)]])*30,0),0)</f>
        <v>0</v>
      </c>
      <c r="AC104" s="44">
        <f>IF(Data_Geotech[[#This Row],[Added fractures 
(BC, FLT, LC)]]+Data_Geotech[[#This Row],[Fracture per interval]]=0,99,1/((Data_Geotech[[#This Row],[Fracture per interval]]+Data_Geotech[[#This Row],[Added fractures 
(BC, FLT, LC)]])/Data_Geotech[[#This Row],[Run (m)]]))</f>
        <v>0.74249999999999972</v>
      </c>
      <c r="AD104" s="155" cm="1">
        <f t="array" ref="AD104">IFERROR(_xlfn.XLOOKUP(1,(A104=PLT!$A$4:$A$8886)*(Geotech!C104&lt;=PLT!$F$4:$F$8886)*(Geotech!D104&gt;=PLT!$F$4:$F$8886)*("Valid"=PLT!$P$4:$P$8886),PLT!$V$4:$V$8886),"")</f>
        <v>0</v>
      </c>
      <c r="AE104" s="156" t="str" cm="1">
        <f t="array" ref="AE104">IFERROR(_xlfn.XLOOKUP(1,(A104=PLT!$A$4:$A$8886)*(Geotech!C104&lt;=PLT!$F$4:$F$8886)*(Geotech!D104&gt;=PLT!$F$4:$F$8886)*(PLT!$V$4:$V$8886&lt;&gt;AD104)*("Valid"=PLT!$P$4:$P$7190),PLT!$V$4:$V$8886),"")</f>
        <v/>
      </c>
      <c r="AF104" s="156" t="str" cm="1">
        <f t="array" ref="AF104">IFERROR(_xlfn.XLOOKUP(1,(A104=PLT!$A$4:$A$8886)*(Geotech!C104&lt;=PLT!$F$4:$F$8886)*(Geotech!D104&gt;=PLT!$F$4:$F$8886)*(PLT!$V$4:$V$8886&lt;&gt;AD104)*(PLT!$V$4:$V$8886&lt;&gt;AE104)*("Valid"=PLT!$P$4:$P$7190),PLT!$V$4:$V$8886),"")</f>
        <v/>
      </c>
      <c r="AG104" s="44">
        <f>IFERROR(IF(AVERAGE(AD104:AF104)&gt;References!$BO$23,References!$BP$23,
IF(AVERAGE(AD104:AF104)&gt;References!$BO$22,References!$BP$22,
IF(AVERAGE(AD104:AF104)&gt;References!$BO$21,References!$BP$21,
IF(AVERAGE(AD104:AF104)&gt;References!$BO$20,References!$BP$20,
IF(AVERAGE(AD104:AF104)&gt;References!$BO$19,References!$BP$19,
IF(AVERAGE(AD104:AF104)&gt;References!$BO$18,References!$BP$18,
0)))))),"")</f>
        <v>0</v>
      </c>
      <c r="AH104" s="43">
        <f>IF(Data_Geotech[[#This Row],[Is50]]="",VLOOKUP(Data_Geotech[[#This Row],[Field Intact Rock Strength]],Table_RMR76_Strength[],2,FALSE),Data_Geotech[[#This Row],[Is50]])</f>
        <v>0</v>
      </c>
      <c r="AI104" s="43">
        <f>IF(Data_Geotech[[#This Row],[RQD (%)]]&lt;=25,3,IF(Data_Geotech[[#This Row],[RQD (%)]]&lt;=50,8,IF(Data_Geotech[[#This Row],[RQD (%)]]&lt;=75,13,IF(Data_Geotech[[#This Row],[RQD (%)]]&lt;=90,17,20))))</f>
        <v>20</v>
      </c>
      <c r="AJ104" s="43">
        <f>IF(Data_Geotech[[#This Row],[Joint spacing (m)]]&lt;=0.05,5,IF(Data_Geotech[[#This Row],[Joint spacing (m)]]&lt;=0.3,10,IF(Data_Geotech[[#This Row],[Joint spacing (m)]]&lt;=1,20,IF(Data_Geotech[[#This Row],[Joint spacing (m)]]&lt;=3,25,30))))</f>
        <v>20</v>
      </c>
      <c r="AK10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14.5</v>
      </c>
      <c r="AL104" s="6">
        <v>10</v>
      </c>
      <c r="AM104" s="117">
        <f>IF(Data_Geotech[[#This Row],[FIRS Code]]="R",IFERROR(SUM(Data_Geotech[[#This Row],[RMR76 - Strength rating]:[RMR76 - Ground water rating]]),""),"")</f>
        <v>64.5</v>
      </c>
      <c r="AN104" s="39">
        <f>IF(Data_Geotech[[#This Row],[FIRS Code]]="R",(2*Data_Geotech[[#This Row],[RMR76 - Joint condition rating]])+(IF(Data_Geotech[[#This Row],[RQD (%)]]&gt;80,80/2,Data_Geotech[[#This Row],[RQD (%)]]/2)),"")</f>
        <v>69</v>
      </c>
      <c r="AO104" s="43" t="str">
        <f>LEFT(Data_Geotech[[#This Row],[Joint Set Rating]],FIND("-",Data_Geotech[[#This Row],[Joint Set Rating]],1)-2)</f>
        <v>4</v>
      </c>
      <c r="AP10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1.1041666666666665</v>
      </c>
      <c r="AQ104" s="5">
        <f t="shared" si="0"/>
        <v>1</v>
      </c>
      <c r="AR104" s="49">
        <f>IF(Data_Geotech[[#This Row],[FIRS Code]]="R",IFERROR((IF(Data_Geotech[[#This Row],[RQD (%)]]&lt;10,10,Data_Geotech[[#This Row],[RQD (%)]])/Data_Geotech[[#This Row],[Jn rating]])*Data_Geotech[[#This Row],[Jr/Ja]],""),"")</f>
        <v>27.604166666666664</v>
      </c>
      <c r="AS104" s="45">
        <f>IF(Data_Geotech[[#This Row],[FIRS Code]]="R",IFERROR((IF(Data_Geotech[[#This Row],[RQD (%)]]&lt;10,10,Data_Geotech[[#This Row],[RQD (%)]])/Data_Geotech[[#This Row],[Jn rating]])*Data_Geotech[[#This Row],[Jr/Ja]]*Data_Geotech[[#This Row],[Jw/SRF]],""),"")</f>
        <v>27.604166666666664</v>
      </c>
      <c r="AT104" s="12"/>
      <c r="AU104" s="13">
        <f>100-Data_Geotech[[#This Row],[RQD (%)]]</f>
        <v>0</v>
      </c>
      <c r="AV104" s="13">
        <f>100-Data_Geotech[[#This Row],[TCR (%)]]</f>
        <v>0</v>
      </c>
      <c r="AW104" s="62">
        <f>(Data_Geotech[[#This Row],[Fracture per interval]]+Data_Geotech[[#This Row],[Added fractures 
(BC, FLT, LC)]])/Data_Geotech[[#This Row],[TCR (m)]]</f>
        <v>1.3468013468013467</v>
      </c>
      <c r="AX104" s="6" t="s">
        <v>109</v>
      </c>
      <c r="AY104" s="63">
        <f>7-MID(Data_Geotech[[#This Row],[Field Intact Rock Strength]],2,1)</f>
        <v>2</v>
      </c>
      <c r="AZ104" s="63">
        <f>VLOOKUP(Data_Geotech[[#This Row],[Field Intact Rock Strength]],Table_FieldStrength[],2,FALSE)</f>
        <v>100</v>
      </c>
      <c r="BA104" s="63">
        <f>VLOOKUP(Data_Geotech[[#This Row],[Field Intact Rock Strength]],Table_FieldStrength[],3,FALSE)</f>
        <v>175</v>
      </c>
      <c r="BB104" s="63">
        <f>VLOOKUP(Data_Geotech[[#This Row],[Field Intact Rock Strength]],Table_FieldStrength[],4,FALSE)</f>
        <v>250</v>
      </c>
      <c r="BC104" s="63">
        <f>100-Data_Geotech[[#This Row],[RMR76]]</f>
        <v>35.5</v>
      </c>
      <c r="BD104" s="63" t="str">
        <f>LEFT(Data_Geotech[[#This Row],[Weathering/Alteration]],FIND("-",Data_Geotech[[#This Row],[Weathering/Alteration]])-2)</f>
        <v>W2/A2</v>
      </c>
    </row>
    <row r="105" spans="1:56" ht="15.75" thickBot="1" x14ac:dyDescent="0.3">
      <c r="A105" t="s">
        <v>30</v>
      </c>
      <c r="B105" s="16" t="str">
        <f>VLOOKUP(Data_Geotech[[#This Row],[Hole ID]],Data_Log[],2,FALSE)</f>
        <v>CGF-02</v>
      </c>
      <c r="C105" s="5">
        <v>135.05000000000001</v>
      </c>
      <c r="D105" s="5">
        <v>138.02000000000001</v>
      </c>
      <c r="E105" s="5">
        <f>(Data_Geotech[[#This Row],[To (m)]]-Data_Geotech[[#This Row],[From (m)]])/2+Data_Geotech[[#This Row],[From (m)]]</f>
        <v>136.53500000000003</v>
      </c>
      <c r="F105" s="13">
        <f>Data_Geotech[[#This Row],[To (m)]]-Data_Geotech[[#This Row],[From (m)]]</f>
        <v>2.9699999999999989</v>
      </c>
      <c r="G105" s="5">
        <v>2.97</v>
      </c>
      <c r="H105" s="61">
        <f>Data_Geotech[[#This Row],[TCR (m)]]/Data_Geotech[[#This Row],[Run (m)]]*100</f>
        <v>100.00000000000004</v>
      </c>
      <c r="I105" s="151">
        <v>2.97</v>
      </c>
      <c r="J105" s="151">
        <v>2.97</v>
      </c>
      <c r="K105" s="5">
        <v>2.97</v>
      </c>
      <c r="L105" s="61">
        <f>Data_Geotech[[#This Row],[RQD (m)]]/Data_Geotech[[#This Row],[Run Reel (m)]]*100</f>
        <v>100</v>
      </c>
      <c r="M105" t="s">
        <v>569</v>
      </c>
      <c r="O105" t="s">
        <v>278</v>
      </c>
      <c r="P105" s="115" t="s">
        <v>370</v>
      </c>
      <c r="Q105" s="5" t="s">
        <v>313</v>
      </c>
      <c r="R105" s="5"/>
      <c r="S105" s="5"/>
      <c r="T105" s="5"/>
      <c r="U105" s="5"/>
      <c r="V105" s="6">
        <v>3</v>
      </c>
      <c r="W105" s="92">
        <f>SUMIFS(Discontinuities!$D$4:$D$9664,Discontinuities!$A$4:$A$9664,A105,Discontinuities!$C$4:$C$9664,"&gt;="&amp;C105,Discontinuities!$C$4:$C$9664,"&lt;"&amp;D105)
-SUMIFS(Discontinuities!$D$4:$D$9664,Discontinuities!$A$4:$A$9664,A105,Discontinuities!$C$4:$C$9664,"&gt;="&amp;C105,Discontinuities!$C$4:$C$9664,"&lt;"&amp;D105,Discontinuities!$E$4:$E$9664,"=BC")
-SUMIFS(Discontinuities!$D$4:$D$9664,Discontinuities!$A$4:$A$9664,A105,Discontinuities!$C$4:$C$9664,"&gt;="&amp;C105,Discontinuities!$C$4:$C$9664,"&lt;"&amp;D105,Discontinuities!$E$4:$E$9664,"=LC")
-SUMIFS(Discontinuities!$D$4:$D$9664,Discontinuities!$A$4:$A$9664,A105,Discontinuities!$C$4:$C$9664,"&gt;="&amp;C105,Discontinuities!$C$4:$C$9664,"&lt;"&amp;D105,Discontinuities!$E$4:$E$9664,"=FLT")</f>
        <v>3</v>
      </c>
      <c r="X105" t="s">
        <v>373</v>
      </c>
      <c r="AA105" s="12"/>
      <c r="AB105" s="43">
        <f>IFERROR(ROUND((Data_Geotech[[#This Row],[Fault (m)]]+Data_Geotech[[#This Row],[Broken Core (m)]]+Data_Geotech[[#This Row],[Lost Core (m)]])*30,0),0)</f>
        <v>0</v>
      </c>
      <c r="AC105" s="44">
        <f>IF(Data_Geotech[[#This Row],[Added fractures 
(BC, FLT, LC)]]+Data_Geotech[[#This Row],[Fracture per interval]]=0,99,1/((Data_Geotech[[#This Row],[Fracture per interval]]+Data_Geotech[[#This Row],[Added fractures 
(BC, FLT, LC)]])/Data_Geotech[[#This Row],[Run (m)]]))</f>
        <v>0.98999999999999977</v>
      </c>
      <c r="AD105" s="155" cm="1">
        <f t="array" ref="AD105">IFERROR(_xlfn.XLOOKUP(1,(A105=PLT!$A$4:$A$8886)*(Geotech!C105&lt;=PLT!$F$4:$F$8886)*(Geotech!D105&gt;=PLT!$F$4:$F$8886)*("Valid"=PLT!$P$4:$P$8886),PLT!$V$4:$V$8886),"")</f>
        <v>0</v>
      </c>
      <c r="AE105" s="156" t="str" cm="1">
        <f t="array" ref="AE105">IFERROR(_xlfn.XLOOKUP(1,(A105=PLT!$A$4:$A$8886)*(Geotech!C105&lt;=PLT!$F$4:$F$8886)*(Geotech!D105&gt;=PLT!$F$4:$F$8886)*(PLT!$V$4:$V$8886&lt;&gt;AD105)*("Valid"=PLT!$P$4:$P$7190),PLT!$V$4:$V$8886),"")</f>
        <v/>
      </c>
      <c r="AF105" s="156" t="str" cm="1">
        <f t="array" ref="AF105">IFERROR(_xlfn.XLOOKUP(1,(A105=PLT!$A$4:$A$8886)*(Geotech!C105&lt;=PLT!$F$4:$F$8886)*(Geotech!D105&gt;=PLT!$F$4:$F$8886)*(PLT!$V$4:$V$8886&lt;&gt;AD105)*(PLT!$V$4:$V$8886&lt;&gt;AE105)*("Valid"=PLT!$P$4:$P$7190),PLT!$V$4:$V$8886),"")</f>
        <v/>
      </c>
      <c r="AG105" s="44">
        <f>IFERROR(IF(AVERAGE(AD105:AF105)&gt;References!$BO$23,References!$BP$23,
IF(AVERAGE(AD105:AF105)&gt;References!$BO$22,References!$BP$22,
IF(AVERAGE(AD105:AF105)&gt;References!$BO$21,References!$BP$21,
IF(AVERAGE(AD105:AF105)&gt;References!$BO$20,References!$BP$20,
IF(AVERAGE(AD105:AF105)&gt;References!$BO$19,References!$BP$19,
IF(AVERAGE(AD105:AF105)&gt;References!$BO$18,References!$BP$18,
0)))))),"")</f>
        <v>0</v>
      </c>
      <c r="AH105" s="43">
        <f>IF(Data_Geotech[[#This Row],[Is50]]="",VLOOKUP(Data_Geotech[[#This Row],[Field Intact Rock Strength]],Table_RMR76_Strength[],2,FALSE),Data_Geotech[[#This Row],[Is50]])</f>
        <v>0</v>
      </c>
      <c r="AI105" s="43">
        <f>IF(Data_Geotech[[#This Row],[RQD (%)]]&lt;=25,3,IF(Data_Geotech[[#This Row],[RQD (%)]]&lt;=50,8,IF(Data_Geotech[[#This Row],[RQD (%)]]&lt;=75,13,IF(Data_Geotech[[#This Row],[RQD (%)]]&lt;=90,17,20))))</f>
        <v>20</v>
      </c>
      <c r="AJ105" s="43">
        <f>IF(Data_Geotech[[#This Row],[Joint spacing (m)]]&lt;=0.05,5,IF(Data_Geotech[[#This Row],[Joint spacing (m)]]&lt;=0.3,10,IF(Data_Geotech[[#This Row],[Joint spacing (m)]]&lt;=1,20,IF(Data_Geotech[[#This Row],[Joint spacing (m)]]&lt;=3,25,30))))</f>
        <v>20</v>
      </c>
      <c r="AK10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15.333333333333334</v>
      </c>
      <c r="AL105" s="6">
        <v>10</v>
      </c>
      <c r="AM105" s="117">
        <f>IF(Data_Geotech[[#This Row],[FIRS Code]]="R",IFERROR(SUM(Data_Geotech[[#This Row],[RMR76 - Strength rating]:[RMR76 - Ground water rating]]),""),"")</f>
        <v>65.333333333333343</v>
      </c>
      <c r="AN105" s="39">
        <f>IF(Data_Geotech[[#This Row],[FIRS Code]]="R",(2*Data_Geotech[[#This Row],[RMR76 - Joint condition rating]])+(IF(Data_Geotech[[#This Row],[RQD (%)]]&gt;80,80/2,Data_Geotech[[#This Row],[RQD (%)]]/2)),"")</f>
        <v>70.666666666666671</v>
      </c>
      <c r="AO105" s="43" t="str">
        <f>LEFT(Data_Geotech[[#This Row],[Joint Set Rating]],FIND("-",Data_Geotech[[#This Row],[Joint Set Rating]],1)-2)</f>
        <v>4</v>
      </c>
      <c r="AP10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1.5833333333333333</v>
      </c>
      <c r="AQ105" s="5">
        <f t="shared" si="0"/>
        <v>1</v>
      </c>
      <c r="AR105" s="49">
        <f>IF(Data_Geotech[[#This Row],[FIRS Code]]="R",IFERROR((IF(Data_Geotech[[#This Row],[RQD (%)]]&lt;10,10,Data_Geotech[[#This Row],[RQD (%)]])/Data_Geotech[[#This Row],[Jn rating]])*Data_Geotech[[#This Row],[Jr/Ja]],""),"")</f>
        <v>39.583333333333329</v>
      </c>
      <c r="AS105" s="45">
        <f>IF(Data_Geotech[[#This Row],[FIRS Code]]="R",IFERROR((IF(Data_Geotech[[#This Row],[RQD (%)]]&lt;10,10,Data_Geotech[[#This Row],[RQD (%)]])/Data_Geotech[[#This Row],[Jn rating]])*Data_Geotech[[#This Row],[Jr/Ja]]*Data_Geotech[[#This Row],[Jw/SRF]],""),"")</f>
        <v>39.583333333333329</v>
      </c>
      <c r="AT105" s="12"/>
      <c r="AU105" s="13">
        <f>100-Data_Geotech[[#This Row],[RQD (%)]]</f>
        <v>0</v>
      </c>
      <c r="AV105" s="13">
        <f>100-Data_Geotech[[#This Row],[TCR (%)]]</f>
        <v>0</v>
      </c>
      <c r="AW105" s="62">
        <f>(Data_Geotech[[#This Row],[Fracture per interval]]+Data_Geotech[[#This Row],[Added fractures 
(BC, FLT, LC)]])/Data_Geotech[[#This Row],[TCR (m)]]</f>
        <v>1.0101010101010099</v>
      </c>
      <c r="AX105" s="6" t="s">
        <v>109</v>
      </c>
      <c r="AY105" s="63">
        <f>7-MID(Data_Geotech[[#This Row],[Field Intact Rock Strength]],2,1)</f>
        <v>3</v>
      </c>
      <c r="AZ105" s="63">
        <f>VLOOKUP(Data_Geotech[[#This Row],[Field Intact Rock Strength]],Table_FieldStrength[],2,FALSE)</f>
        <v>50</v>
      </c>
      <c r="BA105" s="63">
        <f>VLOOKUP(Data_Geotech[[#This Row],[Field Intact Rock Strength]],Table_FieldStrength[],3,FALSE)</f>
        <v>75</v>
      </c>
      <c r="BB105" s="63">
        <f>VLOOKUP(Data_Geotech[[#This Row],[Field Intact Rock Strength]],Table_FieldStrength[],4,FALSE)</f>
        <v>100</v>
      </c>
      <c r="BC105" s="63">
        <f>100-Data_Geotech[[#This Row],[RMR76]]</f>
        <v>34.666666666666657</v>
      </c>
      <c r="BD105" s="63" t="str">
        <f>LEFT(Data_Geotech[[#This Row],[Weathering/Alteration]],FIND("-",Data_Geotech[[#This Row],[Weathering/Alteration]])-2)</f>
        <v>W2/A2</v>
      </c>
    </row>
    <row r="106" spans="1:56" ht="15.75" thickBot="1" x14ac:dyDescent="0.3">
      <c r="A106" t="s">
        <v>30</v>
      </c>
      <c r="B106" s="16" t="str">
        <f>VLOOKUP(Data_Geotech[[#This Row],[Hole ID]],Data_Log[],2,FALSE)</f>
        <v>CGF-02</v>
      </c>
      <c r="C106" s="5">
        <v>138.02000000000001</v>
      </c>
      <c r="D106" s="5">
        <v>139.69999999999999</v>
      </c>
      <c r="E106" s="5">
        <f>(Data_Geotech[[#This Row],[To (m)]]-Data_Geotech[[#This Row],[From (m)]])/2+Data_Geotech[[#This Row],[From (m)]]</f>
        <v>138.86000000000001</v>
      </c>
      <c r="F106" s="13">
        <f>Data_Geotech[[#This Row],[To (m)]]-Data_Geotech[[#This Row],[From (m)]]</f>
        <v>1.6799999999999784</v>
      </c>
      <c r="G106" s="5">
        <v>1.68</v>
      </c>
      <c r="H106" s="61">
        <f>Data_Geotech[[#This Row],[TCR (m)]]/Data_Geotech[[#This Row],[Run (m)]]*100</f>
        <v>100.00000000000129</v>
      </c>
      <c r="I106" s="151">
        <v>1.68</v>
      </c>
      <c r="J106" s="151">
        <v>1.68</v>
      </c>
      <c r="K106" s="5">
        <v>1.68</v>
      </c>
      <c r="L106" s="61">
        <f>Data_Geotech[[#This Row],[RQD (m)]]/Data_Geotech[[#This Row],[Run Reel (m)]]*100</f>
        <v>100</v>
      </c>
      <c r="M106" t="s">
        <v>569</v>
      </c>
      <c r="O106" t="s">
        <v>243</v>
      </c>
      <c r="P106" s="115" t="s">
        <v>416</v>
      </c>
      <c r="Q106" s="5" t="s">
        <v>313</v>
      </c>
      <c r="R106" s="5"/>
      <c r="S106" s="5"/>
      <c r="T106" s="5"/>
      <c r="U106" s="5"/>
      <c r="V106" s="6">
        <v>2</v>
      </c>
      <c r="W106" s="92">
        <f>SUMIFS(Discontinuities!$D$4:$D$9664,Discontinuities!$A$4:$A$9664,A106,Discontinuities!$C$4:$C$9664,"&gt;="&amp;C106,Discontinuities!$C$4:$C$9664,"&lt;"&amp;D106)
-SUMIFS(Discontinuities!$D$4:$D$9664,Discontinuities!$A$4:$A$9664,A106,Discontinuities!$C$4:$C$9664,"&gt;="&amp;C106,Discontinuities!$C$4:$C$9664,"&lt;"&amp;D106,Discontinuities!$E$4:$E$9664,"=BC")
-SUMIFS(Discontinuities!$D$4:$D$9664,Discontinuities!$A$4:$A$9664,A106,Discontinuities!$C$4:$C$9664,"&gt;="&amp;C106,Discontinuities!$C$4:$C$9664,"&lt;"&amp;D106,Discontinuities!$E$4:$E$9664,"=LC")
-SUMIFS(Discontinuities!$D$4:$D$9664,Discontinuities!$A$4:$A$9664,A106,Discontinuities!$C$4:$C$9664,"&gt;="&amp;C106,Discontinuities!$C$4:$C$9664,"&lt;"&amp;D106,Discontinuities!$E$4:$E$9664,"=FLT")</f>
        <v>2</v>
      </c>
      <c r="X106" t="s">
        <v>373</v>
      </c>
      <c r="AA106" s="12"/>
      <c r="AB106" s="43">
        <f>IFERROR(ROUND((Data_Geotech[[#This Row],[Fault (m)]]+Data_Geotech[[#This Row],[Broken Core (m)]]+Data_Geotech[[#This Row],[Lost Core (m)]])*30,0),0)</f>
        <v>0</v>
      </c>
      <c r="AC106" s="44">
        <f>IF(Data_Geotech[[#This Row],[Added fractures 
(BC, FLT, LC)]]+Data_Geotech[[#This Row],[Fracture per interval]]=0,99,1/((Data_Geotech[[#This Row],[Fracture per interval]]+Data_Geotech[[#This Row],[Added fractures 
(BC, FLT, LC)]])/Data_Geotech[[#This Row],[Run (m)]]))</f>
        <v>0.8399999999999892</v>
      </c>
      <c r="AD106" s="155" cm="1">
        <f t="array" ref="AD106">IFERROR(_xlfn.XLOOKUP(1,(A106=PLT!$A$4:$A$8886)*(Geotech!C106&lt;=PLT!$F$4:$F$8886)*(Geotech!D106&gt;=PLT!$F$4:$F$8886)*("Valid"=PLT!$P$4:$P$8886),PLT!$V$4:$V$8886),"")</f>
        <v>0</v>
      </c>
      <c r="AE106" s="156" t="str" cm="1">
        <f t="array" ref="AE106">IFERROR(_xlfn.XLOOKUP(1,(A106=PLT!$A$4:$A$8886)*(Geotech!C106&lt;=PLT!$F$4:$F$8886)*(Geotech!D106&gt;=PLT!$F$4:$F$8886)*(PLT!$V$4:$V$8886&lt;&gt;AD106)*("Valid"=PLT!$P$4:$P$7190),PLT!$V$4:$V$8886),"")</f>
        <v/>
      </c>
      <c r="AF106" s="156" t="str" cm="1">
        <f t="array" ref="AF106">IFERROR(_xlfn.XLOOKUP(1,(A106=PLT!$A$4:$A$8886)*(Geotech!C106&lt;=PLT!$F$4:$F$8886)*(Geotech!D106&gt;=PLT!$F$4:$F$8886)*(PLT!$V$4:$V$8886&lt;&gt;AD106)*(PLT!$V$4:$V$8886&lt;&gt;AE106)*("Valid"=PLT!$P$4:$P$7190),PLT!$V$4:$V$8886),"")</f>
        <v/>
      </c>
      <c r="AG106" s="44">
        <f>IFERROR(IF(AVERAGE(AD106:AF106)&gt;References!$BO$23,References!$BP$23,
IF(AVERAGE(AD106:AF106)&gt;References!$BO$22,References!$BP$22,
IF(AVERAGE(AD106:AF106)&gt;References!$BO$21,References!$BP$21,
IF(AVERAGE(AD106:AF106)&gt;References!$BO$20,References!$BP$20,
IF(AVERAGE(AD106:AF106)&gt;References!$BO$19,References!$BP$19,
IF(AVERAGE(AD106:AF106)&gt;References!$BO$18,References!$BP$18,
0)))))),"")</f>
        <v>0</v>
      </c>
      <c r="AH106" s="43">
        <f>IF(Data_Geotech[[#This Row],[Is50]]="",VLOOKUP(Data_Geotech[[#This Row],[Field Intact Rock Strength]],Table_RMR76_Strength[],2,FALSE),Data_Geotech[[#This Row],[Is50]])</f>
        <v>0</v>
      </c>
      <c r="AI106" s="43">
        <f>IF(Data_Geotech[[#This Row],[RQD (%)]]&lt;=25,3,IF(Data_Geotech[[#This Row],[RQD (%)]]&lt;=50,8,IF(Data_Geotech[[#This Row],[RQD (%)]]&lt;=75,13,IF(Data_Geotech[[#This Row],[RQD (%)]]&lt;=90,17,20))))</f>
        <v>20</v>
      </c>
      <c r="AJ106" s="43">
        <f>IF(Data_Geotech[[#This Row],[Joint spacing (m)]]&lt;=0.05,5,IF(Data_Geotech[[#This Row],[Joint spacing (m)]]&lt;=0.3,10,IF(Data_Geotech[[#This Row],[Joint spacing (m)]]&lt;=1,20,IF(Data_Geotech[[#This Row],[Joint spacing (m)]]&lt;=3,25,30))))</f>
        <v>20</v>
      </c>
      <c r="AK10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06" s="6">
        <v>10</v>
      </c>
      <c r="AM106" s="117">
        <f>IF(Data_Geotech[[#This Row],[FIRS Code]]="R",IFERROR(SUM(Data_Geotech[[#This Row],[RMR76 - Strength rating]:[RMR76 - Ground water rating]]),""),"")</f>
        <v>70</v>
      </c>
      <c r="AN106" s="39">
        <f>IF(Data_Geotech[[#This Row],[FIRS Code]]="R",(2*Data_Geotech[[#This Row],[RMR76 - Joint condition rating]])+(IF(Data_Geotech[[#This Row],[RQD (%)]]&gt;80,80/2,Data_Geotech[[#This Row],[RQD (%)]]/2)),"")</f>
        <v>80</v>
      </c>
      <c r="AO106" s="43" t="str">
        <f>LEFT(Data_Geotech[[#This Row],[Joint Set Rating]],FIND("-",Data_Geotech[[#This Row],[Joint Set Rating]],1)-2)</f>
        <v>4</v>
      </c>
      <c r="AP10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06" s="5">
        <f t="shared" si="0"/>
        <v>1</v>
      </c>
      <c r="AR106" s="49">
        <f>IF(Data_Geotech[[#This Row],[FIRS Code]]="R",IFERROR((IF(Data_Geotech[[#This Row],[RQD (%)]]&lt;10,10,Data_Geotech[[#This Row],[RQD (%)]])/Data_Geotech[[#This Row],[Jn rating]])*Data_Geotech[[#This Row],[Jr/Ja]],""),"")</f>
        <v>25</v>
      </c>
      <c r="AS106" s="45">
        <f>IF(Data_Geotech[[#This Row],[FIRS Code]]="R",IFERROR((IF(Data_Geotech[[#This Row],[RQD (%)]]&lt;10,10,Data_Geotech[[#This Row],[RQD (%)]])/Data_Geotech[[#This Row],[Jn rating]])*Data_Geotech[[#This Row],[Jr/Ja]]*Data_Geotech[[#This Row],[Jw/SRF]],""),"")</f>
        <v>25</v>
      </c>
      <c r="AT106" s="12"/>
      <c r="AU106" s="13">
        <f>100-Data_Geotech[[#This Row],[RQD (%)]]</f>
        <v>0</v>
      </c>
      <c r="AV106" s="13">
        <f>100-Data_Geotech[[#This Row],[TCR (%)]]</f>
        <v>-1.2931877790833823E-12</v>
      </c>
      <c r="AW106" s="62">
        <f>(Data_Geotech[[#This Row],[Fracture per interval]]+Data_Geotech[[#This Row],[Added fractures 
(BC, FLT, LC)]])/Data_Geotech[[#This Row],[TCR (m)]]</f>
        <v>1.1904761904761905</v>
      </c>
      <c r="AX106" s="6" t="s">
        <v>109</v>
      </c>
      <c r="AY106" s="63">
        <f>7-MID(Data_Geotech[[#This Row],[Field Intact Rock Strength]],2,1)</f>
        <v>1</v>
      </c>
      <c r="AZ106" s="63">
        <f>VLOOKUP(Data_Geotech[[#This Row],[Field Intact Rock Strength]],Table_FieldStrength[],2,FALSE)</f>
        <v>250</v>
      </c>
      <c r="BA106" s="63">
        <f>VLOOKUP(Data_Geotech[[#This Row],[Field Intact Rock Strength]],Table_FieldStrength[],3,FALSE)</f>
        <v>275</v>
      </c>
      <c r="BB106" s="63">
        <f>VLOOKUP(Data_Geotech[[#This Row],[Field Intact Rock Strength]],Table_FieldStrength[],4,FALSE)</f>
        <v>300</v>
      </c>
      <c r="BC106" s="63">
        <f>100-Data_Geotech[[#This Row],[RMR76]]</f>
        <v>30</v>
      </c>
      <c r="BD106" s="63" t="str">
        <f>LEFT(Data_Geotech[[#This Row],[Weathering/Alteration]],FIND("-",Data_Geotech[[#This Row],[Weathering/Alteration]])-2)</f>
        <v>W1/A1</v>
      </c>
    </row>
    <row r="107" spans="1:56" ht="15.75" thickBot="1" x14ac:dyDescent="0.3">
      <c r="A107" t="s">
        <v>30</v>
      </c>
      <c r="B107" s="16" t="str">
        <f>VLOOKUP(Data_Geotech[[#This Row],[Hole ID]],Data_Log[],2,FALSE)</f>
        <v>CGF-02</v>
      </c>
      <c r="C107" s="5">
        <v>139.69999999999999</v>
      </c>
      <c r="D107" s="5">
        <v>140.97</v>
      </c>
      <c r="E107" s="5">
        <f>(Data_Geotech[[#This Row],[To (m)]]-Data_Geotech[[#This Row],[From (m)]])/2+Data_Geotech[[#This Row],[From (m)]]</f>
        <v>140.33499999999998</v>
      </c>
      <c r="F107" s="13">
        <f>Data_Geotech[[#This Row],[To (m)]]-Data_Geotech[[#This Row],[From (m)]]</f>
        <v>1.2700000000000102</v>
      </c>
      <c r="G107" s="5">
        <v>1.27</v>
      </c>
      <c r="H107" s="61">
        <f>Data_Geotech[[#This Row],[TCR (m)]]/Data_Geotech[[#This Row],[Run (m)]]*100</f>
        <v>99.999999999999204</v>
      </c>
      <c r="I107" s="5">
        <v>1.27</v>
      </c>
      <c r="J107" s="5">
        <v>1.27</v>
      </c>
      <c r="K107" s="5">
        <v>1.21</v>
      </c>
      <c r="L107" s="61">
        <f>Data_Geotech[[#This Row],[RQD (m)]]/Data_Geotech[[#This Row],[Run Reel (m)]]*100</f>
        <v>95.275590551181097</v>
      </c>
      <c r="M107" t="s">
        <v>584</v>
      </c>
      <c r="O107" t="s">
        <v>243</v>
      </c>
      <c r="P107" s="115" t="s">
        <v>342</v>
      </c>
      <c r="Q107" s="5" t="s">
        <v>346</v>
      </c>
      <c r="R107" s="5"/>
      <c r="S107" s="5"/>
      <c r="T107" s="5"/>
      <c r="U107" s="5"/>
      <c r="V107" s="6">
        <v>3</v>
      </c>
      <c r="W107" s="92">
        <f>SUMIFS(Discontinuities!$D$4:$D$9664,Discontinuities!$A$4:$A$9664,A107,Discontinuities!$C$4:$C$9664,"&gt;="&amp;C107,Discontinuities!$C$4:$C$9664,"&lt;"&amp;D107)
-SUMIFS(Discontinuities!$D$4:$D$9664,Discontinuities!$A$4:$A$9664,A107,Discontinuities!$C$4:$C$9664,"&gt;="&amp;C107,Discontinuities!$C$4:$C$9664,"&lt;"&amp;D107,Discontinuities!$E$4:$E$9664,"=BC")
-SUMIFS(Discontinuities!$D$4:$D$9664,Discontinuities!$A$4:$A$9664,A107,Discontinuities!$C$4:$C$9664,"&gt;="&amp;C107,Discontinuities!$C$4:$C$9664,"&lt;"&amp;D107,Discontinuities!$E$4:$E$9664,"=LC")
-SUMIFS(Discontinuities!$D$4:$D$9664,Discontinuities!$A$4:$A$9664,A107,Discontinuities!$C$4:$C$9664,"&gt;="&amp;C107,Discontinuities!$C$4:$C$9664,"&lt;"&amp;D107,Discontinuities!$E$4:$E$9664,"=FLT")</f>
        <v>3</v>
      </c>
      <c r="X107" t="s">
        <v>345</v>
      </c>
      <c r="AA107" s="12"/>
      <c r="AB107" s="43">
        <f>IFERROR(ROUND((Data_Geotech[[#This Row],[Fault (m)]]+Data_Geotech[[#This Row],[Broken Core (m)]]+Data_Geotech[[#This Row],[Lost Core (m)]])*30,0),0)</f>
        <v>0</v>
      </c>
      <c r="AC107" s="44">
        <f>IF(Data_Geotech[[#This Row],[Added fractures 
(BC, FLT, LC)]]+Data_Geotech[[#This Row],[Fracture per interval]]=0,99,1/((Data_Geotech[[#This Row],[Fracture per interval]]+Data_Geotech[[#This Row],[Added fractures 
(BC, FLT, LC)]])/Data_Geotech[[#This Row],[Run (m)]]))</f>
        <v>0.42333333333333673</v>
      </c>
      <c r="AD107" s="155" cm="1">
        <f t="array" ref="AD107">IFERROR(_xlfn.XLOOKUP(1,(A107=PLT!$A$4:$A$8886)*(Geotech!C107&lt;=PLT!$F$4:$F$8886)*(Geotech!D107&gt;=PLT!$F$4:$F$8886)*("Valid"=PLT!$P$4:$P$8886),PLT!$V$4:$V$8886),"")</f>
        <v>0</v>
      </c>
      <c r="AE107" s="156" t="str" cm="1">
        <f t="array" ref="AE107">IFERROR(_xlfn.XLOOKUP(1,(A107=PLT!$A$4:$A$8886)*(Geotech!C107&lt;=PLT!$F$4:$F$8886)*(Geotech!D107&gt;=PLT!$F$4:$F$8886)*(PLT!$V$4:$V$8886&lt;&gt;AD107)*("Valid"=PLT!$P$4:$P$7190),PLT!$V$4:$V$8886),"")</f>
        <v/>
      </c>
      <c r="AF107" s="156" t="str" cm="1">
        <f t="array" ref="AF107">IFERROR(_xlfn.XLOOKUP(1,(A107=PLT!$A$4:$A$8886)*(Geotech!C107&lt;=PLT!$F$4:$F$8886)*(Geotech!D107&gt;=PLT!$F$4:$F$8886)*(PLT!$V$4:$V$8886&lt;&gt;AD107)*(PLT!$V$4:$V$8886&lt;&gt;AE107)*("Valid"=PLT!$P$4:$P$7190),PLT!$V$4:$V$8886),"")</f>
        <v/>
      </c>
      <c r="AG107" s="44">
        <f>IFERROR(IF(AVERAGE(AD107:AF107)&gt;References!$BO$23,References!$BP$23,
IF(AVERAGE(AD107:AF107)&gt;References!$BO$22,References!$BP$22,
IF(AVERAGE(AD107:AF107)&gt;References!$BO$21,References!$BP$21,
IF(AVERAGE(AD107:AF107)&gt;References!$BO$20,References!$BP$20,
IF(AVERAGE(AD107:AF107)&gt;References!$BO$19,References!$BP$19,
IF(AVERAGE(AD107:AF107)&gt;References!$BO$18,References!$BP$18,
0)))))),"")</f>
        <v>0</v>
      </c>
      <c r="AH107" s="43">
        <f>IF(Data_Geotech[[#This Row],[Is50]]="",VLOOKUP(Data_Geotech[[#This Row],[Field Intact Rock Strength]],Table_RMR76_Strength[],2,FALSE),Data_Geotech[[#This Row],[Is50]])</f>
        <v>0</v>
      </c>
      <c r="AI107" s="43">
        <f>IF(Data_Geotech[[#This Row],[RQD (%)]]&lt;=25,3,IF(Data_Geotech[[#This Row],[RQD (%)]]&lt;=50,8,IF(Data_Geotech[[#This Row],[RQD (%)]]&lt;=75,13,IF(Data_Geotech[[#This Row],[RQD (%)]]&lt;=90,17,20))))</f>
        <v>20</v>
      </c>
      <c r="AJ107" s="43">
        <f>IF(Data_Geotech[[#This Row],[Joint spacing (m)]]&lt;=0.05,5,IF(Data_Geotech[[#This Row],[Joint spacing (m)]]&lt;=0.3,10,IF(Data_Geotech[[#This Row],[Joint spacing (m)]]&lt;=1,20,IF(Data_Geotech[[#This Row],[Joint spacing (m)]]&lt;=3,25,30))))</f>
        <v>20</v>
      </c>
      <c r="AK10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16.333333333333332</v>
      </c>
      <c r="AL107" s="6">
        <v>10</v>
      </c>
      <c r="AM107" s="117">
        <f>IF(Data_Geotech[[#This Row],[FIRS Code]]="R",IFERROR(SUM(Data_Geotech[[#This Row],[RMR76 - Strength rating]:[RMR76 - Ground water rating]]),""),"")</f>
        <v>66.333333333333329</v>
      </c>
      <c r="AN107" s="39">
        <f>IF(Data_Geotech[[#This Row],[FIRS Code]]="R",(2*Data_Geotech[[#This Row],[RMR76 - Joint condition rating]])+(IF(Data_Geotech[[#This Row],[RQD (%)]]&gt;80,80/2,Data_Geotech[[#This Row],[RQD (%)]]/2)),"")</f>
        <v>72.666666666666657</v>
      </c>
      <c r="AO107" s="43" t="str">
        <f>LEFT(Data_Geotech[[#This Row],[Joint Set Rating]],FIND("-",Data_Geotech[[#This Row],[Joint Set Rating]],1)-2)</f>
        <v>3</v>
      </c>
      <c r="AP10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1.1666666666666667</v>
      </c>
      <c r="AQ107" s="5">
        <f t="shared" si="0"/>
        <v>1</v>
      </c>
      <c r="AR107" s="49">
        <f>IF(Data_Geotech[[#This Row],[FIRS Code]]="R",IFERROR((IF(Data_Geotech[[#This Row],[RQD (%)]]&lt;10,10,Data_Geotech[[#This Row],[RQD (%)]])/Data_Geotech[[#This Row],[Jn rating]])*Data_Geotech[[#This Row],[Jr/Ja]],""),"")</f>
        <v>37.051618547681542</v>
      </c>
      <c r="AS107" s="45">
        <f>IF(Data_Geotech[[#This Row],[FIRS Code]]="R",IFERROR((IF(Data_Geotech[[#This Row],[RQD (%)]]&lt;10,10,Data_Geotech[[#This Row],[RQD (%)]])/Data_Geotech[[#This Row],[Jn rating]])*Data_Geotech[[#This Row],[Jr/Ja]]*Data_Geotech[[#This Row],[Jw/SRF]],""),"")</f>
        <v>37.051618547681542</v>
      </c>
      <c r="AT107" s="12"/>
      <c r="AU107" s="13">
        <f>100-Data_Geotech[[#This Row],[RQD (%)]]</f>
        <v>4.7244094488189035</v>
      </c>
      <c r="AV107" s="13">
        <f>100-Data_Geotech[[#This Row],[TCR (%)]]</f>
        <v>7.9580786405131221E-13</v>
      </c>
      <c r="AW107" s="62">
        <f>(Data_Geotech[[#This Row],[Fracture per interval]]+Data_Geotech[[#This Row],[Added fractures 
(BC, FLT, LC)]])/Data_Geotech[[#This Row],[TCR (m)]]</f>
        <v>2.3622047244094486</v>
      </c>
      <c r="AX107" s="6" t="s">
        <v>109</v>
      </c>
      <c r="AY107" s="63">
        <f>7-MID(Data_Geotech[[#This Row],[Field Intact Rock Strength]],2,1)</f>
        <v>4</v>
      </c>
      <c r="AZ107" s="63">
        <f>VLOOKUP(Data_Geotech[[#This Row],[Field Intact Rock Strength]],Table_FieldStrength[],2,FALSE)</f>
        <v>25</v>
      </c>
      <c r="BA107" s="63">
        <f>VLOOKUP(Data_Geotech[[#This Row],[Field Intact Rock Strength]],Table_FieldStrength[],3,FALSE)</f>
        <v>37.5</v>
      </c>
      <c r="BB107" s="63">
        <f>VLOOKUP(Data_Geotech[[#This Row],[Field Intact Rock Strength]],Table_FieldStrength[],4,FALSE)</f>
        <v>50</v>
      </c>
      <c r="BC107" s="63">
        <f>100-Data_Geotech[[#This Row],[RMR76]]</f>
        <v>33.666666666666671</v>
      </c>
      <c r="BD107" s="63" t="str">
        <f>LEFT(Data_Geotech[[#This Row],[Weathering/Alteration]],FIND("-",Data_Geotech[[#This Row],[Weathering/Alteration]])-2)</f>
        <v>W1/A1</v>
      </c>
    </row>
    <row r="108" spans="1:56" ht="15.75" thickBot="1" x14ac:dyDescent="0.3">
      <c r="A108" t="s">
        <v>30</v>
      </c>
      <c r="B108" s="16" t="str">
        <f>VLOOKUP(Data_Geotech[[#This Row],[Hole ID]],Data_Log[],2,FALSE)</f>
        <v>CGF-02</v>
      </c>
      <c r="C108" s="5">
        <v>140.97</v>
      </c>
      <c r="D108" s="5">
        <v>141.35</v>
      </c>
      <c r="E108" s="5">
        <f>(Data_Geotech[[#This Row],[To (m)]]-Data_Geotech[[#This Row],[From (m)]])/2+Data_Geotech[[#This Row],[From (m)]]</f>
        <v>141.16</v>
      </c>
      <c r="F108" s="13">
        <f>Data_Geotech[[#This Row],[To (m)]]-Data_Geotech[[#This Row],[From (m)]]</f>
        <v>0.37999999999999545</v>
      </c>
      <c r="G108" s="5">
        <v>0.38</v>
      </c>
      <c r="H108" s="61">
        <f>Data_Geotech[[#This Row],[TCR (m)]]/Data_Geotech[[#This Row],[Run (m)]]*100</f>
        <v>100.00000000000119</v>
      </c>
      <c r="I108" s="5">
        <v>0.38</v>
      </c>
      <c r="J108" s="5">
        <v>0.38</v>
      </c>
      <c r="K108" s="5">
        <v>0.38</v>
      </c>
      <c r="L108" s="61">
        <f>Data_Geotech[[#This Row],[RQD (m)]]/Data_Geotech[[#This Row],[Run Reel (m)]]*100</f>
        <v>100</v>
      </c>
      <c r="M108" t="s">
        <v>584</v>
      </c>
      <c r="O108" t="s">
        <v>243</v>
      </c>
      <c r="P108" s="115" t="s">
        <v>370</v>
      </c>
      <c r="Q108" s="5" t="s">
        <v>346</v>
      </c>
      <c r="R108" s="5"/>
      <c r="S108" s="5"/>
      <c r="T108" s="5"/>
      <c r="U108" s="5"/>
      <c r="V108" s="6">
        <v>0</v>
      </c>
      <c r="W108" s="92">
        <f>SUMIFS(Discontinuities!$D$4:$D$9664,Discontinuities!$A$4:$A$9664,A108,Discontinuities!$C$4:$C$9664,"&gt;="&amp;C108,Discontinuities!$C$4:$C$9664,"&lt;"&amp;D108)
-SUMIFS(Discontinuities!$D$4:$D$9664,Discontinuities!$A$4:$A$9664,A108,Discontinuities!$C$4:$C$9664,"&gt;="&amp;C108,Discontinuities!$C$4:$C$9664,"&lt;"&amp;D108,Discontinuities!$E$4:$E$9664,"=BC")
-SUMIFS(Discontinuities!$D$4:$D$9664,Discontinuities!$A$4:$A$9664,A108,Discontinuities!$C$4:$C$9664,"&gt;="&amp;C108,Discontinuities!$C$4:$C$9664,"&lt;"&amp;D108,Discontinuities!$E$4:$E$9664,"=LC")
-SUMIFS(Discontinuities!$D$4:$D$9664,Discontinuities!$A$4:$A$9664,A108,Discontinuities!$C$4:$C$9664,"&gt;="&amp;C108,Discontinuities!$C$4:$C$9664,"&lt;"&amp;D108,Discontinuities!$E$4:$E$9664,"=FLT")</f>
        <v>0</v>
      </c>
      <c r="X108" t="s">
        <v>345</v>
      </c>
      <c r="AA108" s="12"/>
      <c r="AB108" s="43">
        <f>IFERROR(ROUND((Data_Geotech[[#This Row],[Fault (m)]]+Data_Geotech[[#This Row],[Broken Core (m)]]+Data_Geotech[[#This Row],[Lost Core (m)]])*30,0),0)</f>
        <v>0</v>
      </c>
      <c r="AC108" s="44">
        <f>IF(Data_Geotech[[#This Row],[Added fractures 
(BC, FLT, LC)]]+Data_Geotech[[#This Row],[Fracture per interval]]=0,99,1/((Data_Geotech[[#This Row],[Fracture per interval]]+Data_Geotech[[#This Row],[Added fractures 
(BC, FLT, LC)]])/Data_Geotech[[#This Row],[Run (m)]]))</f>
        <v>99</v>
      </c>
      <c r="AD108" s="155" cm="1">
        <f t="array" ref="AD108">IFERROR(_xlfn.XLOOKUP(1,(A108=PLT!$A$4:$A$8886)*(Geotech!C108&lt;=PLT!$F$4:$F$8886)*(Geotech!D108&gt;=PLT!$F$4:$F$8886)*("Valid"=PLT!$P$4:$P$8886),PLT!$V$4:$V$8886),"")</f>
        <v>0</v>
      </c>
      <c r="AE108" s="156" t="str" cm="1">
        <f t="array" ref="AE108">IFERROR(_xlfn.XLOOKUP(1,(A108=PLT!$A$4:$A$8886)*(Geotech!C108&lt;=PLT!$F$4:$F$8886)*(Geotech!D108&gt;=PLT!$F$4:$F$8886)*(PLT!$V$4:$V$8886&lt;&gt;AD108)*("Valid"=PLT!$P$4:$P$7190),PLT!$V$4:$V$8886),"")</f>
        <v/>
      </c>
      <c r="AF108" s="156" t="str" cm="1">
        <f t="array" ref="AF108">IFERROR(_xlfn.XLOOKUP(1,(A108=PLT!$A$4:$A$8886)*(Geotech!C108&lt;=PLT!$F$4:$F$8886)*(Geotech!D108&gt;=PLT!$F$4:$F$8886)*(PLT!$V$4:$V$8886&lt;&gt;AD108)*(PLT!$V$4:$V$8886&lt;&gt;AE108)*("Valid"=PLT!$P$4:$P$7190),PLT!$V$4:$V$8886),"")</f>
        <v/>
      </c>
      <c r="AG108" s="44">
        <f>IFERROR(IF(AVERAGE(AD108:AF108)&gt;References!$BO$23,References!$BP$23,
IF(AVERAGE(AD108:AF108)&gt;References!$BO$22,References!$BP$22,
IF(AVERAGE(AD108:AF108)&gt;References!$BO$21,References!$BP$21,
IF(AVERAGE(AD108:AF108)&gt;References!$BO$20,References!$BP$20,
IF(AVERAGE(AD108:AF108)&gt;References!$BO$19,References!$BP$19,
IF(AVERAGE(AD108:AF108)&gt;References!$BO$18,References!$BP$18,
0)))))),"")</f>
        <v>0</v>
      </c>
      <c r="AH108" s="43">
        <f>IF(Data_Geotech[[#This Row],[Is50]]="",VLOOKUP(Data_Geotech[[#This Row],[Field Intact Rock Strength]],Table_RMR76_Strength[],2,FALSE),Data_Geotech[[#This Row],[Is50]])</f>
        <v>0</v>
      </c>
      <c r="AI108" s="43">
        <f>IF(Data_Geotech[[#This Row],[RQD (%)]]&lt;=25,3,IF(Data_Geotech[[#This Row],[RQD (%)]]&lt;=50,8,IF(Data_Geotech[[#This Row],[RQD (%)]]&lt;=75,13,IF(Data_Geotech[[#This Row],[RQD (%)]]&lt;=90,17,20))))</f>
        <v>20</v>
      </c>
      <c r="AJ108" s="43">
        <f>IF(Data_Geotech[[#This Row],[Joint spacing (m)]]&lt;=0.05,5,IF(Data_Geotech[[#This Row],[Joint spacing (m)]]&lt;=0.3,10,IF(Data_Geotech[[#This Row],[Joint spacing (m)]]&lt;=1,20,IF(Data_Geotech[[#This Row],[Joint spacing (m)]]&lt;=3,25,30))))</f>
        <v>30</v>
      </c>
      <c r="AK10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08" s="6">
        <v>10</v>
      </c>
      <c r="AM108" s="117">
        <f>IF(Data_Geotech[[#This Row],[FIRS Code]]="R",IFERROR(SUM(Data_Geotech[[#This Row],[RMR76 - Strength rating]:[RMR76 - Ground water rating]]),""),"")</f>
        <v>85</v>
      </c>
      <c r="AN108" s="39">
        <f>IF(Data_Geotech[[#This Row],[FIRS Code]]="R",(2*Data_Geotech[[#This Row],[RMR76 - Joint condition rating]])+(IF(Data_Geotech[[#This Row],[RQD (%)]]&gt;80,80/2,Data_Geotech[[#This Row],[RQD (%)]]/2)),"")</f>
        <v>90</v>
      </c>
      <c r="AO108" s="43" t="str">
        <f>LEFT(Data_Geotech[[#This Row],[Joint Set Rating]],FIND("-",Data_Geotech[[#This Row],[Joint Set Rating]],1)-2)</f>
        <v>3</v>
      </c>
      <c r="AP10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08" s="5">
        <f t="shared" si="0"/>
        <v>1</v>
      </c>
      <c r="AR108" s="49">
        <f>IF(Data_Geotech[[#This Row],[FIRS Code]]="R",IFERROR((IF(Data_Geotech[[#This Row],[RQD (%)]]&lt;10,10,Data_Geotech[[#This Row],[RQD (%)]])/Data_Geotech[[#This Row],[Jn rating]])*Data_Geotech[[#This Row],[Jr/Ja]],""),"")</f>
        <v>177.77777777777777</v>
      </c>
      <c r="AS108" s="45">
        <f>IF(Data_Geotech[[#This Row],[FIRS Code]]="R",IFERROR((IF(Data_Geotech[[#This Row],[RQD (%)]]&lt;10,10,Data_Geotech[[#This Row],[RQD (%)]])/Data_Geotech[[#This Row],[Jn rating]])*Data_Geotech[[#This Row],[Jr/Ja]]*Data_Geotech[[#This Row],[Jw/SRF]],""),"")</f>
        <v>177.77777777777777</v>
      </c>
      <c r="AT108" s="12"/>
      <c r="AU108" s="13">
        <f>100-Data_Geotech[[#This Row],[RQD (%)]]</f>
        <v>0</v>
      </c>
      <c r="AV108" s="13">
        <f>100-Data_Geotech[[#This Row],[TCR (%)]]</f>
        <v>-1.1937117960769683E-12</v>
      </c>
      <c r="AW108" s="62">
        <f>(Data_Geotech[[#This Row],[Fracture per interval]]+Data_Geotech[[#This Row],[Added fractures 
(BC, FLT, LC)]])/Data_Geotech[[#This Row],[TCR (m)]]</f>
        <v>0</v>
      </c>
      <c r="AX108" s="6" t="s">
        <v>109</v>
      </c>
      <c r="AY108" s="63">
        <f>7-MID(Data_Geotech[[#This Row],[Field Intact Rock Strength]],2,1)</f>
        <v>3</v>
      </c>
      <c r="AZ108" s="63">
        <f>VLOOKUP(Data_Geotech[[#This Row],[Field Intact Rock Strength]],Table_FieldStrength[],2,FALSE)</f>
        <v>50</v>
      </c>
      <c r="BA108" s="63">
        <f>VLOOKUP(Data_Geotech[[#This Row],[Field Intact Rock Strength]],Table_FieldStrength[],3,FALSE)</f>
        <v>75</v>
      </c>
      <c r="BB108" s="63">
        <f>VLOOKUP(Data_Geotech[[#This Row],[Field Intact Rock Strength]],Table_FieldStrength[],4,FALSE)</f>
        <v>100</v>
      </c>
      <c r="BC108" s="63">
        <f>100-Data_Geotech[[#This Row],[RMR76]]</f>
        <v>15</v>
      </c>
      <c r="BD108" s="63" t="str">
        <f>LEFT(Data_Geotech[[#This Row],[Weathering/Alteration]],FIND("-",Data_Geotech[[#This Row],[Weathering/Alteration]])-2)</f>
        <v>W1/A1</v>
      </c>
    </row>
    <row r="109" spans="1:56" ht="15.75" thickBot="1" x14ac:dyDescent="0.3">
      <c r="A109" t="s">
        <v>30</v>
      </c>
      <c r="B109" s="16" t="str">
        <f>VLOOKUP(Data_Geotech[[#This Row],[Hole ID]],Data_Log[],2,FALSE)</f>
        <v>CGF-02</v>
      </c>
      <c r="C109" s="5">
        <v>141.35</v>
      </c>
      <c r="D109" s="5">
        <v>144</v>
      </c>
      <c r="E109" s="5">
        <f>(Data_Geotech[[#This Row],[To (m)]]-Data_Geotech[[#This Row],[From (m)]])/2+Data_Geotech[[#This Row],[From (m)]]</f>
        <v>142.67500000000001</v>
      </c>
      <c r="F109" s="13">
        <f>Data_Geotech[[#This Row],[To (m)]]-Data_Geotech[[#This Row],[From (m)]]</f>
        <v>2.6500000000000057</v>
      </c>
      <c r="G109" s="5">
        <v>2.65</v>
      </c>
      <c r="H109" s="61">
        <f>Data_Geotech[[#This Row],[TCR (m)]]/Data_Geotech[[#This Row],[Run (m)]]*100</f>
        <v>99.999999999999773</v>
      </c>
      <c r="I109" s="5">
        <v>2.65</v>
      </c>
      <c r="J109" s="5">
        <v>2.65</v>
      </c>
      <c r="K109" s="5">
        <v>2.59</v>
      </c>
      <c r="L109" s="61">
        <f>Data_Geotech[[#This Row],[RQD (m)]]/Data_Geotech[[#This Row],[Run Reel (m)]]*100</f>
        <v>97.735849056603769</v>
      </c>
      <c r="M109" t="s">
        <v>569</v>
      </c>
      <c r="O109" t="s">
        <v>278</v>
      </c>
      <c r="P109" s="115" t="s">
        <v>416</v>
      </c>
      <c r="Q109" s="5" t="s">
        <v>346</v>
      </c>
      <c r="R109" s="5"/>
      <c r="S109" s="5"/>
      <c r="T109" s="5"/>
      <c r="U109" s="5"/>
      <c r="V109" s="6">
        <v>6</v>
      </c>
      <c r="W109" s="92">
        <f>SUMIFS(Discontinuities!$D$4:$D$9664,Discontinuities!$A$4:$A$9664,A109,Discontinuities!$C$4:$C$9664,"&gt;="&amp;C109,Discontinuities!$C$4:$C$9664,"&lt;"&amp;D109)
-SUMIFS(Discontinuities!$D$4:$D$9664,Discontinuities!$A$4:$A$9664,A109,Discontinuities!$C$4:$C$9664,"&gt;="&amp;C109,Discontinuities!$C$4:$C$9664,"&lt;"&amp;D109,Discontinuities!$E$4:$E$9664,"=BC")
-SUMIFS(Discontinuities!$D$4:$D$9664,Discontinuities!$A$4:$A$9664,A109,Discontinuities!$C$4:$C$9664,"&gt;="&amp;C109,Discontinuities!$C$4:$C$9664,"&lt;"&amp;D109,Discontinuities!$E$4:$E$9664,"=LC")
-SUMIFS(Discontinuities!$D$4:$D$9664,Discontinuities!$A$4:$A$9664,A109,Discontinuities!$C$4:$C$9664,"&gt;="&amp;C109,Discontinuities!$C$4:$C$9664,"&lt;"&amp;D109,Discontinuities!$E$4:$E$9664,"=FLT")</f>
        <v>6</v>
      </c>
      <c r="X109" t="s">
        <v>400</v>
      </c>
      <c r="AA109" s="12"/>
      <c r="AB109" s="43">
        <f>IFERROR(ROUND((Data_Geotech[[#This Row],[Fault (m)]]+Data_Geotech[[#This Row],[Broken Core (m)]]+Data_Geotech[[#This Row],[Lost Core (m)]])*30,0),0)</f>
        <v>0</v>
      </c>
      <c r="AC109" s="44">
        <f>IF(Data_Geotech[[#This Row],[Added fractures 
(BC, FLT, LC)]]+Data_Geotech[[#This Row],[Fracture per interval]]=0,99,1/((Data_Geotech[[#This Row],[Fracture per interval]]+Data_Geotech[[#This Row],[Added fractures 
(BC, FLT, LC)]])/Data_Geotech[[#This Row],[Run (m)]]))</f>
        <v>0.44166666666666765</v>
      </c>
      <c r="AD109" s="155" cm="1">
        <f t="array" ref="AD109">IFERROR(_xlfn.XLOOKUP(1,(A109=PLT!$A$4:$A$8886)*(Geotech!C109&lt;=PLT!$F$4:$F$8886)*(Geotech!D109&gt;=PLT!$F$4:$F$8886)*("Valid"=PLT!$P$4:$P$8886),PLT!$V$4:$V$8886),"")</f>
        <v>0</v>
      </c>
      <c r="AE109" s="156" t="str" cm="1">
        <f t="array" ref="AE109">IFERROR(_xlfn.XLOOKUP(1,(A109=PLT!$A$4:$A$8886)*(Geotech!C109&lt;=PLT!$F$4:$F$8886)*(Geotech!D109&gt;=PLT!$F$4:$F$8886)*(PLT!$V$4:$V$8886&lt;&gt;AD109)*("Valid"=PLT!$P$4:$P$7190),PLT!$V$4:$V$8886),"")</f>
        <v/>
      </c>
      <c r="AF109" s="156" t="str" cm="1">
        <f t="array" ref="AF109">IFERROR(_xlfn.XLOOKUP(1,(A109=PLT!$A$4:$A$8886)*(Geotech!C109&lt;=PLT!$F$4:$F$8886)*(Geotech!D109&gt;=PLT!$F$4:$F$8886)*(PLT!$V$4:$V$8886&lt;&gt;AD109)*(PLT!$V$4:$V$8886&lt;&gt;AE109)*("Valid"=PLT!$P$4:$P$7190),PLT!$V$4:$V$8886),"")</f>
        <v/>
      </c>
      <c r="AG109" s="44">
        <f>IFERROR(IF(AVERAGE(AD109:AF109)&gt;References!$BO$23,References!$BP$23,
IF(AVERAGE(AD109:AF109)&gt;References!$BO$22,References!$BP$22,
IF(AVERAGE(AD109:AF109)&gt;References!$BO$21,References!$BP$21,
IF(AVERAGE(AD109:AF109)&gt;References!$BO$20,References!$BP$20,
IF(AVERAGE(AD109:AF109)&gt;References!$BO$19,References!$BP$19,
IF(AVERAGE(AD109:AF109)&gt;References!$BO$18,References!$BP$18,
0)))))),"")</f>
        <v>0</v>
      </c>
      <c r="AH109" s="43">
        <f>IF(Data_Geotech[[#This Row],[Is50]]="",VLOOKUP(Data_Geotech[[#This Row],[Field Intact Rock Strength]],Table_RMR76_Strength[],2,FALSE),Data_Geotech[[#This Row],[Is50]])</f>
        <v>0</v>
      </c>
      <c r="AI109" s="43">
        <f>IF(Data_Geotech[[#This Row],[RQD (%)]]&lt;=25,3,IF(Data_Geotech[[#This Row],[RQD (%)]]&lt;=50,8,IF(Data_Geotech[[#This Row],[RQD (%)]]&lt;=75,13,IF(Data_Geotech[[#This Row],[RQD (%)]]&lt;=90,17,20))))</f>
        <v>20</v>
      </c>
      <c r="AJ109" s="43">
        <f>IF(Data_Geotech[[#This Row],[Joint spacing (m)]]&lt;=0.05,5,IF(Data_Geotech[[#This Row],[Joint spacing (m)]]&lt;=0.3,10,IF(Data_Geotech[[#This Row],[Joint spacing (m)]]&lt;=1,20,IF(Data_Geotech[[#This Row],[Joint spacing (m)]]&lt;=3,25,30))))</f>
        <v>20</v>
      </c>
      <c r="AK10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12.333333333333334</v>
      </c>
      <c r="AL109" s="6">
        <v>10</v>
      </c>
      <c r="AM109" s="117">
        <f>IF(Data_Geotech[[#This Row],[FIRS Code]]="R",IFERROR(SUM(Data_Geotech[[#This Row],[RMR76 - Strength rating]:[RMR76 - Ground water rating]]),""),"")</f>
        <v>62.333333333333336</v>
      </c>
      <c r="AN109" s="39">
        <f>IF(Data_Geotech[[#This Row],[FIRS Code]]="R",(2*Data_Geotech[[#This Row],[RMR76 - Joint condition rating]])+(IF(Data_Geotech[[#This Row],[RQD (%)]]&gt;80,80/2,Data_Geotech[[#This Row],[RQD (%)]]/2)),"")</f>
        <v>64.666666666666671</v>
      </c>
      <c r="AO109" s="43" t="str">
        <f>LEFT(Data_Geotech[[#This Row],[Joint Set Rating]],FIND("-",Data_Geotech[[#This Row],[Joint Set Rating]],1)-2)</f>
        <v>6</v>
      </c>
      <c r="AP10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0.86111111111111105</v>
      </c>
      <c r="AQ109" s="5">
        <f t="shared" si="0"/>
        <v>1</v>
      </c>
      <c r="AR109" s="49">
        <f>IF(Data_Geotech[[#This Row],[FIRS Code]]="R",IFERROR((IF(Data_Geotech[[#This Row],[RQD (%)]]&lt;10,10,Data_Geotech[[#This Row],[RQD (%)]])/Data_Geotech[[#This Row],[Jn rating]])*Data_Geotech[[#This Row],[Jr/Ja]],""),"")</f>
        <v>14.026904262753318</v>
      </c>
      <c r="AS109" s="45">
        <f>IF(Data_Geotech[[#This Row],[FIRS Code]]="R",IFERROR((IF(Data_Geotech[[#This Row],[RQD (%)]]&lt;10,10,Data_Geotech[[#This Row],[RQD (%)]])/Data_Geotech[[#This Row],[Jn rating]])*Data_Geotech[[#This Row],[Jr/Ja]]*Data_Geotech[[#This Row],[Jw/SRF]],""),"")</f>
        <v>14.026904262753318</v>
      </c>
      <c r="AT109" s="12"/>
      <c r="AU109" s="13">
        <f>100-Data_Geotech[[#This Row],[RQD (%)]]</f>
        <v>2.2641509433962312</v>
      </c>
      <c r="AV109" s="13">
        <f>100-Data_Geotech[[#This Row],[TCR (%)]]</f>
        <v>2.2737367544323206E-13</v>
      </c>
      <c r="AW109" s="62">
        <f>(Data_Geotech[[#This Row],[Fracture per interval]]+Data_Geotech[[#This Row],[Added fractures 
(BC, FLT, LC)]])/Data_Geotech[[#This Row],[TCR (m)]]</f>
        <v>2.2641509433962264</v>
      </c>
      <c r="AX109" s="6" t="s">
        <v>109</v>
      </c>
      <c r="AY109" s="63">
        <f>7-MID(Data_Geotech[[#This Row],[Field Intact Rock Strength]],2,1)</f>
        <v>1</v>
      </c>
      <c r="AZ109" s="63">
        <f>VLOOKUP(Data_Geotech[[#This Row],[Field Intact Rock Strength]],Table_FieldStrength[],2,FALSE)</f>
        <v>250</v>
      </c>
      <c r="BA109" s="63">
        <f>VLOOKUP(Data_Geotech[[#This Row],[Field Intact Rock Strength]],Table_FieldStrength[],3,FALSE)</f>
        <v>275</v>
      </c>
      <c r="BB109" s="63">
        <f>VLOOKUP(Data_Geotech[[#This Row],[Field Intact Rock Strength]],Table_FieldStrength[],4,FALSE)</f>
        <v>300</v>
      </c>
      <c r="BC109" s="63">
        <f>100-Data_Geotech[[#This Row],[RMR76]]</f>
        <v>37.666666666666664</v>
      </c>
      <c r="BD109" s="63" t="str">
        <f>LEFT(Data_Geotech[[#This Row],[Weathering/Alteration]],FIND("-",Data_Geotech[[#This Row],[Weathering/Alteration]])-2)</f>
        <v>W2/A2</v>
      </c>
    </row>
    <row r="110" spans="1:56" ht="15.75" thickBot="1" x14ac:dyDescent="0.3">
      <c r="A110" t="s">
        <v>30</v>
      </c>
      <c r="B110" s="16" t="str">
        <f>VLOOKUP(Data_Geotech[[#This Row],[Hole ID]],Data_Log[],2,FALSE)</f>
        <v>CGF-02</v>
      </c>
      <c r="C110" s="5">
        <v>144</v>
      </c>
      <c r="D110" s="5">
        <v>144.69999999999999</v>
      </c>
      <c r="E110" s="5">
        <f>(Data_Geotech[[#This Row],[To (m)]]-Data_Geotech[[#This Row],[From (m)]])/2+Data_Geotech[[#This Row],[From (m)]]</f>
        <v>144.35</v>
      </c>
      <c r="F110" s="13">
        <f>Data_Geotech[[#This Row],[To (m)]]-Data_Geotech[[#This Row],[From (m)]]</f>
        <v>0.69999999999998863</v>
      </c>
      <c r="G110" s="5">
        <v>0.7</v>
      </c>
      <c r="H110" s="61">
        <f>Data_Geotech[[#This Row],[TCR (m)]]/Data_Geotech[[#This Row],[Run (m)]]*100</f>
        <v>100.00000000000162</v>
      </c>
      <c r="I110" s="151">
        <v>0.7</v>
      </c>
      <c r="J110" s="151">
        <v>0.7</v>
      </c>
      <c r="K110" s="5">
        <v>0.7</v>
      </c>
      <c r="L110" s="61">
        <f>Data_Geotech[[#This Row],[RQD (m)]]/Data_Geotech[[#This Row],[Run Reel (m)]]*100</f>
        <v>100</v>
      </c>
      <c r="M110" t="s">
        <v>584</v>
      </c>
      <c r="O110" t="s">
        <v>243</v>
      </c>
      <c r="P110" s="115" t="s">
        <v>397</v>
      </c>
      <c r="Q110" s="5" t="s">
        <v>313</v>
      </c>
      <c r="R110" s="5"/>
      <c r="S110" s="5"/>
      <c r="T110" s="5"/>
      <c r="U110" s="5"/>
      <c r="V110" s="6">
        <v>1</v>
      </c>
      <c r="W110" s="92">
        <f>SUMIFS(Discontinuities!$D$4:$D$9664,Discontinuities!$A$4:$A$9664,A110,Discontinuities!$C$4:$C$9664,"&gt;="&amp;C110,Discontinuities!$C$4:$C$9664,"&lt;"&amp;D110)
-SUMIFS(Discontinuities!$D$4:$D$9664,Discontinuities!$A$4:$A$9664,A110,Discontinuities!$C$4:$C$9664,"&gt;="&amp;C110,Discontinuities!$C$4:$C$9664,"&lt;"&amp;D110,Discontinuities!$E$4:$E$9664,"=BC")
-SUMIFS(Discontinuities!$D$4:$D$9664,Discontinuities!$A$4:$A$9664,A110,Discontinuities!$C$4:$C$9664,"&gt;="&amp;C110,Discontinuities!$C$4:$C$9664,"&lt;"&amp;D110,Discontinuities!$E$4:$E$9664,"=LC")
-SUMIFS(Discontinuities!$D$4:$D$9664,Discontinuities!$A$4:$A$9664,A110,Discontinuities!$C$4:$C$9664,"&gt;="&amp;C110,Discontinuities!$C$4:$C$9664,"&lt;"&amp;D110,Discontinuities!$E$4:$E$9664,"=FLT")</f>
        <v>1</v>
      </c>
      <c r="X110" t="s">
        <v>345</v>
      </c>
      <c r="AA110" s="12"/>
      <c r="AB110" s="43">
        <f>IFERROR(ROUND((Data_Geotech[[#This Row],[Fault (m)]]+Data_Geotech[[#This Row],[Broken Core (m)]]+Data_Geotech[[#This Row],[Lost Core (m)]])*30,0),0)</f>
        <v>0</v>
      </c>
      <c r="AC110" s="44">
        <f>IF(Data_Geotech[[#This Row],[Added fractures 
(BC, FLT, LC)]]+Data_Geotech[[#This Row],[Fracture per interval]]=0,99,1/((Data_Geotech[[#This Row],[Fracture per interval]]+Data_Geotech[[#This Row],[Added fractures 
(BC, FLT, LC)]])/Data_Geotech[[#This Row],[Run (m)]]))</f>
        <v>0.69999999999998863</v>
      </c>
      <c r="AD110" s="155" cm="1">
        <f t="array" ref="AD110">IFERROR(_xlfn.XLOOKUP(1,(A110=PLT!$A$4:$A$8886)*(Geotech!C110&lt;=PLT!$F$4:$F$8886)*(Geotech!D110&gt;=PLT!$F$4:$F$8886)*("Valid"=PLT!$P$4:$P$8886),PLT!$V$4:$V$8886),"")</f>
        <v>0</v>
      </c>
      <c r="AE110" s="156" t="str" cm="1">
        <f t="array" ref="AE110">IFERROR(_xlfn.XLOOKUP(1,(A110=PLT!$A$4:$A$8886)*(Geotech!C110&lt;=PLT!$F$4:$F$8886)*(Geotech!D110&gt;=PLT!$F$4:$F$8886)*(PLT!$V$4:$V$8886&lt;&gt;AD110)*("Valid"=PLT!$P$4:$P$7190),PLT!$V$4:$V$8886),"")</f>
        <v/>
      </c>
      <c r="AF110" s="156" t="str" cm="1">
        <f t="array" ref="AF110">IFERROR(_xlfn.XLOOKUP(1,(A110=PLT!$A$4:$A$8886)*(Geotech!C110&lt;=PLT!$F$4:$F$8886)*(Geotech!D110&gt;=PLT!$F$4:$F$8886)*(PLT!$V$4:$V$8886&lt;&gt;AD110)*(PLT!$V$4:$V$8886&lt;&gt;AE110)*("Valid"=PLT!$P$4:$P$7190),PLT!$V$4:$V$8886),"")</f>
        <v/>
      </c>
      <c r="AG110" s="44">
        <f>IFERROR(IF(AVERAGE(AD110:AF110)&gt;References!$BO$23,References!$BP$23,
IF(AVERAGE(AD110:AF110)&gt;References!$BO$22,References!$BP$22,
IF(AVERAGE(AD110:AF110)&gt;References!$BO$21,References!$BP$21,
IF(AVERAGE(AD110:AF110)&gt;References!$BO$20,References!$BP$20,
IF(AVERAGE(AD110:AF110)&gt;References!$BO$19,References!$BP$19,
IF(AVERAGE(AD110:AF110)&gt;References!$BO$18,References!$BP$18,
0)))))),"")</f>
        <v>0</v>
      </c>
      <c r="AH110" s="43">
        <f>IF(Data_Geotech[[#This Row],[Is50]]="",VLOOKUP(Data_Geotech[[#This Row],[Field Intact Rock Strength]],Table_RMR76_Strength[],2,FALSE),Data_Geotech[[#This Row],[Is50]])</f>
        <v>0</v>
      </c>
      <c r="AI110" s="43">
        <f>IF(Data_Geotech[[#This Row],[RQD (%)]]&lt;=25,3,IF(Data_Geotech[[#This Row],[RQD (%)]]&lt;=50,8,IF(Data_Geotech[[#This Row],[RQD (%)]]&lt;=75,13,IF(Data_Geotech[[#This Row],[RQD (%)]]&lt;=90,17,20))))</f>
        <v>20</v>
      </c>
      <c r="AJ110" s="43">
        <f>IF(Data_Geotech[[#This Row],[Joint spacing (m)]]&lt;=0.05,5,IF(Data_Geotech[[#This Row],[Joint spacing (m)]]&lt;=0.3,10,IF(Data_Geotech[[#This Row],[Joint spacing (m)]]&lt;=1,20,IF(Data_Geotech[[#This Row],[Joint spacing (m)]]&lt;=3,25,30))))</f>
        <v>20</v>
      </c>
      <c r="AK1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10" s="6">
        <v>10</v>
      </c>
      <c r="AM110" s="117">
        <f>IF(Data_Geotech[[#This Row],[FIRS Code]]="R",IFERROR(SUM(Data_Geotech[[#This Row],[RMR76 - Strength rating]:[RMR76 - Ground water rating]]),""),"")</f>
        <v>70</v>
      </c>
      <c r="AN110" s="39">
        <f>IF(Data_Geotech[[#This Row],[FIRS Code]]="R",(2*Data_Geotech[[#This Row],[RMR76 - Joint condition rating]])+(IF(Data_Geotech[[#This Row],[RQD (%)]]&gt;80,80/2,Data_Geotech[[#This Row],[RQD (%)]]/2)),"")</f>
        <v>80</v>
      </c>
      <c r="AO110" s="43" t="str">
        <f>LEFT(Data_Geotech[[#This Row],[Joint Set Rating]],FIND("-",Data_Geotech[[#This Row],[Joint Set Rating]],1)-2)</f>
        <v>3</v>
      </c>
      <c r="AP1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110" s="5">
        <f t="shared" si="0"/>
        <v>1</v>
      </c>
      <c r="AR110" s="49">
        <f>IF(Data_Geotech[[#This Row],[FIRS Code]]="R",IFERROR((IF(Data_Geotech[[#This Row],[RQD (%)]]&lt;10,10,Data_Geotech[[#This Row],[RQD (%)]])/Data_Geotech[[#This Row],[Jn rating]])*Data_Geotech[[#This Row],[Jr/Ja]],""),"")</f>
        <v>25</v>
      </c>
      <c r="AS110" s="45">
        <f>IF(Data_Geotech[[#This Row],[FIRS Code]]="R",IFERROR((IF(Data_Geotech[[#This Row],[RQD (%)]]&lt;10,10,Data_Geotech[[#This Row],[RQD (%)]])/Data_Geotech[[#This Row],[Jn rating]])*Data_Geotech[[#This Row],[Jr/Ja]]*Data_Geotech[[#This Row],[Jw/SRF]],""),"")</f>
        <v>25</v>
      </c>
      <c r="AT110" s="12"/>
      <c r="AU110" s="13">
        <f>100-Data_Geotech[[#This Row],[RQD (%)]]</f>
        <v>0</v>
      </c>
      <c r="AV110" s="13">
        <f>100-Data_Geotech[[#This Row],[TCR (%)]]</f>
        <v>-1.6200374375330284E-12</v>
      </c>
      <c r="AW110" s="62">
        <f>(Data_Geotech[[#This Row],[Fracture per interval]]+Data_Geotech[[#This Row],[Added fractures 
(BC, FLT, LC)]])/Data_Geotech[[#This Row],[TCR (m)]]</f>
        <v>1.4285714285714286</v>
      </c>
      <c r="AX110" s="6" t="s">
        <v>109</v>
      </c>
      <c r="AY110" s="63">
        <f>7-MID(Data_Geotech[[#This Row],[Field Intact Rock Strength]],2,1)</f>
        <v>2</v>
      </c>
      <c r="AZ110" s="63">
        <f>VLOOKUP(Data_Geotech[[#This Row],[Field Intact Rock Strength]],Table_FieldStrength[],2,FALSE)</f>
        <v>100</v>
      </c>
      <c r="BA110" s="63">
        <f>VLOOKUP(Data_Geotech[[#This Row],[Field Intact Rock Strength]],Table_FieldStrength[],3,FALSE)</f>
        <v>175</v>
      </c>
      <c r="BB110" s="63">
        <f>VLOOKUP(Data_Geotech[[#This Row],[Field Intact Rock Strength]],Table_FieldStrength[],4,FALSE)</f>
        <v>250</v>
      </c>
      <c r="BC110" s="63">
        <f>100-Data_Geotech[[#This Row],[RMR76]]</f>
        <v>30</v>
      </c>
      <c r="BD110" s="63" t="str">
        <f>LEFT(Data_Geotech[[#This Row],[Weathering/Alteration]],FIND("-",Data_Geotech[[#This Row],[Weathering/Alteration]])-2)</f>
        <v>W1/A1</v>
      </c>
    </row>
    <row r="111" spans="1:56" x14ac:dyDescent="0.25">
      <c r="A111" t="s">
        <v>30</v>
      </c>
      <c r="B111" s="16" t="str">
        <f>VLOOKUP(Data_Geotech[[#This Row],[Hole ID]],Data_Log[],2,FALSE)</f>
        <v>CGF-02</v>
      </c>
      <c r="C111" s="5">
        <v>144.69999999999999</v>
      </c>
      <c r="D111" s="5">
        <v>147</v>
      </c>
      <c r="E111" s="5">
        <f>(Data_Geotech[[#This Row],[To (m)]]-Data_Geotech[[#This Row],[From (m)]])/2+Data_Geotech[[#This Row],[From (m)]]</f>
        <v>145.85</v>
      </c>
      <c r="F111" s="13">
        <f>Data_Geotech[[#This Row],[To (m)]]-Data_Geotech[[#This Row],[From (m)]]</f>
        <v>2.3000000000000114</v>
      </c>
      <c r="G111" s="5">
        <v>2.2999999999999998</v>
      </c>
      <c r="H111" s="61">
        <f>Data_Geotech[[#This Row],[TCR (m)]]/Data_Geotech[[#This Row],[Run (m)]]*100</f>
        <v>99.999999999999503</v>
      </c>
      <c r="I111" s="13">
        <v>2.2999999999999998</v>
      </c>
      <c r="J111" s="151">
        <v>2.2999999999999998</v>
      </c>
      <c r="K111" s="5">
        <v>2.2999999999999998</v>
      </c>
      <c r="L111" s="61">
        <f>Data_Geotech[[#This Row],[RQD (m)]]/Data_Geotech[[#This Row],[Run Reel (m)]]*100</f>
        <v>100</v>
      </c>
      <c r="M111" t="s">
        <v>569</v>
      </c>
      <c r="O111" t="s">
        <v>243</v>
      </c>
      <c r="P111" s="115" t="s">
        <v>416</v>
      </c>
      <c r="Q111" s="5" t="s">
        <v>346</v>
      </c>
      <c r="R111" s="5"/>
      <c r="S111" s="5"/>
      <c r="T111" s="5"/>
      <c r="U111" s="5"/>
      <c r="V111" s="6">
        <v>2</v>
      </c>
      <c r="W111" s="92">
        <f>SUMIFS(Discontinuities!$D$4:$D$9664,Discontinuities!$A$4:$A$9664,A111,Discontinuities!$C$4:$C$9664,"&gt;="&amp;C111,Discontinuities!$C$4:$C$9664,"&lt;"&amp;D111)
-SUMIFS(Discontinuities!$D$4:$D$9664,Discontinuities!$A$4:$A$9664,A111,Discontinuities!$C$4:$C$9664,"&gt;="&amp;C111,Discontinuities!$C$4:$C$9664,"&lt;"&amp;D111,Discontinuities!$E$4:$E$9664,"=BC")
-SUMIFS(Discontinuities!$D$4:$D$9664,Discontinuities!$A$4:$A$9664,A111,Discontinuities!$C$4:$C$9664,"&gt;="&amp;C111,Discontinuities!$C$4:$C$9664,"&lt;"&amp;D111,Discontinuities!$E$4:$E$9664,"=LC")
-SUMIFS(Discontinuities!$D$4:$D$9664,Discontinuities!$A$4:$A$9664,A111,Discontinuities!$C$4:$C$9664,"&gt;="&amp;C111,Discontinuities!$C$4:$C$9664,"&lt;"&amp;D111,Discontinuities!$E$4:$E$9664,"=FLT")</f>
        <v>2</v>
      </c>
      <c r="X111" t="s">
        <v>345</v>
      </c>
      <c r="AA111" s="12"/>
      <c r="AB111" s="43">
        <f>IFERROR(ROUND((Data_Geotech[[#This Row],[Fault (m)]]+Data_Geotech[[#This Row],[Broken Core (m)]]+Data_Geotech[[#This Row],[Lost Core (m)]])*30,0),0)</f>
        <v>0</v>
      </c>
      <c r="AC111" s="44">
        <f>IF(Data_Geotech[[#This Row],[Added fractures 
(BC, FLT, LC)]]+Data_Geotech[[#This Row],[Fracture per interval]]=0,99,1/((Data_Geotech[[#This Row],[Fracture per interval]]+Data_Geotech[[#This Row],[Added fractures 
(BC, FLT, LC)]])/Data_Geotech[[#This Row],[Run (m)]]))</f>
        <v>1.1500000000000057</v>
      </c>
      <c r="AD111" s="155" cm="1">
        <f t="array" ref="AD111">IFERROR(_xlfn.XLOOKUP(1,(A111=PLT!$A$4:$A$8886)*(Geotech!C111&lt;=PLT!$F$4:$F$8886)*(Geotech!D111&gt;=PLT!$F$4:$F$8886)*("Valid"=PLT!$P$4:$P$8886),PLT!$V$4:$V$8886),"")</f>
        <v>0</v>
      </c>
      <c r="AE111" s="156" t="str" cm="1">
        <f t="array" ref="AE111">IFERROR(_xlfn.XLOOKUP(1,(A111=PLT!$A$4:$A$8886)*(Geotech!C111&lt;=PLT!$F$4:$F$8886)*(Geotech!D111&gt;=PLT!$F$4:$F$8886)*(PLT!$V$4:$V$8886&lt;&gt;AD111)*("Valid"=PLT!$P$4:$P$7190),PLT!$V$4:$V$8886),"")</f>
        <v/>
      </c>
      <c r="AF111" s="156" t="str" cm="1">
        <f t="array" ref="AF111">IFERROR(_xlfn.XLOOKUP(1,(A111=PLT!$A$4:$A$8886)*(Geotech!C111&lt;=PLT!$F$4:$F$8886)*(Geotech!D111&gt;=PLT!$F$4:$F$8886)*(PLT!$V$4:$V$8886&lt;&gt;AD111)*(PLT!$V$4:$V$8886&lt;&gt;AE111)*("Valid"=PLT!$P$4:$P$7190),PLT!$V$4:$V$8886),"")</f>
        <v/>
      </c>
      <c r="AG111" s="44">
        <f>IFERROR(IF(AVERAGE(AD111:AF111)&gt;References!$BO$23,References!$BP$23,
IF(AVERAGE(AD111:AF111)&gt;References!$BO$22,References!$BP$22,
IF(AVERAGE(AD111:AF111)&gt;References!$BO$21,References!$BP$21,
IF(AVERAGE(AD111:AF111)&gt;References!$BO$20,References!$BP$20,
IF(AVERAGE(AD111:AF111)&gt;References!$BO$19,References!$BP$19,
IF(AVERAGE(AD111:AF111)&gt;References!$BO$18,References!$BP$18,
0)))))),"")</f>
        <v>0</v>
      </c>
      <c r="AH111" s="43">
        <f>IF(Data_Geotech[[#This Row],[Is50]]="",VLOOKUP(Data_Geotech[[#This Row],[Field Intact Rock Strength]],Table_RMR76_Strength[],2,FALSE),Data_Geotech[[#This Row],[Is50]])</f>
        <v>0</v>
      </c>
      <c r="AI111" s="43">
        <f>IF(Data_Geotech[[#This Row],[RQD (%)]]&lt;=25,3,IF(Data_Geotech[[#This Row],[RQD (%)]]&lt;=50,8,IF(Data_Geotech[[#This Row],[RQD (%)]]&lt;=75,13,IF(Data_Geotech[[#This Row],[RQD (%)]]&lt;=90,17,20))))</f>
        <v>20</v>
      </c>
      <c r="AJ111" s="43">
        <f>IF(Data_Geotech[[#This Row],[Joint spacing (m)]]&lt;=0.05,5,IF(Data_Geotech[[#This Row],[Joint spacing (m)]]&lt;=0.3,10,IF(Data_Geotech[[#This Row],[Joint spacing (m)]]&lt;=1,20,IF(Data_Geotech[[#This Row],[Joint spacing (m)]]&lt;=3,25,30))))</f>
        <v>25</v>
      </c>
      <c r="AK1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111" s="6">
        <v>10</v>
      </c>
      <c r="AM111" s="117">
        <f>IF(Data_Geotech[[#This Row],[FIRS Code]]="R",IFERROR(SUM(Data_Geotech[[#This Row],[RMR76 - Strength rating]:[RMR76 - Ground water rating]]),""),"")</f>
        <v>73.5</v>
      </c>
      <c r="AN111" s="39">
        <f>IF(Data_Geotech[[#This Row],[FIRS Code]]="R",(2*Data_Geotech[[#This Row],[RMR76 - Joint condition rating]])+(IF(Data_Geotech[[#This Row],[RQD (%)]]&gt;80,80/2,Data_Geotech[[#This Row],[RQD (%)]]/2)),"")</f>
        <v>77</v>
      </c>
      <c r="AO111" s="43" t="str">
        <f>LEFT(Data_Geotech[[#This Row],[Joint Set Rating]],FIND("-",Data_Geotech[[#This Row],[Joint Set Rating]],1)-2)</f>
        <v>3</v>
      </c>
      <c r="AP1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0.875</v>
      </c>
      <c r="AQ111" s="5">
        <f t="shared" si="0"/>
        <v>1</v>
      </c>
      <c r="AR111" s="49">
        <f>IF(Data_Geotech[[#This Row],[FIRS Code]]="R",IFERROR((IF(Data_Geotech[[#This Row],[RQD (%)]]&lt;10,10,Data_Geotech[[#This Row],[RQD (%)]])/Data_Geotech[[#This Row],[Jn rating]])*Data_Geotech[[#This Row],[Jr/Ja]],""),"")</f>
        <v>29.166666666666668</v>
      </c>
      <c r="AS111" s="45">
        <f>IF(Data_Geotech[[#This Row],[FIRS Code]]="R",IFERROR((IF(Data_Geotech[[#This Row],[RQD (%)]]&lt;10,10,Data_Geotech[[#This Row],[RQD (%)]])/Data_Geotech[[#This Row],[Jn rating]])*Data_Geotech[[#This Row],[Jr/Ja]]*Data_Geotech[[#This Row],[Jw/SRF]],""),"")</f>
        <v>29.166666666666668</v>
      </c>
      <c r="AT111" s="12"/>
      <c r="AU111" s="13">
        <f>100-Data_Geotech[[#This Row],[RQD (%)]]</f>
        <v>0</v>
      </c>
      <c r="AV111" s="13">
        <f>100-Data_Geotech[[#This Row],[TCR (%)]]</f>
        <v>4.9737991503207013E-13</v>
      </c>
      <c r="AW111" s="62">
        <f>(Data_Geotech[[#This Row],[Fracture per interval]]+Data_Geotech[[#This Row],[Added fractures 
(BC, FLT, LC)]])/Data_Geotech[[#This Row],[TCR (m)]]</f>
        <v>0.86956521739130443</v>
      </c>
      <c r="AX111" s="6" t="s">
        <v>109</v>
      </c>
      <c r="AY111" s="63">
        <f>7-MID(Data_Geotech[[#This Row],[Field Intact Rock Strength]],2,1)</f>
        <v>1</v>
      </c>
      <c r="AZ111" s="63">
        <f>VLOOKUP(Data_Geotech[[#This Row],[Field Intact Rock Strength]],Table_FieldStrength[],2,FALSE)</f>
        <v>250</v>
      </c>
      <c r="BA111" s="63">
        <f>VLOOKUP(Data_Geotech[[#This Row],[Field Intact Rock Strength]],Table_FieldStrength[],3,FALSE)</f>
        <v>275</v>
      </c>
      <c r="BB111" s="63">
        <f>VLOOKUP(Data_Geotech[[#This Row],[Field Intact Rock Strength]],Table_FieldStrength[],4,FALSE)</f>
        <v>300</v>
      </c>
      <c r="BC111" s="63">
        <f>100-Data_Geotech[[#This Row],[RMR76]]</f>
        <v>26.5</v>
      </c>
      <c r="BD111" s="63" t="str">
        <f>LEFT(Data_Geotech[[#This Row],[Weathering/Alteration]],FIND("-",Data_Geotech[[#This Row],[Weathering/Alteration]])-2)</f>
        <v>W1/A1</v>
      </c>
    </row>
    <row r="112" spans="1:56" hidden="1" x14ac:dyDescent="0.25">
      <c r="B112" s="16" t="e">
        <f>VLOOKUP(Data_Geotech[[#This Row],[Hole ID]],Data_Log[],2,FALSE)</f>
        <v>#N/A</v>
      </c>
      <c r="C112" s="5"/>
      <c r="D112" s="5"/>
      <c r="E112" s="5">
        <f>(Data_Geotech[[#This Row],[To (m)]]-Data_Geotech[[#This Row],[From (m)]])/2+Data_Geotech[[#This Row],[From (m)]]</f>
        <v>0</v>
      </c>
      <c r="F112" s="13">
        <f>Data_Geotech[[#This Row],[To (m)]]-Data_Geotech[[#This Row],[From (m)]]</f>
        <v>0</v>
      </c>
      <c r="G112" s="5"/>
      <c r="H112" s="61" t="e">
        <f>Data_Geotech[[#This Row],[TCR (m)]]/Data_Geotech[[#This Row],[Run (m)]]*100</f>
        <v>#DIV/0!</v>
      </c>
      <c r="I112" s="13"/>
      <c r="J112" s="151"/>
      <c r="K112" s="5"/>
      <c r="L112" s="61" t="e">
        <f>Data_Geotech[[#This Row],[RQD (m)]]/Data_Geotech[[#This Row],[Run Reel (m)]]*100</f>
        <v>#DIV/0!</v>
      </c>
      <c r="P112" s="115"/>
      <c r="Q112" s="5"/>
      <c r="R112" s="5"/>
      <c r="S112" s="5"/>
      <c r="T112" s="5"/>
      <c r="U112" s="5"/>
      <c r="V112" s="6"/>
      <c r="W112" s="92">
        <f>SUMIFS(Discontinuities!$D$4:$D$9664,Discontinuities!$A$4:$A$9664,A112,Discontinuities!$C$4:$C$9664,"&gt;="&amp;C112,Discontinuities!$C$4:$C$9664,"&lt;"&amp;D112)
-SUMIFS(Discontinuities!$D$4:$D$9664,Discontinuities!$A$4:$A$9664,A112,Discontinuities!$C$4:$C$9664,"&gt;="&amp;C112,Discontinuities!$C$4:$C$9664,"&lt;"&amp;D112,Discontinuities!$E$4:$E$9664,"=BC")
-SUMIFS(Discontinuities!$D$4:$D$9664,Discontinuities!$A$4:$A$9664,A112,Discontinuities!$C$4:$C$9664,"&gt;="&amp;C112,Discontinuities!$C$4:$C$9664,"&lt;"&amp;D112,Discontinuities!$E$4:$E$9664,"=LC")
-SUMIFS(Discontinuities!$D$4:$D$9664,Discontinuities!$A$4:$A$9664,A112,Discontinuities!$C$4:$C$9664,"&gt;="&amp;C112,Discontinuities!$C$4:$C$9664,"&lt;"&amp;D112,Discontinuities!$E$4:$E$9664,"=FLT")</f>
        <v>0</v>
      </c>
      <c r="AA112" s="12"/>
      <c r="AB112" s="43">
        <f>IFERROR(ROUND((Data_Geotech[[#This Row],[Fault (m)]]+Data_Geotech[[#This Row],[Broken Core (m)]]+Data_Geotech[[#This Row],[Lost Core (m)]])*30,0),0)</f>
        <v>0</v>
      </c>
      <c r="AC112" s="44">
        <f>IF(Data_Geotech[[#This Row],[Added fractures 
(BC, FLT, LC)]]+Data_Geotech[[#This Row],[Fracture per interval]]=0,99,1/((Data_Geotech[[#This Row],[Fracture per interval]]+Data_Geotech[[#This Row],[Added fractures 
(BC, FLT, LC)]])/Data_Geotech[[#This Row],[Run (m)]]))</f>
        <v>99</v>
      </c>
      <c r="AD112" s="155" t="str" cm="1">
        <f t="array" ref="AD112">IFERROR(_xlfn.XLOOKUP(1,(A112=PLT!$A$4:$A$8886)*(Geotech!C112&lt;=PLT!$F$4:$F$8886)*(Geotech!D112&gt;=PLT!$F$4:$F$8886)*("Valid"=PLT!$P$4:$P$8886),PLT!$V$4:$V$8886),"")</f>
        <v/>
      </c>
      <c r="AE112" s="156" t="str" cm="1">
        <f t="array" ref="AE112">IFERROR(_xlfn.XLOOKUP(1,(A112=PLT!$A$4:$A$8886)*(Geotech!C112&lt;=PLT!$F$4:$F$8886)*(Geotech!D112&gt;=PLT!$F$4:$F$8886)*(PLT!$V$4:$V$8886&lt;&gt;AD112)*("Valid"=PLT!$P$4:$P$7190),PLT!$V$4:$V$8886),"")</f>
        <v/>
      </c>
      <c r="AF112" s="156" t="str" cm="1">
        <f t="array" ref="AF112">IFERROR(_xlfn.XLOOKUP(1,(A112=PLT!$A$4:$A$8886)*(Geotech!C112&lt;=PLT!$F$4:$F$8886)*(Geotech!D112&gt;=PLT!$F$4:$F$8886)*(PLT!$V$4:$V$8886&lt;&gt;AD112)*(PLT!$V$4:$V$8886&lt;&gt;AE112)*("Valid"=PLT!$P$4:$P$7190),PLT!$V$4:$V$8886),"")</f>
        <v/>
      </c>
      <c r="AG112" s="44" t="str">
        <f>IFERROR(IF(AVERAGE(AD112:AF112)&gt;References!$BO$23,References!$BP$23,
IF(AVERAGE(AD112:AF112)&gt;References!$BO$22,References!$BP$22,
IF(AVERAGE(AD112:AF112)&gt;References!$BO$21,References!$BP$21,
IF(AVERAGE(AD112:AF112)&gt;References!$BO$20,References!$BP$20,
IF(AVERAGE(AD112:AF112)&gt;References!$BO$19,References!$BP$19,
IF(AVERAGE(AD112:AF112)&gt;References!$BO$18,References!$BP$18,
0)))))),"")</f>
        <v/>
      </c>
      <c r="AH112" s="43" t="e">
        <f>IF(Data_Geotech[[#This Row],[Is50]]="",VLOOKUP(Data_Geotech[[#This Row],[Field Intact Rock Strength]],Table_RMR76_Strength[],2,FALSE),Data_Geotech[[#This Row],[Is50]])</f>
        <v>#N/A</v>
      </c>
      <c r="AI112" s="43" t="e">
        <f>IF(Data_Geotech[[#This Row],[RQD (%)]]&lt;=25,3,IF(Data_Geotech[[#This Row],[RQD (%)]]&lt;=50,8,IF(Data_Geotech[[#This Row],[RQD (%)]]&lt;=75,13,IF(Data_Geotech[[#This Row],[RQD (%)]]&lt;=90,17,20))))</f>
        <v>#DIV/0!</v>
      </c>
      <c r="AJ112" s="43">
        <f>IF(Data_Geotech[[#This Row],[Joint spacing (m)]]&lt;=0.05,5,IF(Data_Geotech[[#This Row],[Joint spacing (m)]]&lt;=0.3,10,IF(Data_Geotech[[#This Row],[Joint spacing (m)]]&lt;=1,20,IF(Data_Geotech[[#This Row],[Joint spacing (m)]]&lt;=3,25,30))))</f>
        <v>30</v>
      </c>
      <c r="AK1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12" s="6">
        <v>10</v>
      </c>
      <c r="AM112" s="117" t="str">
        <f>IF(Data_Geotech[[#This Row],[FIRS Code]]="R",IFERROR(SUM(Data_Geotech[[#This Row],[RMR76 - Strength rating]:[RMR76 - Ground water rating]]),""),"")</f>
        <v/>
      </c>
      <c r="AN112" s="39" t="e">
        <f>IF(Data_Geotech[[#This Row],[FIRS Code]]="R",(2*Data_Geotech[[#This Row],[RMR76 - Joint condition rating]])+(IF(Data_Geotech[[#This Row],[RQD (%)]]&gt;80,80/2,Data_Geotech[[#This Row],[RQD (%)]]/2)),"")</f>
        <v>#DIV/0!</v>
      </c>
      <c r="AO112" s="43" t="e">
        <f>LEFT(Data_Geotech[[#This Row],[Joint Set Rating]],FIND("-",Data_Geotech[[#This Row],[Joint Set Rating]],1)-2)</f>
        <v>#VALUE!</v>
      </c>
      <c r="AP1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12" s="5">
        <f t="shared" si="0"/>
        <v>1</v>
      </c>
      <c r="AR112" s="49" t="str">
        <f>IF(Data_Geotech[[#This Row],[FIRS Code]]="R",IFERROR((IF(Data_Geotech[[#This Row],[RQD (%)]]&lt;10,10,Data_Geotech[[#This Row],[RQD (%)]])/Data_Geotech[[#This Row],[Jn rating]])*Data_Geotech[[#This Row],[Jr/Ja]],""),"")</f>
        <v/>
      </c>
      <c r="AS112" s="45" t="str">
        <f>IF(Data_Geotech[[#This Row],[FIRS Code]]="R",IFERROR((IF(Data_Geotech[[#This Row],[RQD (%)]]&lt;10,10,Data_Geotech[[#This Row],[RQD (%)]])/Data_Geotech[[#This Row],[Jn rating]])*Data_Geotech[[#This Row],[Jr/Ja]]*Data_Geotech[[#This Row],[Jw/SRF]],""),"")</f>
        <v/>
      </c>
      <c r="AT112" s="12"/>
      <c r="AU112" s="13" t="e">
        <f>100-Data_Geotech[[#This Row],[RQD (%)]]</f>
        <v>#DIV/0!</v>
      </c>
      <c r="AV112" s="13" t="e">
        <f>100-Data_Geotech[[#This Row],[TCR (%)]]</f>
        <v>#DIV/0!</v>
      </c>
      <c r="AW112" s="62" t="e">
        <f>(Data_Geotech[[#This Row],[Fracture per interval]]+Data_Geotech[[#This Row],[Added fractures 
(BC, FLT, LC)]])/Data_Geotech[[#This Row],[TCR (m)]]</f>
        <v>#DIV/0!</v>
      </c>
      <c r="AX112" s="6" t="s">
        <v>109</v>
      </c>
      <c r="AY112" s="63" t="e">
        <f>7-MID(Data_Geotech[[#This Row],[Field Intact Rock Strength]],2,1)</f>
        <v>#VALUE!</v>
      </c>
      <c r="AZ112" s="63" t="e">
        <f>VLOOKUP(Data_Geotech[[#This Row],[Field Intact Rock Strength]],Table_FieldStrength[],2,FALSE)</f>
        <v>#N/A</v>
      </c>
      <c r="BA112" s="63" t="e">
        <f>VLOOKUP(Data_Geotech[[#This Row],[Field Intact Rock Strength]],Table_FieldStrength[],3,FALSE)</f>
        <v>#N/A</v>
      </c>
      <c r="BB112" s="63" t="e">
        <f>VLOOKUP(Data_Geotech[[#This Row],[Field Intact Rock Strength]],Table_FieldStrength[],4,FALSE)</f>
        <v>#N/A</v>
      </c>
      <c r="BC112" s="63" t="e">
        <f>100-Data_Geotech[[#This Row],[RMR76]]</f>
        <v>#VALUE!</v>
      </c>
      <c r="BD112" s="63" t="e">
        <f>LEFT(Data_Geotech[[#This Row],[Weathering/Alteration]],FIND("-",Data_Geotech[[#This Row],[Weathering/Alteration]])-2)</f>
        <v>#VALUE!</v>
      </c>
    </row>
    <row r="113" spans="1:56" s="91" customFormat="1" hidden="1" x14ac:dyDescent="0.25">
      <c r="A113" s="91" t="s">
        <v>36</v>
      </c>
      <c r="B113" s="167" t="str">
        <f>VLOOKUP(Data_Geotech[[#This Row],[Hole ID]],Data_Log[],2,FALSE)</f>
        <v>CGF-05</v>
      </c>
      <c r="C113" s="155">
        <v>40.97</v>
      </c>
      <c r="D113" s="155">
        <v>43.5</v>
      </c>
      <c r="E113" s="155">
        <f>(Data_Geotech[[#This Row],[To (m)]]-Data_Geotech[[#This Row],[From (m)]])/2+Data_Geotech[[#This Row],[From (m)]]</f>
        <v>42.234999999999999</v>
      </c>
      <c r="F113" s="155">
        <f>Data_Geotech[[#This Row],[To (m)]]-Data_Geotech[[#This Row],[From (m)]]</f>
        <v>2.5300000000000011</v>
      </c>
      <c r="G113" s="155">
        <v>2.5299999999999998</v>
      </c>
      <c r="H113" s="168">
        <f>Data_Geotech[[#This Row],[TCR (m)]]/Data_Geotech[[#This Row],[Run (m)]]*100</f>
        <v>99.999999999999943</v>
      </c>
      <c r="I113" s="155">
        <v>2.5299999999999998</v>
      </c>
      <c r="J113" s="168">
        <v>2.5299999999999998</v>
      </c>
      <c r="K113" s="155">
        <v>2.2599999999999998</v>
      </c>
      <c r="L113" s="168">
        <f>Data_Geotech[[#This Row],[RQD (m)]]/Data_Geotech[[#This Row],[Run Reel (m)]]*100</f>
        <v>89.328063241106719</v>
      </c>
      <c r="M113" s="91" t="s">
        <v>569</v>
      </c>
      <c r="O113" s="91" t="s">
        <v>278</v>
      </c>
      <c r="P113" s="169" t="s">
        <v>397</v>
      </c>
      <c r="Q113" s="155" t="s">
        <v>313</v>
      </c>
      <c r="R113" s="155"/>
      <c r="S113" s="155">
        <v>0.27</v>
      </c>
      <c r="T113" s="155"/>
      <c r="U113" s="155"/>
      <c r="V113" s="148">
        <v>7</v>
      </c>
      <c r="W113" s="170">
        <f>SUMIFS(Discontinuities!$D$4:$D$9664,Discontinuities!$A$4:$A$9664,A113,Discontinuities!$C$4:$C$9664,"&gt;="&amp;C113,Discontinuities!$C$4:$C$9664,"&lt;"&amp;D113)
-SUMIFS(Discontinuities!$D$4:$D$9664,Discontinuities!$A$4:$A$9664,A113,Discontinuities!$C$4:$C$9664,"&gt;="&amp;C113,Discontinuities!$C$4:$C$9664,"&lt;"&amp;D113,Discontinuities!$E$4:$E$9664,"=BC")
-SUMIFS(Discontinuities!$D$4:$D$9664,Discontinuities!$A$4:$A$9664,A113,Discontinuities!$C$4:$C$9664,"&gt;="&amp;C113,Discontinuities!$C$4:$C$9664,"&lt;"&amp;D113,Discontinuities!$E$4:$E$9664,"=LC")
-SUMIFS(Discontinuities!$D$4:$D$9664,Discontinuities!$A$4:$A$9664,A113,Discontinuities!$C$4:$C$9664,"&gt;="&amp;C113,Discontinuities!$C$4:$C$9664,"&lt;"&amp;D113,Discontinuities!$E$4:$E$9664,"=FLT")</f>
        <v>7</v>
      </c>
      <c r="X113" s="91" t="s">
        <v>345</v>
      </c>
      <c r="Y113" s="148"/>
      <c r="AB113" s="171">
        <f>IFERROR(ROUND((Data_Geotech[[#This Row],[Fault (m)]]+Data_Geotech[[#This Row],[Broken Core (m)]]+Data_Geotech[[#This Row],[Lost Core (m)]])*30,0),0)</f>
        <v>8</v>
      </c>
      <c r="AC113" s="172">
        <f>IF(Data_Geotech[[#This Row],[Added fractures 
(BC, FLT, LC)]]+Data_Geotech[[#This Row],[Fracture per interval]]=0,99,1/((Data_Geotech[[#This Row],[Fracture per interval]]+Data_Geotech[[#This Row],[Added fractures 
(BC, FLT, LC)]])/Data_Geotech[[#This Row],[Run (m)]]))</f>
        <v>0.16866666666666674</v>
      </c>
      <c r="AD113" s="155" cm="1">
        <f t="array" ref="AD113">IFERROR(_xlfn.XLOOKUP(1,(A113=PLT!$A$4:$A$8886)*(Geotech!C113&lt;=PLT!$F$4:$F$8886)*(Geotech!D113&gt;=PLT!$F$4:$F$8886)*("Valid"=PLT!$P$4:$P$8886),PLT!$V$4:$V$8886),"")</f>
        <v>0</v>
      </c>
      <c r="AE113" s="156" t="str" cm="1">
        <f t="array" ref="AE113">IFERROR(_xlfn.XLOOKUP(1,(A113=PLT!$A$4:$A$8886)*(Geotech!C113&lt;=PLT!$F$4:$F$8886)*(Geotech!D113&gt;=PLT!$F$4:$F$8886)*(PLT!$V$4:$V$8886&lt;&gt;AD113)*("Valid"=PLT!$P$4:$P$7190),PLT!$V$4:$V$8886),"")</f>
        <v/>
      </c>
      <c r="AF113" s="156" t="str" cm="1">
        <f t="array" ref="AF113">IFERROR(_xlfn.XLOOKUP(1,(A113=PLT!$A$4:$A$8886)*(Geotech!C113&lt;=PLT!$F$4:$F$8886)*(Geotech!D113&gt;=PLT!$F$4:$F$8886)*(PLT!$V$4:$V$8886&lt;&gt;AD113)*(PLT!$V$4:$V$8886&lt;&gt;AE113)*("Valid"=PLT!$P$4:$P$7190),PLT!$V$4:$V$8886),"")</f>
        <v/>
      </c>
      <c r="AG113" s="172">
        <f>IFERROR(IF(AVERAGE(AD113:AF113)&gt;References!$BO$23,References!$BP$23,
IF(AVERAGE(AD113:AF113)&gt;References!$BO$22,References!$BP$22,
IF(AVERAGE(AD113:AF113)&gt;References!$BO$21,References!$BP$21,
IF(AVERAGE(AD113:AF113)&gt;References!$BO$20,References!$BP$20,
IF(AVERAGE(AD113:AF113)&gt;References!$BO$19,References!$BP$19,
IF(AVERAGE(AD113:AF113)&gt;References!$BO$18,References!$BP$18,
0)))))),"")</f>
        <v>0</v>
      </c>
      <c r="AH113" s="171">
        <f>IF(Data_Geotech[[#This Row],[Is50]]="",VLOOKUP(Data_Geotech[[#This Row],[Field Intact Rock Strength]],Table_RMR76_Strength[],2,FALSE),Data_Geotech[[#This Row],[Is50]])</f>
        <v>0</v>
      </c>
      <c r="AI113" s="171">
        <f>IF(Data_Geotech[[#This Row],[RQD (%)]]&lt;=25,3,IF(Data_Geotech[[#This Row],[RQD (%)]]&lt;=50,8,IF(Data_Geotech[[#This Row],[RQD (%)]]&lt;=75,13,IF(Data_Geotech[[#This Row],[RQD (%)]]&lt;=90,17,20))))</f>
        <v>17</v>
      </c>
      <c r="AJ113" s="171">
        <f>IF(Data_Geotech[[#This Row],[Joint spacing (m)]]&lt;=0.05,5,IF(Data_Geotech[[#This Row],[Joint spacing (m)]]&lt;=0.3,10,IF(Data_Geotech[[#This Row],[Joint spacing (m)]]&lt;=1,20,IF(Data_Geotech[[#This Row],[Joint spacing (m)]]&lt;=3,25,30))))</f>
        <v>10</v>
      </c>
      <c r="AK113"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15.571428571428571</v>
      </c>
      <c r="AL113" s="148">
        <v>10</v>
      </c>
      <c r="AM113" s="173">
        <f>IF(Data_Geotech[[#This Row],[FIRS Code]]="R",IFERROR(SUM(Data_Geotech[[#This Row],[RMR76 - Strength rating]:[RMR76 - Ground water rating]]),""),"")</f>
        <v>52.571428571428569</v>
      </c>
      <c r="AN113" s="174">
        <f>IF(Data_Geotech[[#This Row],[FIRS Code]]="R",(2*Data_Geotech[[#This Row],[RMR76 - Joint condition rating]])+(IF(Data_Geotech[[#This Row],[RQD (%)]]&gt;80,80/2,Data_Geotech[[#This Row],[RQD (%)]]/2)),"")</f>
        <v>71.142857142857139</v>
      </c>
      <c r="AO113" s="171" t="str">
        <f>LEFT(Data_Geotech[[#This Row],[Joint Set Rating]],FIND("-",Data_Geotech[[#This Row],[Joint Set Rating]],1)-2)</f>
        <v>3</v>
      </c>
      <c r="AP113"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0.8571428571428571</v>
      </c>
      <c r="AQ113" s="155">
        <f t="shared" si="0"/>
        <v>1</v>
      </c>
      <c r="AR113" s="175">
        <f>IF(Data_Geotech[[#This Row],[FIRS Code]]="R",IFERROR((IF(Data_Geotech[[#This Row],[RQD (%)]]&lt;10,10,Data_Geotech[[#This Row],[RQD (%)]])/Data_Geotech[[#This Row],[Jn rating]])*Data_Geotech[[#This Row],[Jr/Ja]],""),"")</f>
        <v>25.522303783173346</v>
      </c>
      <c r="AS113" s="176">
        <f>IF(Data_Geotech[[#This Row],[FIRS Code]]="R",IFERROR((IF(Data_Geotech[[#This Row],[RQD (%)]]&lt;10,10,Data_Geotech[[#This Row],[RQD (%)]])/Data_Geotech[[#This Row],[Jn rating]])*Data_Geotech[[#This Row],[Jr/Ja]]*Data_Geotech[[#This Row],[Jw/SRF]],""),"")</f>
        <v>25.522303783173346</v>
      </c>
      <c r="AU113" s="155">
        <f>100-Data_Geotech[[#This Row],[RQD (%)]]</f>
        <v>10.671936758893281</v>
      </c>
      <c r="AV113" s="155">
        <f>100-Data_Geotech[[#This Row],[TCR (%)]]</f>
        <v>0</v>
      </c>
      <c r="AW113" s="170">
        <f>(Data_Geotech[[#This Row],[Fracture per interval]]+Data_Geotech[[#This Row],[Added fractures 
(BC, FLT, LC)]])/Data_Geotech[[#This Row],[TCR (m)]]</f>
        <v>5.9288537549407119</v>
      </c>
      <c r="AX113" s="148" t="s">
        <v>109</v>
      </c>
      <c r="AY113" s="148">
        <f>7-MID(Data_Geotech[[#This Row],[Field Intact Rock Strength]],2,1)</f>
        <v>2</v>
      </c>
      <c r="AZ113" s="148">
        <f>VLOOKUP(Data_Geotech[[#This Row],[Field Intact Rock Strength]],Table_FieldStrength[],2,FALSE)</f>
        <v>100</v>
      </c>
      <c r="BA113" s="148">
        <f>VLOOKUP(Data_Geotech[[#This Row],[Field Intact Rock Strength]],Table_FieldStrength[],3,FALSE)</f>
        <v>175</v>
      </c>
      <c r="BB113" s="148">
        <f>VLOOKUP(Data_Geotech[[#This Row],[Field Intact Rock Strength]],Table_FieldStrength[],4,FALSE)</f>
        <v>250</v>
      </c>
      <c r="BC113" s="148">
        <f>100-Data_Geotech[[#This Row],[RMR76]]</f>
        <v>47.428571428571431</v>
      </c>
      <c r="BD113" s="148" t="str">
        <f>LEFT(Data_Geotech[[#This Row],[Weathering/Alteration]],FIND("-",Data_Geotech[[#This Row],[Weathering/Alteration]])-2)</f>
        <v>W2/A2</v>
      </c>
    </row>
    <row r="114" spans="1:56" hidden="1" x14ac:dyDescent="0.25">
      <c r="A114" t="s">
        <v>36</v>
      </c>
      <c r="B114" s="16" t="str">
        <f>VLOOKUP(Data_Geotech[[#This Row],[Hole ID]],Data_Log[],2,FALSE)</f>
        <v>CGF-05</v>
      </c>
      <c r="C114" s="5">
        <v>43.5</v>
      </c>
      <c r="D114" s="5">
        <v>45</v>
      </c>
      <c r="E114" s="5">
        <f>(Data_Geotech[[#This Row],[To (m)]]-Data_Geotech[[#This Row],[From (m)]])/2+Data_Geotech[[#This Row],[From (m)]]</f>
        <v>44.25</v>
      </c>
      <c r="F114" s="13">
        <f>Data_Geotech[[#This Row],[To (m)]]-Data_Geotech[[#This Row],[From (m)]]</f>
        <v>1.5</v>
      </c>
      <c r="G114" s="5">
        <v>1.5</v>
      </c>
      <c r="H114" s="61">
        <f>Data_Geotech[[#This Row],[TCR (m)]]/Data_Geotech[[#This Row],[Run (m)]]*100</f>
        <v>100</v>
      </c>
      <c r="I114" s="151">
        <v>1.5</v>
      </c>
      <c r="J114" s="151">
        <v>1.5</v>
      </c>
      <c r="K114" s="5">
        <v>1.5</v>
      </c>
      <c r="L114" s="61">
        <f>Data_Geotech[[#This Row],[RQD (m)]]/Data_Geotech[[#This Row],[Run Reel (m)]]*100</f>
        <v>100</v>
      </c>
      <c r="M114" t="s">
        <v>569</v>
      </c>
      <c r="O114" t="s">
        <v>243</v>
      </c>
      <c r="P114" s="115" t="s">
        <v>397</v>
      </c>
      <c r="Q114" s="5" t="s">
        <v>313</v>
      </c>
      <c r="R114" s="5"/>
      <c r="S114" s="5"/>
      <c r="T114" s="5"/>
      <c r="U114" s="5"/>
      <c r="V114" s="6">
        <v>3</v>
      </c>
      <c r="W114" s="92">
        <f>SUMIFS(Discontinuities!$D$4:$D$9664,Discontinuities!$A$4:$A$9664,A114,Discontinuities!$C$4:$C$9664,"&gt;="&amp;C114,Discontinuities!$C$4:$C$9664,"&lt;"&amp;D114)
-SUMIFS(Discontinuities!$D$4:$D$9664,Discontinuities!$A$4:$A$9664,A114,Discontinuities!$C$4:$C$9664,"&gt;="&amp;C114,Discontinuities!$C$4:$C$9664,"&lt;"&amp;D114,Discontinuities!$E$4:$E$9664,"=BC")
-SUMIFS(Discontinuities!$D$4:$D$9664,Discontinuities!$A$4:$A$9664,A114,Discontinuities!$C$4:$C$9664,"&gt;="&amp;C114,Discontinuities!$C$4:$C$9664,"&lt;"&amp;D114,Discontinuities!$E$4:$E$9664,"=LC")
-SUMIFS(Discontinuities!$D$4:$D$9664,Discontinuities!$A$4:$A$9664,A114,Discontinuities!$C$4:$C$9664,"&gt;="&amp;C114,Discontinuities!$C$4:$C$9664,"&lt;"&amp;D114,Discontinuities!$E$4:$E$9664,"=FLT")</f>
        <v>3</v>
      </c>
      <c r="X114" t="s">
        <v>345</v>
      </c>
      <c r="AA114" s="12"/>
      <c r="AB114" s="43">
        <f>IFERROR(ROUND((Data_Geotech[[#This Row],[Fault (m)]]+Data_Geotech[[#This Row],[Broken Core (m)]]+Data_Geotech[[#This Row],[Lost Core (m)]])*30,0),0)</f>
        <v>0</v>
      </c>
      <c r="AC114" s="44">
        <f>IF(Data_Geotech[[#This Row],[Added fractures 
(BC, FLT, LC)]]+Data_Geotech[[#This Row],[Fracture per interval]]=0,99,1/((Data_Geotech[[#This Row],[Fracture per interval]]+Data_Geotech[[#This Row],[Added fractures 
(BC, FLT, LC)]])/Data_Geotech[[#This Row],[Run (m)]]))</f>
        <v>0.5</v>
      </c>
      <c r="AD114" s="155" cm="1">
        <f t="array" ref="AD114">IFERROR(_xlfn.XLOOKUP(1,(A114=PLT!$A$4:$A$8886)*(Geotech!C114&lt;=PLT!$F$4:$F$8886)*(Geotech!D114&gt;=PLT!$F$4:$F$8886)*("Valid"=PLT!$P$4:$P$8886),PLT!$V$4:$V$8886),"")</f>
        <v>0</v>
      </c>
      <c r="AE114" s="156" t="str" cm="1">
        <f t="array" ref="AE114">IFERROR(_xlfn.XLOOKUP(1,(A114=PLT!$A$4:$A$8886)*(Geotech!C114&lt;=PLT!$F$4:$F$8886)*(Geotech!D114&gt;=PLT!$F$4:$F$8886)*(PLT!$V$4:$V$8886&lt;&gt;AD114)*("Valid"=PLT!$P$4:$P$7190),PLT!$V$4:$V$8886),"")</f>
        <v/>
      </c>
      <c r="AF114" s="156" t="str" cm="1">
        <f t="array" ref="AF114">IFERROR(_xlfn.XLOOKUP(1,(A114=PLT!$A$4:$A$8886)*(Geotech!C114&lt;=PLT!$F$4:$F$8886)*(Geotech!D114&gt;=PLT!$F$4:$F$8886)*(PLT!$V$4:$V$8886&lt;&gt;AD114)*(PLT!$V$4:$V$8886&lt;&gt;AE114)*("Valid"=PLT!$P$4:$P$7190),PLT!$V$4:$V$8886),"")</f>
        <v/>
      </c>
      <c r="AG114" s="44">
        <f>IFERROR(IF(AVERAGE(AD114:AF114)&gt;References!$BO$23,References!$BP$23,
IF(AVERAGE(AD114:AF114)&gt;References!$BO$22,References!$BP$22,
IF(AVERAGE(AD114:AF114)&gt;References!$BO$21,References!$BP$21,
IF(AVERAGE(AD114:AF114)&gt;References!$BO$20,References!$BP$20,
IF(AVERAGE(AD114:AF114)&gt;References!$BO$19,References!$BP$19,
IF(AVERAGE(AD114:AF114)&gt;References!$BO$18,References!$BP$18,
0)))))),"")</f>
        <v>0</v>
      </c>
      <c r="AH114" s="43">
        <f>IF(Data_Geotech[[#This Row],[Is50]]="",VLOOKUP(Data_Geotech[[#This Row],[Field Intact Rock Strength]],Table_RMR76_Strength[],2,FALSE),Data_Geotech[[#This Row],[Is50]])</f>
        <v>0</v>
      </c>
      <c r="AI114" s="43">
        <f>IF(Data_Geotech[[#This Row],[RQD (%)]]&lt;=25,3,IF(Data_Geotech[[#This Row],[RQD (%)]]&lt;=50,8,IF(Data_Geotech[[#This Row],[RQD (%)]]&lt;=75,13,IF(Data_Geotech[[#This Row],[RQD (%)]]&lt;=90,17,20))))</f>
        <v>20</v>
      </c>
      <c r="AJ114" s="43">
        <f>IF(Data_Geotech[[#This Row],[Joint spacing (m)]]&lt;=0.05,5,IF(Data_Geotech[[#This Row],[Joint spacing (m)]]&lt;=0.3,10,IF(Data_Geotech[[#This Row],[Joint spacing (m)]]&lt;=1,20,IF(Data_Geotech[[#This Row],[Joint spacing (m)]]&lt;=3,25,30))))</f>
        <v>20</v>
      </c>
      <c r="AK1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v>
      </c>
      <c r="AL114" s="6">
        <v>10</v>
      </c>
      <c r="AM114" s="117">
        <f>IF(Data_Geotech[[#This Row],[FIRS Code]]="R",IFERROR(SUM(Data_Geotech[[#This Row],[RMR76 - Strength rating]:[RMR76 - Ground water rating]]),""),"")</f>
        <v>69</v>
      </c>
      <c r="AN114" s="39">
        <f>IF(Data_Geotech[[#This Row],[FIRS Code]]="R",(2*Data_Geotech[[#This Row],[RMR76 - Joint condition rating]])+(IF(Data_Geotech[[#This Row],[RQD (%)]]&gt;80,80/2,Data_Geotech[[#This Row],[RQD (%)]]/2)),"")</f>
        <v>78</v>
      </c>
      <c r="AO114" s="43" t="str">
        <f>LEFT(Data_Geotech[[#This Row],[Joint Set Rating]],FIND("-",Data_Geotech[[#This Row],[Joint Set Rating]],1)-2)</f>
        <v>3</v>
      </c>
      <c r="AP1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14" s="5">
        <f t="shared" si="0"/>
        <v>1</v>
      </c>
      <c r="AR114" s="49">
        <f>IF(Data_Geotech[[#This Row],[FIRS Code]]="R",IFERROR((IF(Data_Geotech[[#This Row],[RQD (%)]]&lt;10,10,Data_Geotech[[#This Row],[RQD (%)]])/Data_Geotech[[#This Row],[Jn rating]])*Data_Geotech[[#This Row],[Jr/Ja]],""),"")</f>
        <v>33.333333333333336</v>
      </c>
      <c r="AS114" s="45">
        <f>IF(Data_Geotech[[#This Row],[FIRS Code]]="R",IFERROR((IF(Data_Geotech[[#This Row],[RQD (%)]]&lt;10,10,Data_Geotech[[#This Row],[RQD (%)]])/Data_Geotech[[#This Row],[Jn rating]])*Data_Geotech[[#This Row],[Jr/Ja]]*Data_Geotech[[#This Row],[Jw/SRF]],""),"")</f>
        <v>33.333333333333336</v>
      </c>
      <c r="AT114" s="12"/>
      <c r="AU114" s="13">
        <f>100-Data_Geotech[[#This Row],[RQD (%)]]</f>
        <v>0</v>
      </c>
      <c r="AV114" s="13">
        <f>100-Data_Geotech[[#This Row],[TCR (%)]]</f>
        <v>0</v>
      </c>
      <c r="AW114" s="62">
        <f>(Data_Geotech[[#This Row],[Fracture per interval]]+Data_Geotech[[#This Row],[Added fractures 
(BC, FLT, LC)]])/Data_Geotech[[#This Row],[TCR (m)]]</f>
        <v>2</v>
      </c>
      <c r="AX114" s="6" t="s">
        <v>109</v>
      </c>
      <c r="AY114" s="63">
        <f>7-MID(Data_Geotech[[#This Row],[Field Intact Rock Strength]],2,1)</f>
        <v>2</v>
      </c>
      <c r="AZ114" s="63">
        <f>VLOOKUP(Data_Geotech[[#This Row],[Field Intact Rock Strength]],Table_FieldStrength[],2,FALSE)</f>
        <v>100</v>
      </c>
      <c r="BA114" s="63">
        <f>VLOOKUP(Data_Geotech[[#This Row],[Field Intact Rock Strength]],Table_FieldStrength[],3,FALSE)</f>
        <v>175</v>
      </c>
      <c r="BB114" s="63">
        <f>VLOOKUP(Data_Geotech[[#This Row],[Field Intact Rock Strength]],Table_FieldStrength[],4,FALSE)</f>
        <v>250</v>
      </c>
      <c r="BC114" s="63">
        <f>100-Data_Geotech[[#This Row],[RMR76]]</f>
        <v>31</v>
      </c>
      <c r="BD114" s="63" t="str">
        <f>LEFT(Data_Geotech[[#This Row],[Weathering/Alteration]],FIND("-",Data_Geotech[[#This Row],[Weathering/Alteration]])-2)</f>
        <v>W1/A1</v>
      </c>
    </row>
    <row r="115" spans="1:56" hidden="1" x14ac:dyDescent="0.25">
      <c r="A115" t="s">
        <v>36</v>
      </c>
      <c r="B115" s="16" t="str">
        <f>VLOOKUP(Data_Geotech[[#This Row],[Hole ID]],Data_Log[],2,FALSE)</f>
        <v>CGF-05</v>
      </c>
      <c r="C115" s="5">
        <v>45</v>
      </c>
      <c r="D115" s="5">
        <v>47.97</v>
      </c>
      <c r="E115" s="5">
        <f>(Data_Geotech[[#This Row],[To (m)]]-Data_Geotech[[#This Row],[From (m)]])/2+Data_Geotech[[#This Row],[From (m)]]</f>
        <v>46.484999999999999</v>
      </c>
      <c r="F115" s="13">
        <f>Data_Geotech[[#This Row],[To (m)]]-Data_Geotech[[#This Row],[From (m)]]</f>
        <v>2.9699999999999989</v>
      </c>
      <c r="G115" s="5">
        <v>2.97</v>
      </c>
      <c r="H115" s="61">
        <f>Data_Geotech[[#This Row],[TCR (m)]]/Data_Geotech[[#This Row],[Run (m)]]*100</f>
        <v>100.00000000000004</v>
      </c>
      <c r="I115" s="151">
        <v>2.97</v>
      </c>
      <c r="J115" s="151">
        <v>2.97</v>
      </c>
      <c r="K115" s="5">
        <v>2.79</v>
      </c>
      <c r="L115" s="61">
        <f>Data_Geotech[[#This Row],[RQD (m)]]/Data_Geotech[[#This Row],[Run Reel (m)]]*100</f>
        <v>93.939393939393938</v>
      </c>
      <c r="M115" t="s">
        <v>569</v>
      </c>
      <c r="O115" t="s">
        <v>278</v>
      </c>
      <c r="P115" s="115" t="s">
        <v>397</v>
      </c>
      <c r="Q115" s="5" t="s">
        <v>313</v>
      </c>
      <c r="R115" s="5"/>
      <c r="S115" s="5">
        <v>0.18</v>
      </c>
      <c r="T115" s="5"/>
      <c r="U115" s="5"/>
      <c r="V115" s="6">
        <v>5</v>
      </c>
      <c r="W115" s="92">
        <f>SUMIFS(Discontinuities!$D$4:$D$9664,Discontinuities!$A$4:$A$9664,A115,Discontinuities!$C$4:$C$9664,"&gt;="&amp;C115,Discontinuities!$C$4:$C$9664,"&lt;"&amp;D115)
-SUMIFS(Discontinuities!$D$4:$D$9664,Discontinuities!$A$4:$A$9664,A115,Discontinuities!$C$4:$C$9664,"&gt;="&amp;C115,Discontinuities!$C$4:$C$9664,"&lt;"&amp;D115,Discontinuities!$E$4:$E$9664,"=BC")
-SUMIFS(Discontinuities!$D$4:$D$9664,Discontinuities!$A$4:$A$9664,A115,Discontinuities!$C$4:$C$9664,"&gt;="&amp;C115,Discontinuities!$C$4:$C$9664,"&lt;"&amp;D115,Discontinuities!$E$4:$E$9664,"=LC")
-SUMIFS(Discontinuities!$D$4:$D$9664,Discontinuities!$A$4:$A$9664,A115,Discontinuities!$C$4:$C$9664,"&gt;="&amp;C115,Discontinuities!$C$4:$C$9664,"&lt;"&amp;D115,Discontinuities!$E$4:$E$9664,"=FLT")</f>
        <v>5</v>
      </c>
      <c r="X115" t="s">
        <v>400</v>
      </c>
      <c r="AA115" s="12"/>
      <c r="AB115" s="43">
        <f>IFERROR(ROUND((Data_Geotech[[#This Row],[Fault (m)]]+Data_Geotech[[#This Row],[Broken Core (m)]]+Data_Geotech[[#This Row],[Lost Core (m)]])*30,0),0)</f>
        <v>5</v>
      </c>
      <c r="AC115" s="44">
        <f>IF(Data_Geotech[[#This Row],[Added fractures 
(BC, FLT, LC)]]+Data_Geotech[[#This Row],[Fracture per interval]]=0,99,1/((Data_Geotech[[#This Row],[Fracture per interval]]+Data_Geotech[[#This Row],[Added fractures 
(BC, FLT, LC)]])/Data_Geotech[[#This Row],[Run (m)]]))</f>
        <v>0.29699999999999988</v>
      </c>
      <c r="AD115" s="155" cm="1">
        <f t="array" ref="AD115">IFERROR(_xlfn.XLOOKUP(1,(A115=PLT!$A$4:$A$8886)*(Geotech!C115&lt;=PLT!$F$4:$F$8886)*(Geotech!D115&gt;=PLT!$F$4:$F$8886)*("Valid"=PLT!$P$4:$P$8886),PLT!$V$4:$V$8886),"")</f>
        <v>0</v>
      </c>
      <c r="AE115" s="156" t="str" cm="1">
        <f t="array" ref="AE115">IFERROR(_xlfn.XLOOKUP(1,(A115=PLT!$A$4:$A$8886)*(Geotech!C115&lt;=PLT!$F$4:$F$8886)*(Geotech!D115&gt;=PLT!$F$4:$F$8886)*(PLT!$V$4:$V$8886&lt;&gt;AD115)*("Valid"=PLT!$P$4:$P$7190),PLT!$V$4:$V$8886),"")</f>
        <v/>
      </c>
      <c r="AF115" s="156" t="str" cm="1">
        <f t="array" ref="AF115">IFERROR(_xlfn.XLOOKUP(1,(A115=PLT!$A$4:$A$8886)*(Geotech!C115&lt;=PLT!$F$4:$F$8886)*(Geotech!D115&gt;=PLT!$F$4:$F$8886)*(PLT!$V$4:$V$8886&lt;&gt;AD115)*(PLT!$V$4:$V$8886&lt;&gt;AE115)*("Valid"=PLT!$P$4:$P$7190),PLT!$V$4:$V$8886),"")</f>
        <v/>
      </c>
      <c r="AG115" s="44">
        <f>IFERROR(IF(AVERAGE(AD115:AF115)&gt;References!$BO$23,References!$BP$23,
IF(AVERAGE(AD115:AF115)&gt;References!$BO$22,References!$BP$22,
IF(AVERAGE(AD115:AF115)&gt;References!$BO$21,References!$BP$21,
IF(AVERAGE(AD115:AF115)&gt;References!$BO$20,References!$BP$20,
IF(AVERAGE(AD115:AF115)&gt;References!$BO$19,References!$BP$19,
IF(AVERAGE(AD115:AF115)&gt;References!$BO$18,References!$BP$18,
0)))))),"")</f>
        <v>0</v>
      </c>
      <c r="AH115" s="43">
        <f>IF(Data_Geotech[[#This Row],[Is50]]="",VLOOKUP(Data_Geotech[[#This Row],[Field Intact Rock Strength]],Table_RMR76_Strength[],2,FALSE),Data_Geotech[[#This Row],[Is50]])</f>
        <v>0</v>
      </c>
      <c r="AI115" s="43">
        <f>IF(Data_Geotech[[#This Row],[RQD (%)]]&lt;=25,3,IF(Data_Geotech[[#This Row],[RQD (%)]]&lt;=50,8,IF(Data_Geotech[[#This Row],[RQD (%)]]&lt;=75,13,IF(Data_Geotech[[#This Row],[RQD (%)]]&lt;=90,17,20))))</f>
        <v>20</v>
      </c>
      <c r="AJ115" s="43">
        <f>IF(Data_Geotech[[#This Row],[Joint spacing (m)]]&lt;=0.05,5,IF(Data_Geotech[[#This Row],[Joint spacing (m)]]&lt;=0.3,10,IF(Data_Geotech[[#This Row],[Joint spacing (m)]]&lt;=1,20,IF(Data_Geotech[[#This Row],[Joint spacing (m)]]&lt;=3,25,30))))</f>
        <v>10</v>
      </c>
      <c r="AK1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19.399999999999999</v>
      </c>
      <c r="AL115" s="6">
        <v>10</v>
      </c>
      <c r="AM115" s="117">
        <f>IF(Data_Geotech[[#This Row],[FIRS Code]]="R",IFERROR(SUM(Data_Geotech[[#This Row],[RMR76 - Strength rating]:[RMR76 - Ground water rating]]),""),"")</f>
        <v>59.4</v>
      </c>
      <c r="AN115" s="39">
        <f>IF(Data_Geotech[[#This Row],[FIRS Code]]="R",(2*Data_Geotech[[#This Row],[RMR76 - Joint condition rating]])+(IF(Data_Geotech[[#This Row],[RQD (%)]]&gt;80,80/2,Data_Geotech[[#This Row],[RQD (%)]]/2)),"")</f>
        <v>78.8</v>
      </c>
      <c r="AO115" s="43" t="str">
        <f>LEFT(Data_Geotech[[#This Row],[Joint Set Rating]],FIND("-",Data_Geotech[[#This Row],[Joint Set Rating]],1)-2)</f>
        <v>6</v>
      </c>
      <c r="AP1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1.1499999999999999</v>
      </c>
      <c r="AQ115" s="5">
        <f t="shared" si="0"/>
        <v>1</v>
      </c>
      <c r="AR115" s="49">
        <f>IF(Data_Geotech[[#This Row],[FIRS Code]]="R",IFERROR((IF(Data_Geotech[[#This Row],[RQD (%)]]&lt;10,10,Data_Geotech[[#This Row],[RQD (%)]])/Data_Geotech[[#This Row],[Jn rating]])*Data_Geotech[[#This Row],[Jr/Ja]],""),"")</f>
        <v>18.005050505050502</v>
      </c>
      <c r="AS115" s="45">
        <f>IF(Data_Geotech[[#This Row],[FIRS Code]]="R",IFERROR((IF(Data_Geotech[[#This Row],[RQD (%)]]&lt;10,10,Data_Geotech[[#This Row],[RQD (%)]])/Data_Geotech[[#This Row],[Jn rating]])*Data_Geotech[[#This Row],[Jr/Ja]]*Data_Geotech[[#This Row],[Jw/SRF]],""),"")</f>
        <v>18.005050505050502</v>
      </c>
      <c r="AT115" s="12"/>
      <c r="AU115" s="13">
        <f>100-Data_Geotech[[#This Row],[RQD (%)]]</f>
        <v>6.0606060606060623</v>
      </c>
      <c r="AV115" s="13">
        <f>100-Data_Geotech[[#This Row],[TCR (%)]]</f>
        <v>0</v>
      </c>
      <c r="AW115" s="62">
        <f>(Data_Geotech[[#This Row],[Fracture per interval]]+Data_Geotech[[#This Row],[Added fractures 
(BC, FLT, LC)]])/Data_Geotech[[#This Row],[TCR (m)]]</f>
        <v>3.3670033670033668</v>
      </c>
      <c r="AX115" s="6" t="s">
        <v>109</v>
      </c>
      <c r="AY115" s="63">
        <f>7-MID(Data_Geotech[[#This Row],[Field Intact Rock Strength]],2,1)</f>
        <v>2</v>
      </c>
      <c r="AZ115" s="63">
        <f>VLOOKUP(Data_Geotech[[#This Row],[Field Intact Rock Strength]],Table_FieldStrength[],2,FALSE)</f>
        <v>100</v>
      </c>
      <c r="BA115" s="63">
        <f>VLOOKUP(Data_Geotech[[#This Row],[Field Intact Rock Strength]],Table_FieldStrength[],3,FALSE)</f>
        <v>175</v>
      </c>
      <c r="BB115" s="63">
        <f>VLOOKUP(Data_Geotech[[#This Row],[Field Intact Rock Strength]],Table_FieldStrength[],4,FALSE)</f>
        <v>250</v>
      </c>
      <c r="BC115" s="63">
        <f>100-Data_Geotech[[#This Row],[RMR76]]</f>
        <v>40.6</v>
      </c>
      <c r="BD115" s="63" t="str">
        <f>LEFT(Data_Geotech[[#This Row],[Weathering/Alteration]],FIND("-",Data_Geotech[[#This Row],[Weathering/Alteration]])-2)</f>
        <v>W2/A2</v>
      </c>
    </row>
    <row r="116" spans="1:56" hidden="1" x14ac:dyDescent="0.25">
      <c r="A116" t="s">
        <v>36</v>
      </c>
      <c r="B116" s="16" t="str">
        <f>VLOOKUP(Data_Geotech[[#This Row],[Hole ID]],Data_Log[],2,FALSE)</f>
        <v>CGF-05</v>
      </c>
      <c r="C116" s="5">
        <v>47.97</v>
      </c>
      <c r="D116" s="5">
        <v>48.29</v>
      </c>
      <c r="E116" s="5">
        <f>(Data_Geotech[[#This Row],[To (m)]]-Data_Geotech[[#This Row],[From (m)]])/2+Data_Geotech[[#This Row],[From (m)]]</f>
        <v>48.129999999999995</v>
      </c>
      <c r="F116" s="13">
        <f>Data_Geotech[[#This Row],[To (m)]]-Data_Geotech[[#This Row],[From (m)]]</f>
        <v>0.32000000000000028</v>
      </c>
      <c r="G116" s="5">
        <v>0.32</v>
      </c>
      <c r="H116" s="61">
        <f>Data_Geotech[[#This Row],[TCR (m)]]/Data_Geotech[[#This Row],[Run (m)]]*100</f>
        <v>99.999999999999915</v>
      </c>
      <c r="I116" s="151">
        <v>0.32</v>
      </c>
      <c r="J116" s="151">
        <v>0.32</v>
      </c>
      <c r="K116" s="5">
        <v>0.32</v>
      </c>
      <c r="L116" s="61">
        <f>Data_Geotech[[#This Row],[RQD (m)]]/Data_Geotech[[#This Row],[Run Reel (m)]]*100</f>
        <v>100</v>
      </c>
      <c r="M116" t="s">
        <v>569</v>
      </c>
      <c r="O116" t="s">
        <v>278</v>
      </c>
      <c r="P116" s="115" t="s">
        <v>370</v>
      </c>
      <c r="Q116" s="5" t="s">
        <v>346</v>
      </c>
      <c r="R116" s="5"/>
      <c r="S116" s="5"/>
      <c r="T116" s="5"/>
      <c r="U116" s="5"/>
      <c r="V116" s="6">
        <v>0</v>
      </c>
      <c r="W116" s="92">
        <f>SUMIFS(Discontinuities!$D$4:$D$9664,Discontinuities!$A$4:$A$9664,A116,Discontinuities!$C$4:$C$9664,"&gt;="&amp;C116,Discontinuities!$C$4:$C$9664,"&lt;"&amp;D116)
-SUMIFS(Discontinuities!$D$4:$D$9664,Discontinuities!$A$4:$A$9664,A116,Discontinuities!$C$4:$C$9664,"&gt;="&amp;C116,Discontinuities!$C$4:$C$9664,"&lt;"&amp;D116,Discontinuities!$E$4:$E$9664,"=BC")
-SUMIFS(Discontinuities!$D$4:$D$9664,Discontinuities!$A$4:$A$9664,A116,Discontinuities!$C$4:$C$9664,"&gt;="&amp;C116,Discontinuities!$C$4:$C$9664,"&lt;"&amp;D116,Discontinuities!$E$4:$E$9664,"=LC")
-SUMIFS(Discontinuities!$D$4:$D$9664,Discontinuities!$A$4:$A$9664,A116,Discontinuities!$C$4:$C$9664,"&gt;="&amp;C116,Discontinuities!$C$4:$C$9664,"&lt;"&amp;D116,Discontinuities!$E$4:$E$9664,"=FLT")</f>
        <v>0</v>
      </c>
      <c r="X116" t="s">
        <v>312</v>
      </c>
      <c r="AA116" s="12"/>
      <c r="AB116" s="43">
        <f>IFERROR(ROUND((Data_Geotech[[#This Row],[Fault (m)]]+Data_Geotech[[#This Row],[Broken Core (m)]]+Data_Geotech[[#This Row],[Lost Core (m)]])*30,0),0)</f>
        <v>0</v>
      </c>
      <c r="AC116" s="44">
        <f>IF(Data_Geotech[[#This Row],[Added fractures 
(BC, FLT, LC)]]+Data_Geotech[[#This Row],[Fracture per interval]]=0,99,1/((Data_Geotech[[#This Row],[Fracture per interval]]+Data_Geotech[[#This Row],[Added fractures 
(BC, FLT, LC)]])/Data_Geotech[[#This Row],[Run (m)]]))</f>
        <v>99</v>
      </c>
      <c r="AD116" s="155" t="str" cm="1">
        <f t="array" ref="AD116">IFERROR(_xlfn.XLOOKUP(1,(A116=PLT!$A$4:$A$8886)*(Geotech!C116&lt;=PLT!$F$4:$F$8886)*(Geotech!D116&gt;=PLT!$F$4:$F$8886)*("Valid"=PLT!$P$4:$P$8886),PLT!$V$4:$V$8886),"")</f>
        <v/>
      </c>
      <c r="AE116" s="156" t="str" cm="1">
        <f t="array" ref="AE116">IFERROR(_xlfn.XLOOKUP(1,(A116=PLT!$A$4:$A$8886)*(Geotech!C116&lt;=PLT!$F$4:$F$8886)*(Geotech!D116&gt;=PLT!$F$4:$F$8886)*(PLT!$V$4:$V$8886&lt;&gt;AD116)*("Valid"=PLT!$P$4:$P$7190),PLT!$V$4:$V$8886),"")</f>
        <v/>
      </c>
      <c r="AF116" s="156" t="str" cm="1">
        <f t="array" ref="AF116">IFERROR(_xlfn.XLOOKUP(1,(A116=PLT!$A$4:$A$8886)*(Geotech!C116&lt;=PLT!$F$4:$F$8886)*(Geotech!D116&gt;=PLT!$F$4:$F$8886)*(PLT!$V$4:$V$8886&lt;&gt;AD116)*(PLT!$V$4:$V$8886&lt;&gt;AE116)*("Valid"=PLT!$P$4:$P$7190),PLT!$V$4:$V$8886),"")</f>
        <v/>
      </c>
      <c r="AG116" s="44" t="str">
        <f>IFERROR(IF(AVERAGE(AD116:AF116)&gt;References!$BO$23,References!$BP$23,
IF(AVERAGE(AD116:AF116)&gt;References!$BO$22,References!$BP$22,
IF(AVERAGE(AD116:AF116)&gt;References!$BO$21,References!$BP$21,
IF(AVERAGE(AD116:AF116)&gt;References!$BO$20,References!$BP$20,
IF(AVERAGE(AD116:AF116)&gt;References!$BO$19,References!$BP$19,
IF(AVERAGE(AD116:AF116)&gt;References!$BO$18,References!$BP$18,
0)))))),"")</f>
        <v/>
      </c>
      <c r="AH116" s="43">
        <f>IF(Data_Geotech[[#This Row],[Is50]]="",VLOOKUP(Data_Geotech[[#This Row],[Field Intact Rock Strength]],Table_RMR76_Strength[],2,FALSE),Data_Geotech[[#This Row],[Is50]])</f>
        <v>7</v>
      </c>
      <c r="AI116" s="43">
        <f>IF(Data_Geotech[[#This Row],[RQD (%)]]&lt;=25,3,IF(Data_Geotech[[#This Row],[RQD (%)]]&lt;=50,8,IF(Data_Geotech[[#This Row],[RQD (%)]]&lt;=75,13,IF(Data_Geotech[[#This Row],[RQD (%)]]&lt;=90,17,20))))</f>
        <v>20</v>
      </c>
      <c r="AJ116" s="43">
        <f>IF(Data_Geotech[[#This Row],[Joint spacing (m)]]&lt;=0.05,5,IF(Data_Geotech[[#This Row],[Joint spacing (m)]]&lt;=0.3,10,IF(Data_Geotech[[#This Row],[Joint spacing (m)]]&lt;=1,20,IF(Data_Geotech[[#This Row],[Joint spacing (m)]]&lt;=3,25,30))))</f>
        <v>30</v>
      </c>
      <c r="AK1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16" s="6">
        <v>10</v>
      </c>
      <c r="AM116" s="117">
        <f>IF(Data_Geotech[[#This Row],[FIRS Code]]="R",IFERROR(SUM(Data_Geotech[[#This Row],[RMR76 - Strength rating]:[RMR76 - Ground water rating]]),""),"")</f>
        <v>92</v>
      </c>
      <c r="AN116" s="39">
        <f>IF(Data_Geotech[[#This Row],[FIRS Code]]="R",(2*Data_Geotech[[#This Row],[RMR76 - Joint condition rating]])+(IF(Data_Geotech[[#This Row],[RQD (%)]]&gt;80,80/2,Data_Geotech[[#This Row],[RQD (%)]]/2)),"")</f>
        <v>90</v>
      </c>
      <c r="AO116" s="43" t="str">
        <f>LEFT(Data_Geotech[[#This Row],[Joint Set Rating]],FIND("-",Data_Geotech[[#This Row],[Joint Set Rating]],1)-2)</f>
        <v>2</v>
      </c>
      <c r="AP1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16" s="5">
        <f t="shared" si="0"/>
        <v>1</v>
      </c>
      <c r="AR116" s="49">
        <f>IF(Data_Geotech[[#This Row],[FIRS Code]]="R",IFERROR((IF(Data_Geotech[[#This Row],[RQD (%)]]&lt;10,10,Data_Geotech[[#This Row],[RQD (%)]])/Data_Geotech[[#This Row],[Jn rating]])*Data_Geotech[[#This Row],[Jr/Ja]],""),"")</f>
        <v>266.66666666666663</v>
      </c>
      <c r="AS116" s="45">
        <f>IF(Data_Geotech[[#This Row],[FIRS Code]]="R",IFERROR((IF(Data_Geotech[[#This Row],[RQD (%)]]&lt;10,10,Data_Geotech[[#This Row],[RQD (%)]])/Data_Geotech[[#This Row],[Jn rating]])*Data_Geotech[[#This Row],[Jr/Ja]]*Data_Geotech[[#This Row],[Jw/SRF]],""),"")</f>
        <v>266.66666666666663</v>
      </c>
      <c r="AT116" s="12"/>
      <c r="AU116" s="13">
        <f>100-Data_Geotech[[#This Row],[RQD (%)]]</f>
        <v>0</v>
      </c>
      <c r="AV116" s="13">
        <f>100-Data_Geotech[[#This Row],[TCR (%)]]</f>
        <v>0</v>
      </c>
      <c r="AW116" s="62">
        <f>(Data_Geotech[[#This Row],[Fracture per interval]]+Data_Geotech[[#This Row],[Added fractures 
(BC, FLT, LC)]])/Data_Geotech[[#This Row],[TCR (m)]]</f>
        <v>0</v>
      </c>
      <c r="AX116" s="6" t="s">
        <v>109</v>
      </c>
      <c r="AY116" s="63">
        <f>7-MID(Data_Geotech[[#This Row],[Field Intact Rock Strength]],2,1)</f>
        <v>3</v>
      </c>
      <c r="AZ116" s="63">
        <f>VLOOKUP(Data_Geotech[[#This Row],[Field Intact Rock Strength]],Table_FieldStrength[],2,FALSE)</f>
        <v>50</v>
      </c>
      <c r="BA116" s="63">
        <f>VLOOKUP(Data_Geotech[[#This Row],[Field Intact Rock Strength]],Table_FieldStrength[],3,FALSE)</f>
        <v>75</v>
      </c>
      <c r="BB116" s="63">
        <f>VLOOKUP(Data_Geotech[[#This Row],[Field Intact Rock Strength]],Table_FieldStrength[],4,FALSE)</f>
        <v>100</v>
      </c>
      <c r="BC116" s="63">
        <f>100-Data_Geotech[[#This Row],[RMR76]]</f>
        <v>8</v>
      </c>
      <c r="BD116" s="63" t="str">
        <f>LEFT(Data_Geotech[[#This Row],[Weathering/Alteration]],FIND("-",Data_Geotech[[#This Row],[Weathering/Alteration]])-2)</f>
        <v>W2/A2</v>
      </c>
    </row>
    <row r="117" spans="1:56" hidden="1" x14ac:dyDescent="0.25">
      <c r="A117" t="s">
        <v>36</v>
      </c>
      <c r="B117" s="16" t="str">
        <f>VLOOKUP(Data_Geotech[[#This Row],[Hole ID]],Data_Log[],2,FALSE)</f>
        <v>CGF-05</v>
      </c>
      <c r="C117" s="5">
        <v>48.29</v>
      </c>
      <c r="D117" s="5">
        <v>48.98</v>
      </c>
      <c r="E117" s="5">
        <f>(Data_Geotech[[#This Row],[To (m)]]-Data_Geotech[[#This Row],[From (m)]])/2+Data_Geotech[[#This Row],[From (m)]]</f>
        <v>48.634999999999998</v>
      </c>
      <c r="F117" s="13">
        <f>Data_Geotech[[#This Row],[To (m)]]-Data_Geotech[[#This Row],[From (m)]]</f>
        <v>0.68999999999999773</v>
      </c>
      <c r="G117" s="5">
        <v>0.69</v>
      </c>
      <c r="H117" s="61">
        <f>Data_Geotech[[#This Row],[TCR (m)]]/Data_Geotech[[#This Row],[Run (m)]]*100</f>
        <v>100.00000000000031</v>
      </c>
      <c r="I117" s="151">
        <v>0.69</v>
      </c>
      <c r="J117" s="151">
        <v>0.69</v>
      </c>
      <c r="K117" s="5">
        <v>0</v>
      </c>
      <c r="L117" s="61">
        <f>Data_Geotech[[#This Row],[RQD (m)]]/Data_Geotech[[#This Row],[Run Reel (m)]]*100</f>
        <v>0</v>
      </c>
      <c r="M117" t="s">
        <v>569</v>
      </c>
      <c r="O117" t="s">
        <v>310</v>
      </c>
      <c r="P117" s="115" t="s">
        <v>342</v>
      </c>
      <c r="Q117" s="5" t="s">
        <v>346</v>
      </c>
      <c r="R117" s="5">
        <v>0.69</v>
      </c>
      <c r="S117" s="5"/>
      <c r="T117" s="5"/>
      <c r="U117" s="5"/>
      <c r="V117" s="6">
        <v>0</v>
      </c>
      <c r="W117" s="92">
        <f>SUMIFS(Discontinuities!$D$4:$D$9664,Discontinuities!$A$4:$A$9664,A117,Discontinuities!$C$4:$C$9664,"&gt;="&amp;C117,Discontinuities!$C$4:$C$9664,"&lt;"&amp;D117)
-SUMIFS(Discontinuities!$D$4:$D$9664,Discontinuities!$A$4:$A$9664,A117,Discontinuities!$C$4:$C$9664,"&gt;="&amp;C117,Discontinuities!$C$4:$C$9664,"&lt;"&amp;D117,Discontinuities!$E$4:$E$9664,"=BC")
-SUMIFS(Discontinuities!$D$4:$D$9664,Discontinuities!$A$4:$A$9664,A117,Discontinuities!$C$4:$C$9664,"&gt;="&amp;C117,Discontinuities!$C$4:$C$9664,"&lt;"&amp;D117,Discontinuities!$E$4:$E$9664,"=LC")
-SUMIFS(Discontinuities!$D$4:$D$9664,Discontinuities!$A$4:$A$9664,A117,Discontinuities!$C$4:$C$9664,"&gt;="&amp;C117,Discontinuities!$C$4:$C$9664,"&lt;"&amp;D117,Discontinuities!$E$4:$E$9664,"=FLT")</f>
        <v>0</v>
      </c>
      <c r="X117" t="s">
        <v>345</v>
      </c>
      <c r="AA117" s="12"/>
      <c r="AB117" s="43">
        <f>IFERROR(ROUND((Data_Geotech[[#This Row],[Fault (m)]]+Data_Geotech[[#This Row],[Broken Core (m)]]+Data_Geotech[[#This Row],[Lost Core (m)]])*30,0),0)</f>
        <v>21</v>
      </c>
      <c r="AC117" s="44">
        <f>IF(Data_Geotech[[#This Row],[Added fractures 
(BC, FLT, LC)]]+Data_Geotech[[#This Row],[Fracture per interval]]=0,99,1/((Data_Geotech[[#This Row],[Fracture per interval]]+Data_Geotech[[#This Row],[Added fractures 
(BC, FLT, LC)]])/Data_Geotech[[#This Row],[Run (m)]]))</f>
        <v>3.2857142857142752E-2</v>
      </c>
      <c r="AD117" s="155" t="str" cm="1">
        <f t="array" ref="AD117">IFERROR(_xlfn.XLOOKUP(1,(A117=PLT!$A$4:$A$8886)*(Geotech!C117&lt;=PLT!$F$4:$F$8886)*(Geotech!D117&gt;=PLT!$F$4:$F$8886)*("Valid"=PLT!$P$4:$P$8886),PLT!$V$4:$V$8886),"")</f>
        <v/>
      </c>
      <c r="AE117" s="156" t="str" cm="1">
        <f t="array" ref="AE117">IFERROR(_xlfn.XLOOKUP(1,(A117=PLT!$A$4:$A$8886)*(Geotech!C117&lt;=PLT!$F$4:$F$8886)*(Geotech!D117&gt;=PLT!$F$4:$F$8886)*(PLT!$V$4:$V$8886&lt;&gt;AD117)*("Valid"=PLT!$P$4:$P$7190),PLT!$V$4:$V$8886),"")</f>
        <v/>
      </c>
      <c r="AF117" s="156" t="str" cm="1">
        <f t="array" ref="AF117">IFERROR(_xlfn.XLOOKUP(1,(A117=PLT!$A$4:$A$8886)*(Geotech!C117&lt;=PLT!$F$4:$F$8886)*(Geotech!D117&gt;=PLT!$F$4:$F$8886)*(PLT!$V$4:$V$8886&lt;&gt;AD117)*(PLT!$V$4:$V$8886&lt;&gt;AE117)*("Valid"=PLT!$P$4:$P$7190),PLT!$V$4:$V$8886),"")</f>
        <v/>
      </c>
      <c r="AG117" s="44" t="str">
        <f>IFERROR(IF(AVERAGE(AD117:AF117)&gt;References!$BO$23,References!$BP$23,
IF(AVERAGE(AD117:AF117)&gt;References!$BO$22,References!$BP$22,
IF(AVERAGE(AD117:AF117)&gt;References!$BO$21,References!$BP$21,
IF(AVERAGE(AD117:AF117)&gt;References!$BO$20,References!$BP$20,
IF(AVERAGE(AD117:AF117)&gt;References!$BO$19,References!$BP$19,
IF(AVERAGE(AD117:AF117)&gt;References!$BO$18,References!$BP$18,
0)))))),"")</f>
        <v/>
      </c>
      <c r="AH117" s="43">
        <f>IF(Data_Geotech[[#This Row],[Is50]]="",VLOOKUP(Data_Geotech[[#This Row],[Field Intact Rock Strength]],Table_RMR76_Strength[],2,FALSE),Data_Geotech[[#This Row],[Is50]])</f>
        <v>4</v>
      </c>
      <c r="AI117" s="43">
        <f>IF(Data_Geotech[[#This Row],[RQD (%)]]&lt;=25,3,IF(Data_Geotech[[#This Row],[RQD (%)]]&lt;=50,8,IF(Data_Geotech[[#This Row],[RQD (%)]]&lt;=75,13,IF(Data_Geotech[[#This Row],[RQD (%)]]&lt;=90,17,20))))</f>
        <v>3</v>
      </c>
      <c r="AJ117" s="43">
        <f>IF(Data_Geotech[[#This Row],[Joint spacing (m)]]&lt;=0.05,5,IF(Data_Geotech[[#This Row],[Joint spacing (m)]]&lt;=0.3,10,IF(Data_Geotech[[#This Row],[Joint spacing (m)]]&lt;=1,20,IF(Data_Geotech[[#This Row],[Joint spacing (m)]]&lt;=3,25,30))))</f>
        <v>5</v>
      </c>
      <c r="AK1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17" s="6">
        <v>10</v>
      </c>
      <c r="AM117" s="117">
        <f>IF(Data_Geotech[[#This Row],[FIRS Code]]="R",IFERROR(SUM(Data_Geotech[[#This Row],[RMR76 - Strength rating]:[RMR76 - Ground water rating]]),""),"")</f>
        <v>28</v>
      </c>
      <c r="AN117" s="39">
        <f>IF(Data_Geotech[[#This Row],[FIRS Code]]="R",(2*Data_Geotech[[#This Row],[RMR76 - Joint condition rating]])+(IF(Data_Geotech[[#This Row],[RQD (%)]]&gt;80,80/2,Data_Geotech[[#This Row],[RQD (%)]]/2)),"")</f>
        <v>12</v>
      </c>
      <c r="AO117" s="43" t="str">
        <f>LEFT(Data_Geotech[[#This Row],[Joint Set Rating]],FIND("-",Data_Geotech[[#This Row],[Joint Set Rating]],1)-2)</f>
        <v>3</v>
      </c>
      <c r="AP1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0.25</v>
      </c>
      <c r="AQ117" s="5">
        <f t="shared" si="0"/>
        <v>1</v>
      </c>
      <c r="AR117" s="49">
        <f>IF(Data_Geotech[[#This Row],[FIRS Code]]="R",IFERROR((IF(Data_Geotech[[#This Row],[RQD (%)]]&lt;10,10,Data_Geotech[[#This Row],[RQD (%)]])/Data_Geotech[[#This Row],[Jn rating]])*Data_Geotech[[#This Row],[Jr/Ja]],""),"")</f>
        <v>0.83333333333333337</v>
      </c>
      <c r="AS117" s="45">
        <f>IF(Data_Geotech[[#This Row],[FIRS Code]]="R",IFERROR((IF(Data_Geotech[[#This Row],[RQD (%)]]&lt;10,10,Data_Geotech[[#This Row],[RQD (%)]])/Data_Geotech[[#This Row],[Jn rating]])*Data_Geotech[[#This Row],[Jr/Ja]]*Data_Geotech[[#This Row],[Jw/SRF]],""),"")</f>
        <v>0.83333333333333337</v>
      </c>
      <c r="AT117" s="12"/>
      <c r="AU117" s="13">
        <f>100-Data_Geotech[[#This Row],[RQD (%)]]</f>
        <v>100</v>
      </c>
      <c r="AV117" s="13">
        <f>100-Data_Geotech[[#This Row],[TCR (%)]]</f>
        <v>-3.1263880373444408E-13</v>
      </c>
      <c r="AW117" s="62">
        <f>(Data_Geotech[[#This Row],[Fracture per interval]]+Data_Geotech[[#This Row],[Added fractures 
(BC, FLT, LC)]])/Data_Geotech[[#This Row],[TCR (m)]]</f>
        <v>30.434782608695656</v>
      </c>
      <c r="AX117" s="6" t="s">
        <v>109</v>
      </c>
      <c r="AY117" s="63">
        <f>7-MID(Data_Geotech[[#This Row],[Field Intact Rock Strength]],2,1)</f>
        <v>4</v>
      </c>
      <c r="AZ117" s="63">
        <f>VLOOKUP(Data_Geotech[[#This Row],[Field Intact Rock Strength]],Table_FieldStrength[],2,FALSE)</f>
        <v>25</v>
      </c>
      <c r="BA117" s="63">
        <f>VLOOKUP(Data_Geotech[[#This Row],[Field Intact Rock Strength]],Table_FieldStrength[],3,FALSE)</f>
        <v>37.5</v>
      </c>
      <c r="BB117" s="63">
        <f>VLOOKUP(Data_Geotech[[#This Row],[Field Intact Rock Strength]],Table_FieldStrength[],4,FALSE)</f>
        <v>50</v>
      </c>
      <c r="BC117" s="63">
        <f>100-Data_Geotech[[#This Row],[RMR76]]</f>
        <v>72</v>
      </c>
      <c r="BD117" s="63" t="str">
        <f>LEFT(Data_Geotech[[#This Row],[Weathering/Alteration]],FIND("-",Data_Geotech[[#This Row],[Weathering/Alteration]])-2)</f>
        <v>W3/A3</v>
      </c>
    </row>
    <row r="118" spans="1:56" hidden="1" x14ac:dyDescent="0.25">
      <c r="A118" t="s">
        <v>36</v>
      </c>
      <c r="B118" s="16" t="str">
        <f>VLOOKUP(Data_Geotech[[#This Row],[Hole ID]],Data_Log[],2,FALSE)</f>
        <v>CGF-05</v>
      </c>
      <c r="C118" s="5">
        <v>48.98</v>
      </c>
      <c r="D118" s="5">
        <v>51</v>
      </c>
      <c r="E118" s="5">
        <f>(Data_Geotech[[#This Row],[To (m)]]-Data_Geotech[[#This Row],[From (m)]])/2+Data_Geotech[[#This Row],[From (m)]]</f>
        <v>49.989999999999995</v>
      </c>
      <c r="F118" s="13">
        <f>Data_Geotech[[#This Row],[To (m)]]-Data_Geotech[[#This Row],[From (m)]]</f>
        <v>2.0200000000000031</v>
      </c>
      <c r="G118" s="5">
        <v>2.02</v>
      </c>
      <c r="H118" s="61">
        <f>Data_Geotech[[#This Row],[TCR (m)]]/Data_Geotech[[#This Row],[Run (m)]]*100</f>
        <v>99.999999999999844</v>
      </c>
      <c r="I118" s="151">
        <v>2</v>
      </c>
      <c r="J118" s="151">
        <v>2</v>
      </c>
      <c r="K118" s="5">
        <v>1.85</v>
      </c>
      <c r="L118" s="61">
        <f>Data_Geotech[[#This Row],[RQD (m)]]/Data_Geotech[[#This Row],[Run Reel (m)]]*100</f>
        <v>92.5</v>
      </c>
      <c r="M118" t="s">
        <v>569</v>
      </c>
      <c r="O118" t="s">
        <v>278</v>
      </c>
      <c r="P118" s="115" t="s">
        <v>370</v>
      </c>
      <c r="Q118" s="5" t="s">
        <v>346</v>
      </c>
      <c r="R118" s="5">
        <v>0.15</v>
      </c>
      <c r="S118" s="5"/>
      <c r="T118" s="5"/>
      <c r="U118" s="5"/>
      <c r="V118" s="6">
        <v>3</v>
      </c>
      <c r="W118" s="92">
        <f>SUMIFS(Discontinuities!$D$4:$D$9664,Discontinuities!$A$4:$A$9664,A118,Discontinuities!$C$4:$C$9664,"&gt;="&amp;C118,Discontinuities!$C$4:$C$9664,"&lt;"&amp;D118)
-SUMIFS(Discontinuities!$D$4:$D$9664,Discontinuities!$A$4:$A$9664,A118,Discontinuities!$C$4:$C$9664,"&gt;="&amp;C118,Discontinuities!$C$4:$C$9664,"&lt;"&amp;D118,Discontinuities!$E$4:$E$9664,"=BC")
-SUMIFS(Discontinuities!$D$4:$D$9664,Discontinuities!$A$4:$A$9664,A118,Discontinuities!$C$4:$C$9664,"&gt;="&amp;C118,Discontinuities!$C$4:$C$9664,"&lt;"&amp;D118,Discontinuities!$E$4:$E$9664,"=LC")
-SUMIFS(Discontinuities!$D$4:$D$9664,Discontinuities!$A$4:$A$9664,A118,Discontinuities!$C$4:$C$9664,"&gt;="&amp;C118,Discontinuities!$C$4:$C$9664,"&lt;"&amp;D118,Discontinuities!$E$4:$E$9664,"=FLT")</f>
        <v>3</v>
      </c>
      <c r="X118" t="s">
        <v>400</v>
      </c>
      <c r="AA118" s="12"/>
      <c r="AB118" s="43">
        <f>IFERROR(ROUND((Data_Geotech[[#This Row],[Fault (m)]]+Data_Geotech[[#This Row],[Broken Core (m)]]+Data_Geotech[[#This Row],[Lost Core (m)]])*30,0),0)</f>
        <v>5</v>
      </c>
      <c r="AC118" s="44">
        <f>IF(Data_Geotech[[#This Row],[Added fractures 
(BC, FLT, LC)]]+Data_Geotech[[#This Row],[Fracture per interval]]=0,99,1/((Data_Geotech[[#This Row],[Fracture per interval]]+Data_Geotech[[#This Row],[Added fractures 
(BC, FLT, LC)]])/Data_Geotech[[#This Row],[Run (m)]]))</f>
        <v>0.25250000000000039</v>
      </c>
      <c r="AD118" s="155" cm="1">
        <f t="array" ref="AD118">IFERROR(_xlfn.XLOOKUP(1,(A118=PLT!$A$4:$A$8886)*(Geotech!C118&lt;=PLT!$F$4:$F$8886)*(Geotech!D118&gt;=PLT!$F$4:$F$8886)*("Valid"=PLT!$P$4:$P$8886),PLT!$V$4:$V$8886),"")</f>
        <v>0</v>
      </c>
      <c r="AE118" s="156" t="str" cm="1">
        <f t="array" ref="AE118">IFERROR(_xlfn.XLOOKUP(1,(A118=PLT!$A$4:$A$8886)*(Geotech!C118&lt;=PLT!$F$4:$F$8886)*(Geotech!D118&gt;=PLT!$F$4:$F$8886)*(PLT!$V$4:$V$8886&lt;&gt;AD118)*("Valid"=PLT!$P$4:$P$7190),PLT!$V$4:$V$8886),"")</f>
        <v/>
      </c>
      <c r="AF118" s="156" t="str" cm="1">
        <f t="array" ref="AF118">IFERROR(_xlfn.XLOOKUP(1,(A118=PLT!$A$4:$A$8886)*(Geotech!C118&lt;=PLT!$F$4:$F$8886)*(Geotech!D118&gt;=PLT!$F$4:$F$8886)*(PLT!$V$4:$V$8886&lt;&gt;AD118)*(PLT!$V$4:$V$8886&lt;&gt;AE118)*("Valid"=PLT!$P$4:$P$7190),PLT!$V$4:$V$8886),"")</f>
        <v/>
      </c>
      <c r="AG118" s="44">
        <f>IFERROR(IF(AVERAGE(AD118:AF118)&gt;References!$BO$23,References!$BP$23,
IF(AVERAGE(AD118:AF118)&gt;References!$BO$22,References!$BP$22,
IF(AVERAGE(AD118:AF118)&gt;References!$BO$21,References!$BP$21,
IF(AVERAGE(AD118:AF118)&gt;References!$BO$20,References!$BP$20,
IF(AVERAGE(AD118:AF118)&gt;References!$BO$19,References!$BP$19,
IF(AVERAGE(AD118:AF118)&gt;References!$BO$18,References!$BP$18,
0)))))),"")</f>
        <v>0</v>
      </c>
      <c r="AH118" s="43">
        <f>IF(Data_Geotech[[#This Row],[Is50]]="",VLOOKUP(Data_Geotech[[#This Row],[Field Intact Rock Strength]],Table_RMR76_Strength[],2,FALSE),Data_Geotech[[#This Row],[Is50]])</f>
        <v>0</v>
      </c>
      <c r="AI118" s="43">
        <f>IF(Data_Geotech[[#This Row],[RQD (%)]]&lt;=25,3,IF(Data_Geotech[[#This Row],[RQD (%)]]&lt;=50,8,IF(Data_Geotech[[#This Row],[RQD (%)]]&lt;=75,13,IF(Data_Geotech[[#This Row],[RQD (%)]]&lt;=90,17,20))))</f>
        <v>20</v>
      </c>
      <c r="AJ118" s="43">
        <f>IF(Data_Geotech[[#This Row],[Joint spacing (m)]]&lt;=0.05,5,IF(Data_Geotech[[#This Row],[Joint spacing (m)]]&lt;=0.3,10,IF(Data_Geotech[[#This Row],[Joint spacing (m)]]&lt;=1,20,IF(Data_Geotech[[#This Row],[Joint spacing (m)]]&lt;=3,25,30))))</f>
        <v>10</v>
      </c>
      <c r="AK11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118" s="6">
        <v>10</v>
      </c>
      <c r="AM118" s="117">
        <f>IF(Data_Geotech[[#This Row],[FIRS Code]]="R",IFERROR(SUM(Data_Geotech[[#This Row],[RMR76 - Strength rating]:[RMR76 - Ground water rating]]),""),"")</f>
        <v>52</v>
      </c>
      <c r="AN118" s="39">
        <f>IF(Data_Geotech[[#This Row],[FIRS Code]]="R",(2*Data_Geotech[[#This Row],[RMR76 - Joint condition rating]])+(IF(Data_Geotech[[#This Row],[RQD (%)]]&gt;80,80/2,Data_Geotech[[#This Row],[RQD (%)]]/2)),"")</f>
        <v>64</v>
      </c>
      <c r="AO118" s="43" t="str">
        <f>LEFT(Data_Geotech[[#This Row],[Joint Set Rating]],FIND("-",Data_Geotech[[#This Row],[Joint Set Rating]],1)-2)</f>
        <v>6</v>
      </c>
      <c r="AP11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0.41666666666666669</v>
      </c>
      <c r="AQ118" s="5">
        <f t="shared" si="0"/>
        <v>1</v>
      </c>
      <c r="AR118" s="49">
        <f>IF(Data_Geotech[[#This Row],[FIRS Code]]="R",IFERROR((IF(Data_Geotech[[#This Row],[RQD (%)]]&lt;10,10,Data_Geotech[[#This Row],[RQD (%)]])/Data_Geotech[[#This Row],[Jn rating]])*Data_Geotech[[#This Row],[Jr/Ja]],""),"")</f>
        <v>6.4236111111111107</v>
      </c>
      <c r="AS118" s="45">
        <f>IF(Data_Geotech[[#This Row],[FIRS Code]]="R",IFERROR((IF(Data_Geotech[[#This Row],[RQD (%)]]&lt;10,10,Data_Geotech[[#This Row],[RQD (%)]])/Data_Geotech[[#This Row],[Jn rating]])*Data_Geotech[[#This Row],[Jr/Ja]]*Data_Geotech[[#This Row],[Jw/SRF]],""),"")</f>
        <v>6.4236111111111107</v>
      </c>
      <c r="AT118" s="12"/>
      <c r="AU118" s="13">
        <f>100-Data_Geotech[[#This Row],[RQD (%)]]</f>
        <v>7.5</v>
      </c>
      <c r="AV118" s="13">
        <f>100-Data_Geotech[[#This Row],[TCR (%)]]</f>
        <v>1.5631940186722204E-13</v>
      </c>
      <c r="AW118" s="62">
        <f>(Data_Geotech[[#This Row],[Fracture per interval]]+Data_Geotech[[#This Row],[Added fractures 
(BC, FLT, LC)]])/Data_Geotech[[#This Row],[TCR (m)]]</f>
        <v>3.9603960396039604</v>
      </c>
      <c r="AX118" s="6" t="s">
        <v>109</v>
      </c>
      <c r="AY118" s="63">
        <f>7-MID(Data_Geotech[[#This Row],[Field Intact Rock Strength]],2,1)</f>
        <v>3</v>
      </c>
      <c r="AZ118" s="63">
        <f>VLOOKUP(Data_Geotech[[#This Row],[Field Intact Rock Strength]],Table_FieldStrength[],2,FALSE)</f>
        <v>50</v>
      </c>
      <c r="BA118" s="63">
        <f>VLOOKUP(Data_Geotech[[#This Row],[Field Intact Rock Strength]],Table_FieldStrength[],3,FALSE)</f>
        <v>75</v>
      </c>
      <c r="BB118" s="63">
        <f>VLOOKUP(Data_Geotech[[#This Row],[Field Intact Rock Strength]],Table_FieldStrength[],4,FALSE)</f>
        <v>100</v>
      </c>
      <c r="BC118" s="63">
        <f>100-Data_Geotech[[#This Row],[RMR76]]</f>
        <v>48</v>
      </c>
      <c r="BD118" s="63" t="str">
        <f>LEFT(Data_Geotech[[#This Row],[Weathering/Alteration]],FIND("-",Data_Geotech[[#This Row],[Weathering/Alteration]])-2)</f>
        <v>W2/A2</v>
      </c>
    </row>
    <row r="119" spans="1:56" hidden="1" x14ac:dyDescent="0.25">
      <c r="A119" t="s">
        <v>36</v>
      </c>
      <c r="B119" s="16" t="str">
        <f>VLOOKUP(Data_Geotech[[#This Row],[Hole ID]],Data_Log[],2,FALSE)</f>
        <v>CGF-05</v>
      </c>
      <c r="C119" s="5">
        <v>51</v>
      </c>
      <c r="D119" s="5">
        <v>54</v>
      </c>
      <c r="E119" s="5">
        <f>(Data_Geotech[[#This Row],[To (m)]]-Data_Geotech[[#This Row],[From (m)]])/2+Data_Geotech[[#This Row],[From (m)]]</f>
        <v>52.5</v>
      </c>
      <c r="F119" s="13">
        <f>Data_Geotech[[#This Row],[To (m)]]-Data_Geotech[[#This Row],[From (m)]]</f>
        <v>3</v>
      </c>
      <c r="G119" s="5">
        <v>3</v>
      </c>
      <c r="H119" s="61">
        <f>Data_Geotech[[#This Row],[TCR (m)]]/Data_Geotech[[#This Row],[Run (m)]]*100</f>
        <v>100</v>
      </c>
      <c r="I119" s="151">
        <v>3</v>
      </c>
      <c r="J119" s="151">
        <v>3</v>
      </c>
      <c r="K119" s="5">
        <v>3</v>
      </c>
      <c r="L119" s="61">
        <f>Data_Geotech[[#This Row],[RQD (m)]]/Data_Geotech[[#This Row],[Run Reel (m)]]*100</f>
        <v>100</v>
      </c>
      <c r="M119" t="s">
        <v>569</v>
      </c>
      <c r="O119" t="s">
        <v>278</v>
      </c>
      <c r="P119" s="115" t="s">
        <v>416</v>
      </c>
      <c r="Q119" s="5" t="s">
        <v>346</v>
      </c>
      <c r="R119" s="5"/>
      <c r="S119" s="5"/>
      <c r="T119" s="5"/>
      <c r="U119" s="5"/>
      <c r="V119" s="6">
        <v>5</v>
      </c>
      <c r="W119" s="92">
        <f>SUMIFS(Discontinuities!$D$4:$D$9664,Discontinuities!$A$4:$A$9664,A119,Discontinuities!$C$4:$C$9664,"&gt;="&amp;C119,Discontinuities!$C$4:$C$9664,"&lt;"&amp;D119)
-SUMIFS(Discontinuities!$D$4:$D$9664,Discontinuities!$A$4:$A$9664,A119,Discontinuities!$C$4:$C$9664,"&gt;="&amp;C119,Discontinuities!$C$4:$C$9664,"&lt;"&amp;D119,Discontinuities!$E$4:$E$9664,"=BC")
-SUMIFS(Discontinuities!$D$4:$D$9664,Discontinuities!$A$4:$A$9664,A119,Discontinuities!$C$4:$C$9664,"&gt;="&amp;C119,Discontinuities!$C$4:$C$9664,"&lt;"&amp;D119,Discontinuities!$E$4:$E$9664,"=LC")
-SUMIFS(Discontinuities!$D$4:$D$9664,Discontinuities!$A$4:$A$9664,A119,Discontinuities!$C$4:$C$9664,"&gt;="&amp;C119,Discontinuities!$C$4:$C$9664,"&lt;"&amp;D119,Discontinuities!$E$4:$E$9664,"=FLT")</f>
        <v>5</v>
      </c>
      <c r="X119" t="s">
        <v>345</v>
      </c>
      <c r="AA119" s="12"/>
      <c r="AB119" s="43">
        <f>IFERROR(ROUND((Data_Geotech[[#This Row],[Fault (m)]]+Data_Geotech[[#This Row],[Broken Core (m)]]+Data_Geotech[[#This Row],[Lost Core (m)]])*30,0),0)</f>
        <v>0</v>
      </c>
      <c r="AC119" s="44">
        <f>IF(Data_Geotech[[#This Row],[Added fractures 
(BC, FLT, LC)]]+Data_Geotech[[#This Row],[Fracture per interval]]=0,99,1/((Data_Geotech[[#This Row],[Fracture per interval]]+Data_Geotech[[#This Row],[Added fractures 
(BC, FLT, LC)]])/Data_Geotech[[#This Row],[Run (m)]]))</f>
        <v>0.6</v>
      </c>
      <c r="AD119" s="155" cm="1">
        <f t="array" ref="AD119">IFERROR(_xlfn.XLOOKUP(1,(A119=PLT!$A$4:$A$8886)*(Geotech!C119&lt;=PLT!$F$4:$F$8886)*(Geotech!D119&gt;=PLT!$F$4:$F$8886)*("Valid"=PLT!$P$4:$P$8886),PLT!$V$4:$V$8886),"")</f>
        <v>0</v>
      </c>
      <c r="AE119" s="156" t="str" cm="1">
        <f t="array" ref="AE119">IFERROR(_xlfn.XLOOKUP(1,(A119=PLT!$A$4:$A$8886)*(Geotech!C119&lt;=PLT!$F$4:$F$8886)*(Geotech!D119&gt;=PLT!$F$4:$F$8886)*(PLT!$V$4:$V$8886&lt;&gt;AD119)*("Valid"=PLT!$P$4:$P$7190),PLT!$V$4:$V$8886),"")</f>
        <v/>
      </c>
      <c r="AF119" s="156" t="str" cm="1">
        <f t="array" ref="AF119">IFERROR(_xlfn.XLOOKUP(1,(A119=PLT!$A$4:$A$8886)*(Geotech!C119&lt;=PLT!$F$4:$F$8886)*(Geotech!D119&gt;=PLT!$F$4:$F$8886)*(PLT!$V$4:$V$8886&lt;&gt;AD119)*(PLT!$V$4:$V$8886&lt;&gt;AE119)*("Valid"=PLT!$P$4:$P$7190),PLT!$V$4:$V$8886),"")</f>
        <v/>
      </c>
      <c r="AG119" s="44">
        <f>IFERROR(IF(AVERAGE(AD119:AF119)&gt;References!$BO$23,References!$BP$23,
IF(AVERAGE(AD119:AF119)&gt;References!$BO$22,References!$BP$22,
IF(AVERAGE(AD119:AF119)&gt;References!$BO$21,References!$BP$21,
IF(AVERAGE(AD119:AF119)&gt;References!$BO$20,References!$BP$20,
IF(AVERAGE(AD119:AF119)&gt;References!$BO$19,References!$BP$19,
IF(AVERAGE(AD119:AF119)&gt;References!$BO$18,References!$BP$18,
0)))))),"")</f>
        <v>0</v>
      </c>
      <c r="AH119" s="43">
        <f>IF(Data_Geotech[[#This Row],[Is50]]="",VLOOKUP(Data_Geotech[[#This Row],[Field Intact Rock Strength]],Table_RMR76_Strength[],2,FALSE),Data_Geotech[[#This Row],[Is50]])</f>
        <v>0</v>
      </c>
      <c r="AI119" s="43">
        <f>IF(Data_Geotech[[#This Row],[RQD (%)]]&lt;=25,3,IF(Data_Geotech[[#This Row],[RQD (%)]]&lt;=50,8,IF(Data_Geotech[[#This Row],[RQD (%)]]&lt;=75,13,IF(Data_Geotech[[#This Row],[RQD (%)]]&lt;=90,17,20))))</f>
        <v>20</v>
      </c>
      <c r="AJ119" s="43">
        <f>IF(Data_Geotech[[#This Row],[Joint spacing (m)]]&lt;=0.05,5,IF(Data_Geotech[[#This Row],[Joint spacing (m)]]&lt;=0.3,10,IF(Data_Geotech[[#This Row],[Joint spacing (m)]]&lt;=1,20,IF(Data_Geotech[[#This Row],[Joint spacing (m)]]&lt;=3,25,30))))</f>
        <v>20</v>
      </c>
      <c r="AK11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15.2</v>
      </c>
      <c r="AL119" s="6">
        <v>10</v>
      </c>
      <c r="AM119" s="117">
        <f>IF(Data_Geotech[[#This Row],[FIRS Code]]="R",IFERROR(SUM(Data_Geotech[[#This Row],[RMR76 - Strength rating]:[RMR76 - Ground water rating]]),""),"")</f>
        <v>65.2</v>
      </c>
      <c r="AN119" s="39">
        <f>IF(Data_Geotech[[#This Row],[FIRS Code]]="R",(2*Data_Geotech[[#This Row],[RMR76 - Joint condition rating]])+(IF(Data_Geotech[[#This Row],[RQD (%)]]&gt;80,80/2,Data_Geotech[[#This Row],[RQD (%)]]/2)),"")</f>
        <v>70.400000000000006</v>
      </c>
      <c r="AO119" s="43" t="str">
        <f>LEFT(Data_Geotech[[#This Row],[Joint Set Rating]],FIND("-",Data_Geotech[[#This Row],[Joint Set Rating]],1)-2)</f>
        <v>3</v>
      </c>
      <c r="AP11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0.72499999999999998</v>
      </c>
      <c r="AQ119" s="5">
        <f t="shared" si="0"/>
        <v>1</v>
      </c>
      <c r="AR119" s="49">
        <f>IF(Data_Geotech[[#This Row],[FIRS Code]]="R",IFERROR((IF(Data_Geotech[[#This Row],[RQD (%)]]&lt;10,10,Data_Geotech[[#This Row],[RQD (%)]])/Data_Geotech[[#This Row],[Jn rating]])*Data_Geotech[[#This Row],[Jr/Ja]],""),"")</f>
        <v>24.166666666666668</v>
      </c>
      <c r="AS119" s="45">
        <f>IF(Data_Geotech[[#This Row],[FIRS Code]]="R",IFERROR((IF(Data_Geotech[[#This Row],[RQD (%)]]&lt;10,10,Data_Geotech[[#This Row],[RQD (%)]])/Data_Geotech[[#This Row],[Jn rating]])*Data_Geotech[[#This Row],[Jr/Ja]]*Data_Geotech[[#This Row],[Jw/SRF]],""),"")</f>
        <v>24.166666666666668</v>
      </c>
      <c r="AT119" s="12"/>
      <c r="AU119" s="13">
        <f>100-Data_Geotech[[#This Row],[RQD (%)]]</f>
        <v>0</v>
      </c>
      <c r="AV119" s="13">
        <f>100-Data_Geotech[[#This Row],[TCR (%)]]</f>
        <v>0</v>
      </c>
      <c r="AW119" s="62">
        <f>(Data_Geotech[[#This Row],[Fracture per interval]]+Data_Geotech[[#This Row],[Added fractures 
(BC, FLT, LC)]])/Data_Geotech[[#This Row],[TCR (m)]]</f>
        <v>1.6666666666666667</v>
      </c>
      <c r="AX119" s="6" t="s">
        <v>109</v>
      </c>
      <c r="AY119" s="63">
        <f>7-MID(Data_Geotech[[#This Row],[Field Intact Rock Strength]],2,1)</f>
        <v>1</v>
      </c>
      <c r="AZ119" s="63">
        <f>VLOOKUP(Data_Geotech[[#This Row],[Field Intact Rock Strength]],Table_FieldStrength[],2,FALSE)</f>
        <v>250</v>
      </c>
      <c r="BA119" s="63">
        <f>VLOOKUP(Data_Geotech[[#This Row],[Field Intact Rock Strength]],Table_FieldStrength[],3,FALSE)</f>
        <v>275</v>
      </c>
      <c r="BB119" s="63">
        <f>VLOOKUP(Data_Geotech[[#This Row],[Field Intact Rock Strength]],Table_FieldStrength[],4,FALSE)</f>
        <v>300</v>
      </c>
      <c r="BC119" s="63">
        <f>100-Data_Geotech[[#This Row],[RMR76]]</f>
        <v>34.799999999999997</v>
      </c>
      <c r="BD119" s="63" t="str">
        <f>LEFT(Data_Geotech[[#This Row],[Weathering/Alteration]],FIND("-",Data_Geotech[[#This Row],[Weathering/Alteration]])-2)</f>
        <v>W2/A2</v>
      </c>
    </row>
    <row r="120" spans="1:56" hidden="1" x14ac:dyDescent="0.25">
      <c r="A120" t="s">
        <v>36</v>
      </c>
      <c r="B120" s="16" t="str">
        <f>VLOOKUP(Data_Geotech[[#This Row],[Hole ID]],Data_Log[],2,FALSE)</f>
        <v>CGF-05</v>
      </c>
      <c r="C120" s="5">
        <v>54</v>
      </c>
      <c r="D120" s="5">
        <v>56.97</v>
      </c>
      <c r="E120" s="5">
        <f>(Data_Geotech[[#This Row],[To (m)]]-Data_Geotech[[#This Row],[From (m)]])/2+Data_Geotech[[#This Row],[From (m)]]</f>
        <v>55.484999999999999</v>
      </c>
      <c r="F120" s="13">
        <f>Data_Geotech[[#This Row],[To (m)]]-Data_Geotech[[#This Row],[From (m)]]</f>
        <v>2.9699999999999989</v>
      </c>
      <c r="G120" s="5">
        <v>2.97</v>
      </c>
      <c r="H120" s="61">
        <f>Data_Geotech[[#This Row],[TCR (m)]]/Data_Geotech[[#This Row],[Run (m)]]*100</f>
        <v>100.00000000000004</v>
      </c>
      <c r="I120" s="151">
        <v>2.97</v>
      </c>
      <c r="J120" s="151">
        <v>2.97</v>
      </c>
      <c r="K120" s="5">
        <v>2.97</v>
      </c>
      <c r="L120" s="61">
        <f>Data_Geotech[[#This Row],[RQD (m)]]/Data_Geotech[[#This Row],[Run Reel (m)]]*100</f>
        <v>100</v>
      </c>
      <c r="M120" t="s">
        <v>569</v>
      </c>
      <c r="O120" t="s">
        <v>278</v>
      </c>
      <c r="P120" s="115" t="s">
        <v>370</v>
      </c>
      <c r="Q120" s="5" t="s">
        <v>346</v>
      </c>
      <c r="R120" s="5"/>
      <c r="S120" s="5"/>
      <c r="T120" s="5"/>
      <c r="U120" s="5"/>
      <c r="V120" s="6">
        <v>4</v>
      </c>
      <c r="W120" s="92">
        <f>SUMIFS(Discontinuities!$D$4:$D$9664,Discontinuities!$A$4:$A$9664,A120,Discontinuities!$C$4:$C$9664,"&gt;="&amp;C120,Discontinuities!$C$4:$C$9664,"&lt;"&amp;D120)
-SUMIFS(Discontinuities!$D$4:$D$9664,Discontinuities!$A$4:$A$9664,A120,Discontinuities!$C$4:$C$9664,"&gt;="&amp;C120,Discontinuities!$C$4:$C$9664,"&lt;"&amp;D120,Discontinuities!$E$4:$E$9664,"=BC")
-SUMIFS(Discontinuities!$D$4:$D$9664,Discontinuities!$A$4:$A$9664,A120,Discontinuities!$C$4:$C$9664,"&gt;="&amp;C120,Discontinuities!$C$4:$C$9664,"&lt;"&amp;D120,Discontinuities!$E$4:$E$9664,"=LC")
-SUMIFS(Discontinuities!$D$4:$D$9664,Discontinuities!$A$4:$A$9664,A120,Discontinuities!$C$4:$C$9664,"&gt;="&amp;C120,Discontinuities!$C$4:$C$9664,"&lt;"&amp;D120,Discontinuities!$E$4:$E$9664,"=FLT")</f>
        <v>4</v>
      </c>
      <c r="X120" t="s">
        <v>345</v>
      </c>
      <c r="AA120" s="12"/>
      <c r="AB120" s="43">
        <f>IFERROR(ROUND((Data_Geotech[[#This Row],[Fault (m)]]+Data_Geotech[[#This Row],[Broken Core (m)]]+Data_Geotech[[#This Row],[Lost Core (m)]])*30,0),0)</f>
        <v>0</v>
      </c>
      <c r="AC120" s="44">
        <f>IF(Data_Geotech[[#This Row],[Added fractures 
(BC, FLT, LC)]]+Data_Geotech[[#This Row],[Fracture per interval]]=0,99,1/((Data_Geotech[[#This Row],[Fracture per interval]]+Data_Geotech[[#This Row],[Added fractures 
(BC, FLT, LC)]])/Data_Geotech[[#This Row],[Run (m)]]))</f>
        <v>0.74249999999999972</v>
      </c>
      <c r="AD120" s="155" cm="1">
        <f t="array" ref="AD120">IFERROR(_xlfn.XLOOKUP(1,(A120=PLT!$A$4:$A$8886)*(Geotech!C120&lt;=PLT!$F$4:$F$8886)*(Geotech!D120&gt;=PLT!$F$4:$F$8886)*("Valid"=PLT!$P$4:$P$8886),PLT!$V$4:$V$8886),"")</f>
        <v>0</v>
      </c>
      <c r="AE120" s="156" t="str" cm="1">
        <f t="array" ref="AE120">IFERROR(_xlfn.XLOOKUP(1,(A120=PLT!$A$4:$A$8886)*(Geotech!C120&lt;=PLT!$F$4:$F$8886)*(Geotech!D120&gt;=PLT!$F$4:$F$8886)*(PLT!$V$4:$V$8886&lt;&gt;AD120)*("Valid"=PLT!$P$4:$P$7190),PLT!$V$4:$V$8886),"")</f>
        <v/>
      </c>
      <c r="AF120" s="156" t="str" cm="1">
        <f t="array" ref="AF120">IFERROR(_xlfn.XLOOKUP(1,(A120=PLT!$A$4:$A$8886)*(Geotech!C120&lt;=PLT!$F$4:$F$8886)*(Geotech!D120&gt;=PLT!$F$4:$F$8886)*(PLT!$V$4:$V$8886&lt;&gt;AD120)*(PLT!$V$4:$V$8886&lt;&gt;AE120)*("Valid"=PLT!$P$4:$P$7190),PLT!$V$4:$V$8886),"")</f>
        <v/>
      </c>
      <c r="AG120" s="44">
        <f>IFERROR(IF(AVERAGE(AD120:AF120)&gt;References!$BO$23,References!$BP$23,
IF(AVERAGE(AD120:AF120)&gt;References!$BO$22,References!$BP$22,
IF(AVERAGE(AD120:AF120)&gt;References!$BO$21,References!$BP$21,
IF(AVERAGE(AD120:AF120)&gt;References!$BO$20,References!$BP$20,
IF(AVERAGE(AD120:AF120)&gt;References!$BO$19,References!$BP$19,
IF(AVERAGE(AD120:AF120)&gt;References!$BO$18,References!$BP$18,
0)))))),"")</f>
        <v>0</v>
      </c>
      <c r="AH120" s="43">
        <f>IF(Data_Geotech[[#This Row],[Is50]]="",VLOOKUP(Data_Geotech[[#This Row],[Field Intact Rock Strength]],Table_RMR76_Strength[],2,FALSE),Data_Geotech[[#This Row],[Is50]])</f>
        <v>0</v>
      </c>
      <c r="AI120" s="43">
        <f>IF(Data_Geotech[[#This Row],[RQD (%)]]&lt;=25,3,IF(Data_Geotech[[#This Row],[RQD (%)]]&lt;=50,8,IF(Data_Geotech[[#This Row],[RQD (%)]]&lt;=75,13,IF(Data_Geotech[[#This Row],[RQD (%)]]&lt;=90,17,20))))</f>
        <v>20</v>
      </c>
      <c r="AJ120" s="43">
        <f>IF(Data_Geotech[[#This Row],[Joint spacing (m)]]&lt;=0.05,5,IF(Data_Geotech[[#This Row],[Joint spacing (m)]]&lt;=0.3,10,IF(Data_Geotech[[#This Row],[Joint spacing (m)]]&lt;=1,20,IF(Data_Geotech[[#This Row],[Joint spacing (m)]]&lt;=3,25,30))))</f>
        <v>20</v>
      </c>
      <c r="AK12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11</v>
      </c>
      <c r="AL120" s="6">
        <v>10</v>
      </c>
      <c r="AM120" s="117">
        <f>IF(Data_Geotech[[#This Row],[FIRS Code]]="R",IFERROR(SUM(Data_Geotech[[#This Row],[RMR76 - Strength rating]:[RMR76 - Ground water rating]]),""),"")</f>
        <v>61</v>
      </c>
      <c r="AN120" s="39">
        <f>IF(Data_Geotech[[#This Row],[FIRS Code]]="R",(2*Data_Geotech[[#This Row],[RMR76 - Joint condition rating]])+(IF(Data_Geotech[[#This Row],[RQD (%)]]&gt;80,80/2,Data_Geotech[[#This Row],[RQD (%)]]/2)),"")</f>
        <v>62</v>
      </c>
      <c r="AO120" s="43" t="str">
        <f>LEFT(Data_Geotech[[#This Row],[Joint Set Rating]],FIND("-",Data_Geotech[[#This Row],[Joint Set Rating]],1)-2)</f>
        <v>3</v>
      </c>
      <c r="AP12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0.59375</v>
      </c>
      <c r="AQ120" s="5">
        <f t="shared" si="0"/>
        <v>1</v>
      </c>
      <c r="AR120" s="49">
        <f>IF(Data_Geotech[[#This Row],[FIRS Code]]="R",IFERROR((IF(Data_Geotech[[#This Row],[RQD (%)]]&lt;10,10,Data_Geotech[[#This Row],[RQD (%)]])/Data_Geotech[[#This Row],[Jn rating]])*Data_Geotech[[#This Row],[Jr/Ja]],""),"")</f>
        <v>19.791666666666668</v>
      </c>
      <c r="AS120" s="45">
        <f>IF(Data_Geotech[[#This Row],[FIRS Code]]="R",IFERROR((IF(Data_Geotech[[#This Row],[RQD (%)]]&lt;10,10,Data_Geotech[[#This Row],[RQD (%)]])/Data_Geotech[[#This Row],[Jn rating]])*Data_Geotech[[#This Row],[Jr/Ja]]*Data_Geotech[[#This Row],[Jw/SRF]],""),"")</f>
        <v>19.791666666666668</v>
      </c>
      <c r="AT120" s="12"/>
      <c r="AU120" s="13">
        <f>100-Data_Geotech[[#This Row],[RQD (%)]]</f>
        <v>0</v>
      </c>
      <c r="AV120" s="13">
        <f>100-Data_Geotech[[#This Row],[TCR (%)]]</f>
        <v>0</v>
      </c>
      <c r="AW120" s="62">
        <f>(Data_Geotech[[#This Row],[Fracture per interval]]+Data_Geotech[[#This Row],[Added fractures 
(BC, FLT, LC)]])/Data_Geotech[[#This Row],[TCR (m)]]</f>
        <v>1.3468013468013467</v>
      </c>
      <c r="AX120" s="6" t="s">
        <v>109</v>
      </c>
      <c r="AY120" s="63">
        <f>7-MID(Data_Geotech[[#This Row],[Field Intact Rock Strength]],2,1)</f>
        <v>3</v>
      </c>
      <c r="AZ120" s="63">
        <f>VLOOKUP(Data_Geotech[[#This Row],[Field Intact Rock Strength]],Table_FieldStrength[],2,FALSE)</f>
        <v>50</v>
      </c>
      <c r="BA120" s="63">
        <f>VLOOKUP(Data_Geotech[[#This Row],[Field Intact Rock Strength]],Table_FieldStrength[],3,FALSE)</f>
        <v>75</v>
      </c>
      <c r="BB120" s="63">
        <f>VLOOKUP(Data_Geotech[[#This Row],[Field Intact Rock Strength]],Table_FieldStrength[],4,FALSE)</f>
        <v>100</v>
      </c>
      <c r="BC120" s="63">
        <f>100-Data_Geotech[[#This Row],[RMR76]]</f>
        <v>39</v>
      </c>
      <c r="BD120" s="63" t="str">
        <f>LEFT(Data_Geotech[[#This Row],[Weathering/Alteration]],FIND("-",Data_Geotech[[#This Row],[Weathering/Alteration]])-2)</f>
        <v>W2/A2</v>
      </c>
    </row>
    <row r="121" spans="1:56" hidden="1" x14ac:dyDescent="0.25">
      <c r="A121" t="s">
        <v>36</v>
      </c>
      <c r="B121" s="16" t="str">
        <f>VLOOKUP(Data_Geotech[[#This Row],[Hole ID]],Data_Log[],2,FALSE)</f>
        <v>CGF-05</v>
      </c>
      <c r="C121" s="5">
        <v>56.97</v>
      </c>
      <c r="D121" s="5">
        <v>60</v>
      </c>
      <c r="E121" s="5">
        <f>(Data_Geotech[[#This Row],[To (m)]]-Data_Geotech[[#This Row],[From (m)]])/2+Data_Geotech[[#This Row],[From (m)]]</f>
        <v>58.484999999999999</v>
      </c>
      <c r="F121" s="13">
        <f>Data_Geotech[[#This Row],[To (m)]]-Data_Geotech[[#This Row],[From (m)]]</f>
        <v>3.0300000000000011</v>
      </c>
      <c r="G121" s="5">
        <v>3.03</v>
      </c>
      <c r="H121" s="61">
        <f>Data_Geotech[[#This Row],[TCR (m)]]/Data_Geotech[[#This Row],[Run (m)]]*100</f>
        <v>99.999999999999957</v>
      </c>
      <c r="I121" s="151">
        <v>3.03</v>
      </c>
      <c r="J121" s="151">
        <v>3.03</v>
      </c>
      <c r="K121" s="5">
        <v>2.98</v>
      </c>
      <c r="L121" s="61">
        <f>Data_Geotech[[#This Row],[RQD (m)]]/Data_Geotech[[#This Row],[Run Reel (m)]]*100</f>
        <v>98.349834983498354</v>
      </c>
      <c r="M121" t="s">
        <v>569</v>
      </c>
      <c r="O121" t="s">
        <v>278</v>
      </c>
      <c r="P121" s="115" t="s">
        <v>397</v>
      </c>
      <c r="Q121" s="5" t="s">
        <v>346</v>
      </c>
      <c r="R121" s="5"/>
      <c r="S121" s="5"/>
      <c r="T121" s="5"/>
      <c r="U121" s="5"/>
      <c r="V121" s="6">
        <v>7</v>
      </c>
      <c r="W121" s="92">
        <f>SUMIFS(Discontinuities!$D$4:$D$9664,Discontinuities!$A$4:$A$9664,A121,Discontinuities!$C$4:$C$9664,"&gt;="&amp;C121,Discontinuities!$C$4:$C$9664,"&lt;"&amp;D121)
-SUMIFS(Discontinuities!$D$4:$D$9664,Discontinuities!$A$4:$A$9664,A121,Discontinuities!$C$4:$C$9664,"&gt;="&amp;C121,Discontinuities!$C$4:$C$9664,"&lt;"&amp;D121,Discontinuities!$E$4:$E$9664,"=BC")
-SUMIFS(Discontinuities!$D$4:$D$9664,Discontinuities!$A$4:$A$9664,A121,Discontinuities!$C$4:$C$9664,"&gt;="&amp;C121,Discontinuities!$C$4:$C$9664,"&lt;"&amp;D121,Discontinuities!$E$4:$E$9664,"=LC")
-SUMIFS(Discontinuities!$D$4:$D$9664,Discontinuities!$A$4:$A$9664,A121,Discontinuities!$C$4:$C$9664,"&gt;="&amp;C121,Discontinuities!$C$4:$C$9664,"&lt;"&amp;D121,Discontinuities!$E$4:$E$9664,"=FLT")</f>
        <v>7</v>
      </c>
      <c r="X121" t="s">
        <v>312</v>
      </c>
      <c r="AA121" s="12"/>
      <c r="AB121" s="43">
        <f>IFERROR(ROUND((Data_Geotech[[#This Row],[Fault (m)]]+Data_Geotech[[#This Row],[Broken Core (m)]]+Data_Geotech[[#This Row],[Lost Core (m)]])*30,0),0)</f>
        <v>0</v>
      </c>
      <c r="AC121" s="44">
        <f>IF(Data_Geotech[[#This Row],[Added fractures 
(BC, FLT, LC)]]+Data_Geotech[[#This Row],[Fracture per interval]]=0,99,1/((Data_Geotech[[#This Row],[Fracture per interval]]+Data_Geotech[[#This Row],[Added fractures 
(BC, FLT, LC)]])/Data_Geotech[[#This Row],[Run (m)]]))</f>
        <v>0.43285714285714305</v>
      </c>
      <c r="AD121" s="155" cm="1">
        <f t="array" ref="AD121">IFERROR(_xlfn.XLOOKUP(1,(A121=PLT!$A$4:$A$8886)*(Geotech!C121&lt;=PLT!$F$4:$F$8886)*(Geotech!D121&gt;=PLT!$F$4:$F$8886)*("Valid"=PLT!$P$4:$P$8886),PLT!$V$4:$V$8886),"")</f>
        <v>0</v>
      </c>
      <c r="AE121" s="156" t="str" cm="1">
        <f t="array" ref="AE121">IFERROR(_xlfn.XLOOKUP(1,(A121=PLT!$A$4:$A$8886)*(Geotech!C121&lt;=PLT!$F$4:$F$8886)*(Geotech!D121&gt;=PLT!$F$4:$F$8886)*(PLT!$V$4:$V$8886&lt;&gt;AD121)*("Valid"=PLT!$P$4:$P$7190),PLT!$V$4:$V$8886),"")</f>
        <v/>
      </c>
      <c r="AF121" s="156" t="str" cm="1">
        <f t="array" ref="AF121">IFERROR(_xlfn.XLOOKUP(1,(A121=PLT!$A$4:$A$8886)*(Geotech!C121&lt;=PLT!$F$4:$F$8886)*(Geotech!D121&gt;=PLT!$F$4:$F$8886)*(PLT!$V$4:$V$8886&lt;&gt;AD121)*(PLT!$V$4:$V$8886&lt;&gt;AE121)*("Valid"=PLT!$P$4:$P$7190),PLT!$V$4:$V$8886),"")</f>
        <v/>
      </c>
      <c r="AG121" s="44">
        <f>IFERROR(IF(AVERAGE(AD121:AF121)&gt;References!$BO$23,References!$BP$23,
IF(AVERAGE(AD121:AF121)&gt;References!$BO$22,References!$BP$22,
IF(AVERAGE(AD121:AF121)&gt;References!$BO$21,References!$BP$21,
IF(AVERAGE(AD121:AF121)&gt;References!$BO$20,References!$BP$20,
IF(AVERAGE(AD121:AF121)&gt;References!$BO$19,References!$BP$19,
IF(AVERAGE(AD121:AF121)&gt;References!$BO$18,References!$BP$18,
0)))))),"")</f>
        <v>0</v>
      </c>
      <c r="AH121" s="43">
        <f>IF(Data_Geotech[[#This Row],[Is50]]="",VLOOKUP(Data_Geotech[[#This Row],[Field Intact Rock Strength]],Table_RMR76_Strength[],2,FALSE),Data_Geotech[[#This Row],[Is50]])</f>
        <v>0</v>
      </c>
      <c r="AI121" s="43">
        <f>IF(Data_Geotech[[#This Row],[RQD (%)]]&lt;=25,3,IF(Data_Geotech[[#This Row],[RQD (%)]]&lt;=50,8,IF(Data_Geotech[[#This Row],[RQD (%)]]&lt;=75,13,IF(Data_Geotech[[#This Row],[RQD (%)]]&lt;=90,17,20))))</f>
        <v>20</v>
      </c>
      <c r="AJ121" s="43">
        <f>IF(Data_Geotech[[#This Row],[Joint spacing (m)]]&lt;=0.05,5,IF(Data_Geotech[[#This Row],[Joint spacing (m)]]&lt;=0.3,10,IF(Data_Geotech[[#This Row],[Joint spacing (m)]]&lt;=1,20,IF(Data_Geotech[[#This Row],[Joint spacing (m)]]&lt;=3,25,30))))</f>
        <v>20</v>
      </c>
      <c r="AK12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13.428571428571429</v>
      </c>
      <c r="AL121" s="6">
        <v>10</v>
      </c>
      <c r="AM121" s="117">
        <f>IF(Data_Geotech[[#This Row],[FIRS Code]]="R",IFERROR(SUM(Data_Geotech[[#This Row],[RMR76 - Strength rating]:[RMR76 - Ground water rating]]),""),"")</f>
        <v>63.428571428571431</v>
      </c>
      <c r="AN121" s="39">
        <f>IF(Data_Geotech[[#This Row],[FIRS Code]]="R",(2*Data_Geotech[[#This Row],[RMR76 - Joint condition rating]])+(IF(Data_Geotech[[#This Row],[RQD (%)]]&gt;80,80/2,Data_Geotech[[#This Row],[RQD (%)]]/2)),"")</f>
        <v>66.857142857142861</v>
      </c>
      <c r="AO121" s="43" t="str">
        <f>LEFT(Data_Geotech[[#This Row],[Joint Set Rating]],FIND("-",Data_Geotech[[#This Row],[Joint Set Rating]],1)-2)</f>
        <v>2</v>
      </c>
      <c r="AP12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0.7857142857142857</v>
      </c>
      <c r="AQ121" s="5">
        <f t="shared" si="0"/>
        <v>1</v>
      </c>
      <c r="AR121" s="49">
        <f>IF(Data_Geotech[[#This Row],[FIRS Code]]="R",IFERROR((IF(Data_Geotech[[#This Row],[RQD (%)]]&lt;10,10,Data_Geotech[[#This Row],[RQD (%)]])/Data_Geotech[[#This Row],[Jn rating]])*Data_Geotech[[#This Row],[Jr/Ja]],""),"")</f>
        <v>38.637435172088637</v>
      </c>
      <c r="AS121" s="45">
        <f>IF(Data_Geotech[[#This Row],[FIRS Code]]="R",IFERROR((IF(Data_Geotech[[#This Row],[RQD (%)]]&lt;10,10,Data_Geotech[[#This Row],[RQD (%)]])/Data_Geotech[[#This Row],[Jn rating]])*Data_Geotech[[#This Row],[Jr/Ja]]*Data_Geotech[[#This Row],[Jw/SRF]],""),"")</f>
        <v>38.637435172088637</v>
      </c>
      <c r="AT121" s="12"/>
      <c r="AU121" s="13">
        <f>100-Data_Geotech[[#This Row],[RQD (%)]]</f>
        <v>1.6501650165016457</v>
      </c>
      <c r="AV121" s="13">
        <f>100-Data_Geotech[[#This Row],[TCR (%)]]</f>
        <v>0</v>
      </c>
      <c r="AW121" s="62">
        <f>(Data_Geotech[[#This Row],[Fracture per interval]]+Data_Geotech[[#This Row],[Added fractures 
(BC, FLT, LC)]])/Data_Geotech[[#This Row],[TCR (m)]]</f>
        <v>2.3102310231023102</v>
      </c>
      <c r="AX121" s="6" t="s">
        <v>109</v>
      </c>
      <c r="AY121" s="63">
        <f>7-MID(Data_Geotech[[#This Row],[Field Intact Rock Strength]],2,1)</f>
        <v>2</v>
      </c>
      <c r="AZ121" s="63">
        <f>VLOOKUP(Data_Geotech[[#This Row],[Field Intact Rock Strength]],Table_FieldStrength[],2,FALSE)</f>
        <v>100</v>
      </c>
      <c r="BA121" s="63">
        <f>VLOOKUP(Data_Geotech[[#This Row],[Field Intact Rock Strength]],Table_FieldStrength[],3,FALSE)</f>
        <v>175</v>
      </c>
      <c r="BB121" s="63">
        <f>VLOOKUP(Data_Geotech[[#This Row],[Field Intact Rock Strength]],Table_FieldStrength[],4,FALSE)</f>
        <v>250</v>
      </c>
      <c r="BC121" s="63">
        <f>100-Data_Geotech[[#This Row],[RMR76]]</f>
        <v>36.571428571428569</v>
      </c>
      <c r="BD121" s="63" t="str">
        <f>LEFT(Data_Geotech[[#This Row],[Weathering/Alteration]],FIND("-",Data_Geotech[[#This Row],[Weathering/Alteration]])-2)</f>
        <v>W2/A2</v>
      </c>
    </row>
    <row r="122" spans="1:56" hidden="1" x14ac:dyDescent="0.25">
      <c r="A122" t="s">
        <v>36</v>
      </c>
      <c r="B122" s="16" t="str">
        <f>VLOOKUP(Data_Geotech[[#This Row],[Hole ID]],Data_Log[],2,FALSE)</f>
        <v>CGF-05</v>
      </c>
      <c r="C122" s="5">
        <v>60</v>
      </c>
      <c r="D122" s="5">
        <v>63</v>
      </c>
      <c r="E122" s="5">
        <f>(Data_Geotech[[#This Row],[To (m)]]-Data_Geotech[[#This Row],[From (m)]])/2+Data_Geotech[[#This Row],[From (m)]]</f>
        <v>61.5</v>
      </c>
      <c r="F122" s="13">
        <f>Data_Geotech[[#This Row],[To (m)]]-Data_Geotech[[#This Row],[From (m)]]</f>
        <v>3</v>
      </c>
      <c r="G122" s="5">
        <v>3</v>
      </c>
      <c r="H122" s="61">
        <f>Data_Geotech[[#This Row],[TCR (m)]]/Data_Geotech[[#This Row],[Run (m)]]*100</f>
        <v>100</v>
      </c>
      <c r="I122" s="151">
        <v>3</v>
      </c>
      <c r="J122" s="151">
        <v>3</v>
      </c>
      <c r="K122" s="5">
        <v>2.82</v>
      </c>
      <c r="L122" s="61">
        <f>Data_Geotech[[#This Row],[RQD (m)]]/Data_Geotech[[#This Row],[Run Reel (m)]]*100</f>
        <v>94</v>
      </c>
      <c r="M122" t="s">
        <v>569</v>
      </c>
      <c r="O122" t="s">
        <v>278</v>
      </c>
      <c r="P122" s="115" t="s">
        <v>397</v>
      </c>
      <c r="Q122" s="5" t="s">
        <v>313</v>
      </c>
      <c r="R122" s="5"/>
      <c r="S122" s="5">
        <v>0.1</v>
      </c>
      <c r="T122" s="5"/>
      <c r="U122" s="5"/>
      <c r="V122" s="6">
        <v>7</v>
      </c>
      <c r="W122" s="92">
        <f>SUMIFS(Discontinuities!$D$4:$D$9664,Discontinuities!$A$4:$A$9664,A122,Discontinuities!$C$4:$C$9664,"&gt;="&amp;C122,Discontinuities!$C$4:$C$9664,"&lt;"&amp;D122)
-SUMIFS(Discontinuities!$D$4:$D$9664,Discontinuities!$A$4:$A$9664,A122,Discontinuities!$C$4:$C$9664,"&gt;="&amp;C122,Discontinuities!$C$4:$C$9664,"&lt;"&amp;D122,Discontinuities!$E$4:$E$9664,"=BC")
-SUMIFS(Discontinuities!$D$4:$D$9664,Discontinuities!$A$4:$A$9664,A122,Discontinuities!$C$4:$C$9664,"&gt;="&amp;C122,Discontinuities!$C$4:$C$9664,"&lt;"&amp;D122,Discontinuities!$E$4:$E$9664,"=LC")
-SUMIFS(Discontinuities!$D$4:$D$9664,Discontinuities!$A$4:$A$9664,A122,Discontinuities!$C$4:$C$9664,"&gt;="&amp;C122,Discontinuities!$C$4:$C$9664,"&lt;"&amp;D122,Discontinuities!$E$4:$E$9664,"=FLT")</f>
        <v>7</v>
      </c>
      <c r="X122" t="s">
        <v>400</v>
      </c>
      <c r="AA122" s="12"/>
      <c r="AB122" s="43">
        <f>IFERROR(ROUND((Data_Geotech[[#This Row],[Fault (m)]]+Data_Geotech[[#This Row],[Broken Core (m)]]+Data_Geotech[[#This Row],[Lost Core (m)]])*30,0),0)</f>
        <v>3</v>
      </c>
      <c r="AC122" s="44">
        <f>IF(Data_Geotech[[#This Row],[Added fractures 
(BC, FLT, LC)]]+Data_Geotech[[#This Row],[Fracture per interval]]=0,99,1/((Data_Geotech[[#This Row],[Fracture per interval]]+Data_Geotech[[#This Row],[Added fractures 
(BC, FLT, LC)]])/Data_Geotech[[#This Row],[Run (m)]]))</f>
        <v>0.3</v>
      </c>
      <c r="AD122" s="155" cm="1">
        <f t="array" ref="AD122">IFERROR(_xlfn.XLOOKUP(1,(A122=PLT!$A$4:$A$8886)*(Geotech!C122&lt;=PLT!$F$4:$F$8886)*(Geotech!D122&gt;=PLT!$F$4:$F$8886)*("Valid"=PLT!$P$4:$P$8886),PLT!$V$4:$V$8886),"")</f>
        <v>0</v>
      </c>
      <c r="AE122" s="156" t="str" cm="1">
        <f t="array" ref="AE122">IFERROR(_xlfn.XLOOKUP(1,(A122=PLT!$A$4:$A$8886)*(Geotech!C122&lt;=PLT!$F$4:$F$8886)*(Geotech!D122&gt;=PLT!$F$4:$F$8886)*(PLT!$V$4:$V$8886&lt;&gt;AD122)*("Valid"=PLT!$P$4:$P$7190),PLT!$V$4:$V$8886),"")</f>
        <v/>
      </c>
      <c r="AF122" s="156" t="str" cm="1">
        <f t="array" ref="AF122">IFERROR(_xlfn.XLOOKUP(1,(A122=PLT!$A$4:$A$8886)*(Geotech!C122&lt;=PLT!$F$4:$F$8886)*(Geotech!D122&gt;=PLT!$F$4:$F$8886)*(PLT!$V$4:$V$8886&lt;&gt;AD122)*(PLT!$V$4:$V$8886&lt;&gt;AE122)*("Valid"=PLT!$P$4:$P$7190),PLT!$V$4:$V$8886),"")</f>
        <v/>
      </c>
      <c r="AG122" s="44">
        <f>IFERROR(IF(AVERAGE(AD122:AF122)&gt;References!$BO$23,References!$BP$23,
IF(AVERAGE(AD122:AF122)&gt;References!$BO$22,References!$BP$22,
IF(AVERAGE(AD122:AF122)&gt;References!$BO$21,References!$BP$21,
IF(AVERAGE(AD122:AF122)&gt;References!$BO$20,References!$BP$20,
IF(AVERAGE(AD122:AF122)&gt;References!$BO$19,References!$BP$19,
IF(AVERAGE(AD122:AF122)&gt;References!$BO$18,References!$BP$18,
0)))))),"")</f>
        <v>0</v>
      </c>
      <c r="AH122" s="43">
        <f>IF(Data_Geotech[[#This Row],[Is50]]="",VLOOKUP(Data_Geotech[[#This Row],[Field Intact Rock Strength]],Table_RMR76_Strength[],2,FALSE),Data_Geotech[[#This Row],[Is50]])</f>
        <v>0</v>
      </c>
      <c r="AI122" s="43">
        <f>IF(Data_Geotech[[#This Row],[RQD (%)]]&lt;=25,3,IF(Data_Geotech[[#This Row],[RQD (%)]]&lt;=50,8,IF(Data_Geotech[[#This Row],[RQD (%)]]&lt;=75,13,IF(Data_Geotech[[#This Row],[RQD (%)]]&lt;=90,17,20))))</f>
        <v>20</v>
      </c>
      <c r="AJ122" s="43">
        <f>IF(Data_Geotech[[#This Row],[Joint spacing (m)]]&lt;=0.05,5,IF(Data_Geotech[[#This Row],[Joint spacing (m)]]&lt;=0.3,10,IF(Data_Geotech[[#This Row],[Joint spacing (m)]]&lt;=1,20,IF(Data_Geotech[[#This Row],[Joint spacing (m)]]&lt;=3,25,30))))</f>
        <v>10</v>
      </c>
      <c r="AK12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19.571428571428573</v>
      </c>
      <c r="AL122" s="6">
        <v>10</v>
      </c>
      <c r="AM122" s="117">
        <f>IF(Data_Geotech[[#This Row],[FIRS Code]]="R",IFERROR(SUM(Data_Geotech[[#This Row],[RMR76 - Strength rating]:[RMR76 - Ground water rating]]),""),"")</f>
        <v>59.571428571428569</v>
      </c>
      <c r="AN122" s="39">
        <f>IF(Data_Geotech[[#This Row],[FIRS Code]]="R",(2*Data_Geotech[[#This Row],[RMR76 - Joint condition rating]])+(IF(Data_Geotech[[#This Row],[RQD (%)]]&gt;80,80/2,Data_Geotech[[#This Row],[RQD (%)]]/2)),"")</f>
        <v>79.142857142857139</v>
      </c>
      <c r="AO122" s="43" t="str">
        <f>LEFT(Data_Geotech[[#This Row],[Joint Set Rating]],FIND("-",Data_Geotech[[#This Row],[Joint Set Rating]],1)-2)</f>
        <v>6</v>
      </c>
      <c r="AP12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1.1071428571428572</v>
      </c>
      <c r="AQ122" s="5">
        <f t="shared" si="0"/>
        <v>1</v>
      </c>
      <c r="AR122" s="49">
        <f>IF(Data_Geotech[[#This Row],[FIRS Code]]="R",IFERROR((IF(Data_Geotech[[#This Row],[RQD (%)]]&lt;10,10,Data_Geotech[[#This Row],[RQD (%)]])/Data_Geotech[[#This Row],[Jn rating]])*Data_Geotech[[#This Row],[Jr/Ja]],""),"")</f>
        <v>17.345238095238095</v>
      </c>
      <c r="AS122" s="45">
        <f>IF(Data_Geotech[[#This Row],[FIRS Code]]="R",IFERROR((IF(Data_Geotech[[#This Row],[RQD (%)]]&lt;10,10,Data_Geotech[[#This Row],[RQD (%)]])/Data_Geotech[[#This Row],[Jn rating]])*Data_Geotech[[#This Row],[Jr/Ja]]*Data_Geotech[[#This Row],[Jw/SRF]],""),"")</f>
        <v>17.345238095238095</v>
      </c>
      <c r="AT122" s="12"/>
      <c r="AU122" s="13">
        <f>100-Data_Geotech[[#This Row],[RQD (%)]]</f>
        <v>6</v>
      </c>
      <c r="AV122" s="13">
        <f>100-Data_Geotech[[#This Row],[TCR (%)]]</f>
        <v>0</v>
      </c>
      <c r="AW122" s="62">
        <f>(Data_Geotech[[#This Row],[Fracture per interval]]+Data_Geotech[[#This Row],[Added fractures 
(BC, FLT, LC)]])/Data_Geotech[[#This Row],[TCR (m)]]</f>
        <v>3.3333333333333335</v>
      </c>
      <c r="AX122" s="6" t="s">
        <v>109</v>
      </c>
      <c r="AY122" s="63">
        <f>7-MID(Data_Geotech[[#This Row],[Field Intact Rock Strength]],2,1)</f>
        <v>2</v>
      </c>
      <c r="AZ122" s="63">
        <f>VLOOKUP(Data_Geotech[[#This Row],[Field Intact Rock Strength]],Table_FieldStrength[],2,FALSE)</f>
        <v>100</v>
      </c>
      <c r="BA122" s="63">
        <f>VLOOKUP(Data_Geotech[[#This Row],[Field Intact Rock Strength]],Table_FieldStrength[],3,FALSE)</f>
        <v>175</v>
      </c>
      <c r="BB122" s="63">
        <f>VLOOKUP(Data_Geotech[[#This Row],[Field Intact Rock Strength]],Table_FieldStrength[],4,FALSE)</f>
        <v>250</v>
      </c>
      <c r="BC122" s="63">
        <f>100-Data_Geotech[[#This Row],[RMR76]]</f>
        <v>40.428571428571431</v>
      </c>
      <c r="BD122" s="63" t="str">
        <f>LEFT(Data_Geotech[[#This Row],[Weathering/Alteration]],FIND("-",Data_Geotech[[#This Row],[Weathering/Alteration]])-2)</f>
        <v>W2/A2</v>
      </c>
    </row>
    <row r="123" spans="1:56" hidden="1" x14ac:dyDescent="0.25">
      <c r="A123" t="s">
        <v>36</v>
      </c>
      <c r="B123" s="16" t="str">
        <f>VLOOKUP(Data_Geotech[[#This Row],[Hole ID]],Data_Log[],2,FALSE)</f>
        <v>CGF-05</v>
      </c>
      <c r="C123" s="5">
        <v>63</v>
      </c>
      <c r="D123" s="5">
        <v>66</v>
      </c>
      <c r="E123" s="5">
        <f>(Data_Geotech[[#This Row],[To (m)]]-Data_Geotech[[#This Row],[From (m)]])/2+Data_Geotech[[#This Row],[From (m)]]</f>
        <v>64.5</v>
      </c>
      <c r="F123" s="13">
        <f>Data_Geotech[[#This Row],[To (m)]]-Data_Geotech[[#This Row],[From (m)]]</f>
        <v>3</v>
      </c>
      <c r="G123" s="5">
        <v>3</v>
      </c>
      <c r="H123" s="61">
        <f>Data_Geotech[[#This Row],[TCR (m)]]/Data_Geotech[[#This Row],[Run (m)]]*100</f>
        <v>100</v>
      </c>
      <c r="I123" s="151">
        <v>2.9</v>
      </c>
      <c r="J123" s="151">
        <v>2.9</v>
      </c>
      <c r="K123" s="5">
        <v>2.85</v>
      </c>
      <c r="L123" s="61">
        <f>Data_Geotech[[#This Row],[RQD (m)]]/Data_Geotech[[#This Row],[Run Reel (m)]]*100</f>
        <v>98.275862068965523</v>
      </c>
      <c r="M123" t="s">
        <v>569</v>
      </c>
      <c r="O123" t="s">
        <v>278</v>
      </c>
      <c r="P123" s="115" t="s">
        <v>397</v>
      </c>
      <c r="Q123" s="5" t="s">
        <v>313</v>
      </c>
      <c r="R123" s="5">
        <v>0.05</v>
      </c>
      <c r="S123" s="5"/>
      <c r="T123" s="5"/>
      <c r="U123" s="5"/>
      <c r="V123" s="6">
        <v>6</v>
      </c>
      <c r="W123" s="92">
        <f>SUMIFS(Discontinuities!$D$4:$D$9664,Discontinuities!$A$4:$A$9664,A123,Discontinuities!$C$4:$C$9664,"&gt;="&amp;C123,Discontinuities!$C$4:$C$9664,"&lt;"&amp;D123)
-SUMIFS(Discontinuities!$D$4:$D$9664,Discontinuities!$A$4:$A$9664,A123,Discontinuities!$C$4:$C$9664,"&gt;="&amp;C123,Discontinuities!$C$4:$C$9664,"&lt;"&amp;D123,Discontinuities!$E$4:$E$9664,"=BC")
-SUMIFS(Discontinuities!$D$4:$D$9664,Discontinuities!$A$4:$A$9664,A123,Discontinuities!$C$4:$C$9664,"&gt;="&amp;C123,Discontinuities!$C$4:$C$9664,"&lt;"&amp;D123,Discontinuities!$E$4:$E$9664,"=LC")
-SUMIFS(Discontinuities!$D$4:$D$9664,Discontinuities!$A$4:$A$9664,A123,Discontinuities!$C$4:$C$9664,"&gt;="&amp;C123,Discontinuities!$C$4:$C$9664,"&lt;"&amp;D123,Discontinuities!$E$4:$E$9664,"=FLT")</f>
        <v>6</v>
      </c>
      <c r="X123" t="s">
        <v>400</v>
      </c>
      <c r="AA123" s="12"/>
      <c r="AB123" s="43">
        <f>IFERROR(ROUND((Data_Geotech[[#This Row],[Fault (m)]]+Data_Geotech[[#This Row],[Broken Core (m)]]+Data_Geotech[[#This Row],[Lost Core (m)]])*30,0),0)</f>
        <v>2</v>
      </c>
      <c r="AC123" s="44">
        <f>IF(Data_Geotech[[#This Row],[Added fractures 
(BC, FLT, LC)]]+Data_Geotech[[#This Row],[Fracture per interval]]=0,99,1/((Data_Geotech[[#This Row],[Fracture per interval]]+Data_Geotech[[#This Row],[Added fractures 
(BC, FLT, LC)]])/Data_Geotech[[#This Row],[Run (m)]]))</f>
        <v>0.375</v>
      </c>
      <c r="AD123" s="155" cm="1">
        <f t="array" ref="AD123">IFERROR(_xlfn.XLOOKUP(1,(A123=PLT!$A$4:$A$8886)*(Geotech!C123&lt;=PLT!$F$4:$F$8886)*(Geotech!D123&gt;=PLT!$F$4:$F$8886)*("Valid"=PLT!$P$4:$P$8886),PLT!$V$4:$V$8886),"")</f>
        <v>0</v>
      </c>
      <c r="AE123" s="156" t="str" cm="1">
        <f t="array" ref="AE123">IFERROR(_xlfn.XLOOKUP(1,(A123=PLT!$A$4:$A$8886)*(Geotech!C123&lt;=PLT!$F$4:$F$8886)*(Geotech!D123&gt;=PLT!$F$4:$F$8886)*(PLT!$V$4:$V$8886&lt;&gt;AD123)*("Valid"=PLT!$P$4:$P$7190),PLT!$V$4:$V$8886),"")</f>
        <v/>
      </c>
      <c r="AF123" s="156" t="str" cm="1">
        <f t="array" ref="AF123">IFERROR(_xlfn.XLOOKUP(1,(A123=PLT!$A$4:$A$8886)*(Geotech!C123&lt;=PLT!$F$4:$F$8886)*(Geotech!D123&gt;=PLT!$F$4:$F$8886)*(PLT!$V$4:$V$8886&lt;&gt;AD123)*(PLT!$V$4:$V$8886&lt;&gt;AE123)*("Valid"=PLT!$P$4:$P$7190),PLT!$V$4:$V$8886),"")</f>
        <v/>
      </c>
      <c r="AG123" s="44">
        <f>IFERROR(IF(AVERAGE(AD123:AF123)&gt;References!$BO$23,References!$BP$23,
IF(AVERAGE(AD123:AF123)&gt;References!$BO$22,References!$BP$22,
IF(AVERAGE(AD123:AF123)&gt;References!$BO$21,References!$BP$21,
IF(AVERAGE(AD123:AF123)&gt;References!$BO$20,References!$BP$20,
IF(AVERAGE(AD123:AF123)&gt;References!$BO$19,References!$BP$19,
IF(AVERAGE(AD123:AF123)&gt;References!$BO$18,References!$BP$18,
0)))))),"")</f>
        <v>0</v>
      </c>
      <c r="AH123" s="43">
        <f>IF(Data_Geotech[[#This Row],[Is50]]="",VLOOKUP(Data_Geotech[[#This Row],[Field Intact Rock Strength]],Table_RMR76_Strength[],2,FALSE),Data_Geotech[[#This Row],[Is50]])</f>
        <v>0</v>
      </c>
      <c r="AI123" s="43">
        <f>IF(Data_Geotech[[#This Row],[RQD (%)]]&lt;=25,3,IF(Data_Geotech[[#This Row],[RQD (%)]]&lt;=50,8,IF(Data_Geotech[[#This Row],[RQD (%)]]&lt;=75,13,IF(Data_Geotech[[#This Row],[RQD (%)]]&lt;=90,17,20))))</f>
        <v>20</v>
      </c>
      <c r="AJ123" s="43">
        <f>IF(Data_Geotech[[#This Row],[Joint spacing (m)]]&lt;=0.05,5,IF(Data_Geotech[[#This Row],[Joint spacing (m)]]&lt;=0.3,10,IF(Data_Geotech[[#This Row],[Joint spacing (m)]]&lt;=1,20,IF(Data_Geotech[[#This Row],[Joint spacing (m)]]&lt;=3,25,30))))</f>
        <v>20</v>
      </c>
      <c r="AK12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16.333333333333332</v>
      </c>
      <c r="AL123" s="6">
        <v>10</v>
      </c>
      <c r="AM123" s="117">
        <f>IF(Data_Geotech[[#This Row],[FIRS Code]]="R",IFERROR(SUM(Data_Geotech[[#This Row],[RMR76 - Strength rating]:[RMR76 - Ground water rating]]),""),"")</f>
        <v>66.333333333333329</v>
      </c>
      <c r="AN123" s="39">
        <f>IF(Data_Geotech[[#This Row],[FIRS Code]]="R",(2*Data_Geotech[[#This Row],[RMR76 - Joint condition rating]])+(IF(Data_Geotech[[#This Row],[RQD (%)]]&gt;80,80/2,Data_Geotech[[#This Row],[RQD (%)]]/2)),"")</f>
        <v>72.666666666666657</v>
      </c>
      <c r="AO123" s="43" t="str">
        <f>LEFT(Data_Geotech[[#This Row],[Joint Set Rating]],FIND("-",Data_Geotech[[#This Row],[Joint Set Rating]],1)-2)</f>
        <v>6</v>
      </c>
      <c r="AP12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123" s="5">
        <f t="shared" si="0"/>
        <v>1</v>
      </c>
      <c r="AR123" s="49">
        <f>IF(Data_Geotech[[#This Row],[FIRS Code]]="R",IFERROR((IF(Data_Geotech[[#This Row],[RQD (%)]]&lt;10,10,Data_Geotech[[#This Row],[RQD (%)]])/Data_Geotech[[#This Row],[Jn rating]])*Data_Geotech[[#This Row],[Jr/Ja]],""),"")</f>
        <v>18.426724137931036</v>
      </c>
      <c r="AS123" s="45">
        <f>IF(Data_Geotech[[#This Row],[FIRS Code]]="R",IFERROR((IF(Data_Geotech[[#This Row],[RQD (%)]]&lt;10,10,Data_Geotech[[#This Row],[RQD (%)]])/Data_Geotech[[#This Row],[Jn rating]])*Data_Geotech[[#This Row],[Jr/Ja]]*Data_Geotech[[#This Row],[Jw/SRF]],""),"")</f>
        <v>18.426724137931036</v>
      </c>
      <c r="AT123" s="12"/>
      <c r="AU123" s="13">
        <f>100-Data_Geotech[[#This Row],[RQD (%)]]</f>
        <v>1.7241379310344769</v>
      </c>
      <c r="AV123" s="13">
        <f>100-Data_Geotech[[#This Row],[TCR (%)]]</f>
        <v>0</v>
      </c>
      <c r="AW123" s="62">
        <f>(Data_Geotech[[#This Row],[Fracture per interval]]+Data_Geotech[[#This Row],[Added fractures 
(BC, FLT, LC)]])/Data_Geotech[[#This Row],[TCR (m)]]</f>
        <v>2.6666666666666665</v>
      </c>
      <c r="AX123" s="6" t="s">
        <v>109</v>
      </c>
      <c r="AY123" s="63">
        <f>7-MID(Data_Geotech[[#This Row],[Field Intact Rock Strength]],2,1)</f>
        <v>2</v>
      </c>
      <c r="AZ123" s="63">
        <f>VLOOKUP(Data_Geotech[[#This Row],[Field Intact Rock Strength]],Table_FieldStrength[],2,FALSE)</f>
        <v>100</v>
      </c>
      <c r="BA123" s="63">
        <f>VLOOKUP(Data_Geotech[[#This Row],[Field Intact Rock Strength]],Table_FieldStrength[],3,FALSE)</f>
        <v>175</v>
      </c>
      <c r="BB123" s="63">
        <f>VLOOKUP(Data_Geotech[[#This Row],[Field Intact Rock Strength]],Table_FieldStrength[],4,FALSE)</f>
        <v>250</v>
      </c>
      <c r="BC123" s="63">
        <f>100-Data_Geotech[[#This Row],[RMR76]]</f>
        <v>33.666666666666671</v>
      </c>
      <c r="BD123" s="63" t="str">
        <f>LEFT(Data_Geotech[[#This Row],[Weathering/Alteration]],FIND("-",Data_Geotech[[#This Row],[Weathering/Alteration]])-2)</f>
        <v>W2/A2</v>
      </c>
    </row>
    <row r="124" spans="1:56" hidden="1" x14ac:dyDescent="0.25">
      <c r="A124" t="s">
        <v>36</v>
      </c>
      <c r="B124" s="16" t="str">
        <f>VLOOKUP(Data_Geotech[[#This Row],[Hole ID]],Data_Log[],2,FALSE)</f>
        <v>CGF-05</v>
      </c>
      <c r="C124" s="5">
        <v>66</v>
      </c>
      <c r="D124" s="5">
        <v>69</v>
      </c>
      <c r="E124" s="5">
        <f>(Data_Geotech[[#This Row],[To (m)]]-Data_Geotech[[#This Row],[From (m)]])/2+Data_Geotech[[#This Row],[From (m)]]</f>
        <v>67.5</v>
      </c>
      <c r="F124" s="13">
        <f>Data_Geotech[[#This Row],[To (m)]]-Data_Geotech[[#This Row],[From (m)]]</f>
        <v>3</v>
      </c>
      <c r="G124" s="5">
        <v>3</v>
      </c>
      <c r="H124" s="61">
        <v>3</v>
      </c>
      <c r="I124" s="151">
        <v>3</v>
      </c>
      <c r="J124" s="151">
        <v>3</v>
      </c>
      <c r="K124" s="5">
        <v>3</v>
      </c>
      <c r="L124" s="61">
        <f>Data_Geotech[[#This Row],[RQD (m)]]/Data_Geotech[[#This Row],[Run Reel (m)]]*100</f>
        <v>100</v>
      </c>
      <c r="M124" t="s">
        <v>569</v>
      </c>
      <c r="O124" t="s">
        <v>278</v>
      </c>
      <c r="P124" s="115" t="s">
        <v>397</v>
      </c>
      <c r="Q124" s="5" t="s">
        <v>313</v>
      </c>
      <c r="R124" s="5"/>
      <c r="S124" s="5"/>
      <c r="T124" s="5"/>
      <c r="U124" s="5"/>
      <c r="V124" s="6">
        <v>3</v>
      </c>
      <c r="W124" s="92">
        <f>SUMIFS(Discontinuities!$D$4:$D$9664,Discontinuities!$A$4:$A$9664,A124,Discontinuities!$C$4:$C$9664,"&gt;="&amp;C124,Discontinuities!$C$4:$C$9664,"&lt;"&amp;D124)
-SUMIFS(Discontinuities!$D$4:$D$9664,Discontinuities!$A$4:$A$9664,A124,Discontinuities!$C$4:$C$9664,"&gt;="&amp;C124,Discontinuities!$C$4:$C$9664,"&lt;"&amp;D124,Discontinuities!$E$4:$E$9664,"=BC")
-SUMIFS(Discontinuities!$D$4:$D$9664,Discontinuities!$A$4:$A$9664,A124,Discontinuities!$C$4:$C$9664,"&gt;="&amp;C124,Discontinuities!$C$4:$C$9664,"&lt;"&amp;D124,Discontinuities!$E$4:$E$9664,"=LC")
-SUMIFS(Discontinuities!$D$4:$D$9664,Discontinuities!$A$4:$A$9664,A124,Discontinuities!$C$4:$C$9664,"&gt;="&amp;C124,Discontinuities!$C$4:$C$9664,"&lt;"&amp;D124,Discontinuities!$E$4:$E$9664,"=FLT")</f>
        <v>3</v>
      </c>
      <c r="X124" t="s">
        <v>345</v>
      </c>
      <c r="AA124" s="12"/>
      <c r="AB124" s="43">
        <f>IFERROR(ROUND((Data_Geotech[[#This Row],[Fault (m)]]+Data_Geotech[[#This Row],[Broken Core (m)]]+Data_Geotech[[#This Row],[Lost Core (m)]])*30,0),0)</f>
        <v>0</v>
      </c>
      <c r="AC124" s="44">
        <f>IF(Data_Geotech[[#This Row],[Added fractures 
(BC, FLT, LC)]]+Data_Geotech[[#This Row],[Fracture per interval]]=0,99,1/((Data_Geotech[[#This Row],[Fracture per interval]]+Data_Geotech[[#This Row],[Added fractures 
(BC, FLT, LC)]])/Data_Geotech[[#This Row],[Run (m)]]))</f>
        <v>1</v>
      </c>
      <c r="AD124" s="155" cm="1">
        <f t="array" ref="AD124">IFERROR(_xlfn.XLOOKUP(1,(A124=PLT!$A$4:$A$8886)*(Geotech!C124&lt;=PLT!$F$4:$F$8886)*(Geotech!D124&gt;=PLT!$F$4:$F$8886)*("Valid"=PLT!$P$4:$P$8886),PLT!$V$4:$V$8886),"")</f>
        <v>0</v>
      </c>
      <c r="AE124" s="156" t="str" cm="1">
        <f t="array" ref="AE124">IFERROR(_xlfn.XLOOKUP(1,(A124=PLT!$A$4:$A$8886)*(Geotech!C124&lt;=PLT!$F$4:$F$8886)*(Geotech!D124&gt;=PLT!$F$4:$F$8886)*(PLT!$V$4:$V$8886&lt;&gt;AD124)*("Valid"=PLT!$P$4:$P$7190),PLT!$V$4:$V$8886),"")</f>
        <v/>
      </c>
      <c r="AF124" s="156" t="str" cm="1">
        <f t="array" ref="AF124">IFERROR(_xlfn.XLOOKUP(1,(A124=PLT!$A$4:$A$8886)*(Geotech!C124&lt;=PLT!$F$4:$F$8886)*(Geotech!D124&gt;=PLT!$F$4:$F$8886)*(PLT!$V$4:$V$8886&lt;&gt;AD124)*(PLT!$V$4:$V$8886&lt;&gt;AE124)*("Valid"=PLT!$P$4:$P$7190),PLT!$V$4:$V$8886),"")</f>
        <v/>
      </c>
      <c r="AG124" s="44">
        <f>IFERROR(IF(AVERAGE(AD124:AF124)&gt;References!$BO$23,References!$BP$23,
IF(AVERAGE(AD124:AF124)&gt;References!$BO$22,References!$BP$22,
IF(AVERAGE(AD124:AF124)&gt;References!$BO$21,References!$BP$21,
IF(AVERAGE(AD124:AF124)&gt;References!$BO$20,References!$BP$20,
IF(AVERAGE(AD124:AF124)&gt;References!$BO$19,References!$BP$19,
IF(AVERAGE(AD124:AF124)&gt;References!$BO$18,References!$BP$18,
0)))))),"")</f>
        <v>0</v>
      </c>
      <c r="AH124" s="43">
        <f>IF(Data_Geotech[[#This Row],[Is50]]="",VLOOKUP(Data_Geotech[[#This Row],[Field Intact Rock Strength]],Table_RMR76_Strength[],2,FALSE),Data_Geotech[[#This Row],[Is50]])</f>
        <v>0</v>
      </c>
      <c r="AI124" s="43">
        <f>IF(Data_Geotech[[#This Row],[RQD (%)]]&lt;=25,3,IF(Data_Geotech[[#This Row],[RQD (%)]]&lt;=50,8,IF(Data_Geotech[[#This Row],[RQD (%)]]&lt;=75,13,IF(Data_Geotech[[#This Row],[RQD (%)]]&lt;=90,17,20))))</f>
        <v>20</v>
      </c>
      <c r="AJ124" s="43">
        <f>IF(Data_Geotech[[#This Row],[Joint spacing (m)]]&lt;=0.05,5,IF(Data_Geotech[[#This Row],[Joint spacing (m)]]&lt;=0.3,10,IF(Data_Geotech[[#This Row],[Joint spacing (m)]]&lt;=1,20,IF(Data_Geotech[[#This Row],[Joint spacing (m)]]&lt;=3,25,30))))</f>
        <v>20</v>
      </c>
      <c r="AK12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124" s="6">
        <v>10</v>
      </c>
      <c r="AM124" s="117">
        <f>IF(Data_Geotech[[#This Row],[FIRS Code]]="R",IFERROR(SUM(Data_Geotech[[#This Row],[RMR76 - Strength rating]:[RMR76 - Ground water rating]]),""),"")</f>
        <v>62</v>
      </c>
      <c r="AN124" s="39">
        <f>IF(Data_Geotech[[#This Row],[FIRS Code]]="R",(2*Data_Geotech[[#This Row],[RMR76 - Joint condition rating]])+(IF(Data_Geotech[[#This Row],[RQD (%)]]&gt;80,80/2,Data_Geotech[[#This Row],[RQD (%)]]/2)),"")</f>
        <v>64</v>
      </c>
      <c r="AO124" s="43" t="str">
        <f>LEFT(Data_Geotech[[#This Row],[Joint Set Rating]],FIND("-",Data_Geotech[[#This Row],[Joint Set Rating]],1)-2)</f>
        <v>3</v>
      </c>
      <c r="AP12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0.55555555555555547</v>
      </c>
      <c r="AQ124" s="5">
        <f t="shared" si="0"/>
        <v>1</v>
      </c>
      <c r="AR124" s="49">
        <f>IF(Data_Geotech[[#This Row],[FIRS Code]]="R",IFERROR((IF(Data_Geotech[[#This Row],[RQD (%)]]&lt;10,10,Data_Geotech[[#This Row],[RQD (%)]])/Data_Geotech[[#This Row],[Jn rating]])*Data_Geotech[[#This Row],[Jr/Ja]],""),"")</f>
        <v>18.518518518518515</v>
      </c>
      <c r="AS124" s="45">
        <f>IF(Data_Geotech[[#This Row],[FIRS Code]]="R",IFERROR((IF(Data_Geotech[[#This Row],[RQD (%)]]&lt;10,10,Data_Geotech[[#This Row],[RQD (%)]])/Data_Geotech[[#This Row],[Jn rating]])*Data_Geotech[[#This Row],[Jr/Ja]]*Data_Geotech[[#This Row],[Jw/SRF]],""),"")</f>
        <v>18.518518518518515</v>
      </c>
      <c r="AT124" s="12"/>
      <c r="AU124" s="13">
        <f>100-Data_Geotech[[#This Row],[RQD (%)]]</f>
        <v>0</v>
      </c>
      <c r="AV124" s="13">
        <f>100-Data_Geotech[[#This Row],[TCR (%)]]</f>
        <v>97</v>
      </c>
      <c r="AW124" s="62">
        <f>(Data_Geotech[[#This Row],[Fracture per interval]]+Data_Geotech[[#This Row],[Added fractures 
(BC, FLT, LC)]])/Data_Geotech[[#This Row],[TCR (m)]]</f>
        <v>1</v>
      </c>
      <c r="AX124" s="6" t="s">
        <v>109</v>
      </c>
      <c r="AY124" s="63">
        <f>7-MID(Data_Geotech[[#This Row],[Field Intact Rock Strength]],2,1)</f>
        <v>2</v>
      </c>
      <c r="AZ124" s="63">
        <f>VLOOKUP(Data_Geotech[[#This Row],[Field Intact Rock Strength]],Table_FieldStrength[],2,FALSE)</f>
        <v>100</v>
      </c>
      <c r="BA124" s="63">
        <f>VLOOKUP(Data_Geotech[[#This Row],[Field Intact Rock Strength]],Table_FieldStrength[],3,FALSE)</f>
        <v>175</v>
      </c>
      <c r="BB124" s="63">
        <f>VLOOKUP(Data_Geotech[[#This Row],[Field Intact Rock Strength]],Table_FieldStrength[],4,FALSE)</f>
        <v>250</v>
      </c>
      <c r="BC124" s="63">
        <f>100-Data_Geotech[[#This Row],[RMR76]]</f>
        <v>38</v>
      </c>
      <c r="BD124" s="63" t="str">
        <f>LEFT(Data_Geotech[[#This Row],[Weathering/Alteration]],FIND("-",Data_Geotech[[#This Row],[Weathering/Alteration]])-2)</f>
        <v>W2/A2</v>
      </c>
    </row>
    <row r="125" spans="1:56" hidden="1" x14ac:dyDescent="0.25">
      <c r="A125" t="s">
        <v>36</v>
      </c>
      <c r="B125" s="16" t="str">
        <f>VLOOKUP(Data_Geotech[[#This Row],[Hole ID]],Data_Log[],2,FALSE)</f>
        <v>CGF-05</v>
      </c>
      <c r="C125" s="5">
        <v>69</v>
      </c>
      <c r="D125" s="5">
        <v>70.239999999999995</v>
      </c>
      <c r="E125" s="5">
        <f>(Data_Geotech[[#This Row],[To (m)]]-Data_Geotech[[#This Row],[From (m)]])/2+Data_Geotech[[#This Row],[From (m)]]</f>
        <v>69.62</v>
      </c>
      <c r="F125" s="13">
        <f>Data_Geotech[[#This Row],[To (m)]]-Data_Geotech[[#This Row],[From (m)]]</f>
        <v>1.2399999999999949</v>
      </c>
      <c r="G125" s="5">
        <v>1.24</v>
      </c>
      <c r="H125" s="61">
        <f>Data_Geotech[[#This Row],[TCR (m)]]/Data_Geotech[[#This Row],[Run (m)]]*100</f>
        <v>100.00000000000043</v>
      </c>
      <c r="I125" s="151">
        <v>1.24</v>
      </c>
      <c r="J125" s="151">
        <v>1.24</v>
      </c>
      <c r="K125" s="5">
        <v>1.24</v>
      </c>
      <c r="L125" s="61">
        <f>Data_Geotech[[#This Row],[RQD (m)]]/Data_Geotech[[#This Row],[Run Reel (m)]]*100</f>
        <v>100</v>
      </c>
      <c r="M125" t="s">
        <v>569</v>
      </c>
      <c r="O125" t="s">
        <v>243</v>
      </c>
      <c r="P125" s="115" t="s">
        <v>397</v>
      </c>
      <c r="Q125" s="5" t="s">
        <v>313</v>
      </c>
      <c r="R125" s="5"/>
      <c r="S125" s="5"/>
      <c r="T125" s="5"/>
      <c r="U125" s="5"/>
      <c r="V125" s="6">
        <v>1</v>
      </c>
      <c r="W125" s="92">
        <f>SUMIFS(Discontinuities!$D$4:$D$9664,Discontinuities!$A$4:$A$9664,A125,Discontinuities!$C$4:$C$9664,"&gt;="&amp;C125,Discontinuities!$C$4:$C$9664,"&lt;"&amp;D125)
-SUMIFS(Discontinuities!$D$4:$D$9664,Discontinuities!$A$4:$A$9664,A125,Discontinuities!$C$4:$C$9664,"&gt;="&amp;C125,Discontinuities!$C$4:$C$9664,"&lt;"&amp;D125,Discontinuities!$E$4:$E$9664,"=BC")
-SUMIFS(Discontinuities!$D$4:$D$9664,Discontinuities!$A$4:$A$9664,A125,Discontinuities!$C$4:$C$9664,"&gt;="&amp;C125,Discontinuities!$C$4:$C$9664,"&lt;"&amp;D125,Discontinuities!$E$4:$E$9664,"=LC")
-SUMIFS(Discontinuities!$D$4:$D$9664,Discontinuities!$A$4:$A$9664,A125,Discontinuities!$C$4:$C$9664,"&gt;="&amp;C125,Discontinuities!$C$4:$C$9664,"&lt;"&amp;D125,Discontinuities!$E$4:$E$9664,"=FLT")</f>
        <v>1</v>
      </c>
      <c r="X125" t="s">
        <v>312</v>
      </c>
      <c r="AA125" s="12"/>
      <c r="AB125" s="43">
        <f>IFERROR(ROUND((Data_Geotech[[#This Row],[Fault (m)]]+Data_Geotech[[#This Row],[Broken Core (m)]]+Data_Geotech[[#This Row],[Lost Core (m)]])*30,0),0)</f>
        <v>0</v>
      </c>
      <c r="AC125" s="44">
        <f>IF(Data_Geotech[[#This Row],[Added fractures 
(BC, FLT, LC)]]+Data_Geotech[[#This Row],[Fracture per interval]]=0,99,1/((Data_Geotech[[#This Row],[Fracture per interval]]+Data_Geotech[[#This Row],[Added fractures 
(BC, FLT, LC)]])/Data_Geotech[[#This Row],[Run (m)]]))</f>
        <v>1.2399999999999949</v>
      </c>
      <c r="AD125" s="155" cm="1">
        <f t="array" ref="AD125">IFERROR(_xlfn.XLOOKUP(1,(A125=PLT!$A$4:$A$8886)*(Geotech!C125&lt;=PLT!$F$4:$F$8886)*(Geotech!D125&gt;=PLT!$F$4:$F$8886)*("Valid"=PLT!$P$4:$P$8886),PLT!$V$4:$V$8886),"")</f>
        <v>0</v>
      </c>
      <c r="AE125" s="156" t="str" cm="1">
        <f t="array" ref="AE125">IFERROR(_xlfn.XLOOKUP(1,(A125=PLT!$A$4:$A$8886)*(Geotech!C125&lt;=PLT!$F$4:$F$8886)*(Geotech!D125&gt;=PLT!$F$4:$F$8886)*(PLT!$V$4:$V$8886&lt;&gt;AD125)*("Valid"=PLT!$P$4:$P$7190),PLT!$V$4:$V$8886),"")</f>
        <v/>
      </c>
      <c r="AF125" s="156" t="str" cm="1">
        <f t="array" ref="AF125">IFERROR(_xlfn.XLOOKUP(1,(A125=PLT!$A$4:$A$8886)*(Geotech!C125&lt;=PLT!$F$4:$F$8886)*(Geotech!D125&gt;=PLT!$F$4:$F$8886)*(PLT!$V$4:$V$8886&lt;&gt;AD125)*(PLT!$V$4:$V$8886&lt;&gt;AE125)*("Valid"=PLT!$P$4:$P$7190),PLT!$V$4:$V$8886),"")</f>
        <v/>
      </c>
      <c r="AG125" s="44">
        <f>IFERROR(IF(AVERAGE(AD125:AF125)&gt;References!$BO$23,References!$BP$23,
IF(AVERAGE(AD125:AF125)&gt;References!$BO$22,References!$BP$22,
IF(AVERAGE(AD125:AF125)&gt;References!$BO$21,References!$BP$21,
IF(AVERAGE(AD125:AF125)&gt;References!$BO$20,References!$BP$20,
IF(AVERAGE(AD125:AF125)&gt;References!$BO$19,References!$BP$19,
IF(AVERAGE(AD125:AF125)&gt;References!$BO$18,References!$BP$18,
0)))))),"")</f>
        <v>0</v>
      </c>
      <c r="AH125" s="43">
        <f>IF(Data_Geotech[[#This Row],[Is50]]="",VLOOKUP(Data_Geotech[[#This Row],[Field Intact Rock Strength]],Table_RMR76_Strength[],2,FALSE),Data_Geotech[[#This Row],[Is50]])</f>
        <v>0</v>
      </c>
      <c r="AI125" s="43">
        <f>IF(Data_Geotech[[#This Row],[RQD (%)]]&lt;=25,3,IF(Data_Geotech[[#This Row],[RQD (%)]]&lt;=50,8,IF(Data_Geotech[[#This Row],[RQD (%)]]&lt;=75,13,IF(Data_Geotech[[#This Row],[RQD (%)]]&lt;=90,17,20))))</f>
        <v>20</v>
      </c>
      <c r="AJ125" s="43">
        <f>IF(Data_Geotech[[#This Row],[Joint spacing (m)]]&lt;=0.05,5,IF(Data_Geotech[[#This Row],[Joint spacing (m)]]&lt;=0.3,10,IF(Data_Geotech[[#This Row],[Joint spacing (m)]]&lt;=1,20,IF(Data_Geotech[[#This Row],[Joint spacing (m)]]&lt;=3,25,30))))</f>
        <v>25</v>
      </c>
      <c r="AK12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25" s="6">
        <v>10</v>
      </c>
      <c r="AM125" s="117">
        <f>IF(Data_Geotech[[#This Row],[FIRS Code]]="R",IFERROR(SUM(Data_Geotech[[#This Row],[RMR76 - Strength rating]:[RMR76 - Ground water rating]]),""),"")</f>
        <v>80</v>
      </c>
      <c r="AN125" s="39">
        <f>IF(Data_Geotech[[#This Row],[FIRS Code]]="R",(2*Data_Geotech[[#This Row],[RMR76 - Joint condition rating]])+(IF(Data_Geotech[[#This Row],[RQD (%)]]&gt;80,80/2,Data_Geotech[[#This Row],[RQD (%)]]/2)),"")</f>
        <v>90</v>
      </c>
      <c r="AO125" s="43" t="str">
        <f>LEFT(Data_Geotech[[#This Row],[Joint Set Rating]],FIND("-",Data_Geotech[[#This Row],[Joint Set Rating]],1)-2)</f>
        <v>2</v>
      </c>
      <c r="AP12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125" s="5">
        <f t="shared" si="0"/>
        <v>1</v>
      </c>
      <c r="AR125" s="49">
        <f>IF(Data_Geotech[[#This Row],[FIRS Code]]="R",IFERROR((IF(Data_Geotech[[#This Row],[RQD (%)]]&lt;10,10,Data_Geotech[[#This Row],[RQD (%)]])/Data_Geotech[[#This Row],[Jn rating]])*Data_Geotech[[#This Row],[Jr/Ja]],""),"")</f>
        <v>75</v>
      </c>
      <c r="AS125" s="45">
        <f>IF(Data_Geotech[[#This Row],[FIRS Code]]="R",IFERROR((IF(Data_Geotech[[#This Row],[RQD (%)]]&lt;10,10,Data_Geotech[[#This Row],[RQD (%)]])/Data_Geotech[[#This Row],[Jn rating]])*Data_Geotech[[#This Row],[Jr/Ja]]*Data_Geotech[[#This Row],[Jw/SRF]],""),"")</f>
        <v>75</v>
      </c>
      <c r="AT125" s="12"/>
      <c r="AU125" s="13">
        <f>100-Data_Geotech[[#This Row],[RQD (%)]]</f>
        <v>0</v>
      </c>
      <c r="AV125" s="13">
        <f>100-Data_Geotech[[#This Row],[TCR (%)]]</f>
        <v>-4.2632564145606011E-13</v>
      </c>
      <c r="AW125" s="62">
        <f>(Data_Geotech[[#This Row],[Fracture per interval]]+Data_Geotech[[#This Row],[Added fractures 
(BC, FLT, LC)]])/Data_Geotech[[#This Row],[TCR (m)]]</f>
        <v>0.80645161290322587</v>
      </c>
      <c r="AX125" s="6" t="s">
        <v>109</v>
      </c>
      <c r="AY125" s="63">
        <f>7-MID(Data_Geotech[[#This Row],[Field Intact Rock Strength]],2,1)</f>
        <v>2</v>
      </c>
      <c r="AZ125" s="63">
        <f>VLOOKUP(Data_Geotech[[#This Row],[Field Intact Rock Strength]],Table_FieldStrength[],2,FALSE)</f>
        <v>100</v>
      </c>
      <c r="BA125" s="63">
        <f>VLOOKUP(Data_Geotech[[#This Row],[Field Intact Rock Strength]],Table_FieldStrength[],3,FALSE)</f>
        <v>175</v>
      </c>
      <c r="BB125" s="63">
        <f>VLOOKUP(Data_Geotech[[#This Row],[Field Intact Rock Strength]],Table_FieldStrength[],4,FALSE)</f>
        <v>250</v>
      </c>
      <c r="BC125" s="63">
        <f>100-Data_Geotech[[#This Row],[RMR76]]</f>
        <v>20</v>
      </c>
      <c r="BD125" s="63" t="str">
        <f>LEFT(Data_Geotech[[#This Row],[Weathering/Alteration]],FIND("-",Data_Geotech[[#This Row],[Weathering/Alteration]])-2)</f>
        <v>W1/A1</v>
      </c>
    </row>
    <row r="126" spans="1:56" hidden="1" x14ac:dyDescent="0.25">
      <c r="A126" t="s">
        <v>36</v>
      </c>
      <c r="B126" s="16" t="str">
        <f>VLOOKUP(Data_Geotech[[#This Row],[Hole ID]],Data_Log[],2,FALSE)</f>
        <v>CGF-05</v>
      </c>
      <c r="C126" s="5">
        <v>70.239999999999995</v>
      </c>
      <c r="D126" s="5">
        <v>70.599999999999994</v>
      </c>
      <c r="E126" s="5">
        <f>(Data_Geotech[[#This Row],[To (m)]]-Data_Geotech[[#This Row],[From (m)]])/2+Data_Geotech[[#This Row],[From (m)]]</f>
        <v>70.419999999999987</v>
      </c>
      <c r="F126" s="13">
        <f>Data_Geotech[[#This Row],[To (m)]]-Data_Geotech[[#This Row],[From (m)]]</f>
        <v>0.35999999999999943</v>
      </c>
      <c r="G126" s="5">
        <v>0.36</v>
      </c>
      <c r="H126" s="61">
        <f>Data_Geotech[[#This Row],[TCR (m)]]/Data_Geotech[[#This Row],[Run (m)]]*100</f>
        <v>100.00000000000016</v>
      </c>
      <c r="I126" s="151">
        <v>0.36</v>
      </c>
      <c r="J126" s="151">
        <v>0.36</v>
      </c>
      <c r="K126" s="5">
        <v>0.36</v>
      </c>
      <c r="L126" s="61">
        <f>Data_Geotech[[#This Row],[RQD (m)]]/Data_Geotech[[#This Row],[Run Reel (m)]]*100</f>
        <v>100</v>
      </c>
      <c r="M126" t="s">
        <v>600</v>
      </c>
      <c r="O126" t="s">
        <v>243</v>
      </c>
      <c r="P126" s="115" t="s">
        <v>416</v>
      </c>
      <c r="Q126" s="5" t="s">
        <v>346</v>
      </c>
      <c r="R126" s="5"/>
      <c r="S126" s="5"/>
      <c r="T126" s="5"/>
      <c r="U126" s="5"/>
      <c r="V126" s="6">
        <v>0</v>
      </c>
      <c r="W126" s="92">
        <f>SUMIFS(Discontinuities!$D$4:$D$9664,Discontinuities!$A$4:$A$9664,A126,Discontinuities!$C$4:$C$9664,"&gt;="&amp;C126,Discontinuities!$C$4:$C$9664,"&lt;"&amp;D126)
-SUMIFS(Discontinuities!$D$4:$D$9664,Discontinuities!$A$4:$A$9664,A126,Discontinuities!$C$4:$C$9664,"&gt;="&amp;C126,Discontinuities!$C$4:$C$9664,"&lt;"&amp;D126,Discontinuities!$E$4:$E$9664,"=BC")
-SUMIFS(Discontinuities!$D$4:$D$9664,Discontinuities!$A$4:$A$9664,A126,Discontinuities!$C$4:$C$9664,"&gt;="&amp;C126,Discontinuities!$C$4:$C$9664,"&lt;"&amp;D126,Discontinuities!$E$4:$E$9664,"=LC")
-SUMIFS(Discontinuities!$D$4:$D$9664,Discontinuities!$A$4:$A$9664,A126,Discontinuities!$C$4:$C$9664,"&gt;="&amp;C126,Discontinuities!$C$4:$C$9664,"&lt;"&amp;D126,Discontinuities!$E$4:$E$9664,"=FLT")</f>
        <v>0</v>
      </c>
      <c r="X126" t="s">
        <v>280</v>
      </c>
      <c r="AA126" s="12"/>
      <c r="AB126" s="43">
        <f>IFERROR(ROUND((Data_Geotech[[#This Row],[Fault (m)]]+Data_Geotech[[#This Row],[Broken Core (m)]]+Data_Geotech[[#This Row],[Lost Core (m)]])*30,0),0)</f>
        <v>0</v>
      </c>
      <c r="AC126" s="44">
        <f>IF(Data_Geotech[[#This Row],[Added fractures 
(BC, FLT, LC)]]+Data_Geotech[[#This Row],[Fracture per interval]]=0,99,1/((Data_Geotech[[#This Row],[Fracture per interval]]+Data_Geotech[[#This Row],[Added fractures 
(BC, FLT, LC)]])/Data_Geotech[[#This Row],[Run (m)]]))</f>
        <v>99</v>
      </c>
      <c r="AD126" s="155" cm="1">
        <f t="array" ref="AD126">IFERROR(_xlfn.XLOOKUP(1,(A126=PLT!$A$4:$A$8886)*(Geotech!C126&lt;=PLT!$F$4:$F$8886)*(Geotech!D126&gt;=PLT!$F$4:$F$8886)*("Valid"=PLT!$P$4:$P$8886),PLT!$V$4:$V$8886),"")</f>
        <v>0</v>
      </c>
      <c r="AE126" s="156" t="str" cm="1">
        <f t="array" ref="AE126">IFERROR(_xlfn.XLOOKUP(1,(A126=PLT!$A$4:$A$8886)*(Geotech!C126&lt;=PLT!$F$4:$F$8886)*(Geotech!D126&gt;=PLT!$F$4:$F$8886)*(PLT!$V$4:$V$8886&lt;&gt;AD126)*("Valid"=PLT!$P$4:$P$7190),PLT!$V$4:$V$8886),"")</f>
        <v/>
      </c>
      <c r="AF126" s="156" t="str" cm="1">
        <f t="array" ref="AF126">IFERROR(_xlfn.XLOOKUP(1,(A126=PLT!$A$4:$A$8886)*(Geotech!C126&lt;=PLT!$F$4:$F$8886)*(Geotech!D126&gt;=PLT!$F$4:$F$8886)*(PLT!$V$4:$V$8886&lt;&gt;AD126)*(PLT!$V$4:$V$8886&lt;&gt;AE126)*("Valid"=PLT!$P$4:$P$7190),PLT!$V$4:$V$8886),"")</f>
        <v/>
      </c>
      <c r="AG126" s="44">
        <f>IFERROR(IF(AVERAGE(AD126:AF126)&gt;References!$BO$23,References!$BP$23,
IF(AVERAGE(AD126:AF126)&gt;References!$BO$22,References!$BP$22,
IF(AVERAGE(AD126:AF126)&gt;References!$BO$21,References!$BP$21,
IF(AVERAGE(AD126:AF126)&gt;References!$BO$20,References!$BP$20,
IF(AVERAGE(AD126:AF126)&gt;References!$BO$19,References!$BP$19,
IF(AVERAGE(AD126:AF126)&gt;References!$BO$18,References!$BP$18,
0)))))),"")</f>
        <v>0</v>
      </c>
      <c r="AH126" s="43">
        <f>IF(Data_Geotech[[#This Row],[Is50]]="",VLOOKUP(Data_Geotech[[#This Row],[Field Intact Rock Strength]],Table_RMR76_Strength[],2,FALSE),Data_Geotech[[#This Row],[Is50]])</f>
        <v>0</v>
      </c>
      <c r="AI126" s="43">
        <f>IF(Data_Geotech[[#This Row],[RQD (%)]]&lt;=25,3,IF(Data_Geotech[[#This Row],[RQD (%)]]&lt;=50,8,IF(Data_Geotech[[#This Row],[RQD (%)]]&lt;=75,13,IF(Data_Geotech[[#This Row],[RQD (%)]]&lt;=90,17,20))))</f>
        <v>20</v>
      </c>
      <c r="AJ126" s="43">
        <f>IF(Data_Geotech[[#This Row],[Joint spacing (m)]]&lt;=0.05,5,IF(Data_Geotech[[#This Row],[Joint spacing (m)]]&lt;=0.3,10,IF(Data_Geotech[[#This Row],[Joint spacing (m)]]&lt;=1,20,IF(Data_Geotech[[#This Row],[Joint spacing (m)]]&lt;=3,25,30))))</f>
        <v>30</v>
      </c>
      <c r="AK12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26" s="6">
        <v>10</v>
      </c>
      <c r="AM126" s="117">
        <f>IF(Data_Geotech[[#This Row],[FIRS Code]]="R",IFERROR(SUM(Data_Geotech[[#This Row],[RMR76 - Strength rating]:[RMR76 - Ground water rating]]),""),"")</f>
        <v>85</v>
      </c>
      <c r="AN126" s="39">
        <f>IF(Data_Geotech[[#This Row],[FIRS Code]]="R",(2*Data_Geotech[[#This Row],[RMR76 - Joint condition rating]])+(IF(Data_Geotech[[#This Row],[RQD (%)]]&gt;80,80/2,Data_Geotech[[#This Row],[RQD (%)]]/2)),"")</f>
        <v>90</v>
      </c>
      <c r="AO126" s="43" t="str">
        <f>LEFT(Data_Geotech[[#This Row],[Joint Set Rating]],FIND("-",Data_Geotech[[#This Row],[Joint Set Rating]],1)-2)</f>
        <v>1</v>
      </c>
      <c r="AP12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26" s="5">
        <f t="shared" si="0"/>
        <v>1</v>
      </c>
      <c r="AR126" s="49">
        <f>IF(Data_Geotech[[#This Row],[FIRS Code]]="R",IFERROR((IF(Data_Geotech[[#This Row],[RQD (%)]]&lt;10,10,Data_Geotech[[#This Row],[RQD (%)]])/Data_Geotech[[#This Row],[Jn rating]])*Data_Geotech[[#This Row],[Jr/Ja]],""),"")</f>
        <v>533.33333333333326</v>
      </c>
      <c r="AS126" s="45">
        <f>IF(Data_Geotech[[#This Row],[FIRS Code]]="R",IFERROR((IF(Data_Geotech[[#This Row],[RQD (%)]]&lt;10,10,Data_Geotech[[#This Row],[RQD (%)]])/Data_Geotech[[#This Row],[Jn rating]])*Data_Geotech[[#This Row],[Jr/Ja]]*Data_Geotech[[#This Row],[Jw/SRF]],""),"")</f>
        <v>533.33333333333326</v>
      </c>
      <c r="AT126" s="12"/>
      <c r="AU126" s="13">
        <f>100-Data_Geotech[[#This Row],[RQD (%)]]</f>
        <v>0</v>
      </c>
      <c r="AV126" s="13">
        <f>100-Data_Geotech[[#This Row],[TCR (%)]]</f>
        <v>-1.5631940186722204E-13</v>
      </c>
      <c r="AW126" s="62">
        <f>(Data_Geotech[[#This Row],[Fracture per interval]]+Data_Geotech[[#This Row],[Added fractures 
(BC, FLT, LC)]])/Data_Geotech[[#This Row],[TCR (m)]]</f>
        <v>0</v>
      </c>
      <c r="AX126" s="6" t="s">
        <v>109</v>
      </c>
      <c r="AY126" s="63">
        <f>7-MID(Data_Geotech[[#This Row],[Field Intact Rock Strength]],2,1)</f>
        <v>1</v>
      </c>
      <c r="AZ126" s="63">
        <f>VLOOKUP(Data_Geotech[[#This Row],[Field Intact Rock Strength]],Table_FieldStrength[],2,FALSE)</f>
        <v>250</v>
      </c>
      <c r="BA126" s="63">
        <f>VLOOKUP(Data_Geotech[[#This Row],[Field Intact Rock Strength]],Table_FieldStrength[],3,FALSE)</f>
        <v>275</v>
      </c>
      <c r="BB126" s="63">
        <f>VLOOKUP(Data_Geotech[[#This Row],[Field Intact Rock Strength]],Table_FieldStrength[],4,FALSE)</f>
        <v>300</v>
      </c>
      <c r="BC126" s="63">
        <f>100-Data_Geotech[[#This Row],[RMR76]]</f>
        <v>15</v>
      </c>
      <c r="BD126" s="63" t="str">
        <f>LEFT(Data_Geotech[[#This Row],[Weathering/Alteration]],FIND("-",Data_Geotech[[#This Row],[Weathering/Alteration]])-2)</f>
        <v>W1/A1</v>
      </c>
    </row>
    <row r="127" spans="1:56" hidden="1" x14ac:dyDescent="0.25">
      <c r="A127" t="s">
        <v>36</v>
      </c>
      <c r="B127" s="16" t="str">
        <f>VLOOKUP(Data_Geotech[[#This Row],[Hole ID]],Data_Log[],2,FALSE)</f>
        <v>CGF-05</v>
      </c>
      <c r="C127" s="5">
        <v>70.599999999999994</v>
      </c>
      <c r="D127" s="5">
        <v>72.05</v>
      </c>
      <c r="E127" s="5">
        <f>(Data_Geotech[[#This Row],[To (m)]]-Data_Geotech[[#This Row],[From (m)]])/2+Data_Geotech[[#This Row],[From (m)]]</f>
        <v>71.324999999999989</v>
      </c>
      <c r="F127" s="13">
        <f>Data_Geotech[[#This Row],[To (m)]]-Data_Geotech[[#This Row],[From (m)]]</f>
        <v>1.4500000000000028</v>
      </c>
      <c r="G127" s="5">
        <v>1.45</v>
      </c>
      <c r="H127" s="61">
        <f>Data_Geotech[[#This Row],[TCR (m)]]/Data_Geotech[[#This Row],[Run (m)]]*100</f>
        <v>99.999999999999801</v>
      </c>
      <c r="I127" s="151">
        <v>1.43</v>
      </c>
      <c r="J127" s="151">
        <v>1.43</v>
      </c>
      <c r="K127" s="5">
        <v>1.43</v>
      </c>
      <c r="L127" s="61">
        <f>Data_Geotech[[#This Row],[RQD (m)]]/Data_Geotech[[#This Row],[Run Reel (m)]]*100</f>
        <v>100</v>
      </c>
      <c r="M127" t="s">
        <v>569</v>
      </c>
      <c r="O127" t="s">
        <v>243</v>
      </c>
      <c r="P127" s="115" t="s">
        <v>416</v>
      </c>
      <c r="Q127" s="5" t="s">
        <v>313</v>
      </c>
      <c r="R127" s="5"/>
      <c r="S127" s="5"/>
      <c r="T127" s="5"/>
      <c r="U127" s="5"/>
      <c r="V127" s="6">
        <v>2</v>
      </c>
      <c r="W127" s="92">
        <f>SUMIFS(Discontinuities!$D$4:$D$9664,Discontinuities!$A$4:$A$9664,A127,Discontinuities!$C$4:$C$9664,"&gt;="&amp;C127,Discontinuities!$C$4:$C$9664,"&lt;"&amp;D127)
-SUMIFS(Discontinuities!$D$4:$D$9664,Discontinuities!$A$4:$A$9664,A127,Discontinuities!$C$4:$C$9664,"&gt;="&amp;C127,Discontinuities!$C$4:$C$9664,"&lt;"&amp;D127,Discontinuities!$E$4:$E$9664,"=BC")
-SUMIFS(Discontinuities!$D$4:$D$9664,Discontinuities!$A$4:$A$9664,A127,Discontinuities!$C$4:$C$9664,"&gt;="&amp;C127,Discontinuities!$C$4:$C$9664,"&lt;"&amp;D127,Discontinuities!$E$4:$E$9664,"=LC")
-SUMIFS(Discontinuities!$D$4:$D$9664,Discontinuities!$A$4:$A$9664,A127,Discontinuities!$C$4:$C$9664,"&gt;="&amp;C127,Discontinuities!$C$4:$C$9664,"&lt;"&amp;D127,Discontinuities!$E$4:$E$9664,"=FLT")</f>
        <v>2</v>
      </c>
      <c r="X127" t="s">
        <v>345</v>
      </c>
      <c r="AA127" s="12"/>
      <c r="AB127" s="43">
        <f>IFERROR(ROUND((Data_Geotech[[#This Row],[Fault (m)]]+Data_Geotech[[#This Row],[Broken Core (m)]]+Data_Geotech[[#This Row],[Lost Core (m)]])*30,0),0)</f>
        <v>0</v>
      </c>
      <c r="AC127" s="44">
        <f>IF(Data_Geotech[[#This Row],[Added fractures 
(BC, FLT, LC)]]+Data_Geotech[[#This Row],[Fracture per interval]]=0,99,1/((Data_Geotech[[#This Row],[Fracture per interval]]+Data_Geotech[[#This Row],[Added fractures 
(BC, FLT, LC)]])/Data_Geotech[[#This Row],[Run (m)]]))</f>
        <v>0.72500000000000142</v>
      </c>
      <c r="AD127" s="155" cm="1">
        <f t="array" ref="AD127">IFERROR(_xlfn.XLOOKUP(1,(A127=PLT!$A$4:$A$8886)*(Geotech!C127&lt;=PLT!$F$4:$F$8886)*(Geotech!D127&gt;=PLT!$F$4:$F$8886)*("Valid"=PLT!$P$4:$P$8886),PLT!$V$4:$V$8886),"")</f>
        <v>0</v>
      </c>
      <c r="AE127" s="156" t="str" cm="1">
        <f t="array" ref="AE127">IFERROR(_xlfn.XLOOKUP(1,(A127=PLT!$A$4:$A$8886)*(Geotech!C127&lt;=PLT!$F$4:$F$8886)*(Geotech!D127&gt;=PLT!$F$4:$F$8886)*(PLT!$V$4:$V$8886&lt;&gt;AD127)*("Valid"=PLT!$P$4:$P$7190),PLT!$V$4:$V$8886),"")</f>
        <v/>
      </c>
      <c r="AF127" s="156" t="str" cm="1">
        <f t="array" ref="AF127">IFERROR(_xlfn.XLOOKUP(1,(A127=PLT!$A$4:$A$8886)*(Geotech!C127&lt;=PLT!$F$4:$F$8886)*(Geotech!D127&gt;=PLT!$F$4:$F$8886)*(PLT!$V$4:$V$8886&lt;&gt;AD127)*(PLT!$V$4:$V$8886&lt;&gt;AE127)*("Valid"=PLT!$P$4:$P$7190),PLT!$V$4:$V$8886),"")</f>
        <v/>
      </c>
      <c r="AG127" s="44">
        <f>IFERROR(IF(AVERAGE(AD127:AF127)&gt;References!$BO$23,References!$BP$23,
IF(AVERAGE(AD127:AF127)&gt;References!$BO$22,References!$BP$22,
IF(AVERAGE(AD127:AF127)&gt;References!$BO$21,References!$BP$21,
IF(AVERAGE(AD127:AF127)&gt;References!$BO$20,References!$BP$20,
IF(AVERAGE(AD127:AF127)&gt;References!$BO$19,References!$BP$19,
IF(AVERAGE(AD127:AF127)&gt;References!$BO$18,References!$BP$18,
0)))))),"")</f>
        <v>0</v>
      </c>
      <c r="AH127" s="43">
        <f>IF(Data_Geotech[[#This Row],[Is50]]="",VLOOKUP(Data_Geotech[[#This Row],[Field Intact Rock Strength]],Table_RMR76_Strength[],2,FALSE),Data_Geotech[[#This Row],[Is50]])</f>
        <v>0</v>
      </c>
      <c r="AI127" s="43">
        <f>IF(Data_Geotech[[#This Row],[RQD (%)]]&lt;=25,3,IF(Data_Geotech[[#This Row],[RQD (%)]]&lt;=50,8,IF(Data_Geotech[[#This Row],[RQD (%)]]&lt;=75,13,IF(Data_Geotech[[#This Row],[RQD (%)]]&lt;=90,17,20))))</f>
        <v>20</v>
      </c>
      <c r="AJ127" s="43">
        <f>IF(Data_Geotech[[#This Row],[Joint spacing (m)]]&lt;=0.05,5,IF(Data_Geotech[[#This Row],[Joint spacing (m)]]&lt;=0.3,10,IF(Data_Geotech[[#This Row],[Joint spacing (m)]]&lt;=1,20,IF(Data_Geotech[[#This Row],[Joint spacing (m)]]&lt;=3,25,30))))</f>
        <v>20</v>
      </c>
      <c r="AK12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18.5</v>
      </c>
      <c r="AL127" s="6">
        <v>10</v>
      </c>
      <c r="AM127" s="117">
        <f>IF(Data_Geotech[[#This Row],[FIRS Code]]="R",IFERROR(SUM(Data_Geotech[[#This Row],[RMR76 - Strength rating]:[RMR76 - Ground water rating]]),""),"")</f>
        <v>68.5</v>
      </c>
      <c r="AN127" s="39">
        <f>IF(Data_Geotech[[#This Row],[FIRS Code]]="R",(2*Data_Geotech[[#This Row],[RMR76 - Joint condition rating]])+(IF(Data_Geotech[[#This Row],[RQD (%)]]&gt;80,80/2,Data_Geotech[[#This Row],[RQD (%)]]/2)),"")</f>
        <v>77</v>
      </c>
      <c r="AO127" s="43" t="str">
        <f>LEFT(Data_Geotech[[#This Row],[Joint Set Rating]],FIND("-",Data_Geotech[[#This Row],[Joint Set Rating]],1)-2)</f>
        <v>3</v>
      </c>
      <c r="AP12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1.75</v>
      </c>
      <c r="AQ127" s="5">
        <f t="shared" si="0"/>
        <v>1</v>
      </c>
      <c r="AR127" s="49">
        <f>IF(Data_Geotech[[#This Row],[FIRS Code]]="R",IFERROR((IF(Data_Geotech[[#This Row],[RQD (%)]]&lt;10,10,Data_Geotech[[#This Row],[RQD (%)]])/Data_Geotech[[#This Row],[Jn rating]])*Data_Geotech[[#This Row],[Jr/Ja]],""),"")</f>
        <v>58.333333333333336</v>
      </c>
      <c r="AS127" s="45">
        <f>IF(Data_Geotech[[#This Row],[FIRS Code]]="R",IFERROR((IF(Data_Geotech[[#This Row],[RQD (%)]]&lt;10,10,Data_Geotech[[#This Row],[RQD (%)]])/Data_Geotech[[#This Row],[Jn rating]])*Data_Geotech[[#This Row],[Jr/Ja]]*Data_Geotech[[#This Row],[Jw/SRF]],""),"")</f>
        <v>58.333333333333336</v>
      </c>
      <c r="AT127" s="12"/>
      <c r="AU127" s="13">
        <f>100-Data_Geotech[[#This Row],[RQD (%)]]</f>
        <v>0</v>
      </c>
      <c r="AV127" s="13">
        <f>100-Data_Geotech[[#This Row],[TCR (%)]]</f>
        <v>1.9895196601282805E-13</v>
      </c>
      <c r="AW127" s="62">
        <f>(Data_Geotech[[#This Row],[Fracture per interval]]+Data_Geotech[[#This Row],[Added fractures 
(BC, FLT, LC)]])/Data_Geotech[[#This Row],[TCR (m)]]</f>
        <v>1.3793103448275863</v>
      </c>
      <c r="AX127" s="6" t="s">
        <v>109</v>
      </c>
      <c r="AY127" s="63">
        <f>7-MID(Data_Geotech[[#This Row],[Field Intact Rock Strength]],2,1)</f>
        <v>1</v>
      </c>
      <c r="AZ127" s="63">
        <f>VLOOKUP(Data_Geotech[[#This Row],[Field Intact Rock Strength]],Table_FieldStrength[],2,FALSE)</f>
        <v>250</v>
      </c>
      <c r="BA127" s="63">
        <f>VLOOKUP(Data_Geotech[[#This Row],[Field Intact Rock Strength]],Table_FieldStrength[],3,FALSE)</f>
        <v>275</v>
      </c>
      <c r="BB127" s="63">
        <f>VLOOKUP(Data_Geotech[[#This Row],[Field Intact Rock Strength]],Table_FieldStrength[],4,FALSE)</f>
        <v>300</v>
      </c>
      <c r="BC127" s="63">
        <f>100-Data_Geotech[[#This Row],[RMR76]]</f>
        <v>31.5</v>
      </c>
      <c r="BD127" s="63" t="str">
        <f>LEFT(Data_Geotech[[#This Row],[Weathering/Alteration]],FIND("-",Data_Geotech[[#This Row],[Weathering/Alteration]])-2)</f>
        <v>W1/A1</v>
      </c>
    </row>
    <row r="128" spans="1:56" hidden="1" x14ac:dyDescent="0.25">
      <c r="A128" t="s">
        <v>36</v>
      </c>
      <c r="B128" s="16" t="str">
        <f>VLOOKUP(Data_Geotech[[#This Row],[Hole ID]],Data_Log[],2,FALSE)</f>
        <v>CGF-05</v>
      </c>
      <c r="C128" s="5">
        <v>72.05</v>
      </c>
      <c r="D128" s="5">
        <v>74.92</v>
      </c>
      <c r="E128" s="5">
        <f>(Data_Geotech[[#This Row],[To (m)]]-Data_Geotech[[#This Row],[From (m)]])/2+Data_Geotech[[#This Row],[From (m)]]</f>
        <v>73.484999999999999</v>
      </c>
      <c r="F128" s="13">
        <f>Data_Geotech[[#This Row],[To (m)]]-Data_Geotech[[#This Row],[From (m)]]</f>
        <v>2.8700000000000045</v>
      </c>
      <c r="G128" s="5">
        <v>2.87</v>
      </c>
      <c r="H128" s="61">
        <f>Data_Geotech[[#This Row],[TCR (m)]]/Data_Geotech[[#This Row],[Run (m)]]*100</f>
        <v>99.999999999999844</v>
      </c>
      <c r="I128" s="151">
        <v>2.81</v>
      </c>
      <c r="J128" s="151">
        <v>2.81</v>
      </c>
      <c r="K128" s="5">
        <v>2.81</v>
      </c>
      <c r="L128" s="61">
        <f>Data_Geotech[[#This Row],[RQD (m)]]/Data_Geotech[[#This Row],[Run Reel (m)]]*100</f>
        <v>100</v>
      </c>
      <c r="M128" t="s">
        <v>569</v>
      </c>
      <c r="O128" t="s">
        <v>278</v>
      </c>
      <c r="P128" s="115" t="s">
        <v>416</v>
      </c>
      <c r="Q128" s="5" t="s">
        <v>313</v>
      </c>
      <c r="R128" s="5"/>
      <c r="S128" s="5"/>
      <c r="T128" s="5"/>
      <c r="U128" s="5"/>
      <c r="V128" s="6">
        <v>1</v>
      </c>
      <c r="W128" s="92">
        <f>SUMIFS(Discontinuities!$D$4:$D$9664,Discontinuities!$A$4:$A$9664,A128,Discontinuities!$C$4:$C$9664,"&gt;="&amp;C128,Discontinuities!$C$4:$C$9664,"&lt;"&amp;D128)
-SUMIFS(Discontinuities!$D$4:$D$9664,Discontinuities!$A$4:$A$9664,A128,Discontinuities!$C$4:$C$9664,"&gt;="&amp;C128,Discontinuities!$C$4:$C$9664,"&lt;"&amp;D128,Discontinuities!$E$4:$E$9664,"=BC")
-SUMIFS(Discontinuities!$D$4:$D$9664,Discontinuities!$A$4:$A$9664,A128,Discontinuities!$C$4:$C$9664,"&gt;="&amp;C128,Discontinuities!$C$4:$C$9664,"&lt;"&amp;D128,Discontinuities!$E$4:$E$9664,"=LC")
-SUMIFS(Discontinuities!$D$4:$D$9664,Discontinuities!$A$4:$A$9664,A128,Discontinuities!$C$4:$C$9664,"&gt;="&amp;C128,Discontinuities!$C$4:$C$9664,"&lt;"&amp;D128,Discontinuities!$E$4:$E$9664,"=FLT")</f>
        <v>1</v>
      </c>
      <c r="X128" t="s">
        <v>345</v>
      </c>
      <c r="AA128" s="12"/>
      <c r="AB128" s="43">
        <f>IFERROR(ROUND((Data_Geotech[[#This Row],[Fault (m)]]+Data_Geotech[[#This Row],[Broken Core (m)]]+Data_Geotech[[#This Row],[Lost Core (m)]])*30,0),0)</f>
        <v>0</v>
      </c>
      <c r="AC128" s="44">
        <f>IF(Data_Geotech[[#This Row],[Added fractures 
(BC, FLT, LC)]]+Data_Geotech[[#This Row],[Fracture per interval]]=0,99,1/((Data_Geotech[[#This Row],[Fracture per interval]]+Data_Geotech[[#This Row],[Added fractures 
(BC, FLT, LC)]])/Data_Geotech[[#This Row],[Run (m)]]))</f>
        <v>2.8700000000000045</v>
      </c>
      <c r="AD128" s="155" cm="1">
        <f t="array" ref="AD128">IFERROR(_xlfn.XLOOKUP(1,(A128=PLT!$A$4:$A$8886)*(Geotech!C128&lt;=PLT!$F$4:$F$8886)*(Geotech!D128&gt;=PLT!$F$4:$F$8886)*("Valid"=PLT!$P$4:$P$8886),PLT!$V$4:$V$8886),"")</f>
        <v>0</v>
      </c>
      <c r="AE128" s="156" t="str" cm="1">
        <f t="array" ref="AE128">IFERROR(_xlfn.XLOOKUP(1,(A128=PLT!$A$4:$A$8886)*(Geotech!C128&lt;=PLT!$F$4:$F$8886)*(Geotech!D128&gt;=PLT!$F$4:$F$8886)*(PLT!$V$4:$V$8886&lt;&gt;AD128)*("Valid"=PLT!$P$4:$P$7190),PLT!$V$4:$V$8886),"")</f>
        <v/>
      </c>
      <c r="AF128" s="156" t="str" cm="1">
        <f t="array" ref="AF128">IFERROR(_xlfn.XLOOKUP(1,(A128=PLT!$A$4:$A$8886)*(Geotech!C128&lt;=PLT!$F$4:$F$8886)*(Geotech!D128&gt;=PLT!$F$4:$F$8886)*(PLT!$V$4:$V$8886&lt;&gt;AD128)*(PLT!$V$4:$V$8886&lt;&gt;AE128)*("Valid"=PLT!$P$4:$P$7190),PLT!$V$4:$V$8886),"")</f>
        <v/>
      </c>
      <c r="AG128" s="44">
        <f>IFERROR(IF(AVERAGE(AD128:AF128)&gt;References!$BO$23,References!$BP$23,
IF(AVERAGE(AD128:AF128)&gt;References!$BO$22,References!$BP$22,
IF(AVERAGE(AD128:AF128)&gt;References!$BO$21,References!$BP$21,
IF(AVERAGE(AD128:AF128)&gt;References!$BO$20,References!$BP$20,
IF(AVERAGE(AD128:AF128)&gt;References!$BO$19,References!$BP$19,
IF(AVERAGE(AD128:AF128)&gt;References!$BO$18,References!$BP$18,
0)))))),"")</f>
        <v>0</v>
      </c>
      <c r="AH128" s="43">
        <f>IF(Data_Geotech[[#This Row],[Is50]]="",VLOOKUP(Data_Geotech[[#This Row],[Field Intact Rock Strength]],Table_RMR76_Strength[],2,FALSE),Data_Geotech[[#This Row],[Is50]])</f>
        <v>0</v>
      </c>
      <c r="AI128" s="43">
        <f>IF(Data_Geotech[[#This Row],[RQD (%)]]&lt;=25,3,IF(Data_Geotech[[#This Row],[RQD (%)]]&lt;=50,8,IF(Data_Geotech[[#This Row],[RQD (%)]]&lt;=75,13,IF(Data_Geotech[[#This Row],[RQD (%)]]&lt;=90,17,20))))</f>
        <v>20</v>
      </c>
      <c r="AJ128" s="43">
        <f>IF(Data_Geotech[[#This Row],[Joint spacing (m)]]&lt;=0.05,5,IF(Data_Geotech[[#This Row],[Joint spacing (m)]]&lt;=0.3,10,IF(Data_Geotech[[#This Row],[Joint spacing (m)]]&lt;=1,20,IF(Data_Geotech[[#This Row],[Joint spacing (m)]]&lt;=3,25,30))))</f>
        <v>25</v>
      </c>
      <c r="AK12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28" s="6">
        <v>10</v>
      </c>
      <c r="AM128" s="117">
        <f>IF(Data_Geotech[[#This Row],[FIRS Code]]="R",IFERROR(SUM(Data_Geotech[[#This Row],[RMR76 - Strength rating]:[RMR76 - Ground water rating]]),""),"")</f>
        <v>80</v>
      </c>
      <c r="AN128" s="39">
        <f>IF(Data_Geotech[[#This Row],[FIRS Code]]="R",(2*Data_Geotech[[#This Row],[RMR76 - Joint condition rating]])+(IF(Data_Geotech[[#This Row],[RQD (%)]]&gt;80,80/2,Data_Geotech[[#This Row],[RQD (%)]]/2)),"")</f>
        <v>90</v>
      </c>
      <c r="AO128" s="43" t="str">
        <f>LEFT(Data_Geotech[[#This Row],[Joint Set Rating]],FIND("-",Data_Geotech[[#This Row],[Joint Set Rating]],1)-2)</f>
        <v>3</v>
      </c>
      <c r="AP12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3</v>
      </c>
      <c r="AQ128" s="5">
        <f t="shared" si="0"/>
        <v>1</v>
      </c>
      <c r="AR128" s="49">
        <f>IF(Data_Geotech[[#This Row],[FIRS Code]]="R",IFERROR((IF(Data_Geotech[[#This Row],[RQD (%)]]&lt;10,10,Data_Geotech[[#This Row],[RQD (%)]])/Data_Geotech[[#This Row],[Jn rating]])*Data_Geotech[[#This Row],[Jr/Ja]],""),"")</f>
        <v>100</v>
      </c>
      <c r="AS128" s="45">
        <f>IF(Data_Geotech[[#This Row],[FIRS Code]]="R",IFERROR((IF(Data_Geotech[[#This Row],[RQD (%)]]&lt;10,10,Data_Geotech[[#This Row],[RQD (%)]])/Data_Geotech[[#This Row],[Jn rating]])*Data_Geotech[[#This Row],[Jr/Ja]]*Data_Geotech[[#This Row],[Jw/SRF]],""),"")</f>
        <v>100</v>
      </c>
      <c r="AT128" s="12"/>
      <c r="AU128" s="13">
        <f>100-Data_Geotech[[#This Row],[RQD (%)]]</f>
        <v>0</v>
      </c>
      <c r="AV128" s="13">
        <f>100-Data_Geotech[[#This Row],[TCR (%)]]</f>
        <v>1.5631940186722204E-13</v>
      </c>
      <c r="AW128" s="62">
        <f>(Data_Geotech[[#This Row],[Fracture per interval]]+Data_Geotech[[#This Row],[Added fractures 
(BC, FLT, LC)]])/Data_Geotech[[#This Row],[TCR (m)]]</f>
        <v>0.34843205574912889</v>
      </c>
      <c r="AX128" s="6" t="s">
        <v>109</v>
      </c>
      <c r="AY128" s="63">
        <f>7-MID(Data_Geotech[[#This Row],[Field Intact Rock Strength]],2,1)</f>
        <v>1</v>
      </c>
      <c r="AZ128" s="63">
        <f>VLOOKUP(Data_Geotech[[#This Row],[Field Intact Rock Strength]],Table_FieldStrength[],2,FALSE)</f>
        <v>250</v>
      </c>
      <c r="BA128" s="63">
        <f>VLOOKUP(Data_Geotech[[#This Row],[Field Intact Rock Strength]],Table_FieldStrength[],3,FALSE)</f>
        <v>275</v>
      </c>
      <c r="BB128" s="63">
        <f>VLOOKUP(Data_Geotech[[#This Row],[Field Intact Rock Strength]],Table_FieldStrength[],4,FALSE)</f>
        <v>300</v>
      </c>
      <c r="BC128" s="63">
        <f>100-Data_Geotech[[#This Row],[RMR76]]</f>
        <v>20</v>
      </c>
      <c r="BD128" s="63" t="str">
        <f>LEFT(Data_Geotech[[#This Row],[Weathering/Alteration]],FIND("-",Data_Geotech[[#This Row],[Weathering/Alteration]])-2)</f>
        <v>W2/A2</v>
      </c>
    </row>
    <row r="129" spans="1:56" hidden="1" x14ac:dyDescent="0.25">
      <c r="A129" t="s">
        <v>36</v>
      </c>
      <c r="B129" s="16" t="str">
        <f>VLOOKUP(Data_Geotech[[#This Row],[Hole ID]],Data_Log[],2,FALSE)</f>
        <v>CGF-05</v>
      </c>
      <c r="C129" s="5">
        <v>74.92</v>
      </c>
      <c r="D129" s="5">
        <v>76</v>
      </c>
      <c r="E129" s="5">
        <f>(Data_Geotech[[#This Row],[To (m)]]-Data_Geotech[[#This Row],[From (m)]])/2+Data_Geotech[[#This Row],[From (m)]]</f>
        <v>75.460000000000008</v>
      </c>
      <c r="F129" s="13">
        <f>Data_Geotech[[#This Row],[To (m)]]-Data_Geotech[[#This Row],[From (m)]]</f>
        <v>1.0799999999999983</v>
      </c>
      <c r="G129" s="5">
        <v>1.08</v>
      </c>
      <c r="H129" s="61">
        <f>Data_Geotech[[#This Row],[TCR (m)]]/Data_Geotech[[#This Row],[Run (m)]]*100</f>
        <v>100.00000000000016</v>
      </c>
      <c r="I129" s="5">
        <v>1.1000000000000001</v>
      </c>
      <c r="J129" s="5">
        <v>1.1000000000000001</v>
      </c>
      <c r="K129" s="5">
        <v>0.91</v>
      </c>
      <c r="L129" s="61">
        <f>Data_Geotech[[#This Row],[RQD (m)]]/Data_Geotech[[#This Row],[Run Reel (m)]]*100</f>
        <v>82.727272727272734</v>
      </c>
      <c r="M129" t="s">
        <v>569</v>
      </c>
      <c r="O129" t="s">
        <v>278</v>
      </c>
      <c r="P129" s="115" t="s">
        <v>397</v>
      </c>
      <c r="Q129" s="5" t="s">
        <v>313</v>
      </c>
      <c r="R129" s="5"/>
      <c r="S129" s="5"/>
      <c r="T129" s="5"/>
      <c r="U129" s="5"/>
      <c r="V129" s="6">
        <v>6</v>
      </c>
      <c r="W129" s="92">
        <f>SUMIFS(Discontinuities!$D$4:$D$9664,Discontinuities!$A$4:$A$9664,A129,Discontinuities!$C$4:$C$9664,"&gt;="&amp;C129,Discontinuities!$C$4:$C$9664,"&lt;"&amp;D129)
-SUMIFS(Discontinuities!$D$4:$D$9664,Discontinuities!$A$4:$A$9664,A129,Discontinuities!$C$4:$C$9664,"&gt;="&amp;C129,Discontinuities!$C$4:$C$9664,"&lt;"&amp;D129,Discontinuities!$E$4:$E$9664,"=BC")
-SUMIFS(Discontinuities!$D$4:$D$9664,Discontinuities!$A$4:$A$9664,A129,Discontinuities!$C$4:$C$9664,"&gt;="&amp;C129,Discontinuities!$C$4:$C$9664,"&lt;"&amp;D129,Discontinuities!$E$4:$E$9664,"=LC")
-SUMIFS(Discontinuities!$D$4:$D$9664,Discontinuities!$A$4:$A$9664,A129,Discontinuities!$C$4:$C$9664,"&gt;="&amp;C129,Discontinuities!$C$4:$C$9664,"&lt;"&amp;D129,Discontinuities!$E$4:$E$9664,"=FLT")</f>
        <v>6</v>
      </c>
      <c r="X129" t="s">
        <v>312</v>
      </c>
      <c r="AA129" s="12"/>
      <c r="AB129" s="43">
        <f>IFERROR(ROUND((Data_Geotech[[#This Row],[Fault (m)]]+Data_Geotech[[#This Row],[Broken Core (m)]]+Data_Geotech[[#This Row],[Lost Core (m)]])*30,0),0)</f>
        <v>0</v>
      </c>
      <c r="AC129" s="44">
        <f>IF(Data_Geotech[[#This Row],[Added fractures 
(BC, FLT, LC)]]+Data_Geotech[[#This Row],[Fracture per interval]]=0,99,1/((Data_Geotech[[#This Row],[Fracture per interval]]+Data_Geotech[[#This Row],[Added fractures 
(BC, FLT, LC)]])/Data_Geotech[[#This Row],[Run (m)]]))</f>
        <v>0.17999999999999972</v>
      </c>
      <c r="AD129" s="155" cm="1">
        <f t="array" ref="AD129">IFERROR(_xlfn.XLOOKUP(1,(A129=PLT!$A$4:$A$8886)*(Geotech!C129&lt;=PLT!$F$4:$F$8886)*(Geotech!D129&gt;=PLT!$F$4:$F$8886)*("Valid"=PLT!$P$4:$P$8886),PLT!$V$4:$V$8886),"")</f>
        <v>0</v>
      </c>
      <c r="AE129" s="156" t="str" cm="1">
        <f t="array" ref="AE129">IFERROR(_xlfn.XLOOKUP(1,(A129=PLT!$A$4:$A$8886)*(Geotech!C129&lt;=PLT!$F$4:$F$8886)*(Geotech!D129&gt;=PLT!$F$4:$F$8886)*(PLT!$V$4:$V$8886&lt;&gt;AD129)*("Valid"=PLT!$P$4:$P$7190),PLT!$V$4:$V$8886),"")</f>
        <v/>
      </c>
      <c r="AF129" s="156" t="str" cm="1">
        <f t="array" ref="AF129">IFERROR(_xlfn.XLOOKUP(1,(A129=PLT!$A$4:$A$8886)*(Geotech!C129&lt;=PLT!$F$4:$F$8886)*(Geotech!D129&gt;=PLT!$F$4:$F$8886)*(PLT!$V$4:$V$8886&lt;&gt;AD129)*(PLT!$V$4:$V$8886&lt;&gt;AE129)*("Valid"=PLT!$P$4:$P$7190),PLT!$V$4:$V$8886),"")</f>
        <v/>
      </c>
      <c r="AG129" s="44">
        <f>IFERROR(IF(AVERAGE(AD129:AF129)&gt;References!$BO$23,References!$BP$23,
IF(AVERAGE(AD129:AF129)&gt;References!$BO$22,References!$BP$22,
IF(AVERAGE(AD129:AF129)&gt;References!$BO$21,References!$BP$21,
IF(AVERAGE(AD129:AF129)&gt;References!$BO$20,References!$BP$20,
IF(AVERAGE(AD129:AF129)&gt;References!$BO$19,References!$BP$19,
IF(AVERAGE(AD129:AF129)&gt;References!$BO$18,References!$BP$18,
0)))))),"")</f>
        <v>0</v>
      </c>
      <c r="AH129" s="43">
        <f>IF(Data_Geotech[[#This Row],[Is50]]="",VLOOKUP(Data_Geotech[[#This Row],[Field Intact Rock Strength]],Table_RMR76_Strength[],2,FALSE),Data_Geotech[[#This Row],[Is50]])</f>
        <v>0</v>
      </c>
      <c r="AI129" s="43">
        <f>IF(Data_Geotech[[#This Row],[RQD (%)]]&lt;=25,3,IF(Data_Geotech[[#This Row],[RQD (%)]]&lt;=50,8,IF(Data_Geotech[[#This Row],[RQD (%)]]&lt;=75,13,IF(Data_Geotech[[#This Row],[RQD (%)]]&lt;=90,17,20))))</f>
        <v>17</v>
      </c>
      <c r="AJ129" s="43">
        <f>IF(Data_Geotech[[#This Row],[Joint spacing (m)]]&lt;=0.05,5,IF(Data_Geotech[[#This Row],[Joint spacing (m)]]&lt;=0.3,10,IF(Data_Geotech[[#This Row],[Joint spacing (m)]]&lt;=1,20,IF(Data_Geotech[[#This Row],[Joint spacing (m)]]&lt;=3,25,30))))</f>
        <v>10</v>
      </c>
      <c r="AK12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v>
      </c>
      <c r="AL129" s="6">
        <v>10</v>
      </c>
      <c r="AM129" s="117">
        <f>IF(Data_Geotech[[#This Row],[FIRS Code]]="R",IFERROR(SUM(Data_Geotech[[#This Row],[RMR76 - Strength rating]:[RMR76 - Ground water rating]]),""),"")</f>
        <v>52</v>
      </c>
      <c r="AN129" s="39">
        <f>IF(Data_Geotech[[#This Row],[FIRS Code]]="R",(2*Data_Geotech[[#This Row],[RMR76 - Joint condition rating]])+(IF(Data_Geotech[[#This Row],[RQD (%)]]&gt;80,80/2,Data_Geotech[[#This Row],[RQD (%)]]/2)),"")</f>
        <v>70</v>
      </c>
      <c r="AO129" s="43" t="str">
        <f>LEFT(Data_Geotech[[#This Row],[Joint Set Rating]],FIND("-",Data_Geotech[[#This Row],[Joint Set Rating]],1)-2)</f>
        <v>2</v>
      </c>
      <c r="AP12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0.6875</v>
      </c>
      <c r="AQ129" s="5">
        <f t="shared" si="0"/>
        <v>1</v>
      </c>
      <c r="AR129" s="49">
        <f>IF(Data_Geotech[[#This Row],[FIRS Code]]="R",IFERROR((IF(Data_Geotech[[#This Row],[RQD (%)]]&lt;10,10,Data_Geotech[[#This Row],[RQD (%)]])/Data_Geotech[[#This Row],[Jn rating]])*Data_Geotech[[#This Row],[Jr/Ja]],""),"")</f>
        <v>28.437500000000004</v>
      </c>
      <c r="AS129" s="45">
        <f>IF(Data_Geotech[[#This Row],[FIRS Code]]="R",IFERROR((IF(Data_Geotech[[#This Row],[RQD (%)]]&lt;10,10,Data_Geotech[[#This Row],[RQD (%)]])/Data_Geotech[[#This Row],[Jn rating]])*Data_Geotech[[#This Row],[Jr/Ja]]*Data_Geotech[[#This Row],[Jw/SRF]],""),"")</f>
        <v>28.437500000000004</v>
      </c>
      <c r="AT129" s="12"/>
      <c r="AU129" s="13">
        <f>100-Data_Geotech[[#This Row],[RQD (%)]]</f>
        <v>17.272727272727266</v>
      </c>
      <c r="AV129" s="13">
        <f>100-Data_Geotech[[#This Row],[TCR (%)]]</f>
        <v>-1.5631940186722204E-13</v>
      </c>
      <c r="AW129" s="62">
        <f>(Data_Geotech[[#This Row],[Fracture per interval]]+Data_Geotech[[#This Row],[Added fractures 
(BC, FLT, LC)]])/Data_Geotech[[#This Row],[TCR (m)]]</f>
        <v>5.5555555555555554</v>
      </c>
      <c r="AX129" s="6" t="s">
        <v>109</v>
      </c>
      <c r="AY129" s="63">
        <f>7-MID(Data_Geotech[[#This Row],[Field Intact Rock Strength]],2,1)</f>
        <v>2</v>
      </c>
      <c r="AZ129" s="63">
        <f>VLOOKUP(Data_Geotech[[#This Row],[Field Intact Rock Strength]],Table_FieldStrength[],2,FALSE)</f>
        <v>100</v>
      </c>
      <c r="BA129" s="63">
        <f>VLOOKUP(Data_Geotech[[#This Row],[Field Intact Rock Strength]],Table_FieldStrength[],3,FALSE)</f>
        <v>175</v>
      </c>
      <c r="BB129" s="63">
        <f>VLOOKUP(Data_Geotech[[#This Row],[Field Intact Rock Strength]],Table_FieldStrength[],4,FALSE)</f>
        <v>250</v>
      </c>
      <c r="BC129" s="63">
        <f>100-Data_Geotech[[#This Row],[RMR76]]</f>
        <v>48</v>
      </c>
      <c r="BD129" s="63" t="str">
        <f>LEFT(Data_Geotech[[#This Row],[Weathering/Alteration]],FIND("-",Data_Geotech[[#This Row],[Weathering/Alteration]])-2)</f>
        <v>W2/A2</v>
      </c>
    </row>
    <row r="130" spans="1:56" hidden="1" x14ac:dyDescent="0.25">
      <c r="A130" t="s">
        <v>36</v>
      </c>
      <c r="B130" s="16" t="str">
        <f>VLOOKUP(Data_Geotech[[#This Row],[Hole ID]],Data_Log[],2,FALSE)</f>
        <v>CGF-05</v>
      </c>
      <c r="C130" s="5">
        <v>76</v>
      </c>
      <c r="D130" s="5">
        <v>78.14</v>
      </c>
      <c r="E130" s="5">
        <f>(Data_Geotech[[#This Row],[To (m)]]-Data_Geotech[[#This Row],[From (m)]])/2+Data_Geotech[[#This Row],[From (m)]]</f>
        <v>77.069999999999993</v>
      </c>
      <c r="F130" s="13">
        <f>Data_Geotech[[#This Row],[To (m)]]-Data_Geotech[[#This Row],[From (m)]]</f>
        <v>2.1400000000000006</v>
      </c>
      <c r="G130" s="5">
        <v>2.14</v>
      </c>
      <c r="H130" s="61">
        <f>Data_Geotech[[#This Row],[TCR (m)]]/Data_Geotech[[#This Row],[Run (m)]]*100</f>
        <v>99.999999999999972</v>
      </c>
      <c r="I130" s="151">
        <v>2.15</v>
      </c>
      <c r="J130" s="151">
        <v>2.15</v>
      </c>
      <c r="K130" s="5">
        <v>1.92</v>
      </c>
      <c r="L130" s="61">
        <f>Data_Geotech[[#This Row],[RQD (m)]]/Data_Geotech[[#This Row],[Run Reel (m)]]*100</f>
        <v>89.302325581395351</v>
      </c>
      <c r="M130" t="s">
        <v>572</v>
      </c>
      <c r="O130" t="s">
        <v>243</v>
      </c>
      <c r="P130" s="115" t="s">
        <v>370</v>
      </c>
      <c r="Q130" s="5" t="s">
        <v>313</v>
      </c>
      <c r="R130" s="5"/>
      <c r="S130" s="5">
        <v>0.23</v>
      </c>
      <c r="T130" s="5"/>
      <c r="U130" s="5"/>
      <c r="V130" s="6">
        <v>4</v>
      </c>
      <c r="W130" s="92">
        <f>SUMIFS(Discontinuities!$D$4:$D$9664,Discontinuities!$A$4:$A$9664,A130,Discontinuities!$C$4:$C$9664,"&gt;="&amp;C130,Discontinuities!$C$4:$C$9664,"&lt;"&amp;D130)
-SUMIFS(Discontinuities!$D$4:$D$9664,Discontinuities!$A$4:$A$9664,A130,Discontinuities!$C$4:$C$9664,"&gt;="&amp;C130,Discontinuities!$C$4:$C$9664,"&lt;"&amp;D130,Discontinuities!$E$4:$E$9664,"=BC")
-SUMIFS(Discontinuities!$D$4:$D$9664,Discontinuities!$A$4:$A$9664,A130,Discontinuities!$C$4:$C$9664,"&gt;="&amp;C130,Discontinuities!$C$4:$C$9664,"&lt;"&amp;D130,Discontinuities!$E$4:$E$9664,"=LC")
-SUMIFS(Discontinuities!$D$4:$D$9664,Discontinuities!$A$4:$A$9664,A130,Discontinuities!$C$4:$C$9664,"&gt;="&amp;C130,Discontinuities!$C$4:$C$9664,"&lt;"&amp;D130,Discontinuities!$E$4:$E$9664,"=FLT")</f>
        <v>4</v>
      </c>
      <c r="X130" t="s">
        <v>345</v>
      </c>
      <c r="AA130" s="12"/>
      <c r="AB130" s="43">
        <f>IFERROR(ROUND((Data_Geotech[[#This Row],[Fault (m)]]+Data_Geotech[[#This Row],[Broken Core (m)]]+Data_Geotech[[#This Row],[Lost Core (m)]])*30,0),0)</f>
        <v>7</v>
      </c>
      <c r="AC130" s="44">
        <f>IF(Data_Geotech[[#This Row],[Added fractures 
(BC, FLT, LC)]]+Data_Geotech[[#This Row],[Fracture per interval]]=0,99,1/((Data_Geotech[[#This Row],[Fracture per interval]]+Data_Geotech[[#This Row],[Added fractures 
(BC, FLT, LC)]])/Data_Geotech[[#This Row],[Run (m)]]))</f>
        <v>0.1945454545454546</v>
      </c>
      <c r="AD130" s="155" cm="1">
        <f t="array" ref="AD130">IFERROR(_xlfn.XLOOKUP(1,(A130=PLT!$A$4:$A$8886)*(Geotech!C130&lt;=PLT!$F$4:$F$8886)*(Geotech!D130&gt;=PLT!$F$4:$F$8886)*("Valid"=PLT!$P$4:$P$8886),PLT!$V$4:$V$8886),"")</f>
        <v>0</v>
      </c>
      <c r="AE130" s="156" t="str" cm="1">
        <f t="array" ref="AE130">IFERROR(_xlfn.XLOOKUP(1,(A130=PLT!$A$4:$A$8886)*(Geotech!C130&lt;=PLT!$F$4:$F$8886)*(Geotech!D130&gt;=PLT!$F$4:$F$8886)*(PLT!$V$4:$V$8886&lt;&gt;AD130)*("Valid"=PLT!$P$4:$P$7190),PLT!$V$4:$V$8886),"")</f>
        <v/>
      </c>
      <c r="AF130" s="156" t="str" cm="1">
        <f t="array" ref="AF130">IFERROR(_xlfn.XLOOKUP(1,(A130=PLT!$A$4:$A$8886)*(Geotech!C130&lt;=PLT!$F$4:$F$8886)*(Geotech!D130&gt;=PLT!$F$4:$F$8886)*(PLT!$V$4:$V$8886&lt;&gt;AD130)*(PLT!$V$4:$V$8886&lt;&gt;AE130)*("Valid"=PLT!$P$4:$P$7190),PLT!$V$4:$V$8886),"")</f>
        <v/>
      </c>
      <c r="AG130" s="44">
        <f>IFERROR(IF(AVERAGE(AD130:AF130)&gt;References!$BO$23,References!$BP$23,
IF(AVERAGE(AD130:AF130)&gt;References!$BO$22,References!$BP$22,
IF(AVERAGE(AD130:AF130)&gt;References!$BO$21,References!$BP$21,
IF(AVERAGE(AD130:AF130)&gt;References!$BO$20,References!$BP$20,
IF(AVERAGE(AD130:AF130)&gt;References!$BO$19,References!$BP$19,
IF(AVERAGE(AD130:AF130)&gt;References!$BO$18,References!$BP$18,
0)))))),"")</f>
        <v>0</v>
      </c>
      <c r="AH130" s="43">
        <f>IF(Data_Geotech[[#This Row],[Is50]]="",VLOOKUP(Data_Geotech[[#This Row],[Field Intact Rock Strength]],Table_RMR76_Strength[],2,FALSE),Data_Geotech[[#This Row],[Is50]])</f>
        <v>0</v>
      </c>
      <c r="AI130" s="43">
        <f>IF(Data_Geotech[[#This Row],[RQD (%)]]&lt;=25,3,IF(Data_Geotech[[#This Row],[RQD (%)]]&lt;=50,8,IF(Data_Geotech[[#This Row],[RQD (%)]]&lt;=75,13,IF(Data_Geotech[[#This Row],[RQD (%)]]&lt;=90,17,20))))</f>
        <v>17</v>
      </c>
      <c r="AJ130" s="43">
        <f>IF(Data_Geotech[[#This Row],[Joint spacing (m)]]&lt;=0.05,5,IF(Data_Geotech[[#This Row],[Joint spacing (m)]]&lt;=0.3,10,IF(Data_Geotech[[#This Row],[Joint spacing (m)]]&lt;=1,20,IF(Data_Geotech[[#This Row],[Joint spacing (m)]]&lt;=3,25,30))))</f>
        <v>10</v>
      </c>
      <c r="AK13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30" s="6">
        <v>10</v>
      </c>
      <c r="AM130" s="117">
        <f>IF(Data_Geotech[[#This Row],[FIRS Code]]="R",IFERROR(SUM(Data_Geotech[[#This Row],[RMR76 - Strength rating]:[RMR76 - Ground water rating]]),""),"")</f>
        <v>57</v>
      </c>
      <c r="AN130" s="39">
        <f>IF(Data_Geotech[[#This Row],[FIRS Code]]="R",(2*Data_Geotech[[#This Row],[RMR76 - Joint condition rating]])+(IF(Data_Geotech[[#This Row],[RQD (%)]]&gt;80,80/2,Data_Geotech[[#This Row],[RQD (%)]]/2)),"")</f>
        <v>80</v>
      </c>
      <c r="AO130" s="43" t="str">
        <f>LEFT(Data_Geotech[[#This Row],[Joint Set Rating]],FIND("-",Data_Geotech[[#This Row],[Joint Set Rating]],1)-2)</f>
        <v>3</v>
      </c>
      <c r="AP13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0.8125</v>
      </c>
      <c r="AQ130" s="5">
        <f t="shared" si="0"/>
        <v>1</v>
      </c>
      <c r="AR130" s="49">
        <f>IF(Data_Geotech[[#This Row],[FIRS Code]]="R",IFERROR((IF(Data_Geotech[[#This Row],[RQD (%)]]&lt;10,10,Data_Geotech[[#This Row],[RQD (%)]])/Data_Geotech[[#This Row],[Jn rating]])*Data_Geotech[[#This Row],[Jr/Ja]],""),"")</f>
        <v>24.186046511627907</v>
      </c>
      <c r="AS130" s="45">
        <f>IF(Data_Geotech[[#This Row],[FIRS Code]]="R",IFERROR((IF(Data_Geotech[[#This Row],[RQD (%)]]&lt;10,10,Data_Geotech[[#This Row],[RQD (%)]])/Data_Geotech[[#This Row],[Jn rating]])*Data_Geotech[[#This Row],[Jr/Ja]]*Data_Geotech[[#This Row],[Jw/SRF]],""),"")</f>
        <v>24.186046511627907</v>
      </c>
      <c r="AT130" s="12"/>
      <c r="AU130" s="13">
        <f>100-Data_Geotech[[#This Row],[RQD (%)]]</f>
        <v>10.697674418604649</v>
      </c>
      <c r="AV130" s="13">
        <f>100-Data_Geotech[[#This Row],[TCR (%)]]</f>
        <v>0</v>
      </c>
      <c r="AW130" s="62">
        <f>(Data_Geotech[[#This Row],[Fracture per interval]]+Data_Geotech[[#This Row],[Added fractures 
(BC, FLT, LC)]])/Data_Geotech[[#This Row],[TCR (m)]]</f>
        <v>5.1401869158878499</v>
      </c>
      <c r="AX130" s="6" t="s">
        <v>109</v>
      </c>
      <c r="AY130" s="63">
        <f>7-MID(Data_Geotech[[#This Row],[Field Intact Rock Strength]],2,1)</f>
        <v>3</v>
      </c>
      <c r="AZ130" s="63">
        <f>VLOOKUP(Data_Geotech[[#This Row],[Field Intact Rock Strength]],Table_FieldStrength[],2,FALSE)</f>
        <v>50</v>
      </c>
      <c r="BA130" s="63">
        <f>VLOOKUP(Data_Geotech[[#This Row],[Field Intact Rock Strength]],Table_FieldStrength[],3,FALSE)</f>
        <v>75</v>
      </c>
      <c r="BB130" s="63">
        <f>VLOOKUP(Data_Geotech[[#This Row],[Field Intact Rock Strength]],Table_FieldStrength[],4,FALSE)</f>
        <v>100</v>
      </c>
      <c r="BC130" s="63">
        <f>100-Data_Geotech[[#This Row],[RMR76]]</f>
        <v>43</v>
      </c>
      <c r="BD130" s="63" t="str">
        <f>LEFT(Data_Geotech[[#This Row],[Weathering/Alteration]],FIND("-",Data_Geotech[[#This Row],[Weathering/Alteration]])-2)</f>
        <v>W1/A1</v>
      </c>
    </row>
    <row r="131" spans="1:56" hidden="1" x14ac:dyDescent="0.25">
      <c r="A131" t="s">
        <v>36</v>
      </c>
      <c r="B131" s="16" t="str">
        <f>VLOOKUP(Data_Geotech[[#This Row],[Hole ID]],Data_Log[],2,FALSE)</f>
        <v>CGF-05</v>
      </c>
      <c r="C131" s="5">
        <v>78.14</v>
      </c>
      <c r="D131" s="5">
        <v>81.08</v>
      </c>
      <c r="E131" s="5">
        <f>(Data_Geotech[[#This Row],[To (m)]]-Data_Geotech[[#This Row],[From (m)]])/2+Data_Geotech[[#This Row],[From (m)]]</f>
        <v>79.61</v>
      </c>
      <c r="F131" s="13">
        <f>Data_Geotech[[#This Row],[To (m)]]-Data_Geotech[[#This Row],[From (m)]]</f>
        <v>2.9399999999999977</v>
      </c>
      <c r="G131" s="5">
        <v>2.94</v>
      </c>
      <c r="H131" s="61">
        <f>Data_Geotech[[#This Row],[TCR (m)]]/Data_Geotech[[#This Row],[Run (m)]]*100</f>
        <v>100.00000000000007</v>
      </c>
      <c r="I131" s="151">
        <v>3</v>
      </c>
      <c r="J131" s="151">
        <v>3</v>
      </c>
      <c r="K131" s="5">
        <v>2.94</v>
      </c>
      <c r="L131" s="61">
        <f>Data_Geotech[[#This Row],[RQD (m)]]/Data_Geotech[[#This Row],[Run Reel (m)]]*100</f>
        <v>98</v>
      </c>
      <c r="M131" t="s">
        <v>572</v>
      </c>
      <c r="O131" t="s">
        <v>243</v>
      </c>
      <c r="P131" s="115" t="s">
        <v>397</v>
      </c>
      <c r="Q131" s="5" t="s">
        <v>313</v>
      </c>
      <c r="R131" s="5"/>
      <c r="S131" s="5"/>
      <c r="T131" s="5"/>
      <c r="U131" s="5"/>
      <c r="V131" s="6">
        <v>4</v>
      </c>
      <c r="W131" s="92">
        <f>SUMIFS(Discontinuities!$D$4:$D$9664,Discontinuities!$A$4:$A$9664,A131,Discontinuities!$C$4:$C$9664,"&gt;="&amp;C131,Discontinuities!$C$4:$C$9664,"&lt;"&amp;D131)
-SUMIFS(Discontinuities!$D$4:$D$9664,Discontinuities!$A$4:$A$9664,A131,Discontinuities!$C$4:$C$9664,"&gt;="&amp;C131,Discontinuities!$C$4:$C$9664,"&lt;"&amp;D131,Discontinuities!$E$4:$E$9664,"=BC")
-SUMIFS(Discontinuities!$D$4:$D$9664,Discontinuities!$A$4:$A$9664,A131,Discontinuities!$C$4:$C$9664,"&gt;="&amp;C131,Discontinuities!$C$4:$C$9664,"&lt;"&amp;D131,Discontinuities!$E$4:$E$9664,"=LC")
-SUMIFS(Discontinuities!$D$4:$D$9664,Discontinuities!$A$4:$A$9664,A131,Discontinuities!$C$4:$C$9664,"&gt;="&amp;C131,Discontinuities!$C$4:$C$9664,"&lt;"&amp;D131,Discontinuities!$E$4:$E$9664,"=FLT")</f>
        <v>4</v>
      </c>
      <c r="X131" t="s">
        <v>345</v>
      </c>
      <c r="AA131" s="12"/>
      <c r="AB131" s="43">
        <f>IFERROR(ROUND((Data_Geotech[[#This Row],[Fault (m)]]+Data_Geotech[[#This Row],[Broken Core (m)]]+Data_Geotech[[#This Row],[Lost Core (m)]])*30,0),0)</f>
        <v>0</v>
      </c>
      <c r="AC131" s="44">
        <f>IF(Data_Geotech[[#This Row],[Added fractures 
(BC, FLT, LC)]]+Data_Geotech[[#This Row],[Fracture per interval]]=0,99,1/((Data_Geotech[[#This Row],[Fracture per interval]]+Data_Geotech[[#This Row],[Added fractures 
(BC, FLT, LC)]])/Data_Geotech[[#This Row],[Run (m)]]))</f>
        <v>0.73499999999999943</v>
      </c>
      <c r="AD131" s="155" cm="1">
        <f t="array" ref="AD131">IFERROR(_xlfn.XLOOKUP(1,(A131=PLT!$A$4:$A$8886)*(Geotech!C131&lt;=PLT!$F$4:$F$8886)*(Geotech!D131&gt;=PLT!$F$4:$F$8886)*("Valid"=PLT!$P$4:$P$8886),PLT!$V$4:$V$8886),"")</f>
        <v>0</v>
      </c>
      <c r="AE131" s="156" t="str" cm="1">
        <f t="array" ref="AE131">IFERROR(_xlfn.XLOOKUP(1,(A131=PLT!$A$4:$A$8886)*(Geotech!C131&lt;=PLT!$F$4:$F$8886)*(Geotech!D131&gt;=PLT!$F$4:$F$8886)*(PLT!$V$4:$V$8886&lt;&gt;AD131)*("Valid"=PLT!$P$4:$P$7190),PLT!$V$4:$V$8886),"")</f>
        <v/>
      </c>
      <c r="AF131" s="156" t="str" cm="1">
        <f t="array" ref="AF131">IFERROR(_xlfn.XLOOKUP(1,(A131=PLT!$A$4:$A$8886)*(Geotech!C131&lt;=PLT!$F$4:$F$8886)*(Geotech!D131&gt;=PLT!$F$4:$F$8886)*(PLT!$V$4:$V$8886&lt;&gt;AD131)*(PLT!$V$4:$V$8886&lt;&gt;AE131)*("Valid"=PLT!$P$4:$P$7190),PLT!$V$4:$V$8886),"")</f>
        <v/>
      </c>
      <c r="AG131" s="44">
        <f>IFERROR(IF(AVERAGE(AD131:AF131)&gt;References!$BO$23,References!$BP$23,
IF(AVERAGE(AD131:AF131)&gt;References!$BO$22,References!$BP$22,
IF(AVERAGE(AD131:AF131)&gt;References!$BO$21,References!$BP$21,
IF(AVERAGE(AD131:AF131)&gt;References!$BO$20,References!$BP$20,
IF(AVERAGE(AD131:AF131)&gt;References!$BO$19,References!$BP$19,
IF(AVERAGE(AD131:AF131)&gt;References!$BO$18,References!$BP$18,
0)))))),"")</f>
        <v>0</v>
      </c>
      <c r="AH131" s="43">
        <f>IF(Data_Geotech[[#This Row],[Is50]]="",VLOOKUP(Data_Geotech[[#This Row],[Field Intact Rock Strength]],Table_RMR76_Strength[],2,FALSE),Data_Geotech[[#This Row],[Is50]])</f>
        <v>0</v>
      </c>
      <c r="AI131" s="43">
        <f>IF(Data_Geotech[[#This Row],[RQD (%)]]&lt;=25,3,IF(Data_Geotech[[#This Row],[RQD (%)]]&lt;=50,8,IF(Data_Geotech[[#This Row],[RQD (%)]]&lt;=75,13,IF(Data_Geotech[[#This Row],[RQD (%)]]&lt;=90,17,20))))</f>
        <v>20</v>
      </c>
      <c r="AJ131" s="43">
        <f>IF(Data_Geotech[[#This Row],[Joint spacing (m)]]&lt;=0.05,5,IF(Data_Geotech[[#This Row],[Joint spacing (m)]]&lt;=0.3,10,IF(Data_Geotech[[#This Row],[Joint spacing (m)]]&lt;=1,20,IF(Data_Geotech[[#This Row],[Joint spacing (m)]]&lt;=3,25,30))))</f>
        <v>20</v>
      </c>
      <c r="AK13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21.25</v>
      </c>
      <c r="AL131" s="6">
        <v>10</v>
      </c>
      <c r="AM131" s="117">
        <f>IF(Data_Geotech[[#This Row],[FIRS Code]]="R",IFERROR(SUM(Data_Geotech[[#This Row],[RMR76 - Strength rating]:[RMR76 - Ground water rating]]),""),"")</f>
        <v>71.25</v>
      </c>
      <c r="AN131" s="39">
        <f>IF(Data_Geotech[[#This Row],[FIRS Code]]="R",(2*Data_Geotech[[#This Row],[RMR76 - Joint condition rating]])+(IF(Data_Geotech[[#This Row],[RQD (%)]]&gt;80,80/2,Data_Geotech[[#This Row],[RQD (%)]]/2)),"")</f>
        <v>82.5</v>
      </c>
      <c r="AO131" s="43" t="str">
        <f>LEFT(Data_Geotech[[#This Row],[Joint Set Rating]],FIND("-",Data_Geotech[[#This Row],[Joint Set Rating]],1)-2)</f>
        <v>3</v>
      </c>
      <c r="AP13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1.3125</v>
      </c>
      <c r="AQ131" s="5">
        <f t="shared" si="0"/>
        <v>1</v>
      </c>
      <c r="AR131" s="49">
        <f>IF(Data_Geotech[[#This Row],[FIRS Code]]="R",IFERROR((IF(Data_Geotech[[#This Row],[RQD (%)]]&lt;10,10,Data_Geotech[[#This Row],[RQD (%)]])/Data_Geotech[[#This Row],[Jn rating]])*Data_Geotech[[#This Row],[Jr/Ja]],""),"")</f>
        <v>42.875</v>
      </c>
      <c r="AS131" s="45">
        <f>IF(Data_Geotech[[#This Row],[FIRS Code]]="R",IFERROR((IF(Data_Geotech[[#This Row],[RQD (%)]]&lt;10,10,Data_Geotech[[#This Row],[RQD (%)]])/Data_Geotech[[#This Row],[Jn rating]])*Data_Geotech[[#This Row],[Jr/Ja]]*Data_Geotech[[#This Row],[Jw/SRF]],""),"")</f>
        <v>42.875</v>
      </c>
      <c r="AT131" s="12"/>
      <c r="AU131" s="13">
        <f>100-Data_Geotech[[#This Row],[RQD (%)]]</f>
        <v>2</v>
      </c>
      <c r="AV131" s="13">
        <f>100-Data_Geotech[[#This Row],[TCR (%)]]</f>
        <v>0</v>
      </c>
      <c r="AW131" s="62">
        <f>(Data_Geotech[[#This Row],[Fracture per interval]]+Data_Geotech[[#This Row],[Added fractures 
(BC, FLT, LC)]])/Data_Geotech[[#This Row],[TCR (m)]]</f>
        <v>1.3605442176870748</v>
      </c>
      <c r="AX131" s="6" t="s">
        <v>109</v>
      </c>
      <c r="AY131" s="63">
        <f>7-MID(Data_Geotech[[#This Row],[Field Intact Rock Strength]],2,1)</f>
        <v>2</v>
      </c>
      <c r="AZ131" s="63">
        <f>VLOOKUP(Data_Geotech[[#This Row],[Field Intact Rock Strength]],Table_FieldStrength[],2,FALSE)</f>
        <v>100</v>
      </c>
      <c r="BA131" s="63">
        <f>VLOOKUP(Data_Geotech[[#This Row],[Field Intact Rock Strength]],Table_FieldStrength[],3,FALSE)</f>
        <v>175</v>
      </c>
      <c r="BB131" s="63">
        <f>VLOOKUP(Data_Geotech[[#This Row],[Field Intact Rock Strength]],Table_FieldStrength[],4,FALSE)</f>
        <v>250</v>
      </c>
      <c r="BC131" s="63">
        <f>100-Data_Geotech[[#This Row],[RMR76]]</f>
        <v>28.75</v>
      </c>
      <c r="BD131" s="63" t="str">
        <f>LEFT(Data_Geotech[[#This Row],[Weathering/Alteration]],FIND("-",Data_Geotech[[#This Row],[Weathering/Alteration]])-2)</f>
        <v>W1/A1</v>
      </c>
    </row>
    <row r="132" spans="1:56" hidden="1" x14ac:dyDescent="0.25">
      <c r="A132" t="s">
        <v>36</v>
      </c>
      <c r="B132" s="16" t="str">
        <f>VLOOKUP(Data_Geotech[[#This Row],[Hole ID]],Data_Log[],2,FALSE)</f>
        <v>CGF-05</v>
      </c>
      <c r="C132" s="5">
        <v>81.08</v>
      </c>
      <c r="D132" s="5">
        <v>81.38</v>
      </c>
      <c r="E132" s="5">
        <f>(Data_Geotech[[#This Row],[To (m)]]-Data_Geotech[[#This Row],[From (m)]])/2+Data_Geotech[[#This Row],[From (m)]]</f>
        <v>81.22999999999999</v>
      </c>
      <c r="F132" s="13">
        <f>Data_Geotech[[#This Row],[To (m)]]-Data_Geotech[[#This Row],[From (m)]]</f>
        <v>0.29999999999999716</v>
      </c>
      <c r="G132" s="5">
        <v>0.3</v>
      </c>
      <c r="H132" s="61">
        <f>Data_Geotech[[#This Row],[TCR (m)]]/Data_Geotech[[#This Row],[Run (m)]]*100</f>
        <v>100.00000000000094</v>
      </c>
      <c r="I132" s="151">
        <v>0.3</v>
      </c>
      <c r="J132" s="151">
        <v>0.3</v>
      </c>
      <c r="K132" s="5">
        <v>0.3</v>
      </c>
      <c r="L132" s="61">
        <f>Data_Geotech[[#This Row],[RQD (m)]]/Data_Geotech[[#This Row],[Run Reel (m)]]*100</f>
        <v>100</v>
      </c>
      <c r="M132" t="s">
        <v>572</v>
      </c>
      <c r="O132" t="s">
        <v>243</v>
      </c>
      <c r="P132" s="115" t="s">
        <v>397</v>
      </c>
      <c r="Q132" s="5" t="s">
        <v>281</v>
      </c>
      <c r="R132" s="5"/>
      <c r="S132" s="5"/>
      <c r="T132" s="5"/>
      <c r="U132" s="5"/>
      <c r="V132" s="6">
        <v>1</v>
      </c>
      <c r="W132" s="92">
        <f>SUMIFS(Discontinuities!$D$4:$D$9664,Discontinuities!$A$4:$A$9664,A132,Discontinuities!$C$4:$C$9664,"&gt;="&amp;C132,Discontinuities!$C$4:$C$9664,"&lt;"&amp;D132)
-SUMIFS(Discontinuities!$D$4:$D$9664,Discontinuities!$A$4:$A$9664,A132,Discontinuities!$C$4:$C$9664,"&gt;="&amp;C132,Discontinuities!$C$4:$C$9664,"&lt;"&amp;D132,Discontinuities!$E$4:$E$9664,"=BC")
-SUMIFS(Discontinuities!$D$4:$D$9664,Discontinuities!$A$4:$A$9664,A132,Discontinuities!$C$4:$C$9664,"&gt;="&amp;C132,Discontinuities!$C$4:$C$9664,"&lt;"&amp;D132,Discontinuities!$E$4:$E$9664,"=LC")
-SUMIFS(Discontinuities!$D$4:$D$9664,Discontinuities!$A$4:$A$9664,A132,Discontinuities!$C$4:$C$9664,"&gt;="&amp;C132,Discontinuities!$C$4:$C$9664,"&lt;"&amp;D132,Discontinuities!$E$4:$E$9664,"=FLT")</f>
        <v>1</v>
      </c>
      <c r="X132" t="s">
        <v>280</v>
      </c>
      <c r="AA132" s="12"/>
      <c r="AB132" s="43">
        <f>IFERROR(ROUND((Data_Geotech[[#This Row],[Fault (m)]]+Data_Geotech[[#This Row],[Broken Core (m)]]+Data_Geotech[[#This Row],[Lost Core (m)]])*30,0),0)</f>
        <v>0</v>
      </c>
      <c r="AC132" s="44">
        <f>IF(Data_Geotech[[#This Row],[Added fractures 
(BC, FLT, LC)]]+Data_Geotech[[#This Row],[Fracture per interval]]=0,99,1/((Data_Geotech[[#This Row],[Fracture per interval]]+Data_Geotech[[#This Row],[Added fractures 
(BC, FLT, LC)]])/Data_Geotech[[#This Row],[Run (m)]]))</f>
        <v>0.29999999999999716</v>
      </c>
      <c r="AD132" s="155" cm="1">
        <f t="array" ref="AD132">IFERROR(_xlfn.XLOOKUP(1,(A132=PLT!$A$4:$A$8886)*(Geotech!C132&lt;=PLT!$F$4:$F$8886)*(Geotech!D132&gt;=PLT!$F$4:$F$8886)*("Valid"=PLT!$P$4:$P$8886),PLT!$V$4:$V$8886),"")</f>
        <v>0</v>
      </c>
      <c r="AE132" s="156" t="str" cm="1">
        <f t="array" ref="AE132">IFERROR(_xlfn.XLOOKUP(1,(A132=PLT!$A$4:$A$8886)*(Geotech!C132&lt;=PLT!$F$4:$F$8886)*(Geotech!D132&gt;=PLT!$F$4:$F$8886)*(PLT!$V$4:$V$8886&lt;&gt;AD132)*("Valid"=PLT!$P$4:$P$7190),PLT!$V$4:$V$8886),"")</f>
        <v/>
      </c>
      <c r="AF132" s="156" t="str" cm="1">
        <f t="array" ref="AF132">IFERROR(_xlfn.XLOOKUP(1,(A132=PLT!$A$4:$A$8886)*(Geotech!C132&lt;=PLT!$F$4:$F$8886)*(Geotech!D132&gt;=PLT!$F$4:$F$8886)*(PLT!$V$4:$V$8886&lt;&gt;AD132)*(PLT!$V$4:$V$8886&lt;&gt;AE132)*("Valid"=PLT!$P$4:$P$7190),PLT!$V$4:$V$8886),"")</f>
        <v/>
      </c>
      <c r="AG132" s="44">
        <f>IFERROR(IF(AVERAGE(AD132:AF132)&gt;References!$BO$23,References!$BP$23,
IF(AVERAGE(AD132:AF132)&gt;References!$BO$22,References!$BP$22,
IF(AVERAGE(AD132:AF132)&gt;References!$BO$21,References!$BP$21,
IF(AVERAGE(AD132:AF132)&gt;References!$BO$20,References!$BP$20,
IF(AVERAGE(AD132:AF132)&gt;References!$BO$19,References!$BP$19,
IF(AVERAGE(AD132:AF132)&gt;References!$BO$18,References!$BP$18,
0)))))),"")</f>
        <v>0</v>
      </c>
      <c r="AH132" s="43">
        <f>IF(Data_Geotech[[#This Row],[Is50]]="",VLOOKUP(Data_Geotech[[#This Row],[Field Intact Rock Strength]],Table_RMR76_Strength[],2,FALSE),Data_Geotech[[#This Row],[Is50]])</f>
        <v>0</v>
      </c>
      <c r="AI132" s="43">
        <f>IF(Data_Geotech[[#This Row],[RQD (%)]]&lt;=25,3,IF(Data_Geotech[[#This Row],[RQD (%)]]&lt;=50,8,IF(Data_Geotech[[#This Row],[RQD (%)]]&lt;=75,13,IF(Data_Geotech[[#This Row],[RQD (%)]]&lt;=90,17,20))))</f>
        <v>20</v>
      </c>
      <c r="AJ132" s="43">
        <f>IF(Data_Geotech[[#This Row],[Joint spacing (m)]]&lt;=0.05,5,IF(Data_Geotech[[#This Row],[Joint spacing (m)]]&lt;=0.3,10,IF(Data_Geotech[[#This Row],[Joint spacing (m)]]&lt;=1,20,IF(Data_Geotech[[#This Row],[Joint spacing (m)]]&lt;=3,25,30))))</f>
        <v>10</v>
      </c>
      <c r="AK13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32" s="6">
        <v>10</v>
      </c>
      <c r="AM132" s="117">
        <f>IF(Data_Geotech[[#This Row],[FIRS Code]]="R",IFERROR(SUM(Data_Geotech[[#This Row],[RMR76 - Strength rating]:[RMR76 - Ground water rating]]),""),"")</f>
        <v>60</v>
      </c>
      <c r="AN132" s="39">
        <f>IF(Data_Geotech[[#This Row],[FIRS Code]]="R",(2*Data_Geotech[[#This Row],[RMR76 - Joint condition rating]])+(IF(Data_Geotech[[#This Row],[RQD (%)]]&gt;80,80/2,Data_Geotech[[#This Row],[RQD (%)]]/2)),"")</f>
        <v>80</v>
      </c>
      <c r="AO132" s="43" t="str">
        <f>LEFT(Data_Geotech[[#This Row],[Joint Set Rating]],FIND("-",Data_Geotech[[#This Row],[Joint Set Rating]],1)-2)</f>
        <v>1</v>
      </c>
      <c r="AP13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2</v>
      </c>
      <c r="AQ132" s="5">
        <f t="shared" si="0"/>
        <v>1</v>
      </c>
      <c r="AR132" s="49">
        <f>IF(Data_Geotech[[#This Row],[FIRS Code]]="R",IFERROR((IF(Data_Geotech[[#This Row],[RQD (%)]]&lt;10,10,Data_Geotech[[#This Row],[RQD (%)]])/Data_Geotech[[#This Row],[Jn rating]])*Data_Geotech[[#This Row],[Jr/Ja]],""),"")</f>
        <v>200</v>
      </c>
      <c r="AS132" s="45">
        <f>IF(Data_Geotech[[#This Row],[FIRS Code]]="R",IFERROR((IF(Data_Geotech[[#This Row],[RQD (%)]]&lt;10,10,Data_Geotech[[#This Row],[RQD (%)]])/Data_Geotech[[#This Row],[Jn rating]])*Data_Geotech[[#This Row],[Jr/Ja]]*Data_Geotech[[#This Row],[Jw/SRF]],""),"")</f>
        <v>200</v>
      </c>
      <c r="AT132" s="12"/>
      <c r="AU132" s="13">
        <f>100-Data_Geotech[[#This Row],[RQD (%)]]</f>
        <v>0</v>
      </c>
      <c r="AV132" s="13">
        <f>100-Data_Geotech[[#This Row],[TCR (%)]]</f>
        <v>-9.3791641120333225E-13</v>
      </c>
      <c r="AW132" s="62">
        <f>(Data_Geotech[[#This Row],[Fracture per interval]]+Data_Geotech[[#This Row],[Added fractures 
(BC, FLT, LC)]])/Data_Geotech[[#This Row],[TCR (m)]]</f>
        <v>3.3333333333333335</v>
      </c>
      <c r="AX132" s="6" t="s">
        <v>109</v>
      </c>
      <c r="AY132" s="63">
        <f>7-MID(Data_Geotech[[#This Row],[Field Intact Rock Strength]],2,1)</f>
        <v>2</v>
      </c>
      <c r="AZ132" s="63">
        <f>VLOOKUP(Data_Geotech[[#This Row],[Field Intact Rock Strength]],Table_FieldStrength[],2,FALSE)</f>
        <v>100</v>
      </c>
      <c r="BA132" s="63">
        <f>VLOOKUP(Data_Geotech[[#This Row],[Field Intact Rock Strength]],Table_FieldStrength[],3,FALSE)</f>
        <v>175</v>
      </c>
      <c r="BB132" s="63">
        <f>VLOOKUP(Data_Geotech[[#This Row],[Field Intact Rock Strength]],Table_FieldStrength[],4,FALSE)</f>
        <v>250</v>
      </c>
      <c r="BC132" s="63">
        <f>100-Data_Geotech[[#This Row],[RMR76]]</f>
        <v>40</v>
      </c>
      <c r="BD132" s="63" t="str">
        <f>LEFT(Data_Geotech[[#This Row],[Weathering/Alteration]],FIND("-",Data_Geotech[[#This Row],[Weathering/Alteration]])-2)</f>
        <v>W1/A1</v>
      </c>
    </row>
    <row r="133" spans="1:56" hidden="1" x14ac:dyDescent="0.25">
      <c r="A133" t="s">
        <v>36</v>
      </c>
      <c r="B133" s="16" t="str">
        <f>VLOOKUP(Data_Geotech[[#This Row],[Hole ID]],Data_Log[],2,FALSE)</f>
        <v>CGF-05</v>
      </c>
      <c r="C133" s="5">
        <v>81.38</v>
      </c>
      <c r="D133" s="5">
        <v>84</v>
      </c>
      <c r="E133" s="5">
        <f>(Data_Geotech[[#This Row],[To (m)]]-Data_Geotech[[#This Row],[From (m)]])/2+Data_Geotech[[#This Row],[From (m)]]</f>
        <v>82.69</v>
      </c>
      <c r="F133" s="13">
        <f>Data_Geotech[[#This Row],[To (m)]]-Data_Geotech[[#This Row],[From (m)]]</f>
        <v>2.6200000000000045</v>
      </c>
      <c r="G133" s="5">
        <v>2.62</v>
      </c>
      <c r="H133" s="61">
        <f>Data_Geotech[[#This Row],[TCR (m)]]/Data_Geotech[[#This Row],[Run (m)]]*100</f>
        <v>99.999999999999829</v>
      </c>
      <c r="I133" s="151">
        <v>2.68</v>
      </c>
      <c r="J133" s="151">
        <v>2.68</v>
      </c>
      <c r="K133" s="5">
        <v>2.5499999999999998</v>
      </c>
      <c r="L133" s="61">
        <f>Data_Geotech[[#This Row],[RQD (m)]]/Data_Geotech[[#This Row],[Run Reel (m)]]*100</f>
        <v>95.149253731343279</v>
      </c>
      <c r="M133" t="s">
        <v>600</v>
      </c>
      <c r="O133" t="s">
        <v>278</v>
      </c>
      <c r="P133" s="115" t="s">
        <v>397</v>
      </c>
      <c r="Q133" s="5" t="s">
        <v>313</v>
      </c>
      <c r="R133" s="5"/>
      <c r="S133" s="5">
        <v>0.13</v>
      </c>
      <c r="T133" s="5"/>
      <c r="U133" s="5"/>
      <c r="V133" s="6">
        <v>2</v>
      </c>
      <c r="W133" s="92">
        <f>SUMIFS(Discontinuities!$D$4:$D$9664,Discontinuities!$A$4:$A$9664,A133,Discontinuities!$C$4:$C$9664,"&gt;="&amp;C133,Discontinuities!$C$4:$C$9664,"&lt;"&amp;D133)
-SUMIFS(Discontinuities!$D$4:$D$9664,Discontinuities!$A$4:$A$9664,A133,Discontinuities!$C$4:$C$9664,"&gt;="&amp;C133,Discontinuities!$C$4:$C$9664,"&lt;"&amp;D133,Discontinuities!$E$4:$E$9664,"=BC")
-SUMIFS(Discontinuities!$D$4:$D$9664,Discontinuities!$A$4:$A$9664,A133,Discontinuities!$C$4:$C$9664,"&gt;="&amp;C133,Discontinuities!$C$4:$C$9664,"&lt;"&amp;D133,Discontinuities!$E$4:$E$9664,"=LC")
-SUMIFS(Discontinuities!$D$4:$D$9664,Discontinuities!$A$4:$A$9664,A133,Discontinuities!$C$4:$C$9664,"&gt;="&amp;C133,Discontinuities!$C$4:$C$9664,"&lt;"&amp;D133,Discontinuities!$E$4:$E$9664,"=FLT")</f>
        <v>2</v>
      </c>
      <c r="X133" t="s">
        <v>345</v>
      </c>
      <c r="AA133" s="12"/>
      <c r="AB133" s="43">
        <f>IFERROR(ROUND((Data_Geotech[[#This Row],[Fault (m)]]+Data_Geotech[[#This Row],[Broken Core (m)]]+Data_Geotech[[#This Row],[Lost Core (m)]])*30,0),0)</f>
        <v>4</v>
      </c>
      <c r="AC133" s="44">
        <f>IF(Data_Geotech[[#This Row],[Added fractures 
(BC, FLT, LC)]]+Data_Geotech[[#This Row],[Fracture per interval]]=0,99,1/((Data_Geotech[[#This Row],[Fracture per interval]]+Data_Geotech[[#This Row],[Added fractures 
(BC, FLT, LC)]])/Data_Geotech[[#This Row],[Run (m)]]))</f>
        <v>0.43666666666666748</v>
      </c>
      <c r="AD133" s="155" cm="1">
        <f t="array" ref="AD133">IFERROR(_xlfn.XLOOKUP(1,(A133=PLT!$A$4:$A$8886)*(Geotech!C133&lt;=PLT!$F$4:$F$8886)*(Geotech!D133&gt;=PLT!$F$4:$F$8886)*("Valid"=PLT!$P$4:$P$8886),PLT!$V$4:$V$8886),"")</f>
        <v>0</v>
      </c>
      <c r="AE133" s="156" t="str" cm="1">
        <f t="array" ref="AE133">IFERROR(_xlfn.XLOOKUP(1,(A133=PLT!$A$4:$A$8886)*(Geotech!C133&lt;=PLT!$F$4:$F$8886)*(Geotech!D133&gt;=PLT!$F$4:$F$8886)*(PLT!$V$4:$V$8886&lt;&gt;AD133)*("Valid"=PLT!$P$4:$P$7190),PLT!$V$4:$V$8886),"")</f>
        <v/>
      </c>
      <c r="AF133" s="156" t="str" cm="1">
        <f t="array" ref="AF133">IFERROR(_xlfn.XLOOKUP(1,(A133=PLT!$A$4:$A$8886)*(Geotech!C133&lt;=PLT!$F$4:$F$8886)*(Geotech!D133&gt;=PLT!$F$4:$F$8886)*(PLT!$V$4:$V$8886&lt;&gt;AD133)*(PLT!$V$4:$V$8886&lt;&gt;AE133)*("Valid"=PLT!$P$4:$P$7190),PLT!$V$4:$V$8886),"")</f>
        <v/>
      </c>
      <c r="AG133" s="44">
        <f>IFERROR(IF(AVERAGE(AD133:AF133)&gt;References!$BO$23,References!$BP$23,
IF(AVERAGE(AD133:AF133)&gt;References!$BO$22,References!$BP$22,
IF(AVERAGE(AD133:AF133)&gt;References!$BO$21,References!$BP$21,
IF(AVERAGE(AD133:AF133)&gt;References!$BO$20,References!$BP$20,
IF(AVERAGE(AD133:AF133)&gt;References!$BO$19,References!$BP$19,
IF(AVERAGE(AD133:AF133)&gt;References!$BO$18,References!$BP$18,
0)))))),"")</f>
        <v>0</v>
      </c>
      <c r="AH133" s="43">
        <f>IF(Data_Geotech[[#This Row],[Is50]]="",VLOOKUP(Data_Geotech[[#This Row],[Field Intact Rock Strength]],Table_RMR76_Strength[],2,FALSE),Data_Geotech[[#This Row],[Is50]])</f>
        <v>0</v>
      </c>
      <c r="AI133" s="43">
        <f>IF(Data_Geotech[[#This Row],[RQD (%)]]&lt;=25,3,IF(Data_Geotech[[#This Row],[RQD (%)]]&lt;=50,8,IF(Data_Geotech[[#This Row],[RQD (%)]]&lt;=75,13,IF(Data_Geotech[[#This Row],[RQD (%)]]&lt;=90,17,20))))</f>
        <v>20</v>
      </c>
      <c r="AJ133" s="43">
        <f>IF(Data_Geotech[[#This Row],[Joint spacing (m)]]&lt;=0.05,5,IF(Data_Geotech[[#This Row],[Joint spacing (m)]]&lt;=0.3,10,IF(Data_Geotech[[#This Row],[Joint spacing (m)]]&lt;=1,20,IF(Data_Geotech[[#This Row],[Joint spacing (m)]]&lt;=3,25,30))))</f>
        <v>20</v>
      </c>
      <c r="AK13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133" s="6">
        <v>10</v>
      </c>
      <c r="AM133" s="117">
        <f>IF(Data_Geotech[[#This Row],[FIRS Code]]="R",IFERROR(SUM(Data_Geotech[[#This Row],[RMR76 - Strength rating]:[RMR76 - Ground water rating]]),""),"")</f>
        <v>66</v>
      </c>
      <c r="AN133" s="39">
        <f>IF(Data_Geotech[[#This Row],[FIRS Code]]="R",(2*Data_Geotech[[#This Row],[RMR76 - Joint condition rating]])+(IF(Data_Geotech[[#This Row],[RQD (%)]]&gt;80,80/2,Data_Geotech[[#This Row],[RQD (%)]]/2)),"")</f>
        <v>72</v>
      </c>
      <c r="AO133" s="43" t="str">
        <f>LEFT(Data_Geotech[[#This Row],[Joint Set Rating]],FIND("-",Data_Geotech[[#This Row],[Joint Set Rating]],1)-2)</f>
        <v>3</v>
      </c>
      <c r="AP13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133" s="5">
        <f t="shared" si="0"/>
        <v>1</v>
      </c>
      <c r="AR133" s="49">
        <f>IF(Data_Geotech[[#This Row],[FIRS Code]]="R",IFERROR((IF(Data_Geotech[[#This Row],[RQD (%)]]&lt;10,10,Data_Geotech[[#This Row],[RQD (%)]])/Data_Geotech[[#This Row],[Jn rating]])*Data_Geotech[[#This Row],[Jr/Ja]],""),"")</f>
        <v>23.78731343283582</v>
      </c>
      <c r="AS133" s="45">
        <f>IF(Data_Geotech[[#This Row],[FIRS Code]]="R",IFERROR((IF(Data_Geotech[[#This Row],[RQD (%)]]&lt;10,10,Data_Geotech[[#This Row],[RQD (%)]])/Data_Geotech[[#This Row],[Jn rating]])*Data_Geotech[[#This Row],[Jr/Ja]]*Data_Geotech[[#This Row],[Jw/SRF]],""),"")</f>
        <v>23.78731343283582</v>
      </c>
      <c r="AT133" s="12"/>
      <c r="AU133" s="13">
        <f>100-Data_Geotech[[#This Row],[RQD (%)]]</f>
        <v>4.8507462686567209</v>
      </c>
      <c r="AV133" s="13">
        <f>100-Data_Geotech[[#This Row],[TCR (%)]]</f>
        <v>1.7053025658242404E-13</v>
      </c>
      <c r="AW133" s="62">
        <f>(Data_Geotech[[#This Row],[Fracture per interval]]+Data_Geotech[[#This Row],[Added fractures 
(BC, FLT, LC)]])/Data_Geotech[[#This Row],[TCR (m)]]</f>
        <v>2.2900763358778624</v>
      </c>
      <c r="AX133" s="6" t="s">
        <v>109</v>
      </c>
      <c r="AY133" s="63">
        <f>7-MID(Data_Geotech[[#This Row],[Field Intact Rock Strength]],2,1)</f>
        <v>2</v>
      </c>
      <c r="AZ133" s="63">
        <f>VLOOKUP(Data_Geotech[[#This Row],[Field Intact Rock Strength]],Table_FieldStrength[],2,FALSE)</f>
        <v>100</v>
      </c>
      <c r="BA133" s="63">
        <f>VLOOKUP(Data_Geotech[[#This Row],[Field Intact Rock Strength]],Table_FieldStrength[],3,FALSE)</f>
        <v>175</v>
      </c>
      <c r="BB133" s="63">
        <f>VLOOKUP(Data_Geotech[[#This Row],[Field Intact Rock Strength]],Table_FieldStrength[],4,FALSE)</f>
        <v>250</v>
      </c>
      <c r="BC133" s="63">
        <f>100-Data_Geotech[[#This Row],[RMR76]]</f>
        <v>34</v>
      </c>
      <c r="BD133" s="63" t="str">
        <f>LEFT(Data_Geotech[[#This Row],[Weathering/Alteration]],FIND("-",Data_Geotech[[#This Row],[Weathering/Alteration]])-2)</f>
        <v>W2/A2</v>
      </c>
    </row>
    <row r="134" spans="1:56" hidden="1" x14ac:dyDescent="0.25">
      <c r="A134" t="s">
        <v>36</v>
      </c>
      <c r="B134" s="16" t="str">
        <f>VLOOKUP(Data_Geotech[[#This Row],[Hole ID]],Data_Log[],2,FALSE)</f>
        <v>CGF-05</v>
      </c>
      <c r="C134" s="5">
        <v>84</v>
      </c>
      <c r="D134" s="5">
        <v>87.16</v>
      </c>
      <c r="E134" s="5">
        <f>(Data_Geotech[[#This Row],[To (m)]]-Data_Geotech[[#This Row],[From (m)]])/2+Data_Geotech[[#This Row],[From (m)]]</f>
        <v>85.58</v>
      </c>
      <c r="F134" s="13">
        <f>Data_Geotech[[#This Row],[To (m)]]-Data_Geotech[[#This Row],[From (m)]]</f>
        <v>3.1599999999999966</v>
      </c>
      <c r="G134" s="5">
        <v>3.16</v>
      </c>
      <c r="H134" s="61">
        <f>Data_Geotech[[#This Row],[TCR (m)]]/Data_Geotech[[#This Row],[Run (m)]]*100</f>
        <v>100.00000000000011</v>
      </c>
      <c r="I134" s="151">
        <v>3.18</v>
      </c>
      <c r="J134" s="151">
        <v>3.18</v>
      </c>
      <c r="K134" s="5">
        <f>3.18-0.25</f>
        <v>2.93</v>
      </c>
      <c r="L134" s="61">
        <f>Data_Geotech[[#This Row],[RQD (m)]]/Data_Geotech[[#This Row],[Run Reel (m)]]*100</f>
        <v>92.138364779874209</v>
      </c>
      <c r="M134" t="s">
        <v>572</v>
      </c>
      <c r="O134" t="s">
        <v>278</v>
      </c>
      <c r="P134" s="115" t="s">
        <v>397</v>
      </c>
      <c r="Q134" s="5" t="s">
        <v>313</v>
      </c>
      <c r="R134" s="5"/>
      <c r="S134" s="5">
        <v>0.25</v>
      </c>
      <c r="T134" s="5"/>
      <c r="U134" s="5"/>
      <c r="V134" s="6">
        <v>4</v>
      </c>
      <c r="W134" s="92">
        <f>SUMIFS(Discontinuities!$D$4:$D$9664,Discontinuities!$A$4:$A$9664,A134,Discontinuities!$C$4:$C$9664,"&gt;="&amp;C134,Discontinuities!$C$4:$C$9664,"&lt;"&amp;D134)
-SUMIFS(Discontinuities!$D$4:$D$9664,Discontinuities!$A$4:$A$9664,A134,Discontinuities!$C$4:$C$9664,"&gt;="&amp;C134,Discontinuities!$C$4:$C$9664,"&lt;"&amp;D134,Discontinuities!$E$4:$E$9664,"=BC")
-SUMIFS(Discontinuities!$D$4:$D$9664,Discontinuities!$A$4:$A$9664,A134,Discontinuities!$C$4:$C$9664,"&gt;="&amp;C134,Discontinuities!$C$4:$C$9664,"&lt;"&amp;D134,Discontinuities!$E$4:$E$9664,"=LC")
-SUMIFS(Discontinuities!$D$4:$D$9664,Discontinuities!$A$4:$A$9664,A134,Discontinuities!$C$4:$C$9664,"&gt;="&amp;C134,Discontinuities!$C$4:$C$9664,"&lt;"&amp;D134,Discontinuities!$E$4:$E$9664,"=FLT")</f>
        <v>4</v>
      </c>
      <c r="X134" t="s">
        <v>280</v>
      </c>
      <c r="AA134" s="12"/>
      <c r="AB134" s="43">
        <f>IFERROR(ROUND((Data_Geotech[[#This Row],[Fault (m)]]+Data_Geotech[[#This Row],[Broken Core (m)]]+Data_Geotech[[#This Row],[Lost Core (m)]])*30,0),0)</f>
        <v>8</v>
      </c>
      <c r="AC134" s="44">
        <f>IF(Data_Geotech[[#This Row],[Added fractures 
(BC, FLT, LC)]]+Data_Geotech[[#This Row],[Fracture per interval]]=0,99,1/((Data_Geotech[[#This Row],[Fracture per interval]]+Data_Geotech[[#This Row],[Added fractures 
(BC, FLT, LC)]])/Data_Geotech[[#This Row],[Run (m)]]))</f>
        <v>0.26333333333333303</v>
      </c>
      <c r="AD134" s="155" cm="1">
        <f t="array" ref="AD134">IFERROR(_xlfn.XLOOKUP(1,(A134=PLT!$A$4:$A$8886)*(Geotech!C134&lt;=PLT!$F$4:$F$8886)*(Geotech!D134&gt;=PLT!$F$4:$F$8886)*("Valid"=PLT!$P$4:$P$8886),PLT!$V$4:$V$8886),"")</f>
        <v>0</v>
      </c>
      <c r="AE134" s="156" t="str" cm="1">
        <f t="array" ref="AE134">IFERROR(_xlfn.XLOOKUP(1,(A134=PLT!$A$4:$A$8886)*(Geotech!C134&lt;=PLT!$F$4:$F$8886)*(Geotech!D134&gt;=PLT!$F$4:$F$8886)*(PLT!$V$4:$V$8886&lt;&gt;AD134)*("Valid"=PLT!$P$4:$P$7190),PLT!$V$4:$V$8886),"")</f>
        <v/>
      </c>
      <c r="AF134" s="156" t="str" cm="1">
        <f t="array" ref="AF134">IFERROR(_xlfn.XLOOKUP(1,(A134=PLT!$A$4:$A$8886)*(Geotech!C134&lt;=PLT!$F$4:$F$8886)*(Geotech!D134&gt;=PLT!$F$4:$F$8886)*(PLT!$V$4:$V$8886&lt;&gt;AD134)*(PLT!$V$4:$V$8886&lt;&gt;AE134)*("Valid"=PLT!$P$4:$P$7190),PLT!$V$4:$V$8886),"")</f>
        <v/>
      </c>
      <c r="AG134" s="44">
        <f>IFERROR(IF(AVERAGE(AD134:AF134)&gt;References!$BO$23,References!$BP$23,
IF(AVERAGE(AD134:AF134)&gt;References!$BO$22,References!$BP$22,
IF(AVERAGE(AD134:AF134)&gt;References!$BO$21,References!$BP$21,
IF(AVERAGE(AD134:AF134)&gt;References!$BO$20,References!$BP$20,
IF(AVERAGE(AD134:AF134)&gt;References!$BO$19,References!$BP$19,
IF(AVERAGE(AD134:AF134)&gt;References!$BO$18,References!$BP$18,
0)))))),"")</f>
        <v>0</v>
      </c>
      <c r="AH134" s="43">
        <f>IF(Data_Geotech[[#This Row],[Is50]]="",VLOOKUP(Data_Geotech[[#This Row],[Field Intact Rock Strength]],Table_RMR76_Strength[],2,FALSE),Data_Geotech[[#This Row],[Is50]])</f>
        <v>0</v>
      </c>
      <c r="AI134" s="43">
        <f>IF(Data_Geotech[[#This Row],[RQD (%)]]&lt;=25,3,IF(Data_Geotech[[#This Row],[RQD (%)]]&lt;=50,8,IF(Data_Geotech[[#This Row],[RQD (%)]]&lt;=75,13,IF(Data_Geotech[[#This Row],[RQD (%)]]&lt;=90,17,20))))</f>
        <v>20</v>
      </c>
      <c r="AJ134" s="43">
        <f>IF(Data_Geotech[[#This Row],[Joint spacing (m)]]&lt;=0.05,5,IF(Data_Geotech[[#This Row],[Joint spacing (m)]]&lt;=0.3,10,IF(Data_Geotech[[#This Row],[Joint spacing (m)]]&lt;=1,20,IF(Data_Geotech[[#This Row],[Joint spacing (m)]]&lt;=3,25,30))))</f>
        <v>10</v>
      </c>
      <c r="AK13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134" s="6">
        <v>10</v>
      </c>
      <c r="AM134" s="117">
        <f>IF(Data_Geotech[[#This Row],[FIRS Code]]="R",IFERROR(SUM(Data_Geotech[[#This Row],[RMR76 - Strength rating]:[RMR76 - Ground water rating]]),""),"")</f>
        <v>62.5</v>
      </c>
      <c r="AN134" s="39">
        <f>IF(Data_Geotech[[#This Row],[FIRS Code]]="R",(2*Data_Geotech[[#This Row],[RMR76 - Joint condition rating]])+(IF(Data_Geotech[[#This Row],[RQD (%)]]&gt;80,80/2,Data_Geotech[[#This Row],[RQD (%)]]/2)),"")</f>
        <v>85</v>
      </c>
      <c r="AO134" s="43" t="str">
        <f>LEFT(Data_Geotech[[#This Row],[Joint Set Rating]],FIND("-",Data_Geotech[[#This Row],[Joint Set Rating]],1)-2)</f>
        <v>1</v>
      </c>
      <c r="AP13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134" s="5">
        <f t="shared" si="0"/>
        <v>1</v>
      </c>
      <c r="AR134" s="49">
        <f>IF(Data_Geotech[[#This Row],[FIRS Code]]="R",IFERROR((IF(Data_Geotech[[#This Row],[RQD (%)]]&lt;10,10,Data_Geotech[[#This Row],[RQD (%)]])/Data_Geotech[[#This Row],[Jn rating]])*Data_Geotech[[#This Row],[Jr/Ja]],""),"")</f>
        <v>138.20754716981131</v>
      </c>
      <c r="AS134" s="45">
        <f>IF(Data_Geotech[[#This Row],[FIRS Code]]="R",IFERROR((IF(Data_Geotech[[#This Row],[RQD (%)]]&lt;10,10,Data_Geotech[[#This Row],[RQD (%)]])/Data_Geotech[[#This Row],[Jn rating]])*Data_Geotech[[#This Row],[Jr/Ja]]*Data_Geotech[[#This Row],[Jw/SRF]],""),"")</f>
        <v>138.20754716981131</v>
      </c>
      <c r="AT134" s="12"/>
      <c r="AU134" s="13">
        <f>100-Data_Geotech[[#This Row],[RQD (%)]]</f>
        <v>7.8616352201257911</v>
      </c>
      <c r="AV134" s="13">
        <f>100-Data_Geotech[[#This Row],[TCR (%)]]</f>
        <v>-1.1368683772161603E-13</v>
      </c>
      <c r="AW134" s="62">
        <f>(Data_Geotech[[#This Row],[Fracture per interval]]+Data_Geotech[[#This Row],[Added fractures 
(BC, FLT, LC)]])/Data_Geotech[[#This Row],[TCR (m)]]</f>
        <v>3.7974683544303796</v>
      </c>
      <c r="AX134" s="6" t="s">
        <v>109</v>
      </c>
      <c r="AY134" s="63">
        <f>7-MID(Data_Geotech[[#This Row],[Field Intact Rock Strength]],2,1)</f>
        <v>2</v>
      </c>
      <c r="AZ134" s="63">
        <f>VLOOKUP(Data_Geotech[[#This Row],[Field Intact Rock Strength]],Table_FieldStrength[],2,FALSE)</f>
        <v>100</v>
      </c>
      <c r="BA134" s="63">
        <f>VLOOKUP(Data_Geotech[[#This Row],[Field Intact Rock Strength]],Table_FieldStrength[],3,FALSE)</f>
        <v>175</v>
      </c>
      <c r="BB134" s="63">
        <f>VLOOKUP(Data_Geotech[[#This Row],[Field Intact Rock Strength]],Table_FieldStrength[],4,FALSE)</f>
        <v>250</v>
      </c>
      <c r="BC134" s="63">
        <f>100-Data_Geotech[[#This Row],[RMR76]]</f>
        <v>37.5</v>
      </c>
      <c r="BD134" s="63" t="str">
        <f>LEFT(Data_Geotech[[#This Row],[Weathering/Alteration]],FIND("-",Data_Geotech[[#This Row],[Weathering/Alteration]])-2)</f>
        <v>W2/A2</v>
      </c>
    </row>
    <row r="135" spans="1:56" hidden="1" x14ac:dyDescent="0.25">
      <c r="A135" s="91" t="s">
        <v>36</v>
      </c>
      <c r="B135" s="167" t="str">
        <f>VLOOKUP(Data_Geotech[[#This Row],[Hole ID]],Data_Log[],2,FALSE)</f>
        <v>CGF-05</v>
      </c>
      <c r="C135" s="155">
        <v>87.16</v>
      </c>
      <c r="D135" s="155">
        <v>90.07</v>
      </c>
      <c r="E135" s="155">
        <f>(Data_Geotech[[#This Row],[To (m)]]-Data_Geotech[[#This Row],[From (m)]])/2+Data_Geotech[[#This Row],[From (m)]]</f>
        <v>88.614999999999995</v>
      </c>
      <c r="F135" s="155">
        <f>Data_Geotech[[#This Row],[To (m)]]-Data_Geotech[[#This Row],[From (m)]]</f>
        <v>2.9099999999999966</v>
      </c>
      <c r="G135" s="155">
        <v>2.91</v>
      </c>
      <c r="H135" s="168">
        <f>Data_Geotech[[#This Row],[TCR (m)]]/Data_Geotech[[#This Row],[Run (m)]]*100</f>
        <v>100.00000000000011</v>
      </c>
      <c r="I135" s="168">
        <v>2.95</v>
      </c>
      <c r="J135" s="168">
        <v>2.95</v>
      </c>
      <c r="K135" s="155">
        <v>2.86</v>
      </c>
      <c r="L135" s="168">
        <f>Data_Geotech[[#This Row],[RQD (m)]]/Data_Geotech[[#This Row],[Run Reel (m)]]*100</f>
        <v>96.949152542372872</v>
      </c>
      <c r="M135" s="91" t="s">
        <v>572</v>
      </c>
      <c r="N135" s="91"/>
      <c r="O135" s="91" t="s">
        <v>278</v>
      </c>
      <c r="P135" s="169" t="s">
        <v>370</v>
      </c>
      <c r="Q135" s="155" t="s">
        <v>313</v>
      </c>
      <c r="R135" s="155"/>
      <c r="S135" s="155"/>
      <c r="T135" s="155"/>
      <c r="U135" s="155"/>
      <c r="V135" s="148">
        <v>7</v>
      </c>
      <c r="W135" s="170">
        <f>SUMIFS(Discontinuities!$D$4:$D$9664,Discontinuities!$A$4:$A$9664,A135,Discontinuities!$C$4:$C$9664,"&gt;="&amp;C135,Discontinuities!$C$4:$C$9664,"&lt;"&amp;D135)
-SUMIFS(Discontinuities!$D$4:$D$9664,Discontinuities!$A$4:$A$9664,A135,Discontinuities!$C$4:$C$9664,"&gt;="&amp;C135,Discontinuities!$C$4:$C$9664,"&lt;"&amp;D135,Discontinuities!$E$4:$E$9664,"=BC")
-SUMIFS(Discontinuities!$D$4:$D$9664,Discontinuities!$A$4:$A$9664,A135,Discontinuities!$C$4:$C$9664,"&gt;="&amp;C135,Discontinuities!$C$4:$C$9664,"&lt;"&amp;D135,Discontinuities!$E$4:$E$9664,"=LC")
-SUMIFS(Discontinuities!$D$4:$D$9664,Discontinuities!$A$4:$A$9664,A135,Discontinuities!$C$4:$C$9664,"&gt;="&amp;C135,Discontinuities!$C$4:$C$9664,"&lt;"&amp;D135,Discontinuities!$E$4:$E$9664,"=FLT")</f>
        <v>7</v>
      </c>
      <c r="X135" s="91" t="s">
        <v>400</v>
      </c>
      <c r="Y135" s="148"/>
      <c r="Z135" s="91"/>
      <c r="AA135" s="91"/>
      <c r="AB135" s="171">
        <f>IFERROR(ROUND((Data_Geotech[[#This Row],[Fault (m)]]+Data_Geotech[[#This Row],[Broken Core (m)]]+Data_Geotech[[#This Row],[Lost Core (m)]])*30,0),0)</f>
        <v>0</v>
      </c>
      <c r="AC135" s="172">
        <f>IF(Data_Geotech[[#This Row],[Added fractures 
(BC, FLT, LC)]]+Data_Geotech[[#This Row],[Fracture per interval]]=0,99,1/((Data_Geotech[[#This Row],[Fracture per interval]]+Data_Geotech[[#This Row],[Added fractures 
(BC, FLT, LC)]])/Data_Geotech[[#This Row],[Run (m)]]))</f>
        <v>0.4157142857142852</v>
      </c>
      <c r="AD135" s="155" cm="1">
        <f t="array" ref="AD135">IFERROR(_xlfn.XLOOKUP(1,(A135=PLT!$A$4:$A$8886)*(Geotech!C135&lt;=PLT!$F$4:$F$8886)*(Geotech!D135&gt;=PLT!$F$4:$F$8886)*("Valid"=PLT!$P$4:$P$8886),PLT!$V$4:$V$8886),"")</f>
        <v>0</v>
      </c>
      <c r="AE135" s="156" t="str" cm="1">
        <f t="array" ref="AE135">IFERROR(_xlfn.XLOOKUP(1,(A135=PLT!$A$4:$A$8886)*(Geotech!C135&lt;=PLT!$F$4:$F$8886)*(Geotech!D135&gt;=PLT!$F$4:$F$8886)*(PLT!$V$4:$V$8886&lt;&gt;AD135)*("Valid"=PLT!$P$4:$P$7190),PLT!$V$4:$V$8886),"")</f>
        <v/>
      </c>
      <c r="AF135" s="156" t="str" cm="1">
        <f t="array" ref="AF135">IFERROR(_xlfn.XLOOKUP(1,(A135=PLT!$A$4:$A$8886)*(Geotech!C135&lt;=PLT!$F$4:$F$8886)*(Geotech!D135&gt;=PLT!$F$4:$F$8886)*(PLT!$V$4:$V$8886&lt;&gt;AD135)*(PLT!$V$4:$V$8886&lt;&gt;AE135)*("Valid"=PLT!$P$4:$P$7190),PLT!$V$4:$V$8886),"")</f>
        <v/>
      </c>
      <c r="AG135" s="172">
        <f>IFERROR(IF(AVERAGE(AD135:AF135)&gt;References!$BO$23,References!$BP$23,
IF(AVERAGE(AD135:AF135)&gt;References!$BO$22,References!$BP$22,
IF(AVERAGE(AD135:AF135)&gt;References!$BO$21,References!$BP$21,
IF(AVERAGE(AD135:AF135)&gt;References!$BO$20,References!$BP$20,
IF(AVERAGE(AD135:AF135)&gt;References!$BO$19,References!$BP$19,
IF(AVERAGE(AD135:AF135)&gt;References!$BO$18,References!$BP$18,
0)))))),"")</f>
        <v>0</v>
      </c>
      <c r="AH135" s="171">
        <f>IF(Data_Geotech[[#This Row],[Is50]]="",VLOOKUP(Data_Geotech[[#This Row],[Field Intact Rock Strength]],Table_RMR76_Strength[],2,FALSE),Data_Geotech[[#This Row],[Is50]])</f>
        <v>0</v>
      </c>
      <c r="AI135" s="171">
        <f>IF(Data_Geotech[[#This Row],[RQD (%)]]&lt;=25,3,IF(Data_Geotech[[#This Row],[RQD (%)]]&lt;=50,8,IF(Data_Geotech[[#This Row],[RQD (%)]]&lt;=75,13,IF(Data_Geotech[[#This Row],[RQD (%)]]&lt;=90,17,20))))</f>
        <v>20</v>
      </c>
      <c r="AJ135" s="171">
        <f>IF(Data_Geotech[[#This Row],[Joint spacing (m)]]&lt;=0.05,5,IF(Data_Geotech[[#This Row],[Joint spacing (m)]]&lt;=0.3,10,IF(Data_Geotech[[#This Row],[Joint spacing (m)]]&lt;=1,20,IF(Data_Geotech[[#This Row],[Joint spacing (m)]]&lt;=3,25,30))))</f>
        <v>20</v>
      </c>
      <c r="AK135"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19.571428571428573</v>
      </c>
      <c r="AL135" s="148">
        <v>10</v>
      </c>
      <c r="AM135" s="173">
        <f>IF(Data_Geotech[[#This Row],[FIRS Code]]="R",IFERROR(SUM(Data_Geotech[[#This Row],[RMR76 - Strength rating]:[RMR76 - Ground water rating]]),""),"")</f>
        <v>69.571428571428569</v>
      </c>
      <c r="AN135" s="174">
        <f>IF(Data_Geotech[[#This Row],[FIRS Code]]="R",(2*Data_Geotech[[#This Row],[RMR76 - Joint condition rating]])+(IF(Data_Geotech[[#This Row],[RQD (%)]]&gt;80,80/2,Data_Geotech[[#This Row],[RQD (%)]]/2)),"")</f>
        <v>79.142857142857139</v>
      </c>
      <c r="AO135" s="171" t="str">
        <f>LEFT(Data_Geotech[[#This Row],[Joint Set Rating]],FIND("-",Data_Geotech[[#This Row],[Joint Set Rating]],1)-2)</f>
        <v>6</v>
      </c>
      <c r="AP135"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1.2142857142857142</v>
      </c>
      <c r="AQ135" s="155">
        <f t="shared" si="0"/>
        <v>1</v>
      </c>
      <c r="AR135" s="175">
        <f>IF(Data_Geotech[[#This Row],[FIRS Code]]="R",IFERROR((IF(Data_Geotech[[#This Row],[RQD (%)]]&lt;10,10,Data_Geotech[[#This Row],[RQD (%)]])/Data_Geotech[[#This Row],[Jn rating]])*Data_Geotech[[#This Row],[Jr/Ja]],""),"")</f>
        <v>19.620661824051648</v>
      </c>
      <c r="AS135" s="176">
        <f>IF(Data_Geotech[[#This Row],[FIRS Code]]="R",IFERROR((IF(Data_Geotech[[#This Row],[RQD (%)]]&lt;10,10,Data_Geotech[[#This Row],[RQD (%)]])/Data_Geotech[[#This Row],[Jn rating]])*Data_Geotech[[#This Row],[Jr/Ja]]*Data_Geotech[[#This Row],[Jw/SRF]],""),"")</f>
        <v>19.620661824051648</v>
      </c>
      <c r="AT135" s="91"/>
      <c r="AU135" s="155">
        <f>100-Data_Geotech[[#This Row],[RQD (%)]]</f>
        <v>3.0508474576271283</v>
      </c>
      <c r="AV135" s="155">
        <f>100-Data_Geotech[[#This Row],[TCR (%)]]</f>
        <v>-1.1368683772161603E-13</v>
      </c>
      <c r="AW135" s="170">
        <f>(Data_Geotech[[#This Row],[Fracture per interval]]+Data_Geotech[[#This Row],[Added fractures 
(BC, FLT, LC)]])/Data_Geotech[[#This Row],[TCR (m)]]</f>
        <v>2.4054982817869415</v>
      </c>
      <c r="AX135" s="148" t="s">
        <v>109</v>
      </c>
      <c r="AY135" s="148">
        <f>7-MID(Data_Geotech[[#This Row],[Field Intact Rock Strength]],2,1)</f>
        <v>3</v>
      </c>
      <c r="AZ135" s="148">
        <f>VLOOKUP(Data_Geotech[[#This Row],[Field Intact Rock Strength]],Table_FieldStrength[],2,FALSE)</f>
        <v>50</v>
      </c>
      <c r="BA135" s="148">
        <f>VLOOKUP(Data_Geotech[[#This Row],[Field Intact Rock Strength]],Table_FieldStrength[],3,FALSE)</f>
        <v>75</v>
      </c>
      <c r="BB135" s="148">
        <f>VLOOKUP(Data_Geotech[[#This Row],[Field Intact Rock Strength]],Table_FieldStrength[],4,FALSE)</f>
        <v>100</v>
      </c>
      <c r="BC135" s="148">
        <f>100-Data_Geotech[[#This Row],[RMR76]]</f>
        <v>30.428571428571431</v>
      </c>
      <c r="BD135" s="148" t="str">
        <f>LEFT(Data_Geotech[[#This Row],[Weathering/Alteration]],FIND("-",Data_Geotech[[#This Row],[Weathering/Alteration]])-2)</f>
        <v>W2/A2</v>
      </c>
    </row>
    <row r="136" spans="1:56" hidden="1" x14ac:dyDescent="0.25">
      <c r="A136" t="s">
        <v>36</v>
      </c>
      <c r="B136" s="16" t="str">
        <f>VLOOKUP(Data_Geotech[[#This Row],[Hole ID]],Data_Log[],2,FALSE)</f>
        <v>CGF-05</v>
      </c>
      <c r="C136" s="5">
        <v>90.07</v>
      </c>
      <c r="D136" s="5">
        <v>90.54</v>
      </c>
      <c r="E136" s="5">
        <f>(Data_Geotech[[#This Row],[To (m)]]-Data_Geotech[[#This Row],[From (m)]])/2+Data_Geotech[[#This Row],[From (m)]]</f>
        <v>90.305000000000007</v>
      </c>
      <c r="F136" s="13">
        <f>Data_Geotech[[#This Row],[To (m)]]-Data_Geotech[[#This Row],[From (m)]]</f>
        <v>0.47000000000001307</v>
      </c>
      <c r="G136" s="5">
        <v>0.47</v>
      </c>
      <c r="H136" s="61">
        <f>Data_Geotech[[#This Row],[TCR (m)]]/Data_Geotech[[#This Row],[Run (m)]]*100</f>
        <v>99.999999999997215</v>
      </c>
      <c r="I136" s="151">
        <v>0.46</v>
      </c>
      <c r="J136" s="151">
        <v>0.46</v>
      </c>
      <c r="K136" s="5">
        <v>0.46</v>
      </c>
      <c r="L136" s="61">
        <f>Data_Geotech[[#This Row],[RQD (m)]]/Data_Geotech[[#This Row],[Run Reel (m)]]*100</f>
        <v>100</v>
      </c>
      <c r="M136" t="s">
        <v>572</v>
      </c>
      <c r="O136" t="s">
        <v>278</v>
      </c>
      <c r="P136" s="115" t="s">
        <v>397</v>
      </c>
      <c r="Q136" s="5" t="s">
        <v>313</v>
      </c>
      <c r="R136" s="5"/>
      <c r="S136" s="5"/>
      <c r="T136" s="5"/>
      <c r="U136" s="5"/>
      <c r="V136" s="6">
        <v>0</v>
      </c>
      <c r="W136" s="92">
        <f>SUMIFS(Discontinuities!$D$4:$D$9664,Discontinuities!$A$4:$A$9664,A136,Discontinuities!$C$4:$C$9664,"&gt;="&amp;C136,Discontinuities!$C$4:$C$9664,"&lt;"&amp;D136)
-SUMIFS(Discontinuities!$D$4:$D$9664,Discontinuities!$A$4:$A$9664,A136,Discontinuities!$C$4:$C$9664,"&gt;="&amp;C136,Discontinuities!$C$4:$C$9664,"&lt;"&amp;D136,Discontinuities!$E$4:$E$9664,"=BC")
-SUMIFS(Discontinuities!$D$4:$D$9664,Discontinuities!$A$4:$A$9664,A136,Discontinuities!$C$4:$C$9664,"&gt;="&amp;C136,Discontinuities!$C$4:$C$9664,"&lt;"&amp;D136,Discontinuities!$E$4:$E$9664,"=LC")
-SUMIFS(Discontinuities!$D$4:$D$9664,Discontinuities!$A$4:$A$9664,A136,Discontinuities!$C$4:$C$9664,"&gt;="&amp;C136,Discontinuities!$C$4:$C$9664,"&lt;"&amp;D136,Discontinuities!$E$4:$E$9664,"=FLT")</f>
        <v>0</v>
      </c>
      <c r="X136" t="s">
        <v>280</v>
      </c>
      <c r="AA136" s="12"/>
      <c r="AB136" s="43">
        <f>IFERROR(ROUND((Data_Geotech[[#This Row],[Fault (m)]]+Data_Geotech[[#This Row],[Broken Core (m)]]+Data_Geotech[[#This Row],[Lost Core (m)]])*30,0),0)</f>
        <v>0</v>
      </c>
      <c r="AC136" s="44">
        <f>IF(Data_Geotech[[#This Row],[Added fractures 
(BC, FLT, LC)]]+Data_Geotech[[#This Row],[Fracture per interval]]=0,99,1/((Data_Geotech[[#This Row],[Fracture per interval]]+Data_Geotech[[#This Row],[Added fractures 
(BC, FLT, LC)]])/Data_Geotech[[#This Row],[Run (m)]]))</f>
        <v>99</v>
      </c>
      <c r="AD136" s="155" cm="1">
        <f t="array" ref="AD136">IFERROR(_xlfn.XLOOKUP(1,(A136=PLT!$A$4:$A$8886)*(Geotech!C136&lt;=PLT!$F$4:$F$8886)*(Geotech!D136&gt;=PLT!$F$4:$F$8886)*("Valid"=PLT!$P$4:$P$8886),PLT!$V$4:$V$8886),"")</f>
        <v>0</v>
      </c>
      <c r="AE136" s="156" t="str" cm="1">
        <f t="array" ref="AE136">IFERROR(_xlfn.XLOOKUP(1,(A136=PLT!$A$4:$A$8886)*(Geotech!C136&lt;=PLT!$F$4:$F$8886)*(Geotech!D136&gt;=PLT!$F$4:$F$8886)*(PLT!$V$4:$V$8886&lt;&gt;AD136)*("Valid"=PLT!$P$4:$P$7190),PLT!$V$4:$V$8886),"")</f>
        <v/>
      </c>
      <c r="AF136" s="156" t="str" cm="1">
        <f t="array" ref="AF136">IFERROR(_xlfn.XLOOKUP(1,(A136=PLT!$A$4:$A$8886)*(Geotech!C136&lt;=PLT!$F$4:$F$8886)*(Geotech!D136&gt;=PLT!$F$4:$F$8886)*(PLT!$V$4:$V$8886&lt;&gt;AD136)*(PLT!$V$4:$V$8886&lt;&gt;AE136)*("Valid"=PLT!$P$4:$P$7190),PLT!$V$4:$V$8886),"")</f>
        <v/>
      </c>
      <c r="AG136" s="44">
        <f>IFERROR(IF(AVERAGE(AD136:AF136)&gt;References!$BO$23,References!$BP$23,
IF(AVERAGE(AD136:AF136)&gt;References!$BO$22,References!$BP$22,
IF(AVERAGE(AD136:AF136)&gt;References!$BO$21,References!$BP$21,
IF(AVERAGE(AD136:AF136)&gt;References!$BO$20,References!$BP$20,
IF(AVERAGE(AD136:AF136)&gt;References!$BO$19,References!$BP$19,
IF(AVERAGE(AD136:AF136)&gt;References!$BO$18,References!$BP$18,
0)))))),"")</f>
        <v>0</v>
      </c>
      <c r="AH136" s="43">
        <f>IF(Data_Geotech[[#This Row],[Is50]]="",VLOOKUP(Data_Geotech[[#This Row],[Field Intact Rock Strength]],Table_RMR76_Strength[],2,FALSE),Data_Geotech[[#This Row],[Is50]])</f>
        <v>0</v>
      </c>
      <c r="AI136" s="43">
        <f>IF(Data_Geotech[[#This Row],[RQD (%)]]&lt;=25,3,IF(Data_Geotech[[#This Row],[RQD (%)]]&lt;=50,8,IF(Data_Geotech[[#This Row],[RQD (%)]]&lt;=75,13,IF(Data_Geotech[[#This Row],[RQD (%)]]&lt;=90,17,20))))</f>
        <v>20</v>
      </c>
      <c r="AJ136" s="43">
        <f>IF(Data_Geotech[[#This Row],[Joint spacing (m)]]&lt;=0.05,5,IF(Data_Geotech[[#This Row],[Joint spacing (m)]]&lt;=0.3,10,IF(Data_Geotech[[#This Row],[Joint spacing (m)]]&lt;=1,20,IF(Data_Geotech[[#This Row],[Joint spacing (m)]]&lt;=3,25,30))))</f>
        <v>30</v>
      </c>
      <c r="AK13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36" s="6">
        <v>10</v>
      </c>
      <c r="AM136" s="117">
        <f>IF(Data_Geotech[[#This Row],[FIRS Code]]="R",IFERROR(SUM(Data_Geotech[[#This Row],[RMR76 - Strength rating]:[RMR76 - Ground water rating]]),""),"")</f>
        <v>85</v>
      </c>
      <c r="AN136" s="39">
        <f>IF(Data_Geotech[[#This Row],[FIRS Code]]="R",(2*Data_Geotech[[#This Row],[RMR76 - Joint condition rating]])+(IF(Data_Geotech[[#This Row],[RQD (%)]]&gt;80,80/2,Data_Geotech[[#This Row],[RQD (%)]]/2)),"")</f>
        <v>90</v>
      </c>
      <c r="AO136" s="43" t="str">
        <f>LEFT(Data_Geotech[[#This Row],[Joint Set Rating]],FIND("-",Data_Geotech[[#This Row],[Joint Set Rating]],1)-2)</f>
        <v>1</v>
      </c>
      <c r="AP13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36" s="5">
        <f t="shared" si="0"/>
        <v>1</v>
      </c>
      <c r="AR136" s="49">
        <f>IF(Data_Geotech[[#This Row],[FIRS Code]]="R",IFERROR((IF(Data_Geotech[[#This Row],[RQD (%)]]&lt;10,10,Data_Geotech[[#This Row],[RQD (%)]])/Data_Geotech[[#This Row],[Jn rating]])*Data_Geotech[[#This Row],[Jr/Ja]],""),"")</f>
        <v>533.33333333333326</v>
      </c>
      <c r="AS136" s="45">
        <f>IF(Data_Geotech[[#This Row],[FIRS Code]]="R",IFERROR((IF(Data_Geotech[[#This Row],[RQD (%)]]&lt;10,10,Data_Geotech[[#This Row],[RQD (%)]])/Data_Geotech[[#This Row],[Jn rating]])*Data_Geotech[[#This Row],[Jr/Ja]]*Data_Geotech[[#This Row],[Jw/SRF]],""),"")</f>
        <v>533.33333333333326</v>
      </c>
      <c r="AT136" s="12"/>
      <c r="AU136" s="13">
        <f>100-Data_Geotech[[#This Row],[RQD (%)]]</f>
        <v>0</v>
      </c>
      <c r="AV136" s="13">
        <f>100-Data_Geotech[[#This Row],[TCR (%)]]</f>
        <v>2.7853275241795927E-12</v>
      </c>
      <c r="AW136" s="62">
        <f>(Data_Geotech[[#This Row],[Fracture per interval]]+Data_Geotech[[#This Row],[Added fractures 
(BC, FLT, LC)]])/Data_Geotech[[#This Row],[TCR (m)]]</f>
        <v>0</v>
      </c>
      <c r="AX136" s="6" t="s">
        <v>109</v>
      </c>
      <c r="AY136" s="63">
        <f>7-MID(Data_Geotech[[#This Row],[Field Intact Rock Strength]],2,1)</f>
        <v>2</v>
      </c>
      <c r="AZ136" s="63">
        <f>VLOOKUP(Data_Geotech[[#This Row],[Field Intact Rock Strength]],Table_FieldStrength[],2,FALSE)</f>
        <v>100</v>
      </c>
      <c r="BA136" s="63">
        <f>VLOOKUP(Data_Geotech[[#This Row],[Field Intact Rock Strength]],Table_FieldStrength[],3,FALSE)</f>
        <v>175</v>
      </c>
      <c r="BB136" s="63">
        <f>VLOOKUP(Data_Geotech[[#This Row],[Field Intact Rock Strength]],Table_FieldStrength[],4,FALSE)</f>
        <v>250</v>
      </c>
      <c r="BC136" s="63">
        <f>100-Data_Geotech[[#This Row],[RMR76]]</f>
        <v>15</v>
      </c>
      <c r="BD136" s="63" t="str">
        <f>LEFT(Data_Geotech[[#This Row],[Weathering/Alteration]],FIND("-",Data_Geotech[[#This Row],[Weathering/Alteration]])-2)</f>
        <v>W2/A2</v>
      </c>
    </row>
    <row r="137" spans="1:56" hidden="1" x14ac:dyDescent="0.25">
      <c r="A137" t="s">
        <v>36</v>
      </c>
      <c r="B137" s="16" t="str">
        <f>VLOOKUP(Data_Geotech[[#This Row],[Hole ID]],Data_Log[],2,FALSE)</f>
        <v>CGF-05</v>
      </c>
      <c r="C137" s="5">
        <v>90.54</v>
      </c>
      <c r="D137" s="5">
        <v>93.07</v>
      </c>
      <c r="E137" s="5">
        <f>(Data_Geotech[[#This Row],[To (m)]]-Data_Geotech[[#This Row],[From (m)]])/2+Data_Geotech[[#This Row],[From (m)]]</f>
        <v>91.805000000000007</v>
      </c>
      <c r="F137" s="13">
        <f>Data_Geotech[[#This Row],[To (m)]]-Data_Geotech[[#This Row],[From (m)]]</f>
        <v>2.5299999999999869</v>
      </c>
      <c r="G137" s="5">
        <v>2.5299999999999998</v>
      </c>
      <c r="H137" s="61">
        <f>Data_Geotech[[#This Row],[TCR (m)]]/Data_Geotech[[#This Row],[Run (m)]]*100</f>
        <v>100.00000000000051</v>
      </c>
      <c r="I137" s="151">
        <v>2.5299999999999998</v>
      </c>
      <c r="J137" s="151">
        <v>2.5299999999999998</v>
      </c>
      <c r="K137" s="5">
        <v>2.5299999999999998</v>
      </c>
      <c r="L137" s="61">
        <f>Data_Geotech[[#This Row],[RQD (m)]]/Data_Geotech[[#This Row],[Run Reel (m)]]*100</f>
        <v>100</v>
      </c>
      <c r="M137" t="s">
        <v>580</v>
      </c>
      <c r="O137" t="s">
        <v>243</v>
      </c>
      <c r="P137" s="115" t="s">
        <v>397</v>
      </c>
      <c r="Q137" s="5" t="s">
        <v>281</v>
      </c>
      <c r="R137" s="5"/>
      <c r="S137" s="5"/>
      <c r="T137" s="5"/>
      <c r="U137" s="5"/>
      <c r="V137" s="6">
        <v>2</v>
      </c>
      <c r="W137" s="92">
        <f>SUMIFS(Discontinuities!$D$4:$D$9664,Discontinuities!$A$4:$A$9664,A137,Discontinuities!$C$4:$C$9664,"&gt;="&amp;C137,Discontinuities!$C$4:$C$9664,"&lt;"&amp;D137)
-SUMIFS(Discontinuities!$D$4:$D$9664,Discontinuities!$A$4:$A$9664,A137,Discontinuities!$C$4:$C$9664,"&gt;="&amp;C137,Discontinuities!$C$4:$C$9664,"&lt;"&amp;D137,Discontinuities!$E$4:$E$9664,"=BC")
-SUMIFS(Discontinuities!$D$4:$D$9664,Discontinuities!$A$4:$A$9664,A137,Discontinuities!$C$4:$C$9664,"&gt;="&amp;C137,Discontinuities!$C$4:$C$9664,"&lt;"&amp;D137,Discontinuities!$E$4:$E$9664,"=LC")
-SUMIFS(Discontinuities!$D$4:$D$9664,Discontinuities!$A$4:$A$9664,A137,Discontinuities!$C$4:$C$9664,"&gt;="&amp;C137,Discontinuities!$C$4:$C$9664,"&lt;"&amp;D137,Discontinuities!$E$4:$E$9664,"=FLT")</f>
        <v>2</v>
      </c>
      <c r="X137" t="s">
        <v>345</v>
      </c>
      <c r="AA137" s="12"/>
      <c r="AB137" s="43">
        <f>IFERROR(ROUND((Data_Geotech[[#This Row],[Fault (m)]]+Data_Geotech[[#This Row],[Broken Core (m)]]+Data_Geotech[[#This Row],[Lost Core (m)]])*30,0),0)</f>
        <v>0</v>
      </c>
      <c r="AC137" s="44">
        <f>IF(Data_Geotech[[#This Row],[Added fractures 
(BC, FLT, LC)]]+Data_Geotech[[#This Row],[Fracture per interval]]=0,99,1/((Data_Geotech[[#This Row],[Fracture per interval]]+Data_Geotech[[#This Row],[Added fractures 
(BC, FLT, LC)]])/Data_Geotech[[#This Row],[Run (m)]]))</f>
        <v>1.2649999999999935</v>
      </c>
      <c r="AD137" s="155" cm="1">
        <f t="array" ref="AD137">IFERROR(_xlfn.XLOOKUP(1,(A137=PLT!$A$4:$A$8886)*(Geotech!C137&lt;=PLT!$F$4:$F$8886)*(Geotech!D137&gt;=PLT!$F$4:$F$8886)*("Valid"=PLT!$P$4:$P$8886),PLT!$V$4:$V$8886),"")</f>
        <v>0</v>
      </c>
      <c r="AE137" s="156" t="str" cm="1">
        <f t="array" ref="AE137">IFERROR(_xlfn.XLOOKUP(1,(A137=PLT!$A$4:$A$8886)*(Geotech!C137&lt;=PLT!$F$4:$F$8886)*(Geotech!D137&gt;=PLT!$F$4:$F$8886)*(PLT!$V$4:$V$8886&lt;&gt;AD137)*("Valid"=PLT!$P$4:$P$7190),PLT!$V$4:$V$8886),"")</f>
        <v/>
      </c>
      <c r="AF137" s="156" t="str" cm="1">
        <f t="array" ref="AF137">IFERROR(_xlfn.XLOOKUP(1,(A137=PLT!$A$4:$A$8886)*(Geotech!C137&lt;=PLT!$F$4:$F$8886)*(Geotech!D137&gt;=PLT!$F$4:$F$8886)*(PLT!$V$4:$V$8886&lt;&gt;AD137)*(PLT!$V$4:$V$8886&lt;&gt;AE137)*("Valid"=PLT!$P$4:$P$7190),PLT!$V$4:$V$8886),"")</f>
        <v/>
      </c>
      <c r="AG137" s="44">
        <f>IFERROR(IF(AVERAGE(AD137:AF137)&gt;References!$BO$23,References!$BP$23,
IF(AVERAGE(AD137:AF137)&gt;References!$BO$22,References!$BP$22,
IF(AVERAGE(AD137:AF137)&gt;References!$BO$21,References!$BP$21,
IF(AVERAGE(AD137:AF137)&gt;References!$BO$20,References!$BP$20,
IF(AVERAGE(AD137:AF137)&gt;References!$BO$19,References!$BP$19,
IF(AVERAGE(AD137:AF137)&gt;References!$BO$18,References!$BP$18,
0)))))),"")</f>
        <v>0</v>
      </c>
      <c r="AH137" s="43">
        <f>IF(Data_Geotech[[#This Row],[Is50]]="",VLOOKUP(Data_Geotech[[#This Row],[Field Intact Rock Strength]],Table_RMR76_Strength[],2,FALSE),Data_Geotech[[#This Row],[Is50]])</f>
        <v>0</v>
      </c>
      <c r="AI137" s="43">
        <f>IF(Data_Geotech[[#This Row],[RQD (%)]]&lt;=25,3,IF(Data_Geotech[[#This Row],[RQD (%)]]&lt;=50,8,IF(Data_Geotech[[#This Row],[RQD (%)]]&lt;=75,13,IF(Data_Geotech[[#This Row],[RQD (%)]]&lt;=90,17,20))))</f>
        <v>20</v>
      </c>
      <c r="AJ137" s="43">
        <f>IF(Data_Geotech[[#This Row],[Joint spacing (m)]]&lt;=0.05,5,IF(Data_Geotech[[#This Row],[Joint spacing (m)]]&lt;=0.3,10,IF(Data_Geotech[[#This Row],[Joint spacing (m)]]&lt;=1,20,IF(Data_Geotech[[#This Row],[Joint spacing (m)]]&lt;=3,25,30))))</f>
        <v>25</v>
      </c>
      <c r="AK13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137" s="6">
        <v>10</v>
      </c>
      <c r="AM137" s="117">
        <f>IF(Data_Geotech[[#This Row],[FIRS Code]]="R",IFERROR(SUM(Data_Geotech[[#This Row],[RMR76 - Strength rating]:[RMR76 - Ground water rating]]),""),"")</f>
        <v>67</v>
      </c>
      <c r="AN137" s="39">
        <f>IF(Data_Geotech[[#This Row],[FIRS Code]]="R",(2*Data_Geotech[[#This Row],[RMR76 - Joint condition rating]])+(IF(Data_Geotech[[#This Row],[RQD (%)]]&gt;80,80/2,Data_Geotech[[#This Row],[RQD (%)]]/2)),"")</f>
        <v>64</v>
      </c>
      <c r="AO137" s="43" t="str">
        <f>LEFT(Data_Geotech[[#This Row],[Joint Set Rating]],FIND("-",Data_Geotech[[#This Row],[Joint Set Rating]],1)-2)</f>
        <v>3</v>
      </c>
      <c r="AP13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0.4375</v>
      </c>
      <c r="AQ137" s="5">
        <f t="shared" si="0"/>
        <v>1</v>
      </c>
      <c r="AR137" s="49">
        <f>IF(Data_Geotech[[#This Row],[FIRS Code]]="R",IFERROR((IF(Data_Geotech[[#This Row],[RQD (%)]]&lt;10,10,Data_Geotech[[#This Row],[RQD (%)]])/Data_Geotech[[#This Row],[Jn rating]])*Data_Geotech[[#This Row],[Jr/Ja]],""),"")</f>
        <v>14.583333333333334</v>
      </c>
      <c r="AS137" s="45">
        <f>IF(Data_Geotech[[#This Row],[FIRS Code]]="R",IFERROR((IF(Data_Geotech[[#This Row],[RQD (%)]]&lt;10,10,Data_Geotech[[#This Row],[RQD (%)]])/Data_Geotech[[#This Row],[Jn rating]])*Data_Geotech[[#This Row],[Jr/Ja]]*Data_Geotech[[#This Row],[Jw/SRF]],""),"")</f>
        <v>14.583333333333334</v>
      </c>
      <c r="AT137" s="12"/>
      <c r="AU137" s="13">
        <f>100-Data_Geotech[[#This Row],[RQD (%)]]</f>
        <v>0</v>
      </c>
      <c r="AV137" s="13">
        <f>100-Data_Geotech[[#This Row],[TCR (%)]]</f>
        <v>-5.1159076974727213E-13</v>
      </c>
      <c r="AW137" s="62">
        <f>(Data_Geotech[[#This Row],[Fracture per interval]]+Data_Geotech[[#This Row],[Added fractures 
(BC, FLT, LC)]])/Data_Geotech[[#This Row],[TCR (m)]]</f>
        <v>0.79051383399209496</v>
      </c>
      <c r="AX137" s="6" t="s">
        <v>109</v>
      </c>
      <c r="AY137" s="63">
        <f>7-MID(Data_Geotech[[#This Row],[Field Intact Rock Strength]],2,1)</f>
        <v>2</v>
      </c>
      <c r="AZ137" s="63">
        <f>VLOOKUP(Data_Geotech[[#This Row],[Field Intact Rock Strength]],Table_FieldStrength[],2,FALSE)</f>
        <v>100</v>
      </c>
      <c r="BA137" s="63">
        <f>VLOOKUP(Data_Geotech[[#This Row],[Field Intact Rock Strength]],Table_FieldStrength[],3,FALSE)</f>
        <v>175</v>
      </c>
      <c r="BB137" s="63">
        <f>VLOOKUP(Data_Geotech[[#This Row],[Field Intact Rock Strength]],Table_FieldStrength[],4,FALSE)</f>
        <v>250</v>
      </c>
      <c r="BC137" s="63">
        <f>100-Data_Geotech[[#This Row],[RMR76]]</f>
        <v>33</v>
      </c>
      <c r="BD137" s="63" t="str">
        <f>LEFT(Data_Geotech[[#This Row],[Weathering/Alteration]],FIND("-",Data_Geotech[[#This Row],[Weathering/Alteration]])-2)</f>
        <v>W1/A1</v>
      </c>
    </row>
    <row r="138" spans="1:56" hidden="1" x14ac:dyDescent="0.25">
      <c r="A138" t="s">
        <v>36</v>
      </c>
      <c r="B138" s="16" t="str">
        <f>VLOOKUP(Data_Geotech[[#This Row],[Hole ID]],Data_Log[],2,FALSE)</f>
        <v>CGF-05</v>
      </c>
      <c r="C138" s="5">
        <v>93.07</v>
      </c>
      <c r="D138" s="5">
        <v>96</v>
      </c>
      <c r="E138" s="5">
        <f>(Data_Geotech[[#This Row],[To (m)]]-Data_Geotech[[#This Row],[From (m)]])/2+Data_Geotech[[#This Row],[From (m)]]</f>
        <v>94.534999999999997</v>
      </c>
      <c r="F138" s="13">
        <f>Data_Geotech[[#This Row],[To (m)]]-Data_Geotech[[#This Row],[From (m)]]</f>
        <v>2.9300000000000068</v>
      </c>
      <c r="G138" s="5">
        <v>2.93</v>
      </c>
      <c r="H138" s="61">
        <f>Data_Geotech[[#This Row],[TCR (m)]]/Data_Geotech[[#This Row],[Run (m)]]*100</f>
        <v>99.999999999999773</v>
      </c>
      <c r="I138" s="151">
        <v>2.9</v>
      </c>
      <c r="J138" s="151">
        <v>2.9</v>
      </c>
      <c r="K138" s="5">
        <v>2.9</v>
      </c>
      <c r="L138" s="61">
        <f>Data_Geotech[[#This Row],[RQD (m)]]/Data_Geotech[[#This Row],[Run Reel (m)]]*100</f>
        <v>100</v>
      </c>
      <c r="M138" t="s">
        <v>580</v>
      </c>
      <c r="O138" t="s">
        <v>243</v>
      </c>
      <c r="P138" s="115" t="s">
        <v>416</v>
      </c>
      <c r="Q138" s="5" t="s">
        <v>281</v>
      </c>
      <c r="R138" s="5"/>
      <c r="S138" s="5"/>
      <c r="T138" s="5"/>
      <c r="U138" s="5"/>
      <c r="V138" s="6">
        <v>3</v>
      </c>
      <c r="W138" s="92">
        <f>SUMIFS(Discontinuities!$D$4:$D$9664,Discontinuities!$A$4:$A$9664,A138,Discontinuities!$C$4:$C$9664,"&gt;="&amp;C138,Discontinuities!$C$4:$C$9664,"&lt;"&amp;D138)
-SUMIFS(Discontinuities!$D$4:$D$9664,Discontinuities!$A$4:$A$9664,A138,Discontinuities!$C$4:$C$9664,"&gt;="&amp;C138,Discontinuities!$C$4:$C$9664,"&lt;"&amp;D138,Discontinuities!$E$4:$E$9664,"=BC")
-SUMIFS(Discontinuities!$D$4:$D$9664,Discontinuities!$A$4:$A$9664,A138,Discontinuities!$C$4:$C$9664,"&gt;="&amp;C138,Discontinuities!$C$4:$C$9664,"&lt;"&amp;D138,Discontinuities!$E$4:$E$9664,"=LC")
-SUMIFS(Discontinuities!$D$4:$D$9664,Discontinuities!$A$4:$A$9664,A138,Discontinuities!$C$4:$C$9664,"&gt;="&amp;C138,Discontinuities!$C$4:$C$9664,"&lt;"&amp;D138,Discontinuities!$E$4:$E$9664,"=FLT")</f>
        <v>3</v>
      </c>
      <c r="X138" t="s">
        <v>400</v>
      </c>
      <c r="AA138" s="12"/>
      <c r="AB138" s="43">
        <f>IFERROR(ROUND((Data_Geotech[[#This Row],[Fault (m)]]+Data_Geotech[[#This Row],[Broken Core (m)]]+Data_Geotech[[#This Row],[Lost Core (m)]])*30,0),0)</f>
        <v>0</v>
      </c>
      <c r="AC138" s="44">
        <f>IF(Data_Geotech[[#This Row],[Added fractures 
(BC, FLT, LC)]]+Data_Geotech[[#This Row],[Fracture per interval]]=0,99,1/((Data_Geotech[[#This Row],[Fracture per interval]]+Data_Geotech[[#This Row],[Added fractures 
(BC, FLT, LC)]])/Data_Geotech[[#This Row],[Run (m)]]))</f>
        <v>0.9766666666666689</v>
      </c>
      <c r="AD138" s="155" cm="1">
        <f t="array" ref="AD138">IFERROR(_xlfn.XLOOKUP(1,(A138=PLT!$A$4:$A$8886)*(Geotech!C138&lt;=PLT!$F$4:$F$8886)*(Geotech!D138&gt;=PLT!$F$4:$F$8886)*("Valid"=PLT!$P$4:$P$8886),PLT!$V$4:$V$8886),"")</f>
        <v>0</v>
      </c>
      <c r="AE138" s="156" t="str" cm="1">
        <f t="array" ref="AE138">IFERROR(_xlfn.XLOOKUP(1,(A138=PLT!$A$4:$A$8886)*(Geotech!C138&lt;=PLT!$F$4:$F$8886)*(Geotech!D138&gt;=PLT!$F$4:$F$8886)*(PLT!$V$4:$V$8886&lt;&gt;AD138)*("Valid"=PLT!$P$4:$P$7190),PLT!$V$4:$V$8886),"")</f>
        <v/>
      </c>
      <c r="AF138" s="156" t="str" cm="1">
        <f t="array" ref="AF138">IFERROR(_xlfn.XLOOKUP(1,(A138=PLT!$A$4:$A$8886)*(Geotech!C138&lt;=PLT!$F$4:$F$8886)*(Geotech!D138&gt;=PLT!$F$4:$F$8886)*(PLT!$V$4:$V$8886&lt;&gt;AD138)*(PLT!$V$4:$V$8886&lt;&gt;AE138)*("Valid"=PLT!$P$4:$P$7190),PLT!$V$4:$V$8886),"")</f>
        <v/>
      </c>
      <c r="AG138" s="44">
        <f>IFERROR(IF(AVERAGE(AD138:AF138)&gt;References!$BO$23,References!$BP$23,
IF(AVERAGE(AD138:AF138)&gt;References!$BO$22,References!$BP$22,
IF(AVERAGE(AD138:AF138)&gt;References!$BO$21,References!$BP$21,
IF(AVERAGE(AD138:AF138)&gt;References!$BO$20,References!$BP$20,
IF(AVERAGE(AD138:AF138)&gt;References!$BO$19,References!$BP$19,
IF(AVERAGE(AD138:AF138)&gt;References!$BO$18,References!$BP$18,
0)))))),"")</f>
        <v>0</v>
      </c>
      <c r="AH138" s="43">
        <f>IF(Data_Geotech[[#This Row],[Is50]]="",VLOOKUP(Data_Geotech[[#This Row],[Field Intact Rock Strength]],Table_RMR76_Strength[],2,FALSE),Data_Geotech[[#This Row],[Is50]])</f>
        <v>0</v>
      </c>
      <c r="AI138" s="43">
        <f>IF(Data_Geotech[[#This Row],[RQD (%)]]&lt;=25,3,IF(Data_Geotech[[#This Row],[RQD (%)]]&lt;=50,8,IF(Data_Geotech[[#This Row],[RQD (%)]]&lt;=75,13,IF(Data_Geotech[[#This Row],[RQD (%)]]&lt;=90,17,20))))</f>
        <v>20</v>
      </c>
      <c r="AJ138" s="43">
        <f>IF(Data_Geotech[[#This Row],[Joint spacing (m)]]&lt;=0.05,5,IF(Data_Geotech[[#This Row],[Joint spacing (m)]]&lt;=0.3,10,IF(Data_Geotech[[#This Row],[Joint spacing (m)]]&lt;=1,20,IF(Data_Geotech[[#This Row],[Joint spacing (m)]]&lt;=3,25,30))))</f>
        <v>20</v>
      </c>
      <c r="AK13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38" s="6">
        <v>10</v>
      </c>
      <c r="AM138" s="117">
        <f>IF(Data_Geotech[[#This Row],[FIRS Code]]="R",IFERROR(SUM(Data_Geotech[[#This Row],[RMR76 - Strength rating]:[RMR76 - Ground water rating]]),""),"")</f>
        <v>70</v>
      </c>
      <c r="AN138" s="39">
        <f>IF(Data_Geotech[[#This Row],[FIRS Code]]="R",(2*Data_Geotech[[#This Row],[RMR76 - Joint condition rating]])+(IF(Data_Geotech[[#This Row],[RQD (%)]]&gt;80,80/2,Data_Geotech[[#This Row],[RQD (%)]]/2)),"")</f>
        <v>80</v>
      </c>
      <c r="AO138" s="43" t="str">
        <f>LEFT(Data_Geotech[[#This Row],[Joint Set Rating]],FIND("-",Data_Geotech[[#This Row],[Joint Set Rating]],1)-2)</f>
        <v>6</v>
      </c>
      <c r="AP13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0.91666666666666663</v>
      </c>
      <c r="AQ138" s="5">
        <f t="shared" si="0"/>
        <v>1</v>
      </c>
      <c r="AR138" s="49">
        <f>IF(Data_Geotech[[#This Row],[FIRS Code]]="R",IFERROR((IF(Data_Geotech[[#This Row],[RQD (%)]]&lt;10,10,Data_Geotech[[#This Row],[RQD (%)]])/Data_Geotech[[#This Row],[Jn rating]])*Data_Geotech[[#This Row],[Jr/Ja]],""),"")</f>
        <v>15.277777777777779</v>
      </c>
      <c r="AS138" s="45">
        <f>IF(Data_Geotech[[#This Row],[FIRS Code]]="R",IFERROR((IF(Data_Geotech[[#This Row],[RQD (%)]]&lt;10,10,Data_Geotech[[#This Row],[RQD (%)]])/Data_Geotech[[#This Row],[Jn rating]])*Data_Geotech[[#This Row],[Jr/Ja]]*Data_Geotech[[#This Row],[Jw/SRF]],""),"")</f>
        <v>15.277777777777779</v>
      </c>
      <c r="AT138" s="12"/>
      <c r="AU138" s="13">
        <f>100-Data_Geotech[[#This Row],[RQD (%)]]</f>
        <v>0</v>
      </c>
      <c r="AV138" s="13">
        <f>100-Data_Geotech[[#This Row],[TCR (%)]]</f>
        <v>2.2737367544323206E-13</v>
      </c>
      <c r="AW138" s="62">
        <f>(Data_Geotech[[#This Row],[Fracture per interval]]+Data_Geotech[[#This Row],[Added fractures 
(BC, FLT, LC)]])/Data_Geotech[[#This Row],[TCR (m)]]</f>
        <v>1.0238907849829351</v>
      </c>
      <c r="AX138" s="6" t="s">
        <v>109</v>
      </c>
      <c r="AY138" s="63">
        <f>7-MID(Data_Geotech[[#This Row],[Field Intact Rock Strength]],2,1)</f>
        <v>1</v>
      </c>
      <c r="AZ138" s="63">
        <f>VLOOKUP(Data_Geotech[[#This Row],[Field Intact Rock Strength]],Table_FieldStrength[],2,FALSE)</f>
        <v>250</v>
      </c>
      <c r="BA138" s="63">
        <f>VLOOKUP(Data_Geotech[[#This Row],[Field Intact Rock Strength]],Table_FieldStrength[],3,FALSE)</f>
        <v>275</v>
      </c>
      <c r="BB138" s="63">
        <f>VLOOKUP(Data_Geotech[[#This Row],[Field Intact Rock Strength]],Table_FieldStrength[],4,FALSE)</f>
        <v>300</v>
      </c>
      <c r="BC138" s="63">
        <f>100-Data_Geotech[[#This Row],[RMR76]]</f>
        <v>30</v>
      </c>
      <c r="BD138" s="63" t="str">
        <f>LEFT(Data_Geotech[[#This Row],[Weathering/Alteration]],FIND("-",Data_Geotech[[#This Row],[Weathering/Alteration]])-2)</f>
        <v>W1/A1</v>
      </c>
    </row>
    <row r="139" spans="1:56" hidden="1" x14ac:dyDescent="0.25">
      <c r="A139" t="s">
        <v>36</v>
      </c>
      <c r="B139" s="16" t="str">
        <f>VLOOKUP(Data_Geotech[[#This Row],[Hole ID]],Data_Log[],2,FALSE)</f>
        <v>CGF-05</v>
      </c>
      <c r="C139" s="5">
        <v>96</v>
      </c>
      <c r="D139" s="5">
        <v>97.55</v>
      </c>
      <c r="E139" s="5">
        <f>(Data_Geotech[[#This Row],[To (m)]]-Data_Geotech[[#This Row],[From (m)]])/2+Data_Geotech[[#This Row],[From (m)]]</f>
        <v>96.775000000000006</v>
      </c>
      <c r="F139" s="13">
        <f>Data_Geotech[[#This Row],[To (m)]]-Data_Geotech[[#This Row],[From (m)]]</f>
        <v>1.5499999999999972</v>
      </c>
      <c r="G139" s="5">
        <v>1.55</v>
      </c>
      <c r="H139" s="61">
        <f>Data_Geotech[[#This Row],[TCR (m)]]/Data_Geotech[[#This Row],[Run (m)]]*100</f>
        <v>100.00000000000017</v>
      </c>
      <c r="I139" s="151">
        <v>1.55</v>
      </c>
      <c r="J139" s="151">
        <v>1.55</v>
      </c>
      <c r="K139" s="5">
        <v>1.55</v>
      </c>
      <c r="L139" s="61">
        <f>Data_Geotech[[#This Row],[RQD (m)]]/Data_Geotech[[#This Row],[Run Reel (m)]]*100</f>
        <v>100</v>
      </c>
      <c r="M139" t="s">
        <v>580</v>
      </c>
      <c r="O139" t="s">
        <v>243</v>
      </c>
      <c r="P139" s="115" t="s">
        <v>397</v>
      </c>
      <c r="Q139" s="5" t="s">
        <v>281</v>
      </c>
      <c r="R139" s="5"/>
      <c r="S139" s="5"/>
      <c r="T139" s="5"/>
      <c r="U139" s="5"/>
      <c r="V139" s="6">
        <v>3</v>
      </c>
      <c r="W139" s="92">
        <f>SUMIFS(Discontinuities!$D$4:$D$9664,Discontinuities!$A$4:$A$9664,A139,Discontinuities!$C$4:$C$9664,"&gt;="&amp;C139,Discontinuities!$C$4:$C$9664,"&lt;"&amp;D139)
-SUMIFS(Discontinuities!$D$4:$D$9664,Discontinuities!$A$4:$A$9664,A139,Discontinuities!$C$4:$C$9664,"&gt;="&amp;C139,Discontinuities!$C$4:$C$9664,"&lt;"&amp;D139,Discontinuities!$E$4:$E$9664,"=BC")
-SUMIFS(Discontinuities!$D$4:$D$9664,Discontinuities!$A$4:$A$9664,A139,Discontinuities!$C$4:$C$9664,"&gt;="&amp;C139,Discontinuities!$C$4:$C$9664,"&lt;"&amp;D139,Discontinuities!$E$4:$E$9664,"=LC")
-SUMIFS(Discontinuities!$D$4:$D$9664,Discontinuities!$A$4:$A$9664,A139,Discontinuities!$C$4:$C$9664,"&gt;="&amp;C139,Discontinuities!$C$4:$C$9664,"&lt;"&amp;D139,Discontinuities!$E$4:$E$9664,"=FLT")</f>
        <v>3</v>
      </c>
      <c r="X139" t="s">
        <v>417</v>
      </c>
      <c r="AA139" s="12"/>
      <c r="AB139" s="43">
        <f>IFERROR(ROUND((Data_Geotech[[#This Row],[Fault (m)]]+Data_Geotech[[#This Row],[Broken Core (m)]]+Data_Geotech[[#This Row],[Lost Core (m)]])*30,0),0)</f>
        <v>0</v>
      </c>
      <c r="AC139" s="44">
        <f>IF(Data_Geotech[[#This Row],[Added fractures 
(BC, FLT, LC)]]+Data_Geotech[[#This Row],[Fracture per interval]]=0,99,1/((Data_Geotech[[#This Row],[Fracture per interval]]+Data_Geotech[[#This Row],[Added fractures 
(BC, FLT, LC)]])/Data_Geotech[[#This Row],[Run (m)]]))</f>
        <v>0.51666666666666572</v>
      </c>
      <c r="AD139" s="155" cm="1">
        <f t="array" ref="AD139">IFERROR(_xlfn.XLOOKUP(1,(A139=PLT!$A$4:$A$8886)*(Geotech!C139&lt;=PLT!$F$4:$F$8886)*(Geotech!D139&gt;=PLT!$F$4:$F$8886)*("Valid"=PLT!$P$4:$P$8886),PLT!$V$4:$V$8886),"")</f>
        <v>0</v>
      </c>
      <c r="AE139" s="156" t="str" cm="1">
        <f t="array" ref="AE139">IFERROR(_xlfn.XLOOKUP(1,(A139=PLT!$A$4:$A$8886)*(Geotech!C139&lt;=PLT!$F$4:$F$8886)*(Geotech!D139&gt;=PLT!$F$4:$F$8886)*(PLT!$V$4:$V$8886&lt;&gt;AD139)*("Valid"=PLT!$P$4:$P$7190),PLT!$V$4:$V$8886),"")</f>
        <v/>
      </c>
      <c r="AF139" s="156" t="str" cm="1">
        <f t="array" ref="AF139">IFERROR(_xlfn.XLOOKUP(1,(A139=PLT!$A$4:$A$8886)*(Geotech!C139&lt;=PLT!$F$4:$F$8886)*(Geotech!D139&gt;=PLT!$F$4:$F$8886)*(PLT!$V$4:$V$8886&lt;&gt;AD139)*(PLT!$V$4:$V$8886&lt;&gt;AE139)*("Valid"=PLT!$P$4:$P$7190),PLT!$V$4:$V$8886),"")</f>
        <v/>
      </c>
      <c r="AG139" s="44">
        <f>IFERROR(IF(AVERAGE(AD139:AF139)&gt;References!$BO$23,References!$BP$23,
IF(AVERAGE(AD139:AF139)&gt;References!$BO$22,References!$BP$22,
IF(AVERAGE(AD139:AF139)&gt;References!$BO$21,References!$BP$21,
IF(AVERAGE(AD139:AF139)&gt;References!$BO$20,References!$BP$20,
IF(AVERAGE(AD139:AF139)&gt;References!$BO$19,References!$BP$19,
IF(AVERAGE(AD139:AF139)&gt;References!$BO$18,References!$BP$18,
0)))))),"")</f>
        <v>0</v>
      </c>
      <c r="AH139" s="43">
        <f>IF(Data_Geotech[[#This Row],[Is50]]="",VLOOKUP(Data_Geotech[[#This Row],[Field Intact Rock Strength]],Table_RMR76_Strength[],2,FALSE),Data_Geotech[[#This Row],[Is50]])</f>
        <v>0</v>
      </c>
      <c r="AI139" s="43">
        <f>IF(Data_Geotech[[#This Row],[RQD (%)]]&lt;=25,3,IF(Data_Geotech[[#This Row],[RQD (%)]]&lt;=50,8,IF(Data_Geotech[[#This Row],[RQD (%)]]&lt;=75,13,IF(Data_Geotech[[#This Row],[RQD (%)]]&lt;=90,17,20))))</f>
        <v>20</v>
      </c>
      <c r="AJ139" s="43">
        <f>IF(Data_Geotech[[#This Row],[Joint spacing (m)]]&lt;=0.05,5,IF(Data_Geotech[[#This Row],[Joint spacing (m)]]&lt;=0.3,10,IF(Data_Geotech[[#This Row],[Joint spacing (m)]]&lt;=1,20,IF(Data_Geotech[[#This Row],[Joint spacing (m)]]&lt;=3,25,30))))</f>
        <v>20</v>
      </c>
      <c r="AK13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17.333333333333332</v>
      </c>
      <c r="AL139" s="6">
        <v>10</v>
      </c>
      <c r="AM139" s="117">
        <f>IF(Data_Geotech[[#This Row],[FIRS Code]]="R",IFERROR(SUM(Data_Geotech[[#This Row],[RMR76 - Strength rating]:[RMR76 - Ground water rating]]),""),"")</f>
        <v>67.333333333333329</v>
      </c>
      <c r="AN139" s="39">
        <f>IF(Data_Geotech[[#This Row],[FIRS Code]]="R",(2*Data_Geotech[[#This Row],[RMR76 - Joint condition rating]])+(IF(Data_Geotech[[#This Row],[RQD (%)]]&gt;80,80/2,Data_Geotech[[#This Row],[RQD (%)]]/2)),"")</f>
        <v>74.666666666666657</v>
      </c>
      <c r="AO139" s="43" t="str">
        <f>LEFT(Data_Geotech[[#This Row],[Joint Set Rating]],FIND("-",Data_Geotech[[#This Row],[Joint Set Rating]],1)-2)</f>
        <v>9</v>
      </c>
      <c r="AP13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39" s="5">
        <f t="shared" si="0"/>
        <v>1</v>
      </c>
      <c r="AR139" s="49">
        <f>IF(Data_Geotech[[#This Row],[FIRS Code]]="R",IFERROR((IF(Data_Geotech[[#This Row],[RQD (%)]]&lt;10,10,Data_Geotech[[#This Row],[RQD (%)]])/Data_Geotech[[#This Row],[Jn rating]])*Data_Geotech[[#This Row],[Jr/Ja]],""),"")</f>
        <v>11.111111111111111</v>
      </c>
      <c r="AS139" s="45">
        <f>IF(Data_Geotech[[#This Row],[FIRS Code]]="R",IFERROR((IF(Data_Geotech[[#This Row],[RQD (%)]]&lt;10,10,Data_Geotech[[#This Row],[RQD (%)]])/Data_Geotech[[#This Row],[Jn rating]])*Data_Geotech[[#This Row],[Jr/Ja]]*Data_Geotech[[#This Row],[Jw/SRF]],""),"")</f>
        <v>11.111111111111111</v>
      </c>
      <c r="AT139" s="12"/>
      <c r="AU139" s="13">
        <f>100-Data_Geotech[[#This Row],[RQD (%)]]</f>
        <v>0</v>
      </c>
      <c r="AV139" s="13">
        <f>100-Data_Geotech[[#This Row],[TCR (%)]]</f>
        <v>-1.7053025658242404E-13</v>
      </c>
      <c r="AW139" s="62">
        <f>(Data_Geotech[[#This Row],[Fracture per interval]]+Data_Geotech[[#This Row],[Added fractures 
(BC, FLT, LC)]])/Data_Geotech[[#This Row],[TCR (m)]]</f>
        <v>1.9354838709677418</v>
      </c>
      <c r="AX139" s="6" t="s">
        <v>109</v>
      </c>
      <c r="AY139" s="63">
        <f>7-MID(Data_Geotech[[#This Row],[Field Intact Rock Strength]],2,1)</f>
        <v>2</v>
      </c>
      <c r="AZ139" s="63">
        <f>VLOOKUP(Data_Geotech[[#This Row],[Field Intact Rock Strength]],Table_FieldStrength[],2,FALSE)</f>
        <v>100</v>
      </c>
      <c r="BA139" s="63">
        <f>VLOOKUP(Data_Geotech[[#This Row],[Field Intact Rock Strength]],Table_FieldStrength[],3,FALSE)</f>
        <v>175</v>
      </c>
      <c r="BB139" s="63">
        <f>VLOOKUP(Data_Geotech[[#This Row],[Field Intact Rock Strength]],Table_FieldStrength[],4,FALSE)</f>
        <v>250</v>
      </c>
      <c r="BC139" s="63">
        <f>100-Data_Geotech[[#This Row],[RMR76]]</f>
        <v>32.666666666666671</v>
      </c>
      <c r="BD139" s="63" t="str">
        <f>LEFT(Data_Geotech[[#This Row],[Weathering/Alteration]],FIND("-",Data_Geotech[[#This Row],[Weathering/Alteration]])-2)</f>
        <v>W1/A1</v>
      </c>
    </row>
    <row r="140" spans="1:56" hidden="1" x14ac:dyDescent="0.25">
      <c r="A140" t="s">
        <v>36</v>
      </c>
      <c r="B140" s="16" t="str">
        <f>VLOOKUP(Data_Geotech[[#This Row],[Hole ID]],Data_Log[],2,FALSE)</f>
        <v>CGF-05</v>
      </c>
      <c r="C140" s="5">
        <v>97.55</v>
      </c>
      <c r="D140" s="5">
        <v>99.04</v>
      </c>
      <c r="E140" s="5">
        <f>(Data_Geotech[[#This Row],[To (m)]]-Data_Geotech[[#This Row],[From (m)]])/2+Data_Geotech[[#This Row],[From (m)]]</f>
        <v>98.295000000000002</v>
      </c>
      <c r="F140" s="13">
        <f>Data_Geotech[[#This Row],[To (m)]]-Data_Geotech[[#This Row],[From (m)]]</f>
        <v>1.4900000000000091</v>
      </c>
      <c r="G140" s="5">
        <v>1.49</v>
      </c>
      <c r="H140" s="61">
        <f>Data_Geotech[[#This Row],[TCR (m)]]/Data_Geotech[[#This Row],[Run (m)]]*100</f>
        <v>99.999999999999389</v>
      </c>
      <c r="I140" s="151">
        <v>1.51</v>
      </c>
      <c r="J140" s="151">
        <v>1.51</v>
      </c>
      <c r="K140" s="5">
        <v>1.51</v>
      </c>
      <c r="L140" s="61">
        <f>Data_Geotech[[#This Row],[RQD (m)]]/Data_Geotech[[#This Row],[Run Reel (m)]]*100</f>
        <v>100</v>
      </c>
      <c r="M140" t="s">
        <v>572</v>
      </c>
      <c r="O140" t="s">
        <v>278</v>
      </c>
      <c r="P140" s="115" t="s">
        <v>370</v>
      </c>
      <c r="Q140" s="5" t="s">
        <v>313</v>
      </c>
      <c r="R140" s="5"/>
      <c r="S140" s="5"/>
      <c r="T140" s="5"/>
      <c r="U140" s="5"/>
      <c r="V140" s="6">
        <v>4</v>
      </c>
      <c r="W140" s="92">
        <f>SUMIFS(Discontinuities!$D$4:$D$9664,Discontinuities!$A$4:$A$9664,A140,Discontinuities!$C$4:$C$9664,"&gt;="&amp;C140,Discontinuities!$C$4:$C$9664,"&lt;"&amp;D140)
-SUMIFS(Discontinuities!$D$4:$D$9664,Discontinuities!$A$4:$A$9664,A140,Discontinuities!$C$4:$C$9664,"&gt;="&amp;C140,Discontinuities!$C$4:$C$9664,"&lt;"&amp;D140,Discontinuities!$E$4:$E$9664,"=BC")
-SUMIFS(Discontinuities!$D$4:$D$9664,Discontinuities!$A$4:$A$9664,A140,Discontinuities!$C$4:$C$9664,"&gt;="&amp;C140,Discontinuities!$C$4:$C$9664,"&lt;"&amp;D140,Discontinuities!$E$4:$E$9664,"=LC")
-SUMIFS(Discontinuities!$D$4:$D$9664,Discontinuities!$A$4:$A$9664,A140,Discontinuities!$C$4:$C$9664,"&gt;="&amp;C140,Discontinuities!$C$4:$C$9664,"&lt;"&amp;D140,Discontinuities!$E$4:$E$9664,"=FLT")</f>
        <v>4</v>
      </c>
      <c r="X140" t="s">
        <v>373</v>
      </c>
      <c r="AA140" s="12"/>
      <c r="AB140" s="43">
        <f>IFERROR(ROUND((Data_Geotech[[#This Row],[Fault (m)]]+Data_Geotech[[#This Row],[Broken Core (m)]]+Data_Geotech[[#This Row],[Lost Core (m)]])*30,0),0)</f>
        <v>0</v>
      </c>
      <c r="AC140" s="44">
        <f>IF(Data_Geotech[[#This Row],[Added fractures 
(BC, FLT, LC)]]+Data_Geotech[[#This Row],[Fracture per interval]]=0,99,1/((Data_Geotech[[#This Row],[Fracture per interval]]+Data_Geotech[[#This Row],[Added fractures 
(BC, FLT, LC)]])/Data_Geotech[[#This Row],[Run (m)]]))</f>
        <v>0.37250000000000227</v>
      </c>
      <c r="AD140" s="155" cm="1">
        <f t="array" ref="AD140">IFERROR(_xlfn.XLOOKUP(1,(A140=PLT!$A$4:$A$8886)*(Geotech!C140&lt;=PLT!$F$4:$F$8886)*(Geotech!D140&gt;=PLT!$F$4:$F$8886)*("Valid"=PLT!$P$4:$P$8886),PLT!$V$4:$V$8886),"")</f>
        <v>0</v>
      </c>
      <c r="AE140" s="156" t="str" cm="1">
        <f t="array" ref="AE140">IFERROR(_xlfn.XLOOKUP(1,(A140=PLT!$A$4:$A$8886)*(Geotech!C140&lt;=PLT!$F$4:$F$8886)*(Geotech!D140&gt;=PLT!$F$4:$F$8886)*(PLT!$V$4:$V$8886&lt;&gt;AD140)*("Valid"=PLT!$P$4:$P$7190),PLT!$V$4:$V$8886),"")</f>
        <v/>
      </c>
      <c r="AF140" s="156" t="str" cm="1">
        <f t="array" ref="AF140">IFERROR(_xlfn.XLOOKUP(1,(A140=PLT!$A$4:$A$8886)*(Geotech!C140&lt;=PLT!$F$4:$F$8886)*(Geotech!D140&gt;=PLT!$F$4:$F$8886)*(PLT!$V$4:$V$8886&lt;&gt;AD140)*(PLT!$V$4:$V$8886&lt;&gt;AE140)*("Valid"=PLT!$P$4:$P$7190),PLT!$V$4:$V$8886),"")</f>
        <v/>
      </c>
      <c r="AG140" s="44">
        <f>IFERROR(IF(AVERAGE(AD140:AF140)&gt;References!$BO$23,References!$BP$23,
IF(AVERAGE(AD140:AF140)&gt;References!$BO$22,References!$BP$22,
IF(AVERAGE(AD140:AF140)&gt;References!$BO$21,References!$BP$21,
IF(AVERAGE(AD140:AF140)&gt;References!$BO$20,References!$BP$20,
IF(AVERAGE(AD140:AF140)&gt;References!$BO$19,References!$BP$19,
IF(AVERAGE(AD140:AF140)&gt;References!$BO$18,References!$BP$18,
0)))))),"")</f>
        <v>0</v>
      </c>
      <c r="AH140" s="43">
        <f>IF(Data_Geotech[[#This Row],[Is50]]="",VLOOKUP(Data_Geotech[[#This Row],[Field Intact Rock Strength]],Table_RMR76_Strength[],2,FALSE),Data_Geotech[[#This Row],[Is50]])</f>
        <v>0</v>
      </c>
      <c r="AI140" s="43">
        <f>IF(Data_Geotech[[#This Row],[RQD (%)]]&lt;=25,3,IF(Data_Geotech[[#This Row],[RQD (%)]]&lt;=50,8,IF(Data_Geotech[[#This Row],[RQD (%)]]&lt;=75,13,IF(Data_Geotech[[#This Row],[RQD (%)]]&lt;=90,17,20))))</f>
        <v>20</v>
      </c>
      <c r="AJ140" s="43">
        <f>IF(Data_Geotech[[#This Row],[Joint spacing (m)]]&lt;=0.05,5,IF(Data_Geotech[[#This Row],[Joint spacing (m)]]&lt;=0.3,10,IF(Data_Geotech[[#This Row],[Joint spacing (m)]]&lt;=1,20,IF(Data_Geotech[[#This Row],[Joint spacing (m)]]&lt;=3,25,30))))</f>
        <v>20</v>
      </c>
      <c r="AK14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40" s="6">
        <v>10</v>
      </c>
      <c r="AM140" s="117">
        <f>IF(Data_Geotech[[#This Row],[FIRS Code]]="R",IFERROR(SUM(Data_Geotech[[#This Row],[RMR76 - Strength rating]:[RMR76 - Ground water rating]]),""),"")</f>
        <v>70</v>
      </c>
      <c r="AN140" s="39">
        <f>IF(Data_Geotech[[#This Row],[FIRS Code]]="R",(2*Data_Geotech[[#This Row],[RMR76 - Joint condition rating]])+(IF(Data_Geotech[[#This Row],[RQD (%)]]&gt;80,80/2,Data_Geotech[[#This Row],[RQD (%)]]/2)),"")</f>
        <v>80</v>
      </c>
      <c r="AO140" s="43" t="str">
        <f>LEFT(Data_Geotech[[#This Row],[Joint Set Rating]],FIND("-",Data_Geotech[[#This Row],[Joint Set Rating]],1)-2)</f>
        <v>4</v>
      </c>
      <c r="AP14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0.9375</v>
      </c>
      <c r="AQ140" s="5">
        <f t="shared" si="0"/>
        <v>1</v>
      </c>
      <c r="AR140" s="49">
        <f>IF(Data_Geotech[[#This Row],[FIRS Code]]="R",IFERROR((IF(Data_Geotech[[#This Row],[RQD (%)]]&lt;10,10,Data_Geotech[[#This Row],[RQD (%)]])/Data_Geotech[[#This Row],[Jn rating]])*Data_Geotech[[#This Row],[Jr/Ja]],""),"")</f>
        <v>23.4375</v>
      </c>
      <c r="AS140" s="45">
        <f>IF(Data_Geotech[[#This Row],[FIRS Code]]="R",IFERROR((IF(Data_Geotech[[#This Row],[RQD (%)]]&lt;10,10,Data_Geotech[[#This Row],[RQD (%)]])/Data_Geotech[[#This Row],[Jn rating]])*Data_Geotech[[#This Row],[Jr/Ja]]*Data_Geotech[[#This Row],[Jw/SRF]],""),"")</f>
        <v>23.4375</v>
      </c>
      <c r="AT140" s="12"/>
      <c r="AU140" s="13">
        <f>100-Data_Geotech[[#This Row],[RQD (%)]]</f>
        <v>0</v>
      </c>
      <c r="AV140" s="13">
        <f>100-Data_Geotech[[#This Row],[TCR (%)]]</f>
        <v>6.1106675275368616E-13</v>
      </c>
      <c r="AW140" s="62">
        <f>(Data_Geotech[[#This Row],[Fracture per interval]]+Data_Geotech[[#This Row],[Added fractures 
(BC, FLT, LC)]])/Data_Geotech[[#This Row],[TCR (m)]]</f>
        <v>2.6845637583892619</v>
      </c>
      <c r="AX140" s="6" t="s">
        <v>109</v>
      </c>
      <c r="AY140" s="63">
        <f>7-MID(Data_Geotech[[#This Row],[Field Intact Rock Strength]],2,1)</f>
        <v>3</v>
      </c>
      <c r="AZ140" s="63">
        <f>VLOOKUP(Data_Geotech[[#This Row],[Field Intact Rock Strength]],Table_FieldStrength[],2,FALSE)</f>
        <v>50</v>
      </c>
      <c r="BA140" s="63">
        <f>VLOOKUP(Data_Geotech[[#This Row],[Field Intact Rock Strength]],Table_FieldStrength[],3,FALSE)</f>
        <v>75</v>
      </c>
      <c r="BB140" s="63">
        <f>VLOOKUP(Data_Geotech[[#This Row],[Field Intact Rock Strength]],Table_FieldStrength[],4,FALSE)</f>
        <v>100</v>
      </c>
      <c r="BC140" s="63">
        <f>100-Data_Geotech[[#This Row],[RMR76]]</f>
        <v>30</v>
      </c>
      <c r="BD140" s="63" t="str">
        <f>LEFT(Data_Geotech[[#This Row],[Weathering/Alteration]],FIND("-",Data_Geotech[[#This Row],[Weathering/Alteration]])-2)</f>
        <v>W2/A2</v>
      </c>
    </row>
    <row r="141" spans="1:56" hidden="1" x14ac:dyDescent="0.25">
      <c r="A141" t="s">
        <v>36</v>
      </c>
      <c r="B141" s="16" t="str">
        <f>VLOOKUP(Data_Geotech[[#This Row],[Hole ID]],Data_Log[],2,FALSE)</f>
        <v>CGF-05</v>
      </c>
      <c r="C141" s="5">
        <v>99.04</v>
      </c>
      <c r="D141" s="5">
        <v>102.02</v>
      </c>
      <c r="E141" s="5">
        <f>(Data_Geotech[[#This Row],[To (m)]]-Data_Geotech[[#This Row],[From (m)]])/2+Data_Geotech[[#This Row],[From (m)]]</f>
        <v>100.53</v>
      </c>
      <c r="F141" s="13">
        <f>Data_Geotech[[#This Row],[To (m)]]-Data_Geotech[[#This Row],[From (m)]]</f>
        <v>2.9799999999999898</v>
      </c>
      <c r="G141" s="5">
        <v>2.98</v>
      </c>
      <c r="H141" s="61">
        <f>Data_Geotech[[#This Row],[TCR (m)]]/Data_Geotech[[#This Row],[Run (m)]]*100</f>
        <v>100.00000000000033</v>
      </c>
      <c r="I141" s="151">
        <v>2.99</v>
      </c>
      <c r="J141" s="151">
        <v>2.99</v>
      </c>
      <c r="K141" s="5">
        <v>2.99</v>
      </c>
      <c r="L141" s="61">
        <f>Data_Geotech[[#This Row],[RQD (m)]]/Data_Geotech[[#This Row],[Run Reel (m)]]*100</f>
        <v>100</v>
      </c>
      <c r="M141" t="s">
        <v>572</v>
      </c>
      <c r="O141" t="s">
        <v>310</v>
      </c>
      <c r="P141" s="115" t="s">
        <v>397</v>
      </c>
      <c r="Q141" s="5" t="s">
        <v>346</v>
      </c>
      <c r="R141" s="5"/>
      <c r="S141" s="5"/>
      <c r="T141" s="5"/>
      <c r="U141" s="5"/>
      <c r="V141" s="6">
        <v>9</v>
      </c>
      <c r="W141" s="92">
        <f>SUMIFS(Discontinuities!$D$4:$D$9664,Discontinuities!$A$4:$A$9664,A141,Discontinuities!$C$4:$C$9664,"&gt;="&amp;C141,Discontinuities!$C$4:$C$9664,"&lt;"&amp;D141)
-SUMIFS(Discontinuities!$D$4:$D$9664,Discontinuities!$A$4:$A$9664,A141,Discontinuities!$C$4:$C$9664,"&gt;="&amp;C141,Discontinuities!$C$4:$C$9664,"&lt;"&amp;D141,Discontinuities!$E$4:$E$9664,"=BC")
-SUMIFS(Discontinuities!$D$4:$D$9664,Discontinuities!$A$4:$A$9664,A141,Discontinuities!$C$4:$C$9664,"&gt;="&amp;C141,Discontinuities!$C$4:$C$9664,"&lt;"&amp;D141,Discontinuities!$E$4:$E$9664,"=LC")
-SUMIFS(Discontinuities!$D$4:$D$9664,Discontinuities!$A$4:$A$9664,A141,Discontinuities!$C$4:$C$9664,"&gt;="&amp;C141,Discontinuities!$C$4:$C$9664,"&lt;"&amp;D141,Discontinuities!$E$4:$E$9664,"=FLT")</f>
        <v>9</v>
      </c>
      <c r="X141" t="s">
        <v>400</v>
      </c>
      <c r="AA141" s="12"/>
      <c r="AB141" s="43">
        <f>IFERROR(ROUND((Data_Geotech[[#This Row],[Fault (m)]]+Data_Geotech[[#This Row],[Broken Core (m)]]+Data_Geotech[[#This Row],[Lost Core (m)]])*30,0),0)</f>
        <v>0</v>
      </c>
      <c r="AC141" s="44">
        <f>IF(Data_Geotech[[#This Row],[Added fractures 
(BC, FLT, LC)]]+Data_Geotech[[#This Row],[Fracture per interval]]=0,99,1/((Data_Geotech[[#This Row],[Fracture per interval]]+Data_Geotech[[#This Row],[Added fractures 
(BC, FLT, LC)]])/Data_Geotech[[#This Row],[Run (m)]]))</f>
        <v>0.33111111111110997</v>
      </c>
      <c r="AD141" s="155" cm="1">
        <f t="array" ref="AD141">IFERROR(_xlfn.XLOOKUP(1,(A141=PLT!$A$4:$A$8886)*(Geotech!C141&lt;=PLT!$F$4:$F$8886)*(Geotech!D141&gt;=PLT!$F$4:$F$8886)*("Valid"=PLT!$P$4:$P$8886),PLT!$V$4:$V$8886),"")</f>
        <v>0</v>
      </c>
      <c r="AE141" s="156" t="str" cm="1">
        <f t="array" ref="AE141">IFERROR(_xlfn.XLOOKUP(1,(A141=PLT!$A$4:$A$8886)*(Geotech!C141&lt;=PLT!$F$4:$F$8886)*(Geotech!D141&gt;=PLT!$F$4:$F$8886)*(PLT!$V$4:$V$8886&lt;&gt;AD141)*("Valid"=PLT!$P$4:$P$7190),PLT!$V$4:$V$8886),"")</f>
        <v/>
      </c>
      <c r="AF141" s="156" t="str" cm="1">
        <f t="array" ref="AF141">IFERROR(_xlfn.XLOOKUP(1,(A141=PLT!$A$4:$A$8886)*(Geotech!C141&lt;=PLT!$F$4:$F$8886)*(Geotech!D141&gt;=PLT!$F$4:$F$8886)*(PLT!$V$4:$V$8886&lt;&gt;AD141)*(PLT!$V$4:$V$8886&lt;&gt;AE141)*("Valid"=PLT!$P$4:$P$7190),PLT!$V$4:$V$8886),"")</f>
        <v/>
      </c>
      <c r="AG141" s="44">
        <f>IFERROR(IF(AVERAGE(AD141:AF141)&gt;References!$BO$23,References!$BP$23,
IF(AVERAGE(AD141:AF141)&gt;References!$BO$22,References!$BP$22,
IF(AVERAGE(AD141:AF141)&gt;References!$BO$21,References!$BP$21,
IF(AVERAGE(AD141:AF141)&gt;References!$BO$20,References!$BP$20,
IF(AVERAGE(AD141:AF141)&gt;References!$BO$19,References!$BP$19,
IF(AVERAGE(AD141:AF141)&gt;References!$BO$18,References!$BP$18,
0)))))),"")</f>
        <v>0</v>
      </c>
      <c r="AH141" s="43">
        <f>IF(Data_Geotech[[#This Row],[Is50]]="",VLOOKUP(Data_Geotech[[#This Row],[Field Intact Rock Strength]],Table_RMR76_Strength[],2,FALSE),Data_Geotech[[#This Row],[Is50]])</f>
        <v>0</v>
      </c>
      <c r="AI141" s="43">
        <f>IF(Data_Geotech[[#This Row],[RQD (%)]]&lt;=25,3,IF(Data_Geotech[[#This Row],[RQD (%)]]&lt;=50,8,IF(Data_Geotech[[#This Row],[RQD (%)]]&lt;=75,13,IF(Data_Geotech[[#This Row],[RQD (%)]]&lt;=90,17,20))))</f>
        <v>20</v>
      </c>
      <c r="AJ141" s="43">
        <f>IF(Data_Geotech[[#This Row],[Joint spacing (m)]]&lt;=0.05,5,IF(Data_Geotech[[#This Row],[Joint spacing (m)]]&lt;=0.3,10,IF(Data_Geotech[[#This Row],[Joint spacing (m)]]&lt;=1,20,IF(Data_Geotech[[#This Row],[Joint spacing (m)]]&lt;=3,25,30))))</f>
        <v>20</v>
      </c>
      <c r="AK14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v>
      </c>
      <c r="AL141" s="6">
        <v>10</v>
      </c>
      <c r="AM141" s="117">
        <f>IF(Data_Geotech[[#This Row],[FIRS Code]]="R",IFERROR(SUM(Data_Geotech[[#This Row],[RMR76 - Strength rating]:[RMR76 - Ground water rating]]),""),"")</f>
        <v>67</v>
      </c>
      <c r="AN141" s="39">
        <f>IF(Data_Geotech[[#This Row],[FIRS Code]]="R",(2*Data_Geotech[[#This Row],[RMR76 - Joint condition rating]])+(IF(Data_Geotech[[#This Row],[RQD (%)]]&gt;80,80/2,Data_Geotech[[#This Row],[RQD (%)]]/2)),"")</f>
        <v>74</v>
      </c>
      <c r="AO141" s="43" t="str">
        <f>LEFT(Data_Geotech[[#This Row],[Joint Set Rating]],FIND("-",Data_Geotech[[#This Row],[Joint Set Rating]],1)-2)</f>
        <v>6</v>
      </c>
      <c r="AP14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1.0277777777777777</v>
      </c>
      <c r="AQ141" s="5">
        <f t="shared" si="0"/>
        <v>1</v>
      </c>
      <c r="AR141" s="49">
        <f>IF(Data_Geotech[[#This Row],[FIRS Code]]="R",IFERROR((IF(Data_Geotech[[#This Row],[RQD (%)]]&lt;10,10,Data_Geotech[[#This Row],[RQD (%)]])/Data_Geotech[[#This Row],[Jn rating]])*Data_Geotech[[#This Row],[Jr/Ja]],""),"")</f>
        <v>17.12962962962963</v>
      </c>
      <c r="AS141" s="45">
        <f>IF(Data_Geotech[[#This Row],[FIRS Code]]="R",IFERROR((IF(Data_Geotech[[#This Row],[RQD (%)]]&lt;10,10,Data_Geotech[[#This Row],[RQD (%)]])/Data_Geotech[[#This Row],[Jn rating]])*Data_Geotech[[#This Row],[Jr/Ja]]*Data_Geotech[[#This Row],[Jw/SRF]],""),"")</f>
        <v>17.12962962962963</v>
      </c>
      <c r="AT141" s="12"/>
      <c r="AU141" s="13">
        <f>100-Data_Geotech[[#This Row],[RQD (%)]]</f>
        <v>0</v>
      </c>
      <c r="AV141" s="13">
        <f>100-Data_Geotech[[#This Row],[TCR (%)]]</f>
        <v>-3.2684965844964609E-13</v>
      </c>
      <c r="AW141" s="62">
        <f>(Data_Geotech[[#This Row],[Fracture per interval]]+Data_Geotech[[#This Row],[Added fractures 
(BC, FLT, LC)]])/Data_Geotech[[#This Row],[TCR (m)]]</f>
        <v>3.0201342281879193</v>
      </c>
      <c r="AX141" s="6" t="s">
        <v>109</v>
      </c>
      <c r="AY141" s="63">
        <f>7-MID(Data_Geotech[[#This Row],[Field Intact Rock Strength]],2,1)</f>
        <v>2</v>
      </c>
      <c r="AZ141" s="63">
        <f>VLOOKUP(Data_Geotech[[#This Row],[Field Intact Rock Strength]],Table_FieldStrength[],2,FALSE)</f>
        <v>100</v>
      </c>
      <c r="BA141" s="63">
        <f>VLOOKUP(Data_Geotech[[#This Row],[Field Intact Rock Strength]],Table_FieldStrength[],3,FALSE)</f>
        <v>175</v>
      </c>
      <c r="BB141" s="63">
        <f>VLOOKUP(Data_Geotech[[#This Row],[Field Intact Rock Strength]],Table_FieldStrength[],4,FALSE)</f>
        <v>250</v>
      </c>
      <c r="BC141" s="63">
        <f>100-Data_Geotech[[#This Row],[RMR76]]</f>
        <v>33</v>
      </c>
      <c r="BD141" s="63" t="str">
        <f>LEFT(Data_Geotech[[#This Row],[Weathering/Alteration]],FIND("-",Data_Geotech[[#This Row],[Weathering/Alteration]])-2)</f>
        <v>W3/A3</v>
      </c>
    </row>
    <row r="142" spans="1:56" hidden="1" x14ac:dyDescent="0.25">
      <c r="A142" t="s">
        <v>36</v>
      </c>
      <c r="B142" s="16" t="str">
        <f>VLOOKUP(Data_Geotech[[#This Row],[Hole ID]],Data_Log[],2,FALSE)</f>
        <v>CGF-05</v>
      </c>
      <c r="C142" s="5">
        <v>102.02</v>
      </c>
      <c r="D142" s="5">
        <v>105.02</v>
      </c>
      <c r="E142" s="5">
        <f>(Data_Geotech[[#This Row],[To (m)]]-Data_Geotech[[#This Row],[From (m)]])/2+Data_Geotech[[#This Row],[From (m)]]</f>
        <v>103.52</v>
      </c>
      <c r="F142" s="13">
        <f>Data_Geotech[[#This Row],[To (m)]]-Data_Geotech[[#This Row],[From (m)]]</f>
        <v>3</v>
      </c>
      <c r="G142" s="5">
        <v>3</v>
      </c>
      <c r="H142" s="61">
        <f>Data_Geotech[[#This Row],[TCR (m)]]/Data_Geotech[[#This Row],[Run (m)]]*100</f>
        <v>100</v>
      </c>
      <c r="I142" s="151">
        <v>3</v>
      </c>
      <c r="J142" s="151">
        <v>3</v>
      </c>
      <c r="K142" s="5">
        <v>3</v>
      </c>
      <c r="L142" s="61">
        <f>Data_Geotech[[#This Row],[RQD (m)]]/Data_Geotech[[#This Row],[Run Reel (m)]]*100</f>
        <v>100</v>
      </c>
      <c r="M142" t="s">
        <v>572</v>
      </c>
      <c r="O142" t="s">
        <v>310</v>
      </c>
      <c r="P142" s="115" t="s">
        <v>370</v>
      </c>
      <c r="Q142" s="5" t="s">
        <v>313</v>
      </c>
      <c r="R142" s="5"/>
      <c r="S142" s="5"/>
      <c r="T142" s="5"/>
      <c r="U142" s="5"/>
      <c r="V142" s="6">
        <v>4</v>
      </c>
      <c r="W142" s="92">
        <f>SUMIFS(Discontinuities!$D$4:$D$9664,Discontinuities!$A$4:$A$9664,A142,Discontinuities!$C$4:$C$9664,"&gt;="&amp;C142,Discontinuities!$C$4:$C$9664,"&lt;"&amp;D142)
-SUMIFS(Discontinuities!$D$4:$D$9664,Discontinuities!$A$4:$A$9664,A142,Discontinuities!$C$4:$C$9664,"&gt;="&amp;C142,Discontinuities!$C$4:$C$9664,"&lt;"&amp;D142,Discontinuities!$E$4:$E$9664,"=BC")
-SUMIFS(Discontinuities!$D$4:$D$9664,Discontinuities!$A$4:$A$9664,A142,Discontinuities!$C$4:$C$9664,"&gt;="&amp;C142,Discontinuities!$C$4:$C$9664,"&lt;"&amp;D142,Discontinuities!$E$4:$E$9664,"=LC")
-SUMIFS(Discontinuities!$D$4:$D$9664,Discontinuities!$A$4:$A$9664,A142,Discontinuities!$C$4:$C$9664,"&gt;="&amp;C142,Discontinuities!$C$4:$C$9664,"&lt;"&amp;D142,Discontinuities!$E$4:$E$9664,"=FLT")</f>
        <v>4</v>
      </c>
      <c r="X142" t="s">
        <v>400</v>
      </c>
      <c r="AA142" s="12"/>
      <c r="AB142" s="43">
        <f>IFERROR(ROUND((Data_Geotech[[#This Row],[Fault (m)]]+Data_Geotech[[#This Row],[Broken Core (m)]]+Data_Geotech[[#This Row],[Lost Core (m)]])*30,0),0)</f>
        <v>0</v>
      </c>
      <c r="AC142" s="44">
        <f>IF(Data_Geotech[[#This Row],[Added fractures 
(BC, FLT, LC)]]+Data_Geotech[[#This Row],[Fracture per interval]]=0,99,1/((Data_Geotech[[#This Row],[Fracture per interval]]+Data_Geotech[[#This Row],[Added fractures 
(BC, FLT, LC)]])/Data_Geotech[[#This Row],[Run (m)]]))</f>
        <v>0.75</v>
      </c>
      <c r="AD142" s="155" cm="1">
        <f t="array" ref="AD142">IFERROR(_xlfn.XLOOKUP(1,(A142=PLT!$A$4:$A$8886)*(Geotech!C142&lt;=PLT!$F$4:$F$8886)*(Geotech!D142&gt;=PLT!$F$4:$F$8886)*("Valid"=PLT!$P$4:$P$8886),PLT!$V$4:$V$8886),"")</f>
        <v>0</v>
      </c>
      <c r="AE142" s="156" t="str" cm="1">
        <f t="array" ref="AE142">IFERROR(_xlfn.XLOOKUP(1,(A142=PLT!$A$4:$A$8886)*(Geotech!C142&lt;=PLT!$F$4:$F$8886)*(Geotech!D142&gt;=PLT!$F$4:$F$8886)*(PLT!$V$4:$V$8886&lt;&gt;AD142)*("Valid"=PLT!$P$4:$P$7190),PLT!$V$4:$V$8886),"")</f>
        <v/>
      </c>
      <c r="AF142" s="156" t="str" cm="1">
        <f t="array" ref="AF142">IFERROR(_xlfn.XLOOKUP(1,(A142=PLT!$A$4:$A$8886)*(Geotech!C142&lt;=PLT!$F$4:$F$8886)*(Geotech!D142&gt;=PLT!$F$4:$F$8886)*(PLT!$V$4:$V$8886&lt;&gt;AD142)*(PLT!$V$4:$V$8886&lt;&gt;AE142)*("Valid"=PLT!$P$4:$P$7190),PLT!$V$4:$V$8886),"")</f>
        <v/>
      </c>
      <c r="AG142" s="44">
        <f>IFERROR(IF(AVERAGE(AD142:AF142)&gt;References!$BO$23,References!$BP$23,
IF(AVERAGE(AD142:AF142)&gt;References!$BO$22,References!$BP$22,
IF(AVERAGE(AD142:AF142)&gt;References!$BO$21,References!$BP$21,
IF(AVERAGE(AD142:AF142)&gt;References!$BO$20,References!$BP$20,
IF(AVERAGE(AD142:AF142)&gt;References!$BO$19,References!$BP$19,
IF(AVERAGE(AD142:AF142)&gt;References!$BO$18,References!$BP$18,
0)))))),"")</f>
        <v>0</v>
      </c>
      <c r="AH142" s="43">
        <f>IF(Data_Geotech[[#This Row],[Is50]]="",VLOOKUP(Data_Geotech[[#This Row],[Field Intact Rock Strength]],Table_RMR76_Strength[],2,FALSE),Data_Geotech[[#This Row],[Is50]])</f>
        <v>0</v>
      </c>
      <c r="AI142" s="43">
        <f>IF(Data_Geotech[[#This Row],[RQD (%)]]&lt;=25,3,IF(Data_Geotech[[#This Row],[RQD (%)]]&lt;=50,8,IF(Data_Geotech[[#This Row],[RQD (%)]]&lt;=75,13,IF(Data_Geotech[[#This Row],[RQD (%)]]&lt;=90,17,20))))</f>
        <v>20</v>
      </c>
      <c r="AJ142" s="43">
        <f>IF(Data_Geotech[[#This Row],[Joint spacing (m)]]&lt;=0.05,5,IF(Data_Geotech[[#This Row],[Joint spacing (m)]]&lt;=0.3,10,IF(Data_Geotech[[#This Row],[Joint spacing (m)]]&lt;=1,20,IF(Data_Geotech[[#This Row],[Joint spacing (m)]]&lt;=3,25,30))))</f>
        <v>20</v>
      </c>
      <c r="AK14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15.75</v>
      </c>
      <c r="AL142" s="6">
        <v>10</v>
      </c>
      <c r="AM142" s="117">
        <f>IF(Data_Geotech[[#This Row],[FIRS Code]]="R",IFERROR(SUM(Data_Geotech[[#This Row],[RMR76 - Strength rating]:[RMR76 - Ground water rating]]),""),"")</f>
        <v>65.75</v>
      </c>
      <c r="AN142" s="39">
        <f>IF(Data_Geotech[[#This Row],[FIRS Code]]="R",(2*Data_Geotech[[#This Row],[RMR76 - Joint condition rating]])+(IF(Data_Geotech[[#This Row],[RQD (%)]]&gt;80,80/2,Data_Geotech[[#This Row],[RQD (%)]]/2)),"")</f>
        <v>71.5</v>
      </c>
      <c r="AO142" s="43" t="str">
        <f>LEFT(Data_Geotech[[#This Row],[Joint Set Rating]],FIND("-",Data_Geotech[[#This Row],[Joint Set Rating]],1)-2)</f>
        <v>6</v>
      </c>
      <c r="AP14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0.9375</v>
      </c>
      <c r="AQ142" s="5">
        <f t="shared" si="0"/>
        <v>1</v>
      </c>
      <c r="AR142" s="49">
        <f>IF(Data_Geotech[[#This Row],[FIRS Code]]="R",IFERROR((IF(Data_Geotech[[#This Row],[RQD (%)]]&lt;10,10,Data_Geotech[[#This Row],[RQD (%)]])/Data_Geotech[[#This Row],[Jn rating]])*Data_Geotech[[#This Row],[Jr/Ja]],""),"")</f>
        <v>15.625000000000002</v>
      </c>
      <c r="AS142" s="45">
        <f>IF(Data_Geotech[[#This Row],[FIRS Code]]="R",IFERROR((IF(Data_Geotech[[#This Row],[RQD (%)]]&lt;10,10,Data_Geotech[[#This Row],[RQD (%)]])/Data_Geotech[[#This Row],[Jn rating]])*Data_Geotech[[#This Row],[Jr/Ja]]*Data_Geotech[[#This Row],[Jw/SRF]],""),"")</f>
        <v>15.625000000000002</v>
      </c>
      <c r="AT142" s="12"/>
      <c r="AU142" s="13">
        <f>100-Data_Geotech[[#This Row],[RQD (%)]]</f>
        <v>0</v>
      </c>
      <c r="AV142" s="13">
        <f>100-Data_Geotech[[#This Row],[TCR (%)]]</f>
        <v>0</v>
      </c>
      <c r="AW142" s="62">
        <f>(Data_Geotech[[#This Row],[Fracture per interval]]+Data_Geotech[[#This Row],[Added fractures 
(BC, FLT, LC)]])/Data_Geotech[[#This Row],[TCR (m)]]</f>
        <v>1.3333333333333333</v>
      </c>
      <c r="AX142" s="6" t="s">
        <v>109</v>
      </c>
      <c r="AY142" s="63">
        <f>7-MID(Data_Geotech[[#This Row],[Field Intact Rock Strength]],2,1)</f>
        <v>3</v>
      </c>
      <c r="AZ142" s="63">
        <f>VLOOKUP(Data_Geotech[[#This Row],[Field Intact Rock Strength]],Table_FieldStrength[],2,FALSE)</f>
        <v>50</v>
      </c>
      <c r="BA142" s="63">
        <f>VLOOKUP(Data_Geotech[[#This Row],[Field Intact Rock Strength]],Table_FieldStrength[],3,FALSE)</f>
        <v>75</v>
      </c>
      <c r="BB142" s="63">
        <f>VLOOKUP(Data_Geotech[[#This Row],[Field Intact Rock Strength]],Table_FieldStrength[],4,FALSE)</f>
        <v>100</v>
      </c>
      <c r="BC142" s="63">
        <f>100-Data_Geotech[[#This Row],[RMR76]]</f>
        <v>34.25</v>
      </c>
      <c r="BD142" s="63" t="str">
        <f>LEFT(Data_Geotech[[#This Row],[Weathering/Alteration]],FIND("-",Data_Geotech[[#This Row],[Weathering/Alteration]])-2)</f>
        <v>W3/A3</v>
      </c>
    </row>
    <row r="143" spans="1:56" hidden="1" x14ac:dyDescent="0.25">
      <c r="A143" t="s">
        <v>36</v>
      </c>
      <c r="B143" s="16" t="str">
        <f>VLOOKUP(Data_Geotech[[#This Row],[Hole ID]],Data_Log[],2,FALSE)</f>
        <v>CGF-05</v>
      </c>
      <c r="C143" s="5">
        <v>105.02</v>
      </c>
      <c r="D143" s="5">
        <v>107.97</v>
      </c>
      <c r="E143" s="5">
        <f>(Data_Geotech[[#This Row],[To (m)]]-Data_Geotech[[#This Row],[From (m)]])/2+Data_Geotech[[#This Row],[From (m)]]</f>
        <v>106.495</v>
      </c>
      <c r="F143" s="13">
        <f>Data_Geotech[[#This Row],[To (m)]]-Data_Geotech[[#This Row],[From (m)]]</f>
        <v>2.9500000000000028</v>
      </c>
      <c r="G143" s="5">
        <v>2.95</v>
      </c>
      <c r="H143" s="61">
        <f>Data_Geotech[[#This Row],[TCR (m)]]/Data_Geotech[[#This Row],[Run (m)]]*100</f>
        <v>99.999999999999915</v>
      </c>
      <c r="I143" s="151">
        <v>2.9</v>
      </c>
      <c r="J143" s="151">
        <v>2.9</v>
      </c>
      <c r="K143" s="5">
        <v>2.9</v>
      </c>
      <c r="L143" s="61">
        <f>Data_Geotech[[#This Row],[RQD (m)]]/Data_Geotech[[#This Row],[Run Reel (m)]]*100</f>
        <v>100</v>
      </c>
      <c r="M143" t="s">
        <v>572</v>
      </c>
      <c r="O143" t="s">
        <v>278</v>
      </c>
      <c r="P143" s="115" t="s">
        <v>397</v>
      </c>
      <c r="Q143" s="5" t="s">
        <v>346</v>
      </c>
      <c r="R143" s="5"/>
      <c r="S143" s="5"/>
      <c r="T143" s="5"/>
      <c r="U143" s="5"/>
      <c r="V143" s="6">
        <v>3</v>
      </c>
      <c r="W143" s="92">
        <f>SUMIFS(Discontinuities!$D$4:$D$9664,Discontinuities!$A$4:$A$9664,A143,Discontinuities!$C$4:$C$9664,"&gt;="&amp;C143,Discontinuities!$C$4:$C$9664,"&lt;"&amp;D143)
-SUMIFS(Discontinuities!$D$4:$D$9664,Discontinuities!$A$4:$A$9664,A143,Discontinuities!$C$4:$C$9664,"&gt;="&amp;C143,Discontinuities!$C$4:$C$9664,"&lt;"&amp;D143,Discontinuities!$E$4:$E$9664,"=BC")
-SUMIFS(Discontinuities!$D$4:$D$9664,Discontinuities!$A$4:$A$9664,A143,Discontinuities!$C$4:$C$9664,"&gt;="&amp;C143,Discontinuities!$C$4:$C$9664,"&lt;"&amp;D143,Discontinuities!$E$4:$E$9664,"=LC")
-SUMIFS(Discontinuities!$D$4:$D$9664,Discontinuities!$A$4:$A$9664,A143,Discontinuities!$C$4:$C$9664,"&gt;="&amp;C143,Discontinuities!$C$4:$C$9664,"&lt;"&amp;D143,Discontinuities!$E$4:$E$9664,"=FLT")</f>
        <v>3</v>
      </c>
      <c r="X143" t="s">
        <v>400</v>
      </c>
      <c r="AA143" s="12"/>
      <c r="AB143" s="43">
        <f>IFERROR(ROUND((Data_Geotech[[#This Row],[Fault (m)]]+Data_Geotech[[#This Row],[Broken Core (m)]]+Data_Geotech[[#This Row],[Lost Core (m)]])*30,0),0)</f>
        <v>0</v>
      </c>
      <c r="AC143" s="44">
        <f>IF(Data_Geotech[[#This Row],[Added fractures 
(BC, FLT, LC)]]+Data_Geotech[[#This Row],[Fracture per interval]]=0,99,1/((Data_Geotech[[#This Row],[Fracture per interval]]+Data_Geotech[[#This Row],[Added fractures 
(BC, FLT, LC)]])/Data_Geotech[[#This Row],[Run (m)]]))</f>
        <v>0.98333333333333428</v>
      </c>
      <c r="AD143" s="155" cm="1">
        <f t="array" ref="AD143">IFERROR(_xlfn.XLOOKUP(1,(A143=PLT!$A$4:$A$8886)*(Geotech!C143&lt;=PLT!$F$4:$F$8886)*(Geotech!D143&gt;=PLT!$F$4:$F$8886)*("Valid"=PLT!$P$4:$P$8886),PLT!$V$4:$V$8886),"")</f>
        <v>0</v>
      </c>
      <c r="AE143" s="156" t="str" cm="1">
        <f t="array" ref="AE143">IFERROR(_xlfn.XLOOKUP(1,(A143=PLT!$A$4:$A$8886)*(Geotech!C143&lt;=PLT!$F$4:$F$8886)*(Geotech!D143&gt;=PLT!$F$4:$F$8886)*(PLT!$V$4:$V$8886&lt;&gt;AD143)*("Valid"=PLT!$P$4:$P$7190),PLT!$V$4:$V$8886),"")</f>
        <v/>
      </c>
      <c r="AF143" s="156" t="str" cm="1">
        <f t="array" ref="AF143">IFERROR(_xlfn.XLOOKUP(1,(A143=PLT!$A$4:$A$8886)*(Geotech!C143&lt;=PLT!$F$4:$F$8886)*(Geotech!D143&gt;=PLT!$F$4:$F$8886)*(PLT!$V$4:$V$8886&lt;&gt;AD143)*(PLT!$V$4:$V$8886&lt;&gt;AE143)*("Valid"=PLT!$P$4:$P$7190),PLT!$V$4:$V$8886),"")</f>
        <v/>
      </c>
      <c r="AG143" s="44">
        <f>IFERROR(IF(AVERAGE(AD143:AF143)&gt;References!$BO$23,References!$BP$23,
IF(AVERAGE(AD143:AF143)&gt;References!$BO$22,References!$BP$22,
IF(AVERAGE(AD143:AF143)&gt;References!$BO$21,References!$BP$21,
IF(AVERAGE(AD143:AF143)&gt;References!$BO$20,References!$BP$20,
IF(AVERAGE(AD143:AF143)&gt;References!$BO$19,References!$BP$19,
IF(AVERAGE(AD143:AF143)&gt;References!$BO$18,References!$BP$18,
0)))))),"")</f>
        <v>0</v>
      </c>
      <c r="AH143" s="43">
        <f>IF(Data_Geotech[[#This Row],[Is50]]="",VLOOKUP(Data_Geotech[[#This Row],[Field Intact Rock Strength]],Table_RMR76_Strength[],2,FALSE),Data_Geotech[[#This Row],[Is50]])</f>
        <v>0</v>
      </c>
      <c r="AI143" s="43">
        <f>IF(Data_Geotech[[#This Row],[RQD (%)]]&lt;=25,3,IF(Data_Geotech[[#This Row],[RQD (%)]]&lt;=50,8,IF(Data_Geotech[[#This Row],[RQD (%)]]&lt;=75,13,IF(Data_Geotech[[#This Row],[RQD (%)]]&lt;=90,17,20))))</f>
        <v>20</v>
      </c>
      <c r="AJ143" s="43">
        <f>IF(Data_Geotech[[#This Row],[Joint spacing (m)]]&lt;=0.05,5,IF(Data_Geotech[[#This Row],[Joint spacing (m)]]&lt;=0.3,10,IF(Data_Geotech[[#This Row],[Joint spacing (m)]]&lt;=1,20,IF(Data_Geotech[[#This Row],[Joint spacing (m)]]&lt;=3,25,30))))</f>
        <v>20</v>
      </c>
      <c r="AK14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15</v>
      </c>
      <c r="AL143" s="6">
        <v>10</v>
      </c>
      <c r="AM143" s="117">
        <f>IF(Data_Geotech[[#This Row],[FIRS Code]]="R",IFERROR(SUM(Data_Geotech[[#This Row],[RMR76 - Strength rating]:[RMR76 - Ground water rating]]),""),"")</f>
        <v>65</v>
      </c>
      <c r="AN143" s="39">
        <f>IF(Data_Geotech[[#This Row],[FIRS Code]]="R",(2*Data_Geotech[[#This Row],[RMR76 - Joint condition rating]])+(IF(Data_Geotech[[#This Row],[RQD (%)]]&gt;80,80/2,Data_Geotech[[#This Row],[RQD (%)]]/2)),"")</f>
        <v>70</v>
      </c>
      <c r="AO143" s="43" t="str">
        <f>LEFT(Data_Geotech[[#This Row],[Joint Set Rating]],FIND("-",Data_Geotech[[#This Row],[Joint Set Rating]],1)-2)</f>
        <v>6</v>
      </c>
      <c r="AP14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1.3666666666666665</v>
      </c>
      <c r="AQ143" s="5">
        <f t="shared" si="0"/>
        <v>1</v>
      </c>
      <c r="AR143" s="49">
        <f>IF(Data_Geotech[[#This Row],[FIRS Code]]="R",IFERROR((IF(Data_Geotech[[#This Row],[RQD (%)]]&lt;10,10,Data_Geotech[[#This Row],[RQD (%)]])/Data_Geotech[[#This Row],[Jn rating]])*Data_Geotech[[#This Row],[Jr/Ja]],""),"")</f>
        <v>22.777777777777775</v>
      </c>
      <c r="AS143" s="45">
        <f>IF(Data_Geotech[[#This Row],[FIRS Code]]="R",IFERROR((IF(Data_Geotech[[#This Row],[RQD (%)]]&lt;10,10,Data_Geotech[[#This Row],[RQD (%)]])/Data_Geotech[[#This Row],[Jn rating]])*Data_Geotech[[#This Row],[Jr/Ja]]*Data_Geotech[[#This Row],[Jw/SRF]],""),"")</f>
        <v>22.777777777777775</v>
      </c>
      <c r="AT143" s="12"/>
      <c r="AU143" s="13">
        <f>100-Data_Geotech[[#This Row],[RQD (%)]]</f>
        <v>0</v>
      </c>
      <c r="AV143" s="13">
        <f>100-Data_Geotech[[#This Row],[TCR (%)]]</f>
        <v>0</v>
      </c>
      <c r="AW143" s="62">
        <f>(Data_Geotech[[#This Row],[Fracture per interval]]+Data_Geotech[[#This Row],[Added fractures 
(BC, FLT, LC)]])/Data_Geotech[[#This Row],[TCR (m)]]</f>
        <v>1.0169491525423728</v>
      </c>
      <c r="AX143" s="6" t="s">
        <v>109</v>
      </c>
      <c r="AY143" s="63">
        <f>7-MID(Data_Geotech[[#This Row],[Field Intact Rock Strength]],2,1)</f>
        <v>2</v>
      </c>
      <c r="AZ143" s="63">
        <f>VLOOKUP(Data_Geotech[[#This Row],[Field Intact Rock Strength]],Table_FieldStrength[],2,FALSE)</f>
        <v>100</v>
      </c>
      <c r="BA143" s="63">
        <f>VLOOKUP(Data_Geotech[[#This Row],[Field Intact Rock Strength]],Table_FieldStrength[],3,FALSE)</f>
        <v>175</v>
      </c>
      <c r="BB143" s="63">
        <f>VLOOKUP(Data_Geotech[[#This Row],[Field Intact Rock Strength]],Table_FieldStrength[],4,FALSE)</f>
        <v>250</v>
      </c>
      <c r="BC143" s="63">
        <f>100-Data_Geotech[[#This Row],[RMR76]]</f>
        <v>35</v>
      </c>
      <c r="BD143" s="63" t="str">
        <f>LEFT(Data_Geotech[[#This Row],[Weathering/Alteration]],FIND("-",Data_Geotech[[#This Row],[Weathering/Alteration]])-2)</f>
        <v>W2/A2</v>
      </c>
    </row>
    <row r="144" spans="1:56" hidden="1" x14ac:dyDescent="0.25">
      <c r="A144" t="s">
        <v>36</v>
      </c>
      <c r="B144" s="16" t="str">
        <f>VLOOKUP(Data_Geotech[[#This Row],[Hole ID]],Data_Log[],2,FALSE)</f>
        <v>CGF-05</v>
      </c>
      <c r="C144" s="5">
        <v>107.97</v>
      </c>
      <c r="D144" s="5">
        <v>111.04</v>
      </c>
      <c r="E144" s="5">
        <f>(Data_Geotech[[#This Row],[To (m)]]-Data_Geotech[[#This Row],[From (m)]])/2+Data_Geotech[[#This Row],[From (m)]]</f>
        <v>109.505</v>
      </c>
      <c r="F144" s="13">
        <f>Data_Geotech[[#This Row],[To (m)]]-Data_Geotech[[#This Row],[From (m)]]</f>
        <v>3.0700000000000074</v>
      </c>
      <c r="G144" s="5">
        <v>3.07</v>
      </c>
      <c r="H144" s="61">
        <f>Data_Geotech[[#This Row],[TCR (m)]]/Data_Geotech[[#This Row],[Run (m)]]*100</f>
        <v>99.999999999999758</v>
      </c>
      <c r="I144" s="151">
        <v>3.06</v>
      </c>
      <c r="J144" s="151">
        <v>3.06</v>
      </c>
      <c r="K144" s="5">
        <v>3.06</v>
      </c>
      <c r="L144" s="61">
        <f>Data_Geotech[[#This Row],[RQD (m)]]/Data_Geotech[[#This Row],[Run Reel (m)]]*100</f>
        <v>100</v>
      </c>
      <c r="M144" t="s">
        <v>572</v>
      </c>
      <c r="O144" t="s">
        <v>310</v>
      </c>
      <c r="P144" s="115" t="s">
        <v>370</v>
      </c>
      <c r="Q144" s="5" t="s">
        <v>346</v>
      </c>
      <c r="R144" s="5"/>
      <c r="S144" s="5"/>
      <c r="T144" s="5"/>
      <c r="U144" s="5"/>
      <c r="V144" s="6">
        <v>4</v>
      </c>
      <c r="W144" s="92">
        <f>SUMIFS(Discontinuities!$D$4:$D$9664,Discontinuities!$A$4:$A$9664,A144,Discontinuities!$C$4:$C$9664,"&gt;="&amp;C144,Discontinuities!$C$4:$C$9664,"&lt;"&amp;D144)
-SUMIFS(Discontinuities!$D$4:$D$9664,Discontinuities!$A$4:$A$9664,A144,Discontinuities!$C$4:$C$9664,"&gt;="&amp;C144,Discontinuities!$C$4:$C$9664,"&lt;"&amp;D144,Discontinuities!$E$4:$E$9664,"=BC")
-SUMIFS(Discontinuities!$D$4:$D$9664,Discontinuities!$A$4:$A$9664,A144,Discontinuities!$C$4:$C$9664,"&gt;="&amp;C144,Discontinuities!$C$4:$C$9664,"&lt;"&amp;D144,Discontinuities!$E$4:$E$9664,"=LC")
-SUMIFS(Discontinuities!$D$4:$D$9664,Discontinuities!$A$4:$A$9664,A144,Discontinuities!$C$4:$C$9664,"&gt;="&amp;C144,Discontinuities!$C$4:$C$9664,"&lt;"&amp;D144,Discontinuities!$E$4:$E$9664,"=FLT")</f>
        <v>4</v>
      </c>
      <c r="X144" t="s">
        <v>400</v>
      </c>
      <c r="AA144" s="12"/>
      <c r="AB144" s="43">
        <f>IFERROR(ROUND((Data_Geotech[[#This Row],[Fault (m)]]+Data_Geotech[[#This Row],[Broken Core (m)]]+Data_Geotech[[#This Row],[Lost Core (m)]])*30,0),0)</f>
        <v>0</v>
      </c>
      <c r="AC144" s="44">
        <f>IF(Data_Geotech[[#This Row],[Added fractures 
(BC, FLT, LC)]]+Data_Geotech[[#This Row],[Fracture per interval]]=0,99,1/((Data_Geotech[[#This Row],[Fracture per interval]]+Data_Geotech[[#This Row],[Added fractures 
(BC, FLT, LC)]])/Data_Geotech[[#This Row],[Run (m)]]))</f>
        <v>0.76750000000000185</v>
      </c>
      <c r="AD144" s="155" cm="1">
        <f t="array" ref="AD144">IFERROR(_xlfn.XLOOKUP(1,(A144=PLT!$A$4:$A$8886)*(Geotech!C144&lt;=PLT!$F$4:$F$8886)*(Geotech!D144&gt;=PLT!$F$4:$F$8886)*("Valid"=PLT!$P$4:$P$8886),PLT!$V$4:$V$8886),"")</f>
        <v>0</v>
      </c>
      <c r="AE144" s="156" t="str" cm="1">
        <f t="array" ref="AE144">IFERROR(_xlfn.XLOOKUP(1,(A144=PLT!$A$4:$A$8886)*(Geotech!C144&lt;=PLT!$F$4:$F$8886)*(Geotech!D144&gt;=PLT!$F$4:$F$8886)*(PLT!$V$4:$V$8886&lt;&gt;AD144)*("Valid"=PLT!$P$4:$P$7190),PLT!$V$4:$V$8886),"")</f>
        <v/>
      </c>
      <c r="AF144" s="156" t="str" cm="1">
        <f t="array" ref="AF144">IFERROR(_xlfn.XLOOKUP(1,(A144=PLT!$A$4:$A$8886)*(Geotech!C144&lt;=PLT!$F$4:$F$8886)*(Geotech!D144&gt;=PLT!$F$4:$F$8886)*(PLT!$V$4:$V$8886&lt;&gt;AD144)*(PLT!$V$4:$V$8886&lt;&gt;AE144)*("Valid"=PLT!$P$4:$P$7190),PLT!$V$4:$V$8886),"")</f>
        <v/>
      </c>
      <c r="AG144" s="44">
        <f>IFERROR(IF(AVERAGE(AD144:AF144)&gt;References!$BO$23,References!$BP$23,
IF(AVERAGE(AD144:AF144)&gt;References!$BO$22,References!$BP$22,
IF(AVERAGE(AD144:AF144)&gt;References!$BO$21,References!$BP$21,
IF(AVERAGE(AD144:AF144)&gt;References!$BO$20,References!$BP$20,
IF(AVERAGE(AD144:AF144)&gt;References!$BO$19,References!$BP$19,
IF(AVERAGE(AD144:AF144)&gt;References!$BO$18,References!$BP$18,
0)))))),"")</f>
        <v>0</v>
      </c>
      <c r="AH144" s="43">
        <f>IF(Data_Geotech[[#This Row],[Is50]]="",VLOOKUP(Data_Geotech[[#This Row],[Field Intact Rock Strength]],Table_RMR76_Strength[],2,FALSE),Data_Geotech[[#This Row],[Is50]])</f>
        <v>0</v>
      </c>
      <c r="AI144" s="43">
        <f>IF(Data_Geotech[[#This Row],[RQD (%)]]&lt;=25,3,IF(Data_Geotech[[#This Row],[RQD (%)]]&lt;=50,8,IF(Data_Geotech[[#This Row],[RQD (%)]]&lt;=75,13,IF(Data_Geotech[[#This Row],[RQD (%)]]&lt;=90,17,20))))</f>
        <v>20</v>
      </c>
      <c r="AJ144" s="43">
        <f>IF(Data_Geotech[[#This Row],[Joint spacing (m)]]&lt;=0.05,5,IF(Data_Geotech[[#This Row],[Joint spacing (m)]]&lt;=0.3,10,IF(Data_Geotech[[#This Row],[Joint spacing (m)]]&lt;=1,20,IF(Data_Geotech[[#This Row],[Joint spacing (m)]]&lt;=3,25,30))))</f>
        <v>20</v>
      </c>
      <c r="AK14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11</v>
      </c>
      <c r="AL144" s="6">
        <v>10</v>
      </c>
      <c r="AM144" s="117">
        <f>IF(Data_Geotech[[#This Row],[FIRS Code]]="R",IFERROR(SUM(Data_Geotech[[#This Row],[RMR76 - Strength rating]:[RMR76 - Ground water rating]]),""),"")</f>
        <v>61</v>
      </c>
      <c r="AN144" s="39">
        <f>IF(Data_Geotech[[#This Row],[FIRS Code]]="R",(2*Data_Geotech[[#This Row],[RMR76 - Joint condition rating]])+(IF(Data_Geotech[[#This Row],[RQD (%)]]&gt;80,80/2,Data_Geotech[[#This Row],[RQD (%)]]/2)),"")</f>
        <v>62</v>
      </c>
      <c r="AO144" s="43" t="str">
        <f>LEFT(Data_Geotech[[#This Row],[Joint Set Rating]],FIND("-",Data_Geotech[[#This Row],[Joint Set Rating]],1)-2)</f>
        <v>6</v>
      </c>
      <c r="AP14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0.5625</v>
      </c>
      <c r="AQ144" s="5">
        <f t="shared" si="0"/>
        <v>1</v>
      </c>
      <c r="AR144" s="49">
        <f>IF(Data_Geotech[[#This Row],[FIRS Code]]="R",IFERROR((IF(Data_Geotech[[#This Row],[RQD (%)]]&lt;10,10,Data_Geotech[[#This Row],[RQD (%)]])/Data_Geotech[[#This Row],[Jn rating]])*Data_Geotech[[#This Row],[Jr/Ja]],""),"")</f>
        <v>9.375</v>
      </c>
      <c r="AS144" s="45">
        <f>IF(Data_Geotech[[#This Row],[FIRS Code]]="R",IFERROR((IF(Data_Geotech[[#This Row],[RQD (%)]]&lt;10,10,Data_Geotech[[#This Row],[RQD (%)]])/Data_Geotech[[#This Row],[Jn rating]])*Data_Geotech[[#This Row],[Jr/Ja]]*Data_Geotech[[#This Row],[Jw/SRF]],""),"")</f>
        <v>9.375</v>
      </c>
      <c r="AT144" s="12"/>
      <c r="AU144" s="13">
        <f>100-Data_Geotech[[#This Row],[RQD (%)]]</f>
        <v>0</v>
      </c>
      <c r="AV144" s="13">
        <f>100-Data_Geotech[[#This Row],[TCR (%)]]</f>
        <v>2.4158453015843406E-13</v>
      </c>
      <c r="AW144" s="62">
        <f>(Data_Geotech[[#This Row],[Fracture per interval]]+Data_Geotech[[#This Row],[Added fractures 
(BC, FLT, LC)]])/Data_Geotech[[#This Row],[TCR (m)]]</f>
        <v>1.3029315960912053</v>
      </c>
      <c r="AX144" s="6" t="s">
        <v>109</v>
      </c>
      <c r="AY144" s="63">
        <f>7-MID(Data_Geotech[[#This Row],[Field Intact Rock Strength]],2,1)</f>
        <v>3</v>
      </c>
      <c r="AZ144" s="63">
        <f>VLOOKUP(Data_Geotech[[#This Row],[Field Intact Rock Strength]],Table_FieldStrength[],2,FALSE)</f>
        <v>50</v>
      </c>
      <c r="BA144" s="63">
        <f>VLOOKUP(Data_Geotech[[#This Row],[Field Intact Rock Strength]],Table_FieldStrength[],3,FALSE)</f>
        <v>75</v>
      </c>
      <c r="BB144" s="63">
        <f>VLOOKUP(Data_Geotech[[#This Row],[Field Intact Rock Strength]],Table_FieldStrength[],4,FALSE)</f>
        <v>100</v>
      </c>
      <c r="BC144" s="63">
        <f>100-Data_Geotech[[#This Row],[RMR76]]</f>
        <v>39</v>
      </c>
      <c r="BD144" s="63" t="str">
        <f>LEFT(Data_Geotech[[#This Row],[Weathering/Alteration]],FIND("-",Data_Geotech[[#This Row],[Weathering/Alteration]])-2)</f>
        <v>W3/A3</v>
      </c>
    </row>
    <row r="145" spans="1:56" hidden="1" x14ac:dyDescent="0.25">
      <c r="A145" t="s">
        <v>36</v>
      </c>
      <c r="B145" s="16" t="str">
        <f>VLOOKUP(Data_Geotech[[#This Row],[Hole ID]],Data_Log[],2,FALSE)</f>
        <v>CGF-05</v>
      </c>
      <c r="C145" s="5">
        <v>111.04</v>
      </c>
      <c r="D145" s="5">
        <v>114</v>
      </c>
      <c r="E145" s="5">
        <f>(Data_Geotech[[#This Row],[To (m)]]-Data_Geotech[[#This Row],[From (m)]])/2+Data_Geotech[[#This Row],[From (m)]]</f>
        <v>112.52000000000001</v>
      </c>
      <c r="F145" s="13">
        <f>Data_Geotech[[#This Row],[To (m)]]-Data_Geotech[[#This Row],[From (m)]]</f>
        <v>2.9599999999999937</v>
      </c>
      <c r="G145" s="5">
        <v>2.96</v>
      </c>
      <c r="H145" s="61">
        <f>Data_Geotech[[#This Row],[TCR (m)]]/Data_Geotech[[#This Row],[Run (m)]]*100</f>
        <v>100.0000000000002</v>
      </c>
      <c r="I145" s="151">
        <v>3</v>
      </c>
      <c r="J145" s="151">
        <v>3</v>
      </c>
      <c r="K145" s="5">
        <v>2.8</v>
      </c>
      <c r="L145" s="61">
        <f>Data_Geotech[[#This Row],[RQD (m)]]/Data_Geotech[[#This Row],[Run Reel (m)]]*100</f>
        <v>93.333333333333329</v>
      </c>
      <c r="M145" t="s">
        <v>572</v>
      </c>
      <c r="O145" t="s">
        <v>278</v>
      </c>
      <c r="P145" s="115" t="s">
        <v>397</v>
      </c>
      <c r="Q145" s="5" t="s">
        <v>313</v>
      </c>
      <c r="R145" s="5"/>
      <c r="S145" s="5">
        <v>0.2</v>
      </c>
      <c r="T145" s="5"/>
      <c r="U145" s="5"/>
      <c r="V145" s="6">
        <v>8</v>
      </c>
      <c r="W145" s="92">
        <f>SUMIFS(Discontinuities!$D$4:$D$9664,Discontinuities!$A$4:$A$9664,A145,Discontinuities!$C$4:$C$9664,"&gt;="&amp;C145,Discontinuities!$C$4:$C$9664,"&lt;"&amp;D145)
-SUMIFS(Discontinuities!$D$4:$D$9664,Discontinuities!$A$4:$A$9664,A145,Discontinuities!$C$4:$C$9664,"&gt;="&amp;C145,Discontinuities!$C$4:$C$9664,"&lt;"&amp;D145,Discontinuities!$E$4:$E$9664,"=BC")
-SUMIFS(Discontinuities!$D$4:$D$9664,Discontinuities!$A$4:$A$9664,A145,Discontinuities!$C$4:$C$9664,"&gt;="&amp;C145,Discontinuities!$C$4:$C$9664,"&lt;"&amp;D145,Discontinuities!$E$4:$E$9664,"=LC")
-SUMIFS(Discontinuities!$D$4:$D$9664,Discontinuities!$A$4:$A$9664,A145,Discontinuities!$C$4:$C$9664,"&gt;="&amp;C145,Discontinuities!$C$4:$C$9664,"&lt;"&amp;D145,Discontinuities!$E$4:$E$9664,"=FLT")</f>
        <v>8</v>
      </c>
      <c r="X145" t="s">
        <v>345</v>
      </c>
      <c r="AA145" s="12"/>
      <c r="AB145" s="43">
        <f>IFERROR(ROUND((Data_Geotech[[#This Row],[Fault (m)]]+Data_Geotech[[#This Row],[Broken Core (m)]]+Data_Geotech[[#This Row],[Lost Core (m)]])*30,0),0)</f>
        <v>6</v>
      </c>
      <c r="AC145" s="44">
        <f>IF(Data_Geotech[[#This Row],[Added fractures 
(BC, FLT, LC)]]+Data_Geotech[[#This Row],[Fracture per interval]]=0,99,1/((Data_Geotech[[#This Row],[Fracture per interval]]+Data_Geotech[[#This Row],[Added fractures 
(BC, FLT, LC)]])/Data_Geotech[[#This Row],[Run (m)]]))</f>
        <v>0.21142857142857099</v>
      </c>
      <c r="AD145" s="155" cm="1">
        <f t="array" ref="AD145">IFERROR(_xlfn.XLOOKUP(1,(A145=PLT!$A$4:$A$8886)*(Geotech!C145&lt;=PLT!$F$4:$F$8886)*(Geotech!D145&gt;=PLT!$F$4:$F$8886)*("Valid"=PLT!$P$4:$P$8886),PLT!$V$4:$V$8886),"")</f>
        <v>0</v>
      </c>
      <c r="AE145" s="156" t="str" cm="1">
        <f t="array" ref="AE145">IFERROR(_xlfn.XLOOKUP(1,(A145=PLT!$A$4:$A$8886)*(Geotech!C145&lt;=PLT!$F$4:$F$8886)*(Geotech!D145&gt;=PLT!$F$4:$F$8886)*(PLT!$V$4:$V$8886&lt;&gt;AD145)*("Valid"=PLT!$P$4:$P$7190),PLT!$V$4:$V$8886),"")</f>
        <v/>
      </c>
      <c r="AF145" s="156" t="str" cm="1">
        <f t="array" ref="AF145">IFERROR(_xlfn.XLOOKUP(1,(A145=PLT!$A$4:$A$8886)*(Geotech!C145&lt;=PLT!$F$4:$F$8886)*(Geotech!D145&gt;=PLT!$F$4:$F$8886)*(PLT!$V$4:$V$8886&lt;&gt;AD145)*(PLT!$V$4:$V$8886&lt;&gt;AE145)*("Valid"=PLT!$P$4:$P$7190),PLT!$V$4:$V$8886),"")</f>
        <v/>
      </c>
      <c r="AG145" s="44">
        <f>IFERROR(IF(AVERAGE(AD145:AF145)&gt;References!$BO$23,References!$BP$23,
IF(AVERAGE(AD145:AF145)&gt;References!$BO$22,References!$BP$22,
IF(AVERAGE(AD145:AF145)&gt;References!$BO$21,References!$BP$21,
IF(AVERAGE(AD145:AF145)&gt;References!$BO$20,References!$BP$20,
IF(AVERAGE(AD145:AF145)&gt;References!$BO$19,References!$BP$19,
IF(AVERAGE(AD145:AF145)&gt;References!$BO$18,References!$BP$18,
0)))))),"")</f>
        <v>0</v>
      </c>
      <c r="AH145" s="43">
        <f>IF(Data_Geotech[[#This Row],[Is50]]="",VLOOKUP(Data_Geotech[[#This Row],[Field Intact Rock Strength]],Table_RMR76_Strength[],2,FALSE),Data_Geotech[[#This Row],[Is50]])</f>
        <v>0</v>
      </c>
      <c r="AI145" s="43">
        <f>IF(Data_Geotech[[#This Row],[RQD (%)]]&lt;=25,3,IF(Data_Geotech[[#This Row],[RQD (%)]]&lt;=50,8,IF(Data_Geotech[[#This Row],[RQD (%)]]&lt;=75,13,IF(Data_Geotech[[#This Row],[RQD (%)]]&lt;=90,17,20))))</f>
        <v>20</v>
      </c>
      <c r="AJ145" s="43">
        <f>IF(Data_Geotech[[#This Row],[Joint spacing (m)]]&lt;=0.05,5,IF(Data_Geotech[[#This Row],[Joint spacing (m)]]&lt;=0.3,10,IF(Data_Geotech[[#This Row],[Joint spacing (m)]]&lt;=1,20,IF(Data_Geotech[[#This Row],[Joint spacing (m)]]&lt;=3,25,30))))</f>
        <v>10</v>
      </c>
      <c r="AK14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19.125</v>
      </c>
      <c r="AL145" s="6">
        <v>10</v>
      </c>
      <c r="AM145" s="117">
        <f>IF(Data_Geotech[[#This Row],[FIRS Code]]="R",IFERROR(SUM(Data_Geotech[[#This Row],[RMR76 - Strength rating]:[RMR76 - Ground water rating]]),""),"")</f>
        <v>59.125</v>
      </c>
      <c r="AN145" s="39">
        <f>IF(Data_Geotech[[#This Row],[FIRS Code]]="R",(2*Data_Geotech[[#This Row],[RMR76 - Joint condition rating]])+(IF(Data_Geotech[[#This Row],[RQD (%)]]&gt;80,80/2,Data_Geotech[[#This Row],[RQD (%)]]/2)),"")</f>
        <v>78.25</v>
      </c>
      <c r="AO145" s="43" t="str">
        <f>LEFT(Data_Geotech[[#This Row],[Joint Set Rating]],FIND("-",Data_Geotech[[#This Row],[Joint Set Rating]],1)-2)</f>
        <v>3</v>
      </c>
      <c r="AP14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1.03125</v>
      </c>
      <c r="AQ145" s="5">
        <f t="shared" si="0"/>
        <v>1</v>
      </c>
      <c r="AR145" s="49">
        <f>IF(Data_Geotech[[#This Row],[FIRS Code]]="R",IFERROR((IF(Data_Geotech[[#This Row],[RQD (%)]]&lt;10,10,Data_Geotech[[#This Row],[RQD (%)]])/Data_Geotech[[#This Row],[Jn rating]])*Data_Geotech[[#This Row],[Jr/Ja]],""),"")</f>
        <v>32.083333333333336</v>
      </c>
      <c r="AS145" s="45">
        <f>IF(Data_Geotech[[#This Row],[FIRS Code]]="R",IFERROR((IF(Data_Geotech[[#This Row],[RQD (%)]]&lt;10,10,Data_Geotech[[#This Row],[RQD (%)]])/Data_Geotech[[#This Row],[Jn rating]])*Data_Geotech[[#This Row],[Jr/Ja]]*Data_Geotech[[#This Row],[Jw/SRF]],""),"")</f>
        <v>32.083333333333336</v>
      </c>
      <c r="AT145" s="12"/>
      <c r="AU145" s="13">
        <f>100-Data_Geotech[[#This Row],[RQD (%)]]</f>
        <v>6.6666666666666714</v>
      </c>
      <c r="AV145" s="13">
        <f>100-Data_Geotech[[#This Row],[TCR (%)]]</f>
        <v>-1.9895196601282805E-13</v>
      </c>
      <c r="AW145" s="62">
        <f>(Data_Geotech[[#This Row],[Fracture per interval]]+Data_Geotech[[#This Row],[Added fractures 
(BC, FLT, LC)]])/Data_Geotech[[#This Row],[TCR (m)]]</f>
        <v>4.7297297297297298</v>
      </c>
      <c r="AX145" s="6" t="s">
        <v>109</v>
      </c>
      <c r="AY145" s="63">
        <f>7-MID(Data_Geotech[[#This Row],[Field Intact Rock Strength]],2,1)</f>
        <v>2</v>
      </c>
      <c r="AZ145" s="63">
        <f>VLOOKUP(Data_Geotech[[#This Row],[Field Intact Rock Strength]],Table_FieldStrength[],2,FALSE)</f>
        <v>100</v>
      </c>
      <c r="BA145" s="63">
        <f>VLOOKUP(Data_Geotech[[#This Row],[Field Intact Rock Strength]],Table_FieldStrength[],3,FALSE)</f>
        <v>175</v>
      </c>
      <c r="BB145" s="63">
        <f>VLOOKUP(Data_Geotech[[#This Row],[Field Intact Rock Strength]],Table_FieldStrength[],4,FALSE)</f>
        <v>250</v>
      </c>
      <c r="BC145" s="63">
        <f>100-Data_Geotech[[#This Row],[RMR76]]</f>
        <v>40.875</v>
      </c>
      <c r="BD145" s="63" t="str">
        <f>LEFT(Data_Geotech[[#This Row],[Weathering/Alteration]],FIND("-",Data_Geotech[[#This Row],[Weathering/Alteration]])-2)</f>
        <v>W2/A2</v>
      </c>
    </row>
    <row r="146" spans="1:56" hidden="1" x14ac:dyDescent="0.25">
      <c r="A146" t="s">
        <v>36</v>
      </c>
      <c r="B146" s="16" t="str">
        <f>VLOOKUP(Data_Geotech[[#This Row],[Hole ID]],Data_Log[],2,FALSE)</f>
        <v>CGF-05</v>
      </c>
      <c r="C146" s="5">
        <v>114</v>
      </c>
      <c r="D146" s="5">
        <v>117</v>
      </c>
      <c r="E146" s="5">
        <f>(Data_Geotech[[#This Row],[To (m)]]-Data_Geotech[[#This Row],[From (m)]])/2+Data_Geotech[[#This Row],[From (m)]]</f>
        <v>115.5</v>
      </c>
      <c r="F146" s="13">
        <f>Data_Geotech[[#This Row],[To (m)]]-Data_Geotech[[#This Row],[From (m)]]</f>
        <v>3</v>
      </c>
      <c r="G146" s="5">
        <v>3</v>
      </c>
      <c r="H146" s="61">
        <f>Data_Geotech[[#This Row],[TCR (m)]]/Data_Geotech[[#This Row],[Run (m)]]*100</f>
        <v>100</v>
      </c>
      <c r="I146" s="151">
        <v>3.03</v>
      </c>
      <c r="J146" s="151">
        <v>3.03</v>
      </c>
      <c r="K146" s="5">
        <v>2.97</v>
      </c>
      <c r="L146" s="61">
        <f>Data_Geotech[[#This Row],[RQD (m)]]/Data_Geotech[[#This Row],[Run Reel (m)]]*100</f>
        <v>98.019801980198025</v>
      </c>
      <c r="M146" t="s">
        <v>572</v>
      </c>
      <c r="O146" t="s">
        <v>278</v>
      </c>
      <c r="P146" s="115" t="s">
        <v>370</v>
      </c>
      <c r="Q146" s="5" t="s">
        <v>346</v>
      </c>
      <c r="R146" s="5"/>
      <c r="S146" s="5">
        <v>0.06</v>
      </c>
      <c r="T146" s="5"/>
      <c r="U146" s="5"/>
      <c r="V146" s="6">
        <v>7</v>
      </c>
      <c r="W146" s="92">
        <f>SUMIFS(Discontinuities!$D$4:$D$9664,Discontinuities!$A$4:$A$9664,A146,Discontinuities!$C$4:$C$9664,"&gt;="&amp;C146,Discontinuities!$C$4:$C$9664,"&lt;"&amp;D146)
-SUMIFS(Discontinuities!$D$4:$D$9664,Discontinuities!$A$4:$A$9664,A146,Discontinuities!$C$4:$C$9664,"&gt;="&amp;C146,Discontinuities!$C$4:$C$9664,"&lt;"&amp;D146,Discontinuities!$E$4:$E$9664,"=BC")
-SUMIFS(Discontinuities!$D$4:$D$9664,Discontinuities!$A$4:$A$9664,A146,Discontinuities!$C$4:$C$9664,"&gt;="&amp;C146,Discontinuities!$C$4:$C$9664,"&lt;"&amp;D146,Discontinuities!$E$4:$E$9664,"=LC")
-SUMIFS(Discontinuities!$D$4:$D$9664,Discontinuities!$A$4:$A$9664,A146,Discontinuities!$C$4:$C$9664,"&gt;="&amp;C146,Discontinuities!$C$4:$C$9664,"&lt;"&amp;D146,Discontinuities!$E$4:$E$9664,"=FLT")</f>
        <v>7</v>
      </c>
      <c r="X146" t="s">
        <v>400</v>
      </c>
      <c r="AA146" s="12"/>
      <c r="AB146" s="43">
        <f>IFERROR(ROUND((Data_Geotech[[#This Row],[Fault (m)]]+Data_Geotech[[#This Row],[Broken Core (m)]]+Data_Geotech[[#This Row],[Lost Core (m)]])*30,0),0)</f>
        <v>2</v>
      </c>
      <c r="AC146" s="44">
        <f>IF(Data_Geotech[[#This Row],[Added fractures 
(BC, FLT, LC)]]+Data_Geotech[[#This Row],[Fracture per interval]]=0,99,1/((Data_Geotech[[#This Row],[Fracture per interval]]+Data_Geotech[[#This Row],[Added fractures 
(BC, FLT, LC)]])/Data_Geotech[[#This Row],[Run (m)]]))</f>
        <v>0.33333333333333331</v>
      </c>
      <c r="AD146" s="155" cm="1">
        <f t="array" ref="AD146">IFERROR(_xlfn.XLOOKUP(1,(A146=PLT!$A$4:$A$8886)*(Geotech!C146&lt;=PLT!$F$4:$F$8886)*(Geotech!D146&gt;=PLT!$F$4:$F$8886)*("Valid"=PLT!$P$4:$P$8886),PLT!$V$4:$V$8886),"")</f>
        <v>0</v>
      </c>
      <c r="AE146" s="156" t="str" cm="1">
        <f t="array" ref="AE146">IFERROR(_xlfn.XLOOKUP(1,(A146=PLT!$A$4:$A$8886)*(Geotech!C146&lt;=PLT!$F$4:$F$8886)*(Geotech!D146&gt;=PLT!$F$4:$F$8886)*(PLT!$V$4:$V$8886&lt;&gt;AD146)*("Valid"=PLT!$P$4:$P$7190),PLT!$V$4:$V$8886),"")</f>
        <v/>
      </c>
      <c r="AF146" s="156" t="str" cm="1">
        <f t="array" ref="AF146">IFERROR(_xlfn.XLOOKUP(1,(A146=PLT!$A$4:$A$8886)*(Geotech!C146&lt;=PLT!$F$4:$F$8886)*(Geotech!D146&gt;=PLT!$F$4:$F$8886)*(PLT!$V$4:$V$8886&lt;&gt;AD146)*(PLT!$V$4:$V$8886&lt;&gt;AE146)*("Valid"=PLT!$P$4:$P$7190),PLT!$V$4:$V$8886),"")</f>
        <v/>
      </c>
      <c r="AG146" s="44">
        <f>IFERROR(IF(AVERAGE(AD146:AF146)&gt;References!$BO$23,References!$BP$23,
IF(AVERAGE(AD146:AF146)&gt;References!$BO$22,References!$BP$22,
IF(AVERAGE(AD146:AF146)&gt;References!$BO$21,References!$BP$21,
IF(AVERAGE(AD146:AF146)&gt;References!$BO$20,References!$BP$20,
IF(AVERAGE(AD146:AF146)&gt;References!$BO$19,References!$BP$19,
IF(AVERAGE(AD146:AF146)&gt;References!$BO$18,References!$BP$18,
0)))))),"")</f>
        <v>0</v>
      </c>
      <c r="AH146" s="43">
        <f>IF(Data_Geotech[[#This Row],[Is50]]="",VLOOKUP(Data_Geotech[[#This Row],[Field Intact Rock Strength]],Table_RMR76_Strength[],2,FALSE),Data_Geotech[[#This Row],[Is50]])</f>
        <v>0</v>
      </c>
      <c r="AI146" s="43">
        <f>IF(Data_Geotech[[#This Row],[RQD (%)]]&lt;=25,3,IF(Data_Geotech[[#This Row],[RQD (%)]]&lt;=50,8,IF(Data_Geotech[[#This Row],[RQD (%)]]&lt;=75,13,IF(Data_Geotech[[#This Row],[RQD (%)]]&lt;=90,17,20))))</f>
        <v>20</v>
      </c>
      <c r="AJ146" s="43">
        <f>IF(Data_Geotech[[#This Row],[Joint spacing (m)]]&lt;=0.05,5,IF(Data_Geotech[[#This Row],[Joint spacing (m)]]&lt;=0.3,10,IF(Data_Geotech[[#This Row],[Joint spacing (m)]]&lt;=1,20,IF(Data_Geotech[[#This Row],[Joint spacing (m)]]&lt;=3,25,30))))</f>
        <v>20</v>
      </c>
      <c r="AK14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12.428571428571429</v>
      </c>
      <c r="AL146" s="6">
        <v>10</v>
      </c>
      <c r="AM146" s="117">
        <f>IF(Data_Geotech[[#This Row],[FIRS Code]]="R",IFERROR(SUM(Data_Geotech[[#This Row],[RMR76 - Strength rating]:[RMR76 - Ground water rating]]),""),"")</f>
        <v>62.428571428571431</v>
      </c>
      <c r="AN146" s="39">
        <f>IF(Data_Geotech[[#This Row],[FIRS Code]]="R",(2*Data_Geotech[[#This Row],[RMR76 - Joint condition rating]])+(IF(Data_Geotech[[#This Row],[RQD (%)]]&gt;80,80/2,Data_Geotech[[#This Row],[RQD (%)]]/2)),"")</f>
        <v>64.857142857142861</v>
      </c>
      <c r="AO146" s="43" t="str">
        <f>LEFT(Data_Geotech[[#This Row],[Joint Set Rating]],FIND("-",Data_Geotech[[#This Row],[Joint Set Rating]],1)-2)</f>
        <v>6</v>
      </c>
      <c r="AP14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0.7142857142857143</v>
      </c>
      <c r="AQ146" s="5">
        <f t="shared" si="0"/>
        <v>1</v>
      </c>
      <c r="AR146" s="49">
        <f>IF(Data_Geotech[[#This Row],[FIRS Code]]="R",IFERROR((IF(Data_Geotech[[#This Row],[RQD (%)]]&lt;10,10,Data_Geotech[[#This Row],[RQD (%)]])/Data_Geotech[[#This Row],[Jn rating]])*Data_Geotech[[#This Row],[Jr/Ja]],""),"")</f>
        <v>11.66902404526167</v>
      </c>
      <c r="AS146" s="45">
        <f>IF(Data_Geotech[[#This Row],[FIRS Code]]="R",IFERROR((IF(Data_Geotech[[#This Row],[RQD (%)]]&lt;10,10,Data_Geotech[[#This Row],[RQD (%)]])/Data_Geotech[[#This Row],[Jn rating]])*Data_Geotech[[#This Row],[Jr/Ja]]*Data_Geotech[[#This Row],[Jw/SRF]],""),"")</f>
        <v>11.66902404526167</v>
      </c>
      <c r="AT146" s="12"/>
      <c r="AU146" s="13">
        <f>100-Data_Geotech[[#This Row],[RQD (%)]]</f>
        <v>1.9801980198019749</v>
      </c>
      <c r="AV146" s="13">
        <f>100-Data_Geotech[[#This Row],[TCR (%)]]</f>
        <v>0</v>
      </c>
      <c r="AW146" s="62">
        <f>(Data_Geotech[[#This Row],[Fracture per interval]]+Data_Geotech[[#This Row],[Added fractures 
(BC, FLT, LC)]])/Data_Geotech[[#This Row],[TCR (m)]]</f>
        <v>3</v>
      </c>
      <c r="AX146" s="6" t="s">
        <v>109</v>
      </c>
      <c r="AY146" s="63">
        <f>7-MID(Data_Geotech[[#This Row],[Field Intact Rock Strength]],2,1)</f>
        <v>3</v>
      </c>
      <c r="AZ146" s="63">
        <f>VLOOKUP(Data_Geotech[[#This Row],[Field Intact Rock Strength]],Table_FieldStrength[],2,FALSE)</f>
        <v>50</v>
      </c>
      <c r="BA146" s="63">
        <f>VLOOKUP(Data_Geotech[[#This Row],[Field Intact Rock Strength]],Table_FieldStrength[],3,FALSE)</f>
        <v>75</v>
      </c>
      <c r="BB146" s="63">
        <f>VLOOKUP(Data_Geotech[[#This Row],[Field Intact Rock Strength]],Table_FieldStrength[],4,FALSE)</f>
        <v>100</v>
      </c>
      <c r="BC146" s="63">
        <f>100-Data_Geotech[[#This Row],[RMR76]]</f>
        <v>37.571428571428569</v>
      </c>
      <c r="BD146" s="63" t="str">
        <f>LEFT(Data_Geotech[[#This Row],[Weathering/Alteration]],FIND("-",Data_Geotech[[#This Row],[Weathering/Alteration]])-2)</f>
        <v>W2/A2</v>
      </c>
    </row>
    <row r="147" spans="1:56" hidden="1" x14ac:dyDescent="0.25">
      <c r="B147" s="16" t="e">
        <f>VLOOKUP(Data_Geotech[[#This Row],[Hole ID]],Data_Log[],2,FALSE)</f>
        <v>#N/A</v>
      </c>
      <c r="C147" s="5"/>
      <c r="D147" s="5"/>
      <c r="E147" s="5">
        <f>(Data_Geotech[[#This Row],[To (m)]]-Data_Geotech[[#This Row],[From (m)]])/2+Data_Geotech[[#This Row],[From (m)]]</f>
        <v>0</v>
      </c>
      <c r="F147" s="13">
        <f>Data_Geotech[[#This Row],[To (m)]]-Data_Geotech[[#This Row],[From (m)]]</f>
        <v>0</v>
      </c>
      <c r="G147" s="5"/>
      <c r="H147" s="61" t="e">
        <f>Data_Geotech[[#This Row],[TCR (m)]]/Data_Geotech[[#This Row],[Run (m)]]*100</f>
        <v>#DIV/0!</v>
      </c>
      <c r="I147" s="151"/>
      <c r="J147" s="151"/>
      <c r="K147" s="5"/>
      <c r="L147" s="61" t="e">
        <f>Data_Geotech[[#This Row],[RQD (m)]]/Data_Geotech[[#This Row],[Run Reel (m)]]*100</f>
        <v>#DIV/0!</v>
      </c>
      <c r="P147" s="115"/>
      <c r="Q147" s="5"/>
      <c r="R147" s="5"/>
      <c r="S147" s="5"/>
      <c r="T147" s="5"/>
      <c r="U147" s="5"/>
      <c r="V147" s="6"/>
      <c r="W147" s="92">
        <f>SUMIFS(Discontinuities!$D$4:$D$9664,Discontinuities!$A$4:$A$9664,A147,Discontinuities!$C$4:$C$9664,"&gt;="&amp;C147,Discontinuities!$C$4:$C$9664,"&lt;"&amp;D147)
-SUMIFS(Discontinuities!$D$4:$D$9664,Discontinuities!$A$4:$A$9664,A147,Discontinuities!$C$4:$C$9664,"&gt;="&amp;C147,Discontinuities!$C$4:$C$9664,"&lt;"&amp;D147,Discontinuities!$E$4:$E$9664,"=BC")
-SUMIFS(Discontinuities!$D$4:$D$9664,Discontinuities!$A$4:$A$9664,A147,Discontinuities!$C$4:$C$9664,"&gt;="&amp;C147,Discontinuities!$C$4:$C$9664,"&lt;"&amp;D147,Discontinuities!$E$4:$E$9664,"=LC")
-SUMIFS(Discontinuities!$D$4:$D$9664,Discontinuities!$A$4:$A$9664,A147,Discontinuities!$C$4:$C$9664,"&gt;="&amp;C147,Discontinuities!$C$4:$C$9664,"&lt;"&amp;D147,Discontinuities!$E$4:$E$9664,"=FLT")</f>
        <v>0</v>
      </c>
      <c r="AA147" s="12"/>
      <c r="AB147" s="43">
        <f>IFERROR(ROUND((Data_Geotech[[#This Row],[Fault (m)]]+Data_Geotech[[#This Row],[Broken Core (m)]]+Data_Geotech[[#This Row],[Lost Core (m)]])*30,0),0)</f>
        <v>0</v>
      </c>
      <c r="AC147" s="44">
        <f>IF(Data_Geotech[[#This Row],[Added fractures 
(BC, FLT, LC)]]+Data_Geotech[[#This Row],[Fracture per interval]]=0,99,1/((Data_Geotech[[#This Row],[Fracture per interval]]+Data_Geotech[[#This Row],[Added fractures 
(BC, FLT, LC)]])/Data_Geotech[[#This Row],[Run (m)]]))</f>
        <v>99</v>
      </c>
      <c r="AD147" s="155" t="str" cm="1">
        <f t="array" ref="AD147">IFERROR(_xlfn.XLOOKUP(1,(A147=PLT!$A$4:$A$8886)*(Geotech!C147&lt;=PLT!$F$4:$F$8886)*(Geotech!D147&gt;=PLT!$F$4:$F$8886)*("Valid"=PLT!$P$4:$P$8886),PLT!$V$4:$V$8886),"")</f>
        <v/>
      </c>
      <c r="AE147" s="156" t="str" cm="1">
        <f t="array" ref="AE147">IFERROR(_xlfn.XLOOKUP(1,(A147=PLT!$A$4:$A$8886)*(Geotech!C147&lt;=PLT!$F$4:$F$8886)*(Geotech!D147&gt;=PLT!$F$4:$F$8886)*(PLT!$V$4:$V$8886&lt;&gt;AD147)*("Valid"=PLT!$P$4:$P$7190),PLT!$V$4:$V$8886),"")</f>
        <v/>
      </c>
      <c r="AF147" s="156" t="str" cm="1">
        <f t="array" ref="AF147">IFERROR(_xlfn.XLOOKUP(1,(A147=PLT!$A$4:$A$8886)*(Geotech!C147&lt;=PLT!$F$4:$F$8886)*(Geotech!D147&gt;=PLT!$F$4:$F$8886)*(PLT!$V$4:$V$8886&lt;&gt;AD147)*(PLT!$V$4:$V$8886&lt;&gt;AE147)*("Valid"=PLT!$P$4:$P$7190),PLT!$V$4:$V$8886),"")</f>
        <v/>
      </c>
      <c r="AG147" s="44" t="str">
        <f>IFERROR(IF(AVERAGE(AD147:AF147)&gt;References!$BO$23,References!$BP$23,
IF(AVERAGE(AD147:AF147)&gt;References!$BO$22,References!$BP$22,
IF(AVERAGE(AD147:AF147)&gt;References!$BO$21,References!$BP$21,
IF(AVERAGE(AD147:AF147)&gt;References!$BO$20,References!$BP$20,
IF(AVERAGE(AD147:AF147)&gt;References!$BO$19,References!$BP$19,
IF(AVERAGE(AD147:AF147)&gt;References!$BO$18,References!$BP$18,
0)))))),"")</f>
        <v/>
      </c>
      <c r="AH147" s="43" t="e">
        <f>IF(Data_Geotech[[#This Row],[Is50]]="",VLOOKUP(Data_Geotech[[#This Row],[Field Intact Rock Strength]],Table_RMR76_Strength[],2,FALSE),Data_Geotech[[#This Row],[Is50]])</f>
        <v>#N/A</v>
      </c>
      <c r="AI147" s="43" t="e">
        <f>IF(Data_Geotech[[#This Row],[RQD (%)]]&lt;=25,3,IF(Data_Geotech[[#This Row],[RQD (%)]]&lt;=50,8,IF(Data_Geotech[[#This Row],[RQD (%)]]&lt;=75,13,IF(Data_Geotech[[#This Row],[RQD (%)]]&lt;=90,17,20))))</f>
        <v>#DIV/0!</v>
      </c>
      <c r="AJ147" s="43">
        <f>IF(Data_Geotech[[#This Row],[Joint spacing (m)]]&lt;=0.05,5,IF(Data_Geotech[[#This Row],[Joint spacing (m)]]&lt;=0.3,10,IF(Data_Geotech[[#This Row],[Joint spacing (m)]]&lt;=1,20,IF(Data_Geotech[[#This Row],[Joint spacing (m)]]&lt;=3,25,30))))</f>
        <v>30</v>
      </c>
      <c r="AK14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47" s="6">
        <v>10</v>
      </c>
      <c r="AM147" s="117" t="str">
        <f>IF(Data_Geotech[[#This Row],[FIRS Code]]="R",IFERROR(SUM(Data_Geotech[[#This Row],[RMR76 - Strength rating]:[RMR76 - Ground water rating]]),""),"")</f>
        <v/>
      </c>
      <c r="AN147" s="39" t="e">
        <f>IF(Data_Geotech[[#This Row],[FIRS Code]]="R",(2*Data_Geotech[[#This Row],[RMR76 - Joint condition rating]])+(IF(Data_Geotech[[#This Row],[RQD (%)]]&gt;80,80/2,Data_Geotech[[#This Row],[RQD (%)]]/2)),"")</f>
        <v>#DIV/0!</v>
      </c>
      <c r="AO147" s="43" t="e">
        <f>LEFT(Data_Geotech[[#This Row],[Joint Set Rating]],FIND("-",Data_Geotech[[#This Row],[Joint Set Rating]],1)-2)</f>
        <v>#VALUE!</v>
      </c>
      <c r="AP14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47" s="5">
        <f t="shared" si="0"/>
        <v>1</v>
      </c>
      <c r="AR147" s="49" t="str">
        <f>IF(Data_Geotech[[#This Row],[FIRS Code]]="R",IFERROR((IF(Data_Geotech[[#This Row],[RQD (%)]]&lt;10,10,Data_Geotech[[#This Row],[RQD (%)]])/Data_Geotech[[#This Row],[Jn rating]])*Data_Geotech[[#This Row],[Jr/Ja]],""),"")</f>
        <v/>
      </c>
      <c r="AS147" s="45" t="str">
        <f>IF(Data_Geotech[[#This Row],[FIRS Code]]="R",IFERROR((IF(Data_Geotech[[#This Row],[RQD (%)]]&lt;10,10,Data_Geotech[[#This Row],[RQD (%)]])/Data_Geotech[[#This Row],[Jn rating]])*Data_Geotech[[#This Row],[Jr/Ja]]*Data_Geotech[[#This Row],[Jw/SRF]],""),"")</f>
        <v/>
      </c>
      <c r="AT147" s="12"/>
      <c r="AU147" s="13" t="e">
        <f>100-Data_Geotech[[#This Row],[RQD (%)]]</f>
        <v>#DIV/0!</v>
      </c>
      <c r="AV147" s="13" t="e">
        <f>100-Data_Geotech[[#This Row],[TCR (%)]]</f>
        <v>#DIV/0!</v>
      </c>
      <c r="AW147" s="62" t="e">
        <f>(Data_Geotech[[#This Row],[Fracture per interval]]+Data_Geotech[[#This Row],[Added fractures 
(BC, FLT, LC)]])/Data_Geotech[[#This Row],[TCR (m)]]</f>
        <v>#DIV/0!</v>
      </c>
      <c r="AX147" s="6" t="s">
        <v>109</v>
      </c>
      <c r="AY147" s="63" t="e">
        <f>7-MID(Data_Geotech[[#This Row],[Field Intact Rock Strength]],2,1)</f>
        <v>#VALUE!</v>
      </c>
      <c r="AZ147" s="63" t="e">
        <f>VLOOKUP(Data_Geotech[[#This Row],[Field Intact Rock Strength]],Table_FieldStrength[],2,FALSE)</f>
        <v>#N/A</v>
      </c>
      <c r="BA147" s="63" t="e">
        <f>VLOOKUP(Data_Geotech[[#This Row],[Field Intact Rock Strength]],Table_FieldStrength[],3,FALSE)</f>
        <v>#N/A</v>
      </c>
      <c r="BB147" s="63" t="e">
        <f>VLOOKUP(Data_Geotech[[#This Row],[Field Intact Rock Strength]],Table_FieldStrength[],4,FALSE)</f>
        <v>#N/A</v>
      </c>
      <c r="BC147" s="63" t="e">
        <f>100-Data_Geotech[[#This Row],[RMR76]]</f>
        <v>#VALUE!</v>
      </c>
      <c r="BD147" s="63" t="e">
        <f>LEFT(Data_Geotech[[#This Row],[Weathering/Alteration]],FIND("-",Data_Geotech[[#This Row],[Weathering/Alteration]])-2)</f>
        <v>#VALUE!</v>
      </c>
    </row>
    <row r="148" spans="1:56" s="91" customFormat="1" hidden="1" x14ac:dyDescent="0.25">
      <c r="A148" s="91" t="s">
        <v>34</v>
      </c>
      <c r="B148" s="167" t="str">
        <f>VLOOKUP(Data_Geotech[[#This Row],[Hole ID]],Data_Log[],2,FALSE)</f>
        <v>CGF-04</v>
      </c>
      <c r="C148" s="155">
        <v>20</v>
      </c>
      <c r="D148" s="155">
        <v>20.95</v>
      </c>
      <c r="E148" s="155">
        <f>(Data_Geotech[[#This Row],[To (m)]]-Data_Geotech[[#This Row],[From (m)]])/2+Data_Geotech[[#This Row],[From (m)]]</f>
        <v>20.475000000000001</v>
      </c>
      <c r="F148" s="155">
        <f>Data_Geotech[[#This Row],[To (m)]]-Data_Geotech[[#This Row],[From (m)]]</f>
        <v>0.94999999999999929</v>
      </c>
      <c r="G148" s="155">
        <v>0.95</v>
      </c>
      <c r="H148" s="168">
        <f>Data_Geotech[[#This Row],[TCR (m)]]/Data_Geotech[[#This Row],[Run (m)]]*100</f>
        <v>100.00000000000007</v>
      </c>
      <c r="I148" s="168">
        <v>0.95</v>
      </c>
      <c r="J148" s="168">
        <v>0.95</v>
      </c>
      <c r="K148" s="155">
        <v>0.95</v>
      </c>
      <c r="L148" s="168">
        <f>Data_Geotech[[#This Row],[RQD (m)]]/Data_Geotech[[#This Row],[Run Reel (m)]]*100</f>
        <v>100</v>
      </c>
      <c r="M148" s="91" t="s">
        <v>584</v>
      </c>
      <c r="O148" s="91" t="s">
        <v>243</v>
      </c>
      <c r="P148" s="169" t="s">
        <v>397</v>
      </c>
      <c r="Q148" s="155" t="s">
        <v>281</v>
      </c>
      <c r="R148" s="155"/>
      <c r="S148" s="155"/>
      <c r="T148" s="155"/>
      <c r="U148" s="155"/>
      <c r="V148" s="148">
        <v>2</v>
      </c>
      <c r="W148" s="170">
        <f>SUMIFS(Discontinuities!$D$4:$D$9664,Discontinuities!$A$4:$A$9664,A148,Discontinuities!$C$4:$C$9664,"&gt;="&amp;C148,Discontinuities!$C$4:$C$9664,"&lt;"&amp;D148)
-SUMIFS(Discontinuities!$D$4:$D$9664,Discontinuities!$A$4:$A$9664,A148,Discontinuities!$C$4:$C$9664,"&gt;="&amp;C148,Discontinuities!$C$4:$C$9664,"&lt;"&amp;D148,Discontinuities!$E$4:$E$9664,"=BC")
-SUMIFS(Discontinuities!$D$4:$D$9664,Discontinuities!$A$4:$A$9664,A148,Discontinuities!$C$4:$C$9664,"&gt;="&amp;C148,Discontinuities!$C$4:$C$9664,"&lt;"&amp;D148,Discontinuities!$E$4:$E$9664,"=LC")
-SUMIFS(Discontinuities!$D$4:$D$9664,Discontinuities!$A$4:$A$9664,A148,Discontinuities!$C$4:$C$9664,"&gt;="&amp;C148,Discontinuities!$C$4:$C$9664,"&lt;"&amp;D148,Discontinuities!$E$4:$E$9664,"=FLT")</f>
        <v>2</v>
      </c>
      <c r="X148" s="91" t="s">
        <v>312</v>
      </c>
      <c r="Y148" s="148"/>
      <c r="AB148" s="171">
        <f>IFERROR(ROUND((Data_Geotech[[#This Row],[Fault (m)]]+Data_Geotech[[#This Row],[Broken Core (m)]]+Data_Geotech[[#This Row],[Lost Core (m)]])*30,0),0)</f>
        <v>0</v>
      </c>
      <c r="AC148" s="172">
        <f>IF(Data_Geotech[[#This Row],[Added fractures 
(BC, FLT, LC)]]+Data_Geotech[[#This Row],[Fracture per interval]]=0,99,1/((Data_Geotech[[#This Row],[Fracture per interval]]+Data_Geotech[[#This Row],[Added fractures 
(BC, FLT, LC)]])/Data_Geotech[[#This Row],[Run (m)]]))</f>
        <v>0.47499999999999964</v>
      </c>
      <c r="AD148" s="155" t="str" cm="1">
        <f t="array" ref="AD148">IFERROR(_xlfn.XLOOKUP(1,(A148=PLT!$A$4:$A$8886)*(Geotech!C148&lt;=PLT!$F$4:$F$8886)*(Geotech!D148&gt;=PLT!$F$4:$F$8886)*("Valid"=PLT!$P$4:$P$8886),PLT!$V$4:$V$8886),"")</f>
        <v/>
      </c>
      <c r="AE148" s="156" t="str" cm="1">
        <f t="array" ref="AE148">IFERROR(_xlfn.XLOOKUP(1,(A148=PLT!$A$4:$A$8886)*(Geotech!C148&lt;=PLT!$F$4:$F$8886)*(Geotech!D148&gt;=PLT!$F$4:$F$8886)*(PLT!$V$4:$V$8886&lt;&gt;AD148)*("Valid"=PLT!$P$4:$P$7190),PLT!$V$4:$V$8886),"")</f>
        <v/>
      </c>
      <c r="AF148" s="156" t="str" cm="1">
        <f t="array" ref="AF148">IFERROR(_xlfn.XLOOKUP(1,(A148=PLT!$A$4:$A$8886)*(Geotech!C148&lt;=PLT!$F$4:$F$8886)*(Geotech!D148&gt;=PLT!$F$4:$F$8886)*(PLT!$V$4:$V$8886&lt;&gt;AD148)*(PLT!$V$4:$V$8886&lt;&gt;AE148)*("Valid"=PLT!$P$4:$P$7190),PLT!$V$4:$V$8886),"")</f>
        <v/>
      </c>
      <c r="AG148" s="172" t="str">
        <f>IFERROR(IF(AVERAGE(AD148:AF148)&gt;References!$BO$23,References!$BP$23,
IF(AVERAGE(AD148:AF148)&gt;References!$BO$22,References!$BP$22,
IF(AVERAGE(AD148:AF148)&gt;References!$BO$21,References!$BP$21,
IF(AVERAGE(AD148:AF148)&gt;References!$BO$20,References!$BP$20,
IF(AVERAGE(AD148:AF148)&gt;References!$BO$19,References!$BP$19,
IF(AVERAGE(AD148:AF148)&gt;References!$BO$18,References!$BP$18,
0)))))),"")</f>
        <v/>
      </c>
      <c r="AH148" s="171">
        <f>IF(Data_Geotech[[#This Row],[Is50]]="",VLOOKUP(Data_Geotech[[#This Row],[Field Intact Rock Strength]],Table_RMR76_Strength[],2,FALSE),Data_Geotech[[#This Row],[Is50]])</f>
        <v>12</v>
      </c>
      <c r="AI148" s="171">
        <f>IF(Data_Geotech[[#This Row],[RQD (%)]]&lt;=25,3,IF(Data_Geotech[[#This Row],[RQD (%)]]&lt;=50,8,IF(Data_Geotech[[#This Row],[RQD (%)]]&lt;=75,13,IF(Data_Geotech[[#This Row],[RQD (%)]]&lt;=90,17,20))))</f>
        <v>20</v>
      </c>
      <c r="AJ148" s="171">
        <f>IF(Data_Geotech[[#This Row],[Joint spacing (m)]]&lt;=0.05,5,IF(Data_Geotech[[#This Row],[Joint spacing (m)]]&lt;=0.3,10,IF(Data_Geotech[[#This Row],[Joint spacing (m)]]&lt;=1,20,IF(Data_Geotech[[#This Row],[Joint spacing (m)]]&lt;=3,25,30))))</f>
        <v>20</v>
      </c>
      <c r="AK148"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48" s="148">
        <v>10</v>
      </c>
      <c r="AM148" s="173">
        <f>IF(Data_Geotech[[#This Row],[FIRS Code]]="R",IFERROR(SUM(Data_Geotech[[#This Row],[RMR76 - Strength rating]:[RMR76 - Ground water rating]]),""),"")</f>
        <v>87</v>
      </c>
      <c r="AN148" s="174">
        <f>IF(Data_Geotech[[#This Row],[FIRS Code]]="R",(2*Data_Geotech[[#This Row],[RMR76 - Joint condition rating]])+(IF(Data_Geotech[[#This Row],[RQD (%)]]&gt;80,80/2,Data_Geotech[[#This Row],[RQD (%)]]/2)),"")</f>
        <v>90</v>
      </c>
      <c r="AO148" s="171" t="str">
        <f>LEFT(Data_Geotech[[#This Row],[Joint Set Rating]],FIND("-",Data_Geotech[[#This Row],[Joint Set Rating]],1)-2)</f>
        <v>2</v>
      </c>
      <c r="AP148"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148" s="155">
        <f t="shared" si="0"/>
        <v>1</v>
      </c>
      <c r="AR148" s="175">
        <f>IF(Data_Geotech[[#This Row],[FIRS Code]]="R",IFERROR((IF(Data_Geotech[[#This Row],[RQD (%)]]&lt;10,10,Data_Geotech[[#This Row],[RQD (%)]])/Data_Geotech[[#This Row],[Jn rating]])*Data_Geotech[[#This Row],[Jr/Ja]],""),"")</f>
        <v>75</v>
      </c>
      <c r="AS148" s="176">
        <f>IF(Data_Geotech[[#This Row],[FIRS Code]]="R",IFERROR((IF(Data_Geotech[[#This Row],[RQD (%)]]&lt;10,10,Data_Geotech[[#This Row],[RQD (%)]])/Data_Geotech[[#This Row],[Jn rating]])*Data_Geotech[[#This Row],[Jr/Ja]]*Data_Geotech[[#This Row],[Jw/SRF]],""),"")</f>
        <v>75</v>
      </c>
      <c r="AU148" s="155">
        <f>100-Data_Geotech[[#This Row],[RQD (%)]]</f>
        <v>0</v>
      </c>
      <c r="AV148" s="155">
        <f>100-Data_Geotech[[#This Row],[TCR (%)]]</f>
        <v>0</v>
      </c>
      <c r="AW148" s="170">
        <f>(Data_Geotech[[#This Row],[Fracture per interval]]+Data_Geotech[[#This Row],[Added fractures 
(BC, FLT, LC)]])/Data_Geotech[[#This Row],[TCR (m)]]</f>
        <v>2.1052631578947367</v>
      </c>
      <c r="AX148" s="148" t="s">
        <v>109</v>
      </c>
      <c r="AY148" s="148">
        <f>7-MID(Data_Geotech[[#This Row],[Field Intact Rock Strength]],2,1)</f>
        <v>2</v>
      </c>
      <c r="AZ148" s="148">
        <f>VLOOKUP(Data_Geotech[[#This Row],[Field Intact Rock Strength]],Table_FieldStrength[],2,FALSE)</f>
        <v>100</v>
      </c>
      <c r="BA148" s="148">
        <f>VLOOKUP(Data_Geotech[[#This Row],[Field Intact Rock Strength]],Table_FieldStrength[],3,FALSE)</f>
        <v>175</v>
      </c>
      <c r="BB148" s="148">
        <f>VLOOKUP(Data_Geotech[[#This Row],[Field Intact Rock Strength]],Table_FieldStrength[],4,FALSE)</f>
        <v>250</v>
      </c>
      <c r="BC148" s="148">
        <f>100-Data_Geotech[[#This Row],[RMR76]]</f>
        <v>13</v>
      </c>
      <c r="BD148" s="148" t="str">
        <f>LEFT(Data_Geotech[[#This Row],[Weathering/Alteration]],FIND("-",Data_Geotech[[#This Row],[Weathering/Alteration]])-2)</f>
        <v>W1/A1</v>
      </c>
    </row>
    <row r="149" spans="1:56" hidden="1" x14ac:dyDescent="0.25">
      <c r="A149" t="s">
        <v>34</v>
      </c>
      <c r="B149" s="16" t="str">
        <f>VLOOKUP(Data_Geotech[[#This Row],[Hole ID]],Data_Log[],2,FALSE)</f>
        <v>CGF-04</v>
      </c>
      <c r="C149" s="5">
        <v>20.95</v>
      </c>
      <c r="D149" s="5">
        <v>24</v>
      </c>
      <c r="E149" s="5">
        <f>(Data_Geotech[[#This Row],[To (m)]]-Data_Geotech[[#This Row],[From (m)]])/2+Data_Geotech[[#This Row],[From (m)]]</f>
        <v>22.475000000000001</v>
      </c>
      <c r="F149" s="13">
        <f>Data_Geotech[[#This Row],[To (m)]]-Data_Geotech[[#This Row],[From (m)]]</f>
        <v>3.0500000000000007</v>
      </c>
      <c r="G149" s="5">
        <v>3.05</v>
      </c>
      <c r="H149" s="61">
        <f>Data_Geotech[[#This Row],[TCR (m)]]/Data_Geotech[[#This Row],[Run (m)]]*100</f>
        <v>99.999999999999972</v>
      </c>
      <c r="I149" s="151">
        <v>3.05</v>
      </c>
      <c r="J149" s="151">
        <v>3.05</v>
      </c>
      <c r="K149" s="5"/>
      <c r="L149" s="61">
        <f>Data_Geotech[[#This Row],[RQD (m)]]/Data_Geotech[[#This Row],[Run Reel (m)]]*100</f>
        <v>0</v>
      </c>
      <c r="M149" t="s">
        <v>584</v>
      </c>
      <c r="O149" t="s">
        <v>243</v>
      </c>
      <c r="P149" s="115" t="s">
        <v>397</v>
      </c>
      <c r="Q149" s="5" t="s">
        <v>281</v>
      </c>
      <c r="R149" s="5"/>
      <c r="S149" s="5"/>
      <c r="T149" s="5"/>
      <c r="U149" s="5"/>
      <c r="V149" s="6">
        <v>4</v>
      </c>
      <c r="W149" s="92">
        <f>SUMIFS(Discontinuities!$D$4:$D$9664,Discontinuities!$A$4:$A$9664,A149,Discontinuities!$C$4:$C$9664,"&gt;="&amp;C149,Discontinuities!$C$4:$C$9664,"&lt;"&amp;D149)
-SUMIFS(Discontinuities!$D$4:$D$9664,Discontinuities!$A$4:$A$9664,A149,Discontinuities!$C$4:$C$9664,"&gt;="&amp;C149,Discontinuities!$C$4:$C$9664,"&lt;"&amp;D149,Discontinuities!$E$4:$E$9664,"=BC")
-SUMIFS(Discontinuities!$D$4:$D$9664,Discontinuities!$A$4:$A$9664,A149,Discontinuities!$C$4:$C$9664,"&gt;="&amp;C149,Discontinuities!$C$4:$C$9664,"&lt;"&amp;D149,Discontinuities!$E$4:$E$9664,"=LC")
-SUMIFS(Discontinuities!$D$4:$D$9664,Discontinuities!$A$4:$A$9664,A149,Discontinuities!$C$4:$C$9664,"&gt;="&amp;C149,Discontinuities!$C$4:$C$9664,"&lt;"&amp;D149,Discontinuities!$E$4:$E$9664,"=FLT")</f>
        <v>4</v>
      </c>
      <c r="X149" t="s">
        <v>312</v>
      </c>
      <c r="AA149" s="12"/>
      <c r="AB149" s="43">
        <f>IFERROR(ROUND((Data_Geotech[[#This Row],[Fault (m)]]+Data_Geotech[[#This Row],[Broken Core (m)]]+Data_Geotech[[#This Row],[Lost Core (m)]])*30,0),0)</f>
        <v>0</v>
      </c>
      <c r="AC149" s="44">
        <f>IF(Data_Geotech[[#This Row],[Added fractures 
(BC, FLT, LC)]]+Data_Geotech[[#This Row],[Fracture per interval]]=0,99,1/((Data_Geotech[[#This Row],[Fracture per interval]]+Data_Geotech[[#This Row],[Added fractures 
(BC, FLT, LC)]])/Data_Geotech[[#This Row],[Run (m)]]))</f>
        <v>0.76250000000000018</v>
      </c>
      <c r="AD149" s="155" cm="1">
        <f t="array" ref="AD149">IFERROR(_xlfn.XLOOKUP(1,(A149=PLT!$A$4:$A$8886)*(Geotech!C149&lt;=PLT!$F$4:$F$8886)*(Geotech!D149&gt;=PLT!$F$4:$F$8886)*("Valid"=PLT!$P$4:$P$8886),PLT!$V$4:$V$8886),"")</f>
        <v>0</v>
      </c>
      <c r="AE149" s="156" t="str" cm="1">
        <f t="array" ref="AE149">IFERROR(_xlfn.XLOOKUP(1,(A149=PLT!$A$4:$A$8886)*(Geotech!C149&lt;=PLT!$F$4:$F$8886)*(Geotech!D149&gt;=PLT!$F$4:$F$8886)*(PLT!$V$4:$V$8886&lt;&gt;AD149)*("Valid"=PLT!$P$4:$P$7190),PLT!$V$4:$V$8886),"")</f>
        <v/>
      </c>
      <c r="AF149" s="156" t="str" cm="1">
        <f t="array" ref="AF149">IFERROR(_xlfn.XLOOKUP(1,(A149=PLT!$A$4:$A$8886)*(Geotech!C149&lt;=PLT!$F$4:$F$8886)*(Geotech!D149&gt;=PLT!$F$4:$F$8886)*(PLT!$V$4:$V$8886&lt;&gt;AD149)*(PLT!$V$4:$V$8886&lt;&gt;AE149)*("Valid"=PLT!$P$4:$P$7190),PLT!$V$4:$V$8886),"")</f>
        <v/>
      </c>
      <c r="AG149" s="44">
        <f>IFERROR(IF(AVERAGE(AD149:AF149)&gt;References!$BO$23,References!$BP$23,
IF(AVERAGE(AD149:AF149)&gt;References!$BO$22,References!$BP$22,
IF(AVERAGE(AD149:AF149)&gt;References!$BO$21,References!$BP$21,
IF(AVERAGE(AD149:AF149)&gt;References!$BO$20,References!$BP$20,
IF(AVERAGE(AD149:AF149)&gt;References!$BO$19,References!$BP$19,
IF(AVERAGE(AD149:AF149)&gt;References!$BO$18,References!$BP$18,
0)))))),"")</f>
        <v>0</v>
      </c>
      <c r="AH149" s="43">
        <f>IF(Data_Geotech[[#This Row],[Is50]]="",VLOOKUP(Data_Geotech[[#This Row],[Field Intact Rock Strength]],Table_RMR76_Strength[],2,FALSE),Data_Geotech[[#This Row],[Is50]])</f>
        <v>0</v>
      </c>
      <c r="AI149" s="43">
        <f>IF(Data_Geotech[[#This Row],[RQD (%)]]&lt;=25,3,IF(Data_Geotech[[#This Row],[RQD (%)]]&lt;=50,8,IF(Data_Geotech[[#This Row],[RQD (%)]]&lt;=75,13,IF(Data_Geotech[[#This Row],[RQD (%)]]&lt;=90,17,20))))</f>
        <v>3</v>
      </c>
      <c r="AJ149" s="43">
        <f>IF(Data_Geotech[[#This Row],[Joint spacing (m)]]&lt;=0.05,5,IF(Data_Geotech[[#This Row],[Joint spacing (m)]]&lt;=0.3,10,IF(Data_Geotech[[#This Row],[Joint spacing (m)]]&lt;=1,20,IF(Data_Geotech[[#This Row],[Joint spacing (m)]]&lt;=3,25,30))))</f>
        <v>20</v>
      </c>
      <c r="AK14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v>
      </c>
      <c r="AL149" s="6">
        <v>10</v>
      </c>
      <c r="AM149" s="117">
        <f>IF(Data_Geotech[[#This Row],[FIRS Code]]="R",IFERROR(SUM(Data_Geotech[[#This Row],[RMR76 - Strength rating]:[RMR76 - Ground water rating]]),""),"")</f>
        <v>51</v>
      </c>
      <c r="AN149" s="39">
        <f>IF(Data_Geotech[[#This Row],[FIRS Code]]="R",(2*Data_Geotech[[#This Row],[RMR76 - Joint condition rating]])+(IF(Data_Geotech[[#This Row],[RQD (%)]]&gt;80,80/2,Data_Geotech[[#This Row],[RQD (%)]]/2)),"")</f>
        <v>36</v>
      </c>
      <c r="AO149" s="43" t="str">
        <f>LEFT(Data_Geotech[[#This Row],[Joint Set Rating]],FIND("-",Data_Geotech[[#This Row],[Joint Set Rating]],1)-2)</f>
        <v>2</v>
      </c>
      <c r="AP14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1.125</v>
      </c>
      <c r="AQ149" s="5">
        <f t="shared" si="0"/>
        <v>1</v>
      </c>
      <c r="AR149" s="49">
        <f>IF(Data_Geotech[[#This Row],[FIRS Code]]="R",IFERROR((IF(Data_Geotech[[#This Row],[RQD (%)]]&lt;10,10,Data_Geotech[[#This Row],[RQD (%)]])/Data_Geotech[[#This Row],[Jn rating]])*Data_Geotech[[#This Row],[Jr/Ja]],""),"")</f>
        <v>5.625</v>
      </c>
      <c r="AS149" s="45">
        <f>IF(Data_Geotech[[#This Row],[FIRS Code]]="R",IFERROR((IF(Data_Geotech[[#This Row],[RQD (%)]]&lt;10,10,Data_Geotech[[#This Row],[RQD (%)]])/Data_Geotech[[#This Row],[Jn rating]])*Data_Geotech[[#This Row],[Jr/Ja]]*Data_Geotech[[#This Row],[Jw/SRF]],""),"")</f>
        <v>5.625</v>
      </c>
      <c r="AT149" s="12"/>
      <c r="AU149" s="13">
        <f>100-Data_Geotech[[#This Row],[RQD (%)]]</f>
        <v>100</v>
      </c>
      <c r="AV149" s="13">
        <f>100-Data_Geotech[[#This Row],[TCR (%)]]</f>
        <v>0</v>
      </c>
      <c r="AW149" s="62">
        <f>(Data_Geotech[[#This Row],[Fracture per interval]]+Data_Geotech[[#This Row],[Added fractures 
(BC, FLT, LC)]])/Data_Geotech[[#This Row],[TCR (m)]]</f>
        <v>1.3114754098360657</v>
      </c>
      <c r="AX149" s="6" t="s">
        <v>109</v>
      </c>
      <c r="AY149" s="63">
        <f>7-MID(Data_Geotech[[#This Row],[Field Intact Rock Strength]],2,1)</f>
        <v>2</v>
      </c>
      <c r="AZ149" s="63">
        <f>VLOOKUP(Data_Geotech[[#This Row],[Field Intact Rock Strength]],Table_FieldStrength[],2,FALSE)</f>
        <v>100</v>
      </c>
      <c r="BA149" s="63">
        <f>VLOOKUP(Data_Geotech[[#This Row],[Field Intact Rock Strength]],Table_FieldStrength[],3,FALSE)</f>
        <v>175</v>
      </c>
      <c r="BB149" s="63">
        <f>VLOOKUP(Data_Geotech[[#This Row],[Field Intact Rock Strength]],Table_FieldStrength[],4,FALSE)</f>
        <v>250</v>
      </c>
      <c r="BC149" s="63">
        <f>100-Data_Geotech[[#This Row],[RMR76]]</f>
        <v>49</v>
      </c>
      <c r="BD149" s="63" t="str">
        <f>LEFT(Data_Geotech[[#This Row],[Weathering/Alteration]],FIND("-",Data_Geotech[[#This Row],[Weathering/Alteration]])-2)</f>
        <v>W1/A1</v>
      </c>
    </row>
    <row r="150" spans="1:56" hidden="1" x14ac:dyDescent="0.25">
      <c r="A150" t="s">
        <v>34</v>
      </c>
      <c r="B150" s="16" t="str">
        <f>VLOOKUP(Data_Geotech[[#This Row],[Hole ID]],Data_Log[],2,FALSE)</f>
        <v>CGF-04</v>
      </c>
      <c r="C150" s="5">
        <v>24</v>
      </c>
      <c r="D150" s="5">
        <v>27</v>
      </c>
      <c r="E150" s="5">
        <f>(Data_Geotech[[#This Row],[To (m)]]-Data_Geotech[[#This Row],[From (m)]])/2+Data_Geotech[[#This Row],[From (m)]]</f>
        <v>25.5</v>
      </c>
      <c r="F150" s="13">
        <f>Data_Geotech[[#This Row],[To (m)]]-Data_Geotech[[#This Row],[From (m)]]</f>
        <v>3</v>
      </c>
      <c r="G150" s="5">
        <v>3</v>
      </c>
      <c r="H150" s="61">
        <f>Data_Geotech[[#This Row],[TCR (m)]]/Data_Geotech[[#This Row],[Run (m)]]*100</f>
        <v>100</v>
      </c>
      <c r="I150" s="151">
        <v>3</v>
      </c>
      <c r="J150" s="151">
        <v>3</v>
      </c>
      <c r="K150" s="5">
        <v>3</v>
      </c>
      <c r="L150" s="61">
        <f>Data_Geotech[[#This Row],[RQD (m)]]/Data_Geotech[[#This Row],[Run Reel (m)]]*100</f>
        <v>100</v>
      </c>
      <c r="M150" t="s">
        <v>584</v>
      </c>
      <c r="O150" t="s">
        <v>243</v>
      </c>
      <c r="P150" s="115" t="s">
        <v>397</v>
      </c>
      <c r="Q150" s="5" t="s">
        <v>281</v>
      </c>
      <c r="R150" s="5"/>
      <c r="S150" s="5"/>
      <c r="T150" s="5"/>
      <c r="U150" s="5"/>
      <c r="V150" s="6">
        <v>3</v>
      </c>
      <c r="W150" s="92">
        <f>SUMIFS(Discontinuities!$D$4:$D$9664,Discontinuities!$A$4:$A$9664,A150,Discontinuities!$C$4:$C$9664,"&gt;="&amp;C150,Discontinuities!$C$4:$C$9664,"&lt;"&amp;D150)
-SUMIFS(Discontinuities!$D$4:$D$9664,Discontinuities!$A$4:$A$9664,A150,Discontinuities!$C$4:$C$9664,"&gt;="&amp;C150,Discontinuities!$C$4:$C$9664,"&lt;"&amp;D150,Discontinuities!$E$4:$E$9664,"=BC")
-SUMIFS(Discontinuities!$D$4:$D$9664,Discontinuities!$A$4:$A$9664,A150,Discontinuities!$C$4:$C$9664,"&gt;="&amp;C150,Discontinuities!$C$4:$C$9664,"&lt;"&amp;D150,Discontinuities!$E$4:$E$9664,"=LC")
-SUMIFS(Discontinuities!$D$4:$D$9664,Discontinuities!$A$4:$A$9664,A150,Discontinuities!$C$4:$C$9664,"&gt;="&amp;C150,Discontinuities!$C$4:$C$9664,"&lt;"&amp;D150,Discontinuities!$E$4:$E$9664,"=FLT")</f>
        <v>3</v>
      </c>
      <c r="X150" t="s">
        <v>312</v>
      </c>
      <c r="AA150" s="12"/>
      <c r="AB150" s="43">
        <f>IFERROR(ROUND((Data_Geotech[[#This Row],[Fault (m)]]+Data_Geotech[[#This Row],[Broken Core (m)]]+Data_Geotech[[#This Row],[Lost Core (m)]])*30,0),0)</f>
        <v>0</v>
      </c>
      <c r="AC150" s="44">
        <f>IF(Data_Geotech[[#This Row],[Added fractures 
(BC, FLT, LC)]]+Data_Geotech[[#This Row],[Fracture per interval]]=0,99,1/((Data_Geotech[[#This Row],[Fracture per interval]]+Data_Geotech[[#This Row],[Added fractures 
(BC, FLT, LC)]])/Data_Geotech[[#This Row],[Run (m)]]))</f>
        <v>1</v>
      </c>
      <c r="AD150" s="155" cm="1">
        <f t="array" ref="AD150">IFERROR(_xlfn.XLOOKUP(1,(A150=PLT!$A$4:$A$8886)*(Geotech!C150&lt;=PLT!$F$4:$F$8886)*(Geotech!D150&gt;=PLT!$F$4:$F$8886)*("Valid"=PLT!$P$4:$P$8886),PLT!$V$4:$V$8886),"")</f>
        <v>0</v>
      </c>
      <c r="AE150" s="156" t="str" cm="1">
        <f t="array" ref="AE150">IFERROR(_xlfn.XLOOKUP(1,(A150=PLT!$A$4:$A$8886)*(Geotech!C150&lt;=PLT!$F$4:$F$8886)*(Geotech!D150&gt;=PLT!$F$4:$F$8886)*(PLT!$V$4:$V$8886&lt;&gt;AD150)*("Valid"=PLT!$P$4:$P$7190),PLT!$V$4:$V$8886),"")</f>
        <v/>
      </c>
      <c r="AF150" s="156" t="str" cm="1">
        <f t="array" ref="AF150">IFERROR(_xlfn.XLOOKUP(1,(A150=PLT!$A$4:$A$8886)*(Geotech!C150&lt;=PLT!$F$4:$F$8886)*(Geotech!D150&gt;=PLT!$F$4:$F$8886)*(PLT!$V$4:$V$8886&lt;&gt;AD150)*(PLT!$V$4:$V$8886&lt;&gt;AE150)*("Valid"=PLT!$P$4:$P$7190),PLT!$V$4:$V$8886),"")</f>
        <v/>
      </c>
      <c r="AG150" s="44">
        <f>IFERROR(IF(AVERAGE(AD150:AF150)&gt;References!$BO$23,References!$BP$23,
IF(AVERAGE(AD150:AF150)&gt;References!$BO$22,References!$BP$22,
IF(AVERAGE(AD150:AF150)&gt;References!$BO$21,References!$BP$21,
IF(AVERAGE(AD150:AF150)&gt;References!$BO$20,References!$BP$20,
IF(AVERAGE(AD150:AF150)&gt;References!$BO$19,References!$BP$19,
IF(AVERAGE(AD150:AF150)&gt;References!$BO$18,References!$BP$18,
0)))))),"")</f>
        <v>0</v>
      </c>
      <c r="AH150" s="43">
        <f>IF(Data_Geotech[[#This Row],[Is50]]="",VLOOKUP(Data_Geotech[[#This Row],[Field Intact Rock Strength]],Table_RMR76_Strength[],2,FALSE),Data_Geotech[[#This Row],[Is50]])</f>
        <v>0</v>
      </c>
      <c r="AI150" s="43">
        <f>IF(Data_Geotech[[#This Row],[RQD (%)]]&lt;=25,3,IF(Data_Geotech[[#This Row],[RQD (%)]]&lt;=50,8,IF(Data_Geotech[[#This Row],[RQD (%)]]&lt;=75,13,IF(Data_Geotech[[#This Row],[RQD (%)]]&lt;=90,17,20))))</f>
        <v>20</v>
      </c>
      <c r="AJ150" s="43">
        <f>IF(Data_Geotech[[#This Row],[Joint spacing (m)]]&lt;=0.05,5,IF(Data_Geotech[[#This Row],[Joint spacing (m)]]&lt;=0.3,10,IF(Data_Geotech[[#This Row],[Joint spacing (m)]]&lt;=1,20,IF(Data_Geotech[[#This Row],[Joint spacing (m)]]&lt;=3,25,30))))</f>
        <v>20</v>
      </c>
      <c r="AK15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21.666666666666668</v>
      </c>
      <c r="AL150" s="6">
        <v>10</v>
      </c>
      <c r="AM150" s="117">
        <f>IF(Data_Geotech[[#This Row],[FIRS Code]]="R",IFERROR(SUM(Data_Geotech[[#This Row],[RMR76 - Strength rating]:[RMR76 - Ground water rating]]),""),"")</f>
        <v>71.666666666666671</v>
      </c>
      <c r="AN150" s="39">
        <f>IF(Data_Geotech[[#This Row],[FIRS Code]]="R",(2*Data_Geotech[[#This Row],[RMR76 - Joint condition rating]])+(IF(Data_Geotech[[#This Row],[RQD (%)]]&gt;80,80/2,Data_Geotech[[#This Row],[RQD (%)]]/2)),"")</f>
        <v>83.333333333333343</v>
      </c>
      <c r="AO150" s="43" t="str">
        <f>LEFT(Data_Geotech[[#This Row],[Joint Set Rating]],FIND("-",Data_Geotech[[#This Row],[Joint Set Rating]],1)-2)</f>
        <v>2</v>
      </c>
      <c r="AP15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1.5</v>
      </c>
      <c r="AQ150" s="5">
        <f t="shared" si="0"/>
        <v>1</v>
      </c>
      <c r="AR150" s="49">
        <f>IF(Data_Geotech[[#This Row],[FIRS Code]]="R",IFERROR((IF(Data_Geotech[[#This Row],[RQD (%)]]&lt;10,10,Data_Geotech[[#This Row],[RQD (%)]])/Data_Geotech[[#This Row],[Jn rating]])*Data_Geotech[[#This Row],[Jr/Ja]],""),"")</f>
        <v>75</v>
      </c>
      <c r="AS150" s="45">
        <f>IF(Data_Geotech[[#This Row],[FIRS Code]]="R",IFERROR((IF(Data_Geotech[[#This Row],[RQD (%)]]&lt;10,10,Data_Geotech[[#This Row],[RQD (%)]])/Data_Geotech[[#This Row],[Jn rating]])*Data_Geotech[[#This Row],[Jr/Ja]]*Data_Geotech[[#This Row],[Jw/SRF]],""),"")</f>
        <v>75</v>
      </c>
      <c r="AT150" s="12"/>
      <c r="AU150" s="13">
        <f>100-Data_Geotech[[#This Row],[RQD (%)]]</f>
        <v>0</v>
      </c>
      <c r="AV150" s="13">
        <f>100-Data_Geotech[[#This Row],[TCR (%)]]</f>
        <v>0</v>
      </c>
      <c r="AW150" s="62">
        <f>(Data_Geotech[[#This Row],[Fracture per interval]]+Data_Geotech[[#This Row],[Added fractures 
(BC, FLT, LC)]])/Data_Geotech[[#This Row],[TCR (m)]]</f>
        <v>1</v>
      </c>
      <c r="AX150" s="6" t="s">
        <v>109</v>
      </c>
      <c r="AY150" s="63">
        <f>7-MID(Data_Geotech[[#This Row],[Field Intact Rock Strength]],2,1)</f>
        <v>2</v>
      </c>
      <c r="AZ150" s="63">
        <f>VLOOKUP(Data_Geotech[[#This Row],[Field Intact Rock Strength]],Table_FieldStrength[],2,FALSE)</f>
        <v>100</v>
      </c>
      <c r="BA150" s="63">
        <f>VLOOKUP(Data_Geotech[[#This Row],[Field Intact Rock Strength]],Table_FieldStrength[],3,FALSE)</f>
        <v>175</v>
      </c>
      <c r="BB150" s="63">
        <f>VLOOKUP(Data_Geotech[[#This Row],[Field Intact Rock Strength]],Table_FieldStrength[],4,FALSE)</f>
        <v>250</v>
      </c>
      <c r="BC150" s="63">
        <f>100-Data_Geotech[[#This Row],[RMR76]]</f>
        <v>28.333333333333329</v>
      </c>
      <c r="BD150" s="63" t="str">
        <f>LEFT(Data_Geotech[[#This Row],[Weathering/Alteration]],FIND("-",Data_Geotech[[#This Row],[Weathering/Alteration]])-2)</f>
        <v>W1/A1</v>
      </c>
    </row>
    <row r="151" spans="1:56" hidden="1" x14ac:dyDescent="0.25">
      <c r="A151" t="s">
        <v>34</v>
      </c>
      <c r="B151" s="16" t="str">
        <f>VLOOKUP(Data_Geotech[[#This Row],[Hole ID]],Data_Log[],2,FALSE)</f>
        <v>CGF-04</v>
      </c>
      <c r="C151" s="5">
        <v>27</v>
      </c>
      <c r="D151" s="5">
        <v>30</v>
      </c>
      <c r="E151" s="5">
        <f>(Data_Geotech[[#This Row],[To (m)]]-Data_Geotech[[#This Row],[From (m)]])/2+Data_Geotech[[#This Row],[From (m)]]</f>
        <v>28.5</v>
      </c>
      <c r="F151" s="13">
        <f>Data_Geotech[[#This Row],[To (m)]]-Data_Geotech[[#This Row],[From (m)]]</f>
        <v>3</v>
      </c>
      <c r="G151" s="5">
        <v>3</v>
      </c>
      <c r="H151" s="61">
        <f>Data_Geotech[[#This Row],[TCR (m)]]/Data_Geotech[[#This Row],[Run (m)]]*100</f>
        <v>100</v>
      </c>
      <c r="I151" s="151">
        <v>3</v>
      </c>
      <c r="J151" s="151">
        <v>3</v>
      </c>
      <c r="K151" s="5">
        <v>3</v>
      </c>
      <c r="L151" s="61">
        <f>Data_Geotech[[#This Row],[RQD (m)]]/Data_Geotech[[#This Row],[Run Reel (m)]]*100</f>
        <v>100</v>
      </c>
      <c r="M151" t="s">
        <v>584</v>
      </c>
      <c r="O151" t="s">
        <v>243</v>
      </c>
      <c r="P151" s="115" t="s">
        <v>397</v>
      </c>
      <c r="Q151" s="5" t="s">
        <v>313</v>
      </c>
      <c r="R151" s="5"/>
      <c r="S151" s="5"/>
      <c r="T151" s="5"/>
      <c r="U151" s="5"/>
      <c r="V151" s="6">
        <v>3</v>
      </c>
      <c r="W151" s="92">
        <f>SUMIFS(Discontinuities!$D$4:$D$9664,Discontinuities!$A$4:$A$9664,A151,Discontinuities!$C$4:$C$9664,"&gt;="&amp;C151,Discontinuities!$C$4:$C$9664,"&lt;"&amp;D151)
-SUMIFS(Discontinuities!$D$4:$D$9664,Discontinuities!$A$4:$A$9664,A151,Discontinuities!$C$4:$C$9664,"&gt;="&amp;C151,Discontinuities!$C$4:$C$9664,"&lt;"&amp;D151,Discontinuities!$E$4:$E$9664,"=BC")
-SUMIFS(Discontinuities!$D$4:$D$9664,Discontinuities!$A$4:$A$9664,A151,Discontinuities!$C$4:$C$9664,"&gt;="&amp;C151,Discontinuities!$C$4:$C$9664,"&lt;"&amp;D151,Discontinuities!$E$4:$E$9664,"=LC")
-SUMIFS(Discontinuities!$D$4:$D$9664,Discontinuities!$A$4:$A$9664,A151,Discontinuities!$C$4:$C$9664,"&gt;="&amp;C151,Discontinuities!$C$4:$C$9664,"&lt;"&amp;D151,Discontinuities!$E$4:$E$9664,"=FLT")</f>
        <v>3</v>
      </c>
      <c r="X151" t="s">
        <v>345</v>
      </c>
      <c r="AA151" s="12"/>
      <c r="AB151" s="43">
        <f>IFERROR(ROUND((Data_Geotech[[#This Row],[Fault (m)]]+Data_Geotech[[#This Row],[Broken Core (m)]]+Data_Geotech[[#This Row],[Lost Core (m)]])*30,0),0)</f>
        <v>0</v>
      </c>
      <c r="AC151" s="44">
        <f>IF(Data_Geotech[[#This Row],[Added fractures 
(BC, FLT, LC)]]+Data_Geotech[[#This Row],[Fracture per interval]]=0,99,1/((Data_Geotech[[#This Row],[Fracture per interval]]+Data_Geotech[[#This Row],[Added fractures 
(BC, FLT, LC)]])/Data_Geotech[[#This Row],[Run (m)]]))</f>
        <v>1</v>
      </c>
      <c r="AD151" s="155" cm="1">
        <f t="array" ref="AD151">IFERROR(_xlfn.XLOOKUP(1,(A151=PLT!$A$4:$A$8886)*(Geotech!C151&lt;=PLT!$F$4:$F$8886)*(Geotech!D151&gt;=PLT!$F$4:$F$8886)*("Valid"=PLT!$P$4:$P$8886),PLT!$V$4:$V$8886),"")</f>
        <v>0</v>
      </c>
      <c r="AE151" s="156" t="str" cm="1">
        <f t="array" ref="AE151">IFERROR(_xlfn.XLOOKUP(1,(A151=PLT!$A$4:$A$8886)*(Geotech!C151&lt;=PLT!$F$4:$F$8886)*(Geotech!D151&gt;=PLT!$F$4:$F$8886)*(PLT!$V$4:$V$8886&lt;&gt;AD151)*("Valid"=PLT!$P$4:$P$7190),PLT!$V$4:$V$8886),"")</f>
        <v/>
      </c>
      <c r="AF151" s="156" t="str" cm="1">
        <f t="array" ref="AF151">IFERROR(_xlfn.XLOOKUP(1,(A151=PLT!$A$4:$A$8886)*(Geotech!C151&lt;=PLT!$F$4:$F$8886)*(Geotech!D151&gt;=PLT!$F$4:$F$8886)*(PLT!$V$4:$V$8886&lt;&gt;AD151)*(PLT!$V$4:$V$8886&lt;&gt;AE151)*("Valid"=PLT!$P$4:$P$7190),PLT!$V$4:$V$8886),"")</f>
        <v/>
      </c>
      <c r="AG151" s="44">
        <f>IFERROR(IF(AVERAGE(AD151:AF151)&gt;References!$BO$23,References!$BP$23,
IF(AVERAGE(AD151:AF151)&gt;References!$BO$22,References!$BP$22,
IF(AVERAGE(AD151:AF151)&gt;References!$BO$21,References!$BP$21,
IF(AVERAGE(AD151:AF151)&gt;References!$BO$20,References!$BP$20,
IF(AVERAGE(AD151:AF151)&gt;References!$BO$19,References!$BP$19,
IF(AVERAGE(AD151:AF151)&gt;References!$BO$18,References!$BP$18,
0)))))),"")</f>
        <v>0</v>
      </c>
      <c r="AH151" s="43">
        <f>IF(Data_Geotech[[#This Row],[Is50]]="",VLOOKUP(Data_Geotech[[#This Row],[Field Intact Rock Strength]],Table_RMR76_Strength[],2,FALSE),Data_Geotech[[#This Row],[Is50]])</f>
        <v>0</v>
      </c>
      <c r="AI151" s="43">
        <f>IF(Data_Geotech[[#This Row],[RQD (%)]]&lt;=25,3,IF(Data_Geotech[[#This Row],[RQD (%)]]&lt;=50,8,IF(Data_Geotech[[#This Row],[RQD (%)]]&lt;=75,13,IF(Data_Geotech[[#This Row],[RQD (%)]]&lt;=90,17,20))))</f>
        <v>20</v>
      </c>
      <c r="AJ151" s="43">
        <f>IF(Data_Geotech[[#This Row],[Joint spacing (m)]]&lt;=0.05,5,IF(Data_Geotech[[#This Row],[Joint spacing (m)]]&lt;=0.3,10,IF(Data_Geotech[[#This Row],[Joint spacing (m)]]&lt;=1,20,IF(Data_Geotech[[#This Row],[Joint spacing (m)]]&lt;=3,25,30))))</f>
        <v>20</v>
      </c>
      <c r="AK15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19</v>
      </c>
      <c r="AL151" s="6">
        <v>10</v>
      </c>
      <c r="AM151" s="117">
        <f>IF(Data_Geotech[[#This Row],[FIRS Code]]="R",IFERROR(SUM(Data_Geotech[[#This Row],[RMR76 - Strength rating]:[RMR76 - Ground water rating]]),""),"")</f>
        <v>69</v>
      </c>
      <c r="AN151" s="39">
        <f>IF(Data_Geotech[[#This Row],[FIRS Code]]="R",(2*Data_Geotech[[#This Row],[RMR76 - Joint condition rating]])+(IF(Data_Geotech[[#This Row],[RQD (%)]]&gt;80,80/2,Data_Geotech[[#This Row],[RQD (%)]]/2)),"")</f>
        <v>78</v>
      </c>
      <c r="AO151" s="43" t="str">
        <f>LEFT(Data_Geotech[[#This Row],[Joint Set Rating]],FIND("-",Data_Geotech[[#This Row],[Joint Set Rating]],1)-2)</f>
        <v>3</v>
      </c>
      <c r="AP15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51" s="5">
        <f t="shared" si="0"/>
        <v>1</v>
      </c>
      <c r="AR151" s="49">
        <f>IF(Data_Geotech[[#This Row],[FIRS Code]]="R",IFERROR((IF(Data_Geotech[[#This Row],[RQD (%)]]&lt;10,10,Data_Geotech[[#This Row],[RQD (%)]])/Data_Geotech[[#This Row],[Jn rating]])*Data_Geotech[[#This Row],[Jr/Ja]],""),"")</f>
        <v>33.333333333333336</v>
      </c>
      <c r="AS151" s="45">
        <f>IF(Data_Geotech[[#This Row],[FIRS Code]]="R",IFERROR((IF(Data_Geotech[[#This Row],[RQD (%)]]&lt;10,10,Data_Geotech[[#This Row],[RQD (%)]])/Data_Geotech[[#This Row],[Jn rating]])*Data_Geotech[[#This Row],[Jr/Ja]]*Data_Geotech[[#This Row],[Jw/SRF]],""),"")</f>
        <v>33.333333333333336</v>
      </c>
      <c r="AT151" s="12"/>
      <c r="AU151" s="13">
        <f>100-Data_Geotech[[#This Row],[RQD (%)]]</f>
        <v>0</v>
      </c>
      <c r="AV151" s="13">
        <f>100-Data_Geotech[[#This Row],[TCR (%)]]</f>
        <v>0</v>
      </c>
      <c r="AW151" s="62">
        <f>(Data_Geotech[[#This Row],[Fracture per interval]]+Data_Geotech[[#This Row],[Added fractures 
(BC, FLT, LC)]])/Data_Geotech[[#This Row],[TCR (m)]]</f>
        <v>1</v>
      </c>
      <c r="AX151" s="6" t="s">
        <v>109</v>
      </c>
      <c r="AY151" s="63">
        <f>7-MID(Data_Geotech[[#This Row],[Field Intact Rock Strength]],2,1)</f>
        <v>2</v>
      </c>
      <c r="AZ151" s="63">
        <f>VLOOKUP(Data_Geotech[[#This Row],[Field Intact Rock Strength]],Table_FieldStrength[],2,FALSE)</f>
        <v>100</v>
      </c>
      <c r="BA151" s="63">
        <f>VLOOKUP(Data_Geotech[[#This Row],[Field Intact Rock Strength]],Table_FieldStrength[],3,FALSE)</f>
        <v>175</v>
      </c>
      <c r="BB151" s="63">
        <f>VLOOKUP(Data_Geotech[[#This Row],[Field Intact Rock Strength]],Table_FieldStrength[],4,FALSE)</f>
        <v>250</v>
      </c>
      <c r="BC151" s="63">
        <f>100-Data_Geotech[[#This Row],[RMR76]]</f>
        <v>31</v>
      </c>
      <c r="BD151" s="63" t="str">
        <f>LEFT(Data_Geotech[[#This Row],[Weathering/Alteration]],FIND("-",Data_Geotech[[#This Row],[Weathering/Alteration]])-2)</f>
        <v>W1/A1</v>
      </c>
    </row>
    <row r="152" spans="1:56" hidden="1" x14ac:dyDescent="0.25">
      <c r="A152" t="s">
        <v>34</v>
      </c>
      <c r="B152" s="16" t="str">
        <f>VLOOKUP(Data_Geotech[[#This Row],[Hole ID]],Data_Log[],2,FALSE)</f>
        <v>CGF-04</v>
      </c>
      <c r="C152" s="5">
        <v>30</v>
      </c>
      <c r="D152" s="5">
        <v>33.1</v>
      </c>
      <c r="E152" s="5">
        <f>(Data_Geotech[[#This Row],[To (m)]]-Data_Geotech[[#This Row],[From (m)]])/2+Data_Geotech[[#This Row],[From (m)]]</f>
        <v>31.55</v>
      </c>
      <c r="F152" s="13">
        <f>Data_Geotech[[#This Row],[To (m)]]-Data_Geotech[[#This Row],[From (m)]]</f>
        <v>3.1000000000000014</v>
      </c>
      <c r="G152" s="5">
        <v>3.1</v>
      </c>
      <c r="H152" s="61">
        <f>Data_Geotech[[#This Row],[TCR (m)]]/Data_Geotech[[#This Row],[Run (m)]]*100</f>
        <v>99.999999999999957</v>
      </c>
      <c r="I152" s="151">
        <v>3.09</v>
      </c>
      <c r="J152" s="151">
        <v>3.09</v>
      </c>
      <c r="K152" s="5">
        <v>3.09</v>
      </c>
      <c r="L152" s="61">
        <f>Data_Geotech[[#This Row],[RQD (m)]]/Data_Geotech[[#This Row],[Run Reel (m)]]*100</f>
        <v>100</v>
      </c>
      <c r="M152" t="s">
        <v>584</v>
      </c>
      <c r="O152" t="s">
        <v>243</v>
      </c>
      <c r="P152" s="115" t="s">
        <v>416</v>
      </c>
      <c r="Q152" s="5" t="s">
        <v>313</v>
      </c>
      <c r="R152" s="5"/>
      <c r="S152" s="5"/>
      <c r="T152" s="5"/>
      <c r="U152" s="5"/>
      <c r="V152" s="6">
        <v>5</v>
      </c>
      <c r="W152" s="92">
        <f>SUMIFS(Discontinuities!$D$4:$D$9664,Discontinuities!$A$4:$A$9664,A152,Discontinuities!$C$4:$C$9664,"&gt;="&amp;C152,Discontinuities!$C$4:$C$9664,"&lt;"&amp;D152)
-SUMIFS(Discontinuities!$D$4:$D$9664,Discontinuities!$A$4:$A$9664,A152,Discontinuities!$C$4:$C$9664,"&gt;="&amp;C152,Discontinuities!$C$4:$C$9664,"&lt;"&amp;D152,Discontinuities!$E$4:$E$9664,"=BC")
-SUMIFS(Discontinuities!$D$4:$D$9664,Discontinuities!$A$4:$A$9664,A152,Discontinuities!$C$4:$C$9664,"&gt;="&amp;C152,Discontinuities!$C$4:$C$9664,"&lt;"&amp;D152,Discontinuities!$E$4:$E$9664,"=LC")
-SUMIFS(Discontinuities!$D$4:$D$9664,Discontinuities!$A$4:$A$9664,A152,Discontinuities!$C$4:$C$9664,"&gt;="&amp;C152,Discontinuities!$C$4:$C$9664,"&lt;"&amp;D152,Discontinuities!$E$4:$E$9664,"=FLT")</f>
        <v>5</v>
      </c>
      <c r="X152" t="s">
        <v>345</v>
      </c>
      <c r="AA152" s="12"/>
      <c r="AB152" s="43">
        <f>IFERROR(ROUND((Data_Geotech[[#This Row],[Fault (m)]]+Data_Geotech[[#This Row],[Broken Core (m)]]+Data_Geotech[[#This Row],[Lost Core (m)]])*30,0),0)</f>
        <v>0</v>
      </c>
      <c r="AC152" s="44">
        <f>IF(Data_Geotech[[#This Row],[Added fractures 
(BC, FLT, LC)]]+Data_Geotech[[#This Row],[Fracture per interval]]=0,99,1/((Data_Geotech[[#This Row],[Fracture per interval]]+Data_Geotech[[#This Row],[Added fractures 
(BC, FLT, LC)]])/Data_Geotech[[#This Row],[Run (m)]]))</f>
        <v>0.62000000000000033</v>
      </c>
      <c r="AD152" s="155" cm="1">
        <f t="array" ref="AD152">IFERROR(_xlfn.XLOOKUP(1,(A152=PLT!$A$4:$A$8886)*(Geotech!C152&lt;=PLT!$F$4:$F$8886)*(Geotech!D152&gt;=PLT!$F$4:$F$8886)*("Valid"=PLT!$P$4:$P$8886),PLT!$V$4:$V$8886),"")</f>
        <v>0</v>
      </c>
      <c r="AE152" s="156" t="str" cm="1">
        <f t="array" ref="AE152">IFERROR(_xlfn.XLOOKUP(1,(A152=PLT!$A$4:$A$8886)*(Geotech!C152&lt;=PLT!$F$4:$F$8886)*(Geotech!D152&gt;=PLT!$F$4:$F$8886)*(PLT!$V$4:$V$8886&lt;&gt;AD152)*("Valid"=PLT!$P$4:$P$7190),PLT!$V$4:$V$8886),"")</f>
        <v/>
      </c>
      <c r="AF152" s="156" t="str" cm="1">
        <f t="array" ref="AF152">IFERROR(_xlfn.XLOOKUP(1,(A152=PLT!$A$4:$A$8886)*(Geotech!C152&lt;=PLT!$F$4:$F$8886)*(Geotech!D152&gt;=PLT!$F$4:$F$8886)*(PLT!$V$4:$V$8886&lt;&gt;AD152)*(PLT!$V$4:$V$8886&lt;&gt;AE152)*("Valid"=PLT!$P$4:$P$7190),PLT!$V$4:$V$8886),"")</f>
        <v/>
      </c>
      <c r="AG152" s="44">
        <f>IFERROR(IF(AVERAGE(AD152:AF152)&gt;References!$BO$23,References!$BP$23,
IF(AVERAGE(AD152:AF152)&gt;References!$BO$22,References!$BP$22,
IF(AVERAGE(AD152:AF152)&gt;References!$BO$21,References!$BP$21,
IF(AVERAGE(AD152:AF152)&gt;References!$BO$20,References!$BP$20,
IF(AVERAGE(AD152:AF152)&gt;References!$BO$19,References!$BP$19,
IF(AVERAGE(AD152:AF152)&gt;References!$BO$18,References!$BP$18,
0)))))),"")</f>
        <v>0</v>
      </c>
      <c r="AH152" s="43">
        <f>IF(Data_Geotech[[#This Row],[Is50]]="",VLOOKUP(Data_Geotech[[#This Row],[Field Intact Rock Strength]],Table_RMR76_Strength[],2,FALSE),Data_Geotech[[#This Row],[Is50]])</f>
        <v>0</v>
      </c>
      <c r="AI152" s="43">
        <f>IF(Data_Geotech[[#This Row],[RQD (%)]]&lt;=25,3,IF(Data_Geotech[[#This Row],[RQD (%)]]&lt;=50,8,IF(Data_Geotech[[#This Row],[RQD (%)]]&lt;=75,13,IF(Data_Geotech[[#This Row],[RQD (%)]]&lt;=90,17,20))))</f>
        <v>20</v>
      </c>
      <c r="AJ152" s="43">
        <f>IF(Data_Geotech[[#This Row],[Joint spacing (m)]]&lt;=0.05,5,IF(Data_Geotech[[#This Row],[Joint spacing (m)]]&lt;=0.3,10,IF(Data_Geotech[[#This Row],[Joint spacing (m)]]&lt;=1,20,IF(Data_Geotech[[#This Row],[Joint spacing (m)]]&lt;=3,25,30))))</f>
        <v>20</v>
      </c>
      <c r="AK15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20.399999999999999</v>
      </c>
      <c r="AL152" s="6">
        <v>10</v>
      </c>
      <c r="AM152" s="117">
        <f>IF(Data_Geotech[[#This Row],[FIRS Code]]="R",IFERROR(SUM(Data_Geotech[[#This Row],[RMR76 - Strength rating]:[RMR76 - Ground water rating]]),""),"")</f>
        <v>70.400000000000006</v>
      </c>
      <c r="AN152" s="39">
        <f>IF(Data_Geotech[[#This Row],[FIRS Code]]="R",(2*Data_Geotech[[#This Row],[RMR76 - Joint condition rating]])+(IF(Data_Geotech[[#This Row],[RQD (%)]]&gt;80,80/2,Data_Geotech[[#This Row],[RQD (%)]]/2)),"")</f>
        <v>80.8</v>
      </c>
      <c r="AO152" s="43" t="str">
        <f>LEFT(Data_Geotech[[#This Row],[Joint Set Rating]],FIND("-",Data_Geotech[[#This Row],[Joint Set Rating]],1)-2)</f>
        <v>3</v>
      </c>
      <c r="AP15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1.6</v>
      </c>
      <c r="AQ152" s="5">
        <f t="shared" si="0"/>
        <v>1</v>
      </c>
      <c r="AR152" s="49">
        <f>IF(Data_Geotech[[#This Row],[FIRS Code]]="R",IFERROR((IF(Data_Geotech[[#This Row],[RQD (%)]]&lt;10,10,Data_Geotech[[#This Row],[RQD (%)]])/Data_Geotech[[#This Row],[Jn rating]])*Data_Geotech[[#This Row],[Jr/Ja]],""),"")</f>
        <v>53.333333333333343</v>
      </c>
      <c r="AS152" s="45">
        <f>IF(Data_Geotech[[#This Row],[FIRS Code]]="R",IFERROR((IF(Data_Geotech[[#This Row],[RQD (%)]]&lt;10,10,Data_Geotech[[#This Row],[RQD (%)]])/Data_Geotech[[#This Row],[Jn rating]])*Data_Geotech[[#This Row],[Jr/Ja]]*Data_Geotech[[#This Row],[Jw/SRF]],""),"")</f>
        <v>53.333333333333343</v>
      </c>
      <c r="AT152" s="12"/>
      <c r="AU152" s="13">
        <f>100-Data_Geotech[[#This Row],[RQD (%)]]</f>
        <v>0</v>
      </c>
      <c r="AV152" s="13">
        <f>100-Data_Geotech[[#This Row],[TCR (%)]]</f>
        <v>0</v>
      </c>
      <c r="AW152" s="62">
        <f>(Data_Geotech[[#This Row],[Fracture per interval]]+Data_Geotech[[#This Row],[Added fractures 
(BC, FLT, LC)]])/Data_Geotech[[#This Row],[TCR (m)]]</f>
        <v>1.6129032258064515</v>
      </c>
      <c r="AX152" s="6" t="s">
        <v>109</v>
      </c>
      <c r="AY152" s="63">
        <f>7-MID(Data_Geotech[[#This Row],[Field Intact Rock Strength]],2,1)</f>
        <v>1</v>
      </c>
      <c r="AZ152" s="63">
        <f>VLOOKUP(Data_Geotech[[#This Row],[Field Intact Rock Strength]],Table_FieldStrength[],2,FALSE)</f>
        <v>250</v>
      </c>
      <c r="BA152" s="63">
        <f>VLOOKUP(Data_Geotech[[#This Row],[Field Intact Rock Strength]],Table_FieldStrength[],3,FALSE)</f>
        <v>275</v>
      </c>
      <c r="BB152" s="63">
        <f>VLOOKUP(Data_Geotech[[#This Row],[Field Intact Rock Strength]],Table_FieldStrength[],4,FALSE)</f>
        <v>300</v>
      </c>
      <c r="BC152" s="63">
        <f>100-Data_Geotech[[#This Row],[RMR76]]</f>
        <v>29.599999999999994</v>
      </c>
      <c r="BD152" s="63" t="str">
        <f>LEFT(Data_Geotech[[#This Row],[Weathering/Alteration]],FIND("-",Data_Geotech[[#This Row],[Weathering/Alteration]])-2)</f>
        <v>W1/A1</v>
      </c>
    </row>
    <row r="153" spans="1:56" hidden="1" x14ac:dyDescent="0.25">
      <c r="A153" t="s">
        <v>34</v>
      </c>
      <c r="B153" s="16" t="str">
        <f>VLOOKUP(Data_Geotech[[#This Row],[Hole ID]],Data_Log[],2,FALSE)</f>
        <v>CGF-04</v>
      </c>
      <c r="C153" s="5">
        <v>33.1</v>
      </c>
      <c r="D153" s="5">
        <v>36</v>
      </c>
      <c r="E153" s="5">
        <f>(Data_Geotech[[#This Row],[To (m)]]-Data_Geotech[[#This Row],[From (m)]])/2+Data_Geotech[[#This Row],[From (m)]]</f>
        <v>34.549999999999997</v>
      </c>
      <c r="F153" s="13">
        <f>Data_Geotech[[#This Row],[To (m)]]-Data_Geotech[[#This Row],[From (m)]]</f>
        <v>2.8999999999999986</v>
      </c>
      <c r="G153" s="5">
        <v>2.9</v>
      </c>
      <c r="H153" s="61">
        <f>Data_Geotech[[#This Row],[TCR (m)]]/Data_Geotech[[#This Row],[Run (m)]]*100</f>
        <v>100.00000000000004</v>
      </c>
      <c r="I153" s="151">
        <v>2.9</v>
      </c>
      <c r="J153" s="151">
        <v>2.9</v>
      </c>
      <c r="K153" s="5">
        <v>2.9</v>
      </c>
      <c r="L153" s="61">
        <f>Data_Geotech[[#This Row],[RQD (m)]]/Data_Geotech[[#This Row],[Run Reel (m)]]*100</f>
        <v>100</v>
      </c>
      <c r="M153" t="s">
        <v>569</v>
      </c>
      <c r="O153" t="s">
        <v>278</v>
      </c>
      <c r="P153" s="115" t="s">
        <v>397</v>
      </c>
      <c r="Q153" s="5" t="s">
        <v>346</v>
      </c>
      <c r="R153" s="5"/>
      <c r="S153" s="5"/>
      <c r="T153" s="5"/>
      <c r="U153" s="5"/>
      <c r="V153" s="6">
        <v>4</v>
      </c>
      <c r="W153" s="92">
        <f>SUMIFS(Discontinuities!$D$4:$D$9664,Discontinuities!$A$4:$A$9664,A153,Discontinuities!$C$4:$C$9664,"&gt;="&amp;C153,Discontinuities!$C$4:$C$9664,"&lt;"&amp;D153)
-SUMIFS(Discontinuities!$D$4:$D$9664,Discontinuities!$A$4:$A$9664,A153,Discontinuities!$C$4:$C$9664,"&gt;="&amp;C153,Discontinuities!$C$4:$C$9664,"&lt;"&amp;D153,Discontinuities!$E$4:$E$9664,"=BC")
-SUMIFS(Discontinuities!$D$4:$D$9664,Discontinuities!$A$4:$A$9664,A153,Discontinuities!$C$4:$C$9664,"&gt;="&amp;C153,Discontinuities!$C$4:$C$9664,"&lt;"&amp;D153,Discontinuities!$E$4:$E$9664,"=LC")
-SUMIFS(Discontinuities!$D$4:$D$9664,Discontinuities!$A$4:$A$9664,A153,Discontinuities!$C$4:$C$9664,"&gt;="&amp;C153,Discontinuities!$C$4:$C$9664,"&lt;"&amp;D153,Discontinuities!$E$4:$E$9664,"=FLT")</f>
        <v>4</v>
      </c>
      <c r="X153" t="s">
        <v>345</v>
      </c>
      <c r="AA153" s="12"/>
      <c r="AB153" s="43">
        <f>IFERROR(ROUND((Data_Geotech[[#This Row],[Fault (m)]]+Data_Geotech[[#This Row],[Broken Core (m)]]+Data_Geotech[[#This Row],[Lost Core (m)]])*30,0),0)</f>
        <v>0</v>
      </c>
      <c r="AC153" s="44">
        <f>IF(Data_Geotech[[#This Row],[Added fractures 
(BC, FLT, LC)]]+Data_Geotech[[#This Row],[Fracture per interval]]=0,99,1/((Data_Geotech[[#This Row],[Fracture per interval]]+Data_Geotech[[#This Row],[Added fractures 
(BC, FLT, LC)]])/Data_Geotech[[#This Row],[Run (m)]]))</f>
        <v>0.72499999999999964</v>
      </c>
      <c r="AD153" s="155" cm="1">
        <f t="array" ref="AD153">IFERROR(_xlfn.XLOOKUP(1,(A153=PLT!$A$4:$A$8886)*(Geotech!C153&lt;=PLT!$F$4:$F$8886)*(Geotech!D153&gt;=PLT!$F$4:$F$8886)*("Valid"=PLT!$P$4:$P$8886),PLT!$V$4:$V$8886),"")</f>
        <v>0</v>
      </c>
      <c r="AE153" s="156" t="str" cm="1">
        <f t="array" ref="AE153">IFERROR(_xlfn.XLOOKUP(1,(A153=PLT!$A$4:$A$8886)*(Geotech!C153&lt;=PLT!$F$4:$F$8886)*(Geotech!D153&gt;=PLT!$F$4:$F$8886)*(PLT!$V$4:$V$8886&lt;&gt;AD153)*("Valid"=PLT!$P$4:$P$7190),PLT!$V$4:$V$8886),"")</f>
        <v/>
      </c>
      <c r="AF153" s="156" t="str" cm="1">
        <f t="array" ref="AF153">IFERROR(_xlfn.XLOOKUP(1,(A153=PLT!$A$4:$A$8886)*(Geotech!C153&lt;=PLT!$F$4:$F$8886)*(Geotech!D153&gt;=PLT!$F$4:$F$8886)*(PLT!$V$4:$V$8886&lt;&gt;AD153)*(PLT!$V$4:$V$8886&lt;&gt;AE153)*("Valid"=PLT!$P$4:$P$7190),PLT!$V$4:$V$8886),"")</f>
        <v/>
      </c>
      <c r="AG153" s="44">
        <f>IFERROR(IF(AVERAGE(AD153:AF153)&gt;References!$BO$23,References!$BP$23,
IF(AVERAGE(AD153:AF153)&gt;References!$BO$22,References!$BP$22,
IF(AVERAGE(AD153:AF153)&gt;References!$BO$21,References!$BP$21,
IF(AVERAGE(AD153:AF153)&gt;References!$BO$20,References!$BP$20,
IF(AVERAGE(AD153:AF153)&gt;References!$BO$19,References!$BP$19,
IF(AVERAGE(AD153:AF153)&gt;References!$BO$18,References!$BP$18,
0)))))),"")</f>
        <v>0</v>
      </c>
      <c r="AH153" s="43">
        <f>IF(Data_Geotech[[#This Row],[Is50]]="",VLOOKUP(Data_Geotech[[#This Row],[Field Intact Rock Strength]],Table_RMR76_Strength[],2,FALSE),Data_Geotech[[#This Row],[Is50]])</f>
        <v>0</v>
      </c>
      <c r="AI153" s="43">
        <f>IF(Data_Geotech[[#This Row],[RQD (%)]]&lt;=25,3,IF(Data_Geotech[[#This Row],[RQD (%)]]&lt;=50,8,IF(Data_Geotech[[#This Row],[RQD (%)]]&lt;=75,13,IF(Data_Geotech[[#This Row],[RQD (%)]]&lt;=90,17,20))))</f>
        <v>20</v>
      </c>
      <c r="AJ153" s="43">
        <f>IF(Data_Geotech[[#This Row],[Joint spacing (m)]]&lt;=0.05,5,IF(Data_Geotech[[#This Row],[Joint spacing (m)]]&lt;=0.3,10,IF(Data_Geotech[[#This Row],[Joint spacing (m)]]&lt;=1,20,IF(Data_Geotech[[#This Row],[Joint spacing (m)]]&lt;=3,25,30))))</f>
        <v>20</v>
      </c>
      <c r="AK15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153" s="6">
        <v>10</v>
      </c>
      <c r="AM153" s="117">
        <f>IF(Data_Geotech[[#This Row],[FIRS Code]]="R",IFERROR(SUM(Data_Geotech[[#This Row],[RMR76 - Strength rating]:[RMR76 - Ground water rating]]),""),"")</f>
        <v>66</v>
      </c>
      <c r="AN153" s="39">
        <f>IF(Data_Geotech[[#This Row],[FIRS Code]]="R",(2*Data_Geotech[[#This Row],[RMR76 - Joint condition rating]])+(IF(Data_Geotech[[#This Row],[RQD (%)]]&gt;80,80/2,Data_Geotech[[#This Row],[RQD (%)]]/2)),"")</f>
        <v>72</v>
      </c>
      <c r="AO153" s="43" t="str">
        <f>LEFT(Data_Geotech[[#This Row],[Joint Set Rating]],FIND("-",Data_Geotech[[#This Row],[Joint Set Rating]],1)-2)</f>
        <v>3</v>
      </c>
      <c r="AP15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1.0104166666666667</v>
      </c>
      <c r="AQ153" s="5">
        <f t="shared" si="0"/>
        <v>1</v>
      </c>
      <c r="AR153" s="49">
        <f>IF(Data_Geotech[[#This Row],[FIRS Code]]="R",IFERROR((IF(Data_Geotech[[#This Row],[RQD (%)]]&lt;10,10,Data_Geotech[[#This Row],[RQD (%)]])/Data_Geotech[[#This Row],[Jn rating]])*Data_Geotech[[#This Row],[Jr/Ja]],""),"")</f>
        <v>33.680555555555557</v>
      </c>
      <c r="AS153" s="45">
        <f>IF(Data_Geotech[[#This Row],[FIRS Code]]="R",IFERROR((IF(Data_Geotech[[#This Row],[RQD (%)]]&lt;10,10,Data_Geotech[[#This Row],[RQD (%)]])/Data_Geotech[[#This Row],[Jn rating]])*Data_Geotech[[#This Row],[Jr/Ja]]*Data_Geotech[[#This Row],[Jw/SRF]],""),"")</f>
        <v>33.680555555555557</v>
      </c>
      <c r="AT153" s="12"/>
      <c r="AU153" s="13">
        <f>100-Data_Geotech[[#This Row],[RQD (%)]]</f>
        <v>0</v>
      </c>
      <c r="AV153" s="13">
        <f>100-Data_Geotech[[#This Row],[TCR (%)]]</f>
        <v>0</v>
      </c>
      <c r="AW153" s="62">
        <f>(Data_Geotech[[#This Row],[Fracture per interval]]+Data_Geotech[[#This Row],[Added fractures 
(BC, FLT, LC)]])/Data_Geotech[[#This Row],[TCR (m)]]</f>
        <v>1.3793103448275863</v>
      </c>
      <c r="AX153" s="6" t="s">
        <v>109</v>
      </c>
      <c r="AY153" s="63">
        <f>7-MID(Data_Geotech[[#This Row],[Field Intact Rock Strength]],2,1)</f>
        <v>2</v>
      </c>
      <c r="AZ153" s="63">
        <f>VLOOKUP(Data_Geotech[[#This Row],[Field Intact Rock Strength]],Table_FieldStrength[],2,FALSE)</f>
        <v>100</v>
      </c>
      <c r="BA153" s="63">
        <f>VLOOKUP(Data_Geotech[[#This Row],[Field Intact Rock Strength]],Table_FieldStrength[],3,FALSE)</f>
        <v>175</v>
      </c>
      <c r="BB153" s="63">
        <f>VLOOKUP(Data_Geotech[[#This Row],[Field Intact Rock Strength]],Table_FieldStrength[],4,FALSE)</f>
        <v>250</v>
      </c>
      <c r="BC153" s="63">
        <f>100-Data_Geotech[[#This Row],[RMR76]]</f>
        <v>34</v>
      </c>
      <c r="BD153" s="63" t="str">
        <f>LEFT(Data_Geotech[[#This Row],[Weathering/Alteration]],FIND("-",Data_Geotech[[#This Row],[Weathering/Alteration]])-2)</f>
        <v>W2/A2</v>
      </c>
    </row>
    <row r="154" spans="1:56" hidden="1" x14ac:dyDescent="0.25">
      <c r="A154" t="s">
        <v>34</v>
      </c>
      <c r="B154" s="16" t="str">
        <f>VLOOKUP(Data_Geotech[[#This Row],[Hole ID]],Data_Log[],2,FALSE)</f>
        <v>CGF-04</v>
      </c>
      <c r="C154" s="5">
        <v>36</v>
      </c>
      <c r="D154" s="5">
        <v>38.92</v>
      </c>
      <c r="E154" s="5">
        <f>(Data_Geotech[[#This Row],[To (m)]]-Data_Geotech[[#This Row],[From (m)]])/2+Data_Geotech[[#This Row],[From (m)]]</f>
        <v>37.46</v>
      </c>
      <c r="F154" s="13">
        <f>Data_Geotech[[#This Row],[To (m)]]-Data_Geotech[[#This Row],[From (m)]]</f>
        <v>2.9200000000000017</v>
      </c>
      <c r="G154" s="5">
        <v>2.92</v>
      </c>
      <c r="H154" s="61">
        <f>Data_Geotech[[#This Row],[TCR (m)]]/Data_Geotech[[#This Row],[Run (m)]]*100</f>
        <v>99.999999999999943</v>
      </c>
      <c r="I154" s="151">
        <v>2.92</v>
      </c>
      <c r="J154" s="151">
        <v>2.92</v>
      </c>
      <c r="K154" s="5">
        <v>2.92</v>
      </c>
      <c r="L154" s="61">
        <f>Data_Geotech[[#This Row],[RQD (m)]]/Data_Geotech[[#This Row],[Run Reel (m)]]*100</f>
        <v>100</v>
      </c>
      <c r="M154" t="s">
        <v>569</v>
      </c>
      <c r="O154" t="s">
        <v>243</v>
      </c>
      <c r="P154" s="115" t="s">
        <v>397</v>
      </c>
      <c r="Q154" s="5" t="s">
        <v>313</v>
      </c>
      <c r="R154" s="5"/>
      <c r="S154" s="5"/>
      <c r="T154" s="5"/>
      <c r="U154" s="5"/>
      <c r="V154" s="6">
        <v>4</v>
      </c>
      <c r="W154" s="92">
        <f>SUMIFS(Discontinuities!$D$4:$D$9664,Discontinuities!$A$4:$A$9664,A154,Discontinuities!$C$4:$C$9664,"&gt;="&amp;C154,Discontinuities!$C$4:$C$9664,"&lt;"&amp;D154)
-SUMIFS(Discontinuities!$D$4:$D$9664,Discontinuities!$A$4:$A$9664,A154,Discontinuities!$C$4:$C$9664,"&gt;="&amp;C154,Discontinuities!$C$4:$C$9664,"&lt;"&amp;D154,Discontinuities!$E$4:$E$9664,"=BC")
-SUMIFS(Discontinuities!$D$4:$D$9664,Discontinuities!$A$4:$A$9664,A154,Discontinuities!$C$4:$C$9664,"&gt;="&amp;C154,Discontinuities!$C$4:$C$9664,"&lt;"&amp;D154,Discontinuities!$E$4:$E$9664,"=LC")
-SUMIFS(Discontinuities!$D$4:$D$9664,Discontinuities!$A$4:$A$9664,A154,Discontinuities!$C$4:$C$9664,"&gt;="&amp;C154,Discontinuities!$C$4:$C$9664,"&lt;"&amp;D154,Discontinuities!$E$4:$E$9664,"=FLT")</f>
        <v>4</v>
      </c>
      <c r="X154" t="s">
        <v>312</v>
      </c>
      <c r="AA154" s="12"/>
      <c r="AB154" s="43">
        <f>IFERROR(ROUND((Data_Geotech[[#This Row],[Fault (m)]]+Data_Geotech[[#This Row],[Broken Core (m)]]+Data_Geotech[[#This Row],[Lost Core (m)]])*30,0),0)</f>
        <v>0</v>
      </c>
      <c r="AC154" s="44">
        <f>IF(Data_Geotech[[#This Row],[Added fractures 
(BC, FLT, LC)]]+Data_Geotech[[#This Row],[Fracture per interval]]=0,99,1/((Data_Geotech[[#This Row],[Fracture per interval]]+Data_Geotech[[#This Row],[Added fractures 
(BC, FLT, LC)]])/Data_Geotech[[#This Row],[Run (m)]]))</f>
        <v>0.73000000000000043</v>
      </c>
      <c r="AD154" s="155" cm="1">
        <f t="array" ref="AD154">IFERROR(_xlfn.XLOOKUP(1,(A154=PLT!$A$4:$A$8886)*(Geotech!C154&lt;=PLT!$F$4:$F$8886)*(Geotech!D154&gt;=PLT!$F$4:$F$8886)*("Valid"=PLT!$P$4:$P$8886),PLT!$V$4:$V$8886),"")</f>
        <v>0</v>
      </c>
      <c r="AE154" s="156" t="str" cm="1">
        <f t="array" ref="AE154">IFERROR(_xlfn.XLOOKUP(1,(A154=PLT!$A$4:$A$8886)*(Geotech!C154&lt;=PLT!$F$4:$F$8886)*(Geotech!D154&gt;=PLT!$F$4:$F$8886)*(PLT!$V$4:$V$8886&lt;&gt;AD154)*("Valid"=PLT!$P$4:$P$7190),PLT!$V$4:$V$8886),"")</f>
        <v/>
      </c>
      <c r="AF154" s="156" t="str" cm="1">
        <f t="array" ref="AF154">IFERROR(_xlfn.XLOOKUP(1,(A154=PLT!$A$4:$A$8886)*(Geotech!C154&lt;=PLT!$F$4:$F$8886)*(Geotech!D154&gt;=PLT!$F$4:$F$8886)*(PLT!$V$4:$V$8886&lt;&gt;AD154)*(PLT!$V$4:$V$8886&lt;&gt;AE154)*("Valid"=PLT!$P$4:$P$7190),PLT!$V$4:$V$8886),"")</f>
        <v/>
      </c>
      <c r="AG154" s="44">
        <f>IFERROR(IF(AVERAGE(AD154:AF154)&gt;References!$BO$23,References!$BP$23,
IF(AVERAGE(AD154:AF154)&gt;References!$BO$22,References!$BP$22,
IF(AVERAGE(AD154:AF154)&gt;References!$BO$21,References!$BP$21,
IF(AVERAGE(AD154:AF154)&gt;References!$BO$20,References!$BP$20,
IF(AVERAGE(AD154:AF154)&gt;References!$BO$19,References!$BP$19,
IF(AVERAGE(AD154:AF154)&gt;References!$BO$18,References!$BP$18,
0)))))),"")</f>
        <v>0</v>
      </c>
      <c r="AH154" s="43">
        <f>IF(Data_Geotech[[#This Row],[Is50]]="",VLOOKUP(Data_Geotech[[#This Row],[Field Intact Rock Strength]],Table_RMR76_Strength[],2,FALSE),Data_Geotech[[#This Row],[Is50]])</f>
        <v>0</v>
      </c>
      <c r="AI154" s="43">
        <f>IF(Data_Geotech[[#This Row],[RQD (%)]]&lt;=25,3,IF(Data_Geotech[[#This Row],[RQD (%)]]&lt;=50,8,IF(Data_Geotech[[#This Row],[RQD (%)]]&lt;=75,13,IF(Data_Geotech[[#This Row],[RQD (%)]]&lt;=90,17,20))))</f>
        <v>20</v>
      </c>
      <c r="AJ154" s="43">
        <f>IF(Data_Geotech[[#This Row],[Joint spacing (m)]]&lt;=0.05,5,IF(Data_Geotech[[#This Row],[Joint spacing (m)]]&lt;=0.3,10,IF(Data_Geotech[[#This Row],[Joint spacing (m)]]&lt;=1,20,IF(Data_Geotech[[#This Row],[Joint spacing (m)]]&lt;=3,25,30))))</f>
        <v>20</v>
      </c>
      <c r="AK15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v>
      </c>
      <c r="AL154" s="6">
        <v>10</v>
      </c>
      <c r="AM154" s="117">
        <f>IF(Data_Geotech[[#This Row],[FIRS Code]]="R",IFERROR(SUM(Data_Geotech[[#This Row],[RMR76 - Strength rating]:[RMR76 - Ground water rating]]),""),"")</f>
        <v>68</v>
      </c>
      <c r="AN154" s="39">
        <f>IF(Data_Geotech[[#This Row],[FIRS Code]]="R",(2*Data_Geotech[[#This Row],[RMR76 - Joint condition rating]])+(IF(Data_Geotech[[#This Row],[RQD (%)]]&gt;80,80/2,Data_Geotech[[#This Row],[RQD (%)]]/2)),"")</f>
        <v>76</v>
      </c>
      <c r="AO154" s="43" t="str">
        <f>LEFT(Data_Geotech[[#This Row],[Joint Set Rating]],FIND("-",Data_Geotech[[#This Row],[Joint Set Rating]],1)-2)</f>
        <v>2</v>
      </c>
      <c r="AP15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1.0833333333333333</v>
      </c>
      <c r="AQ154" s="5">
        <f t="shared" si="0"/>
        <v>1</v>
      </c>
      <c r="AR154" s="49">
        <f>IF(Data_Geotech[[#This Row],[FIRS Code]]="R",IFERROR((IF(Data_Geotech[[#This Row],[RQD (%)]]&lt;10,10,Data_Geotech[[#This Row],[RQD (%)]])/Data_Geotech[[#This Row],[Jn rating]])*Data_Geotech[[#This Row],[Jr/Ja]],""),"")</f>
        <v>54.166666666666664</v>
      </c>
      <c r="AS154" s="45">
        <f>IF(Data_Geotech[[#This Row],[FIRS Code]]="R",IFERROR((IF(Data_Geotech[[#This Row],[RQD (%)]]&lt;10,10,Data_Geotech[[#This Row],[RQD (%)]])/Data_Geotech[[#This Row],[Jn rating]])*Data_Geotech[[#This Row],[Jr/Ja]]*Data_Geotech[[#This Row],[Jw/SRF]],""),"")</f>
        <v>54.166666666666664</v>
      </c>
      <c r="AT154" s="12"/>
      <c r="AU154" s="13">
        <f>100-Data_Geotech[[#This Row],[RQD (%)]]</f>
        <v>0</v>
      </c>
      <c r="AV154" s="13">
        <f>100-Data_Geotech[[#This Row],[TCR (%)]]</f>
        <v>0</v>
      </c>
      <c r="AW154" s="62">
        <f>(Data_Geotech[[#This Row],[Fracture per interval]]+Data_Geotech[[#This Row],[Added fractures 
(BC, FLT, LC)]])/Data_Geotech[[#This Row],[TCR (m)]]</f>
        <v>1.3698630136986301</v>
      </c>
      <c r="AX154" s="6" t="s">
        <v>109</v>
      </c>
      <c r="AY154" s="63">
        <f>7-MID(Data_Geotech[[#This Row],[Field Intact Rock Strength]],2,1)</f>
        <v>2</v>
      </c>
      <c r="AZ154" s="63">
        <f>VLOOKUP(Data_Geotech[[#This Row],[Field Intact Rock Strength]],Table_FieldStrength[],2,FALSE)</f>
        <v>100</v>
      </c>
      <c r="BA154" s="63">
        <f>VLOOKUP(Data_Geotech[[#This Row],[Field Intact Rock Strength]],Table_FieldStrength[],3,FALSE)</f>
        <v>175</v>
      </c>
      <c r="BB154" s="63">
        <f>VLOOKUP(Data_Geotech[[#This Row],[Field Intact Rock Strength]],Table_FieldStrength[],4,FALSE)</f>
        <v>250</v>
      </c>
      <c r="BC154" s="63">
        <f>100-Data_Geotech[[#This Row],[RMR76]]</f>
        <v>32</v>
      </c>
      <c r="BD154" s="63" t="str">
        <f>LEFT(Data_Geotech[[#This Row],[Weathering/Alteration]],FIND("-",Data_Geotech[[#This Row],[Weathering/Alteration]])-2)</f>
        <v>W1/A1</v>
      </c>
    </row>
    <row r="155" spans="1:56" hidden="1" x14ac:dyDescent="0.25">
      <c r="A155" t="s">
        <v>34</v>
      </c>
      <c r="B155" s="16" t="str">
        <f>VLOOKUP(Data_Geotech[[#This Row],[Hole ID]],Data_Log[],2,FALSE)</f>
        <v>CGF-04</v>
      </c>
      <c r="C155" s="5">
        <v>38.92</v>
      </c>
      <c r="D155" s="5">
        <v>39.68</v>
      </c>
      <c r="E155" s="5">
        <f>(Data_Geotech[[#This Row],[To (m)]]-Data_Geotech[[#This Row],[From (m)]])/2+Data_Geotech[[#This Row],[From (m)]]</f>
        <v>39.299999999999997</v>
      </c>
      <c r="F155" s="13">
        <f>Data_Geotech[[#This Row],[To (m)]]-Data_Geotech[[#This Row],[From (m)]]</f>
        <v>0.75999999999999801</v>
      </c>
      <c r="G155" s="5">
        <v>0.76</v>
      </c>
      <c r="H155" s="61">
        <f>Data_Geotech[[#This Row],[TCR (m)]]/Data_Geotech[[#This Row],[Run (m)]]*100</f>
        <v>100.00000000000027</v>
      </c>
      <c r="I155" s="151">
        <v>0.76</v>
      </c>
      <c r="J155" s="151">
        <v>0.76</v>
      </c>
      <c r="K155" s="5">
        <v>0.71</v>
      </c>
      <c r="L155" s="61">
        <f>Data_Geotech[[#This Row],[RQD (m)]]/Data_Geotech[[#This Row],[Run Reel (m)]]*100</f>
        <v>93.421052631578931</v>
      </c>
      <c r="M155" t="s">
        <v>569</v>
      </c>
      <c r="O155" t="s">
        <v>243</v>
      </c>
      <c r="P155" s="115" t="s">
        <v>397</v>
      </c>
      <c r="Q155" s="5" t="s">
        <v>313</v>
      </c>
      <c r="R155" s="5"/>
      <c r="S155" s="5"/>
      <c r="T155" s="5"/>
      <c r="U155" s="5"/>
      <c r="V155" s="6">
        <v>2</v>
      </c>
      <c r="W155" s="92">
        <f>SUMIFS(Discontinuities!$D$4:$D$9664,Discontinuities!$A$4:$A$9664,A155,Discontinuities!$C$4:$C$9664,"&gt;="&amp;C155,Discontinuities!$C$4:$C$9664,"&lt;"&amp;D155)
-SUMIFS(Discontinuities!$D$4:$D$9664,Discontinuities!$A$4:$A$9664,A155,Discontinuities!$C$4:$C$9664,"&gt;="&amp;C155,Discontinuities!$C$4:$C$9664,"&lt;"&amp;D155,Discontinuities!$E$4:$E$9664,"=BC")
-SUMIFS(Discontinuities!$D$4:$D$9664,Discontinuities!$A$4:$A$9664,A155,Discontinuities!$C$4:$C$9664,"&gt;="&amp;C155,Discontinuities!$C$4:$C$9664,"&lt;"&amp;D155,Discontinuities!$E$4:$E$9664,"=LC")
-SUMIFS(Discontinuities!$D$4:$D$9664,Discontinuities!$A$4:$A$9664,A155,Discontinuities!$C$4:$C$9664,"&gt;="&amp;C155,Discontinuities!$C$4:$C$9664,"&lt;"&amp;D155,Discontinuities!$E$4:$E$9664,"=FLT")</f>
        <v>2</v>
      </c>
      <c r="X155" t="s">
        <v>312</v>
      </c>
      <c r="AA155" s="12"/>
      <c r="AB155" s="43">
        <f>IFERROR(ROUND((Data_Geotech[[#This Row],[Fault (m)]]+Data_Geotech[[#This Row],[Broken Core (m)]]+Data_Geotech[[#This Row],[Lost Core (m)]])*30,0),0)</f>
        <v>0</v>
      </c>
      <c r="AC155" s="44">
        <f>IF(Data_Geotech[[#This Row],[Added fractures 
(BC, FLT, LC)]]+Data_Geotech[[#This Row],[Fracture per interval]]=0,99,1/((Data_Geotech[[#This Row],[Fracture per interval]]+Data_Geotech[[#This Row],[Added fractures 
(BC, FLT, LC)]])/Data_Geotech[[#This Row],[Run (m)]]))</f>
        <v>0.37999999999999901</v>
      </c>
      <c r="AD155" s="155" t="str" cm="1">
        <f t="array" ref="AD155">IFERROR(_xlfn.XLOOKUP(1,(A155=PLT!$A$4:$A$8886)*(Geotech!C155&lt;=PLT!$F$4:$F$8886)*(Geotech!D155&gt;=PLT!$F$4:$F$8886)*("Valid"=PLT!$P$4:$P$8886),PLT!$V$4:$V$8886),"")</f>
        <v/>
      </c>
      <c r="AE155" s="156" t="str" cm="1">
        <f t="array" ref="AE155">IFERROR(_xlfn.XLOOKUP(1,(A155=PLT!$A$4:$A$8886)*(Geotech!C155&lt;=PLT!$F$4:$F$8886)*(Geotech!D155&gt;=PLT!$F$4:$F$8886)*(PLT!$V$4:$V$8886&lt;&gt;AD155)*("Valid"=PLT!$P$4:$P$7190),PLT!$V$4:$V$8886),"")</f>
        <v/>
      </c>
      <c r="AF155" s="156" t="str" cm="1">
        <f t="array" ref="AF155">IFERROR(_xlfn.XLOOKUP(1,(A155=PLT!$A$4:$A$8886)*(Geotech!C155&lt;=PLT!$F$4:$F$8886)*(Geotech!D155&gt;=PLT!$F$4:$F$8886)*(PLT!$V$4:$V$8886&lt;&gt;AD155)*(PLT!$V$4:$V$8886&lt;&gt;AE155)*("Valid"=PLT!$P$4:$P$7190),PLT!$V$4:$V$8886),"")</f>
        <v/>
      </c>
      <c r="AG155" s="44" t="str">
        <f>IFERROR(IF(AVERAGE(AD155:AF155)&gt;References!$BO$23,References!$BP$23,
IF(AVERAGE(AD155:AF155)&gt;References!$BO$22,References!$BP$22,
IF(AVERAGE(AD155:AF155)&gt;References!$BO$21,References!$BP$21,
IF(AVERAGE(AD155:AF155)&gt;References!$BO$20,References!$BP$20,
IF(AVERAGE(AD155:AF155)&gt;References!$BO$19,References!$BP$19,
IF(AVERAGE(AD155:AF155)&gt;References!$BO$18,References!$BP$18,
0)))))),"")</f>
        <v/>
      </c>
      <c r="AH155" s="43">
        <f>IF(Data_Geotech[[#This Row],[Is50]]="",VLOOKUP(Data_Geotech[[#This Row],[Field Intact Rock Strength]],Table_RMR76_Strength[],2,FALSE),Data_Geotech[[#This Row],[Is50]])</f>
        <v>12</v>
      </c>
      <c r="AI155" s="43">
        <f>IF(Data_Geotech[[#This Row],[RQD (%)]]&lt;=25,3,IF(Data_Geotech[[#This Row],[RQD (%)]]&lt;=50,8,IF(Data_Geotech[[#This Row],[RQD (%)]]&lt;=75,13,IF(Data_Geotech[[#This Row],[RQD (%)]]&lt;=90,17,20))))</f>
        <v>20</v>
      </c>
      <c r="AJ155" s="43">
        <f>IF(Data_Geotech[[#This Row],[Joint spacing (m)]]&lt;=0.05,5,IF(Data_Geotech[[#This Row],[Joint spacing (m)]]&lt;=0.3,10,IF(Data_Geotech[[#This Row],[Joint spacing (m)]]&lt;=1,20,IF(Data_Geotech[[#This Row],[Joint spacing (m)]]&lt;=3,25,30))))</f>
        <v>20</v>
      </c>
      <c r="AK15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9</v>
      </c>
      <c r="AL155" s="6">
        <v>10</v>
      </c>
      <c r="AM155" s="117">
        <f>IF(Data_Geotech[[#This Row],[FIRS Code]]="R",IFERROR(SUM(Data_Geotech[[#This Row],[RMR76 - Strength rating]:[RMR76 - Ground water rating]]),""),"")</f>
        <v>71</v>
      </c>
      <c r="AN155" s="39">
        <f>IF(Data_Geotech[[#This Row],[FIRS Code]]="R",(2*Data_Geotech[[#This Row],[RMR76 - Joint condition rating]])+(IF(Data_Geotech[[#This Row],[RQD (%)]]&gt;80,80/2,Data_Geotech[[#This Row],[RQD (%)]]/2)),"")</f>
        <v>58</v>
      </c>
      <c r="AO155" s="43" t="str">
        <f>LEFT(Data_Geotech[[#This Row],[Joint Set Rating]],FIND("-",Data_Geotech[[#This Row],[Joint Set Rating]],1)-2)</f>
        <v>2</v>
      </c>
      <c r="AP15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0.375</v>
      </c>
      <c r="AQ155" s="5">
        <f t="shared" si="0"/>
        <v>1</v>
      </c>
      <c r="AR155" s="49">
        <f>IF(Data_Geotech[[#This Row],[FIRS Code]]="R",IFERROR((IF(Data_Geotech[[#This Row],[RQD (%)]]&lt;10,10,Data_Geotech[[#This Row],[RQD (%)]])/Data_Geotech[[#This Row],[Jn rating]])*Data_Geotech[[#This Row],[Jr/Ja]],""),"")</f>
        <v>17.516447368421048</v>
      </c>
      <c r="AS155" s="45">
        <f>IF(Data_Geotech[[#This Row],[FIRS Code]]="R",IFERROR((IF(Data_Geotech[[#This Row],[RQD (%)]]&lt;10,10,Data_Geotech[[#This Row],[RQD (%)]])/Data_Geotech[[#This Row],[Jn rating]])*Data_Geotech[[#This Row],[Jr/Ja]]*Data_Geotech[[#This Row],[Jw/SRF]],""),"")</f>
        <v>17.516447368421048</v>
      </c>
      <c r="AT155" s="12"/>
      <c r="AU155" s="13">
        <f>100-Data_Geotech[[#This Row],[RQD (%)]]</f>
        <v>6.5789473684210691</v>
      </c>
      <c r="AV155" s="13">
        <f>100-Data_Geotech[[#This Row],[TCR (%)]]</f>
        <v>-2.7000623958883807E-13</v>
      </c>
      <c r="AW155" s="62">
        <f>(Data_Geotech[[#This Row],[Fracture per interval]]+Data_Geotech[[#This Row],[Added fractures 
(BC, FLT, LC)]])/Data_Geotech[[#This Row],[TCR (m)]]</f>
        <v>2.6315789473684212</v>
      </c>
      <c r="AX155" s="6" t="s">
        <v>109</v>
      </c>
      <c r="AY155" s="63">
        <f>7-MID(Data_Geotech[[#This Row],[Field Intact Rock Strength]],2,1)</f>
        <v>2</v>
      </c>
      <c r="AZ155" s="63">
        <f>VLOOKUP(Data_Geotech[[#This Row],[Field Intact Rock Strength]],Table_FieldStrength[],2,FALSE)</f>
        <v>100</v>
      </c>
      <c r="BA155" s="63">
        <f>VLOOKUP(Data_Geotech[[#This Row],[Field Intact Rock Strength]],Table_FieldStrength[],3,FALSE)</f>
        <v>175</v>
      </c>
      <c r="BB155" s="63">
        <f>VLOOKUP(Data_Geotech[[#This Row],[Field Intact Rock Strength]],Table_FieldStrength[],4,FALSE)</f>
        <v>250</v>
      </c>
      <c r="BC155" s="63">
        <f>100-Data_Geotech[[#This Row],[RMR76]]</f>
        <v>29</v>
      </c>
      <c r="BD155" s="63" t="str">
        <f>LEFT(Data_Geotech[[#This Row],[Weathering/Alteration]],FIND("-",Data_Geotech[[#This Row],[Weathering/Alteration]])-2)</f>
        <v>W1/A1</v>
      </c>
    </row>
    <row r="156" spans="1:56" hidden="1" x14ac:dyDescent="0.25">
      <c r="A156" t="s">
        <v>34</v>
      </c>
      <c r="B156" s="16" t="str">
        <f>VLOOKUP(Data_Geotech[[#This Row],[Hole ID]],Data_Log[],2,FALSE)</f>
        <v>CGF-04</v>
      </c>
      <c r="C156" s="5">
        <v>39.68</v>
      </c>
      <c r="D156" s="5">
        <v>42</v>
      </c>
      <c r="E156" s="5">
        <f>(Data_Geotech[[#This Row],[To (m)]]-Data_Geotech[[#This Row],[From (m)]])/2+Data_Geotech[[#This Row],[From (m)]]</f>
        <v>40.840000000000003</v>
      </c>
      <c r="F156" s="13">
        <f>Data_Geotech[[#This Row],[To (m)]]-Data_Geotech[[#This Row],[From (m)]]</f>
        <v>2.3200000000000003</v>
      </c>
      <c r="G156" s="5">
        <v>2.3199999999999998</v>
      </c>
      <c r="H156" s="61">
        <f>Data_Geotech[[#This Row],[TCR (m)]]/Data_Geotech[[#This Row],[Run (m)]]*100</f>
        <v>99.999999999999972</v>
      </c>
      <c r="I156" s="151">
        <v>2.2000000000000002</v>
      </c>
      <c r="J156" s="151">
        <v>2.2000000000000002</v>
      </c>
      <c r="K156" s="5">
        <v>2.2000000000000002</v>
      </c>
      <c r="L156" s="61">
        <f>Data_Geotech[[#This Row],[RQD (m)]]/Data_Geotech[[#This Row],[Run Reel (m)]]*100</f>
        <v>100</v>
      </c>
      <c r="M156" t="s">
        <v>580</v>
      </c>
      <c r="O156" t="s">
        <v>243</v>
      </c>
      <c r="P156" s="115" t="s">
        <v>416</v>
      </c>
      <c r="Q156" s="5" t="s">
        <v>281</v>
      </c>
      <c r="R156" s="5"/>
      <c r="S156" s="5"/>
      <c r="T156" s="5"/>
      <c r="U156" s="5"/>
      <c r="V156" s="6">
        <v>1</v>
      </c>
      <c r="W156" s="92">
        <f>SUMIFS(Discontinuities!$D$4:$D$9664,Discontinuities!$A$4:$A$9664,A156,Discontinuities!$C$4:$C$9664,"&gt;="&amp;C156,Discontinuities!$C$4:$C$9664,"&lt;"&amp;D156)
-SUMIFS(Discontinuities!$D$4:$D$9664,Discontinuities!$A$4:$A$9664,A156,Discontinuities!$C$4:$C$9664,"&gt;="&amp;C156,Discontinuities!$C$4:$C$9664,"&lt;"&amp;D156,Discontinuities!$E$4:$E$9664,"=BC")
-SUMIFS(Discontinuities!$D$4:$D$9664,Discontinuities!$A$4:$A$9664,A156,Discontinuities!$C$4:$C$9664,"&gt;="&amp;C156,Discontinuities!$C$4:$C$9664,"&lt;"&amp;D156,Discontinuities!$E$4:$E$9664,"=LC")
-SUMIFS(Discontinuities!$D$4:$D$9664,Discontinuities!$A$4:$A$9664,A156,Discontinuities!$C$4:$C$9664,"&gt;="&amp;C156,Discontinuities!$C$4:$C$9664,"&lt;"&amp;D156,Discontinuities!$E$4:$E$9664,"=FLT")</f>
        <v>1</v>
      </c>
      <c r="X156" t="s">
        <v>280</v>
      </c>
      <c r="AA156" s="12"/>
      <c r="AB156" s="43">
        <f>IFERROR(ROUND((Data_Geotech[[#This Row],[Fault (m)]]+Data_Geotech[[#This Row],[Broken Core (m)]]+Data_Geotech[[#This Row],[Lost Core (m)]])*30,0),0)</f>
        <v>0</v>
      </c>
      <c r="AC156" s="44">
        <f>IF(Data_Geotech[[#This Row],[Added fractures 
(BC, FLT, LC)]]+Data_Geotech[[#This Row],[Fracture per interval]]=0,99,1/((Data_Geotech[[#This Row],[Fracture per interval]]+Data_Geotech[[#This Row],[Added fractures 
(BC, FLT, LC)]])/Data_Geotech[[#This Row],[Run (m)]]))</f>
        <v>2.3200000000000003</v>
      </c>
      <c r="AD156" s="155" t="str" cm="1">
        <f t="array" ref="AD156">IFERROR(_xlfn.XLOOKUP(1,(A156=PLT!$A$4:$A$8886)*(Geotech!C156&lt;=PLT!$F$4:$F$8886)*(Geotech!D156&gt;=PLT!$F$4:$F$8886)*("Valid"=PLT!$P$4:$P$8886),PLT!$V$4:$V$8886),"")</f>
        <v/>
      </c>
      <c r="AE156" s="156" t="str" cm="1">
        <f t="array" ref="AE156">IFERROR(_xlfn.XLOOKUP(1,(A156=PLT!$A$4:$A$8886)*(Geotech!C156&lt;=PLT!$F$4:$F$8886)*(Geotech!D156&gt;=PLT!$F$4:$F$8886)*(PLT!$V$4:$V$8886&lt;&gt;AD156)*("Valid"=PLT!$P$4:$P$7190),PLT!$V$4:$V$8886),"")</f>
        <v/>
      </c>
      <c r="AF156" s="156" t="str" cm="1">
        <f t="array" ref="AF156">IFERROR(_xlfn.XLOOKUP(1,(A156=PLT!$A$4:$A$8886)*(Geotech!C156&lt;=PLT!$F$4:$F$8886)*(Geotech!D156&gt;=PLT!$F$4:$F$8886)*(PLT!$V$4:$V$8886&lt;&gt;AD156)*(PLT!$V$4:$V$8886&lt;&gt;AE156)*("Valid"=PLT!$P$4:$P$7190),PLT!$V$4:$V$8886),"")</f>
        <v/>
      </c>
      <c r="AG156" s="44" t="str">
        <f>IFERROR(IF(AVERAGE(AD156:AF156)&gt;References!$BO$23,References!$BP$23,
IF(AVERAGE(AD156:AF156)&gt;References!$BO$22,References!$BP$22,
IF(AVERAGE(AD156:AF156)&gt;References!$BO$21,References!$BP$21,
IF(AVERAGE(AD156:AF156)&gt;References!$BO$20,References!$BP$20,
IF(AVERAGE(AD156:AF156)&gt;References!$BO$19,References!$BP$19,
IF(AVERAGE(AD156:AF156)&gt;References!$BO$18,References!$BP$18,
0)))))),"")</f>
        <v/>
      </c>
      <c r="AH156" s="43">
        <f>IF(Data_Geotech[[#This Row],[Is50]]="",VLOOKUP(Data_Geotech[[#This Row],[Field Intact Rock Strength]],Table_RMR76_Strength[],2,FALSE),Data_Geotech[[#This Row],[Is50]])</f>
        <v>15</v>
      </c>
      <c r="AI156" s="43">
        <f>IF(Data_Geotech[[#This Row],[RQD (%)]]&lt;=25,3,IF(Data_Geotech[[#This Row],[RQD (%)]]&lt;=50,8,IF(Data_Geotech[[#This Row],[RQD (%)]]&lt;=75,13,IF(Data_Geotech[[#This Row],[RQD (%)]]&lt;=90,17,20))))</f>
        <v>20</v>
      </c>
      <c r="AJ156" s="43">
        <f>IF(Data_Geotech[[#This Row],[Joint spacing (m)]]&lt;=0.05,5,IF(Data_Geotech[[#This Row],[Joint spacing (m)]]&lt;=0.3,10,IF(Data_Geotech[[#This Row],[Joint spacing (m)]]&lt;=1,20,IF(Data_Geotech[[#This Row],[Joint spacing (m)]]&lt;=3,25,30))))</f>
        <v>25</v>
      </c>
      <c r="AK15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56" s="6">
        <v>10</v>
      </c>
      <c r="AM156" s="117">
        <f>IF(Data_Geotech[[#This Row],[FIRS Code]]="R",IFERROR(SUM(Data_Geotech[[#This Row],[RMR76 - Strength rating]:[RMR76 - Ground water rating]]),""),"")</f>
        <v>76</v>
      </c>
      <c r="AN156" s="39">
        <f>IF(Data_Geotech[[#This Row],[FIRS Code]]="R",(2*Data_Geotech[[#This Row],[RMR76 - Joint condition rating]])+(IF(Data_Geotech[[#This Row],[RQD (%)]]&gt;80,80/2,Data_Geotech[[#This Row],[RQD (%)]]/2)),"")</f>
        <v>52</v>
      </c>
      <c r="AO156" s="43" t="str">
        <f>LEFT(Data_Geotech[[#This Row],[Joint Set Rating]],FIND("-",Data_Geotech[[#This Row],[Joint Set Rating]],1)-2)</f>
        <v>1</v>
      </c>
      <c r="AP15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0.16666666666666666</v>
      </c>
      <c r="AQ156" s="5">
        <f t="shared" si="0"/>
        <v>1</v>
      </c>
      <c r="AR156" s="49">
        <f>IF(Data_Geotech[[#This Row],[FIRS Code]]="R",IFERROR((IF(Data_Geotech[[#This Row],[RQD (%)]]&lt;10,10,Data_Geotech[[#This Row],[RQD (%)]])/Data_Geotech[[#This Row],[Jn rating]])*Data_Geotech[[#This Row],[Jr/Ja]],""),"")</f>
        <v>16.666666666666664</v>
      </c>
      <c r="AS156" s="45">
        <f>IF(Data_Geotech[[#This Row],[FIRS Code]]="R",IFERROR((IF(Data_Geotech[[#This Row],[RQD (%)]]&lt;10,10,Data_Geotech[[#This Row],[RQD (%)]])/Data_Geotech[[#This Row],[Jn rating]])*Data_Geotech[[#This Row],[Jr/Ja]]*Data_Geotech[[#This Row],[Jw/SRF]],""),"")</f>
        <v>16.666666666666664</v>
      </c>
      <c r="AT156" s="12"/>
      <c r="AU156" s="13">
        <f>100-Data_Geotech[[#This Row],[RQD (%)]]</f>
        <v>0</v>
      </c>
      <c r="AV156" s="13">
        <f>100-Data_Geotech[[#This Row],[TCR (%)]]</f>
        <v>0</v>
      </c>
      <c r="AW156" s="62">
        <f>(Data_Geotech[[#This Row],[Fracture per interval]]+Data_Geotech[[#This Row],[Added fractures 
(BC, FLT, LC)]])/Data_Geotech[[#This Row],[TCR (m)]]</f>
        <v>0.43103448275862072</v>
      </c>
      <c r="AX156" s="6" t="s">
        <v>109</v>
      </c>
      <c r="AY156" s="63">
        <f>7-MID(Data_Geotech[[#This Row],[Field Intact Rock Strength]],2,1)</f>
        <v>1</v>
      </c>
      <c r="AZ156" s="63">
        <f>VLOOKUP(Data_Geotech[[#This Row],[Field Intact Rock Strength]],Table_FieldStrength[],2,FALSE)</f>
        <v>250</v>
      </c>
      <c r="BA156" s="63">
        <f>VLOOKUP(Data_Geotech[[#This Row],[Field Intact Rock Strength]],Table_FieldStrength[],3,FALSE)</f>
        <v>275</v>
      </c>
      <c r="BB156" s="63">
        <f>VLOOKUP(Data_Geotech[[#This Row],[Field Intact Rock Strength]],Table_FieldStrength[],4,FALSE)</f>
        <v>300</v>
      </c>
      <c r="BC156" s="63">
        <f>100-Data_Geotech[[#This Row],[RMR76]]</f>
        <v>24</v>
      </c>
      <c r="BD156" s="63" t="str">
        <f>LEFT(Data_Geotech[[#This Row],[Weathering/Alteration]],FIND("-",Data_Geotech[[#This Row],[Weathering/Alteration]])-2)</f>
        <v>W1/A1</v>
      </c>
    </row>
    <row r="157" spans="1:56" hidden="1" x14ac:dyDescent="0.25">
      <c r="A157" t="s">
        <v>34</v>
      </c>
      <c r="B157" s="16" t="str">
        <f>VLOOKUP(Data_Geotech[[#This Row],[Hole ID]],Data_Log[],2,FALSE)</f>
        <v>CGF-04</v>
      </c>
      <c r="C157" s="5">
        <v>42</v>
      </c>
      <c r="D157" s="5">
        <v>44.34</v>
      </c>
      <c r="E157" s="5">
        <f>(Data_Geotech[[#This Row],[To (m)]]-Data_Geotech[[#This Row],[From (m)]])/2+Data_Geotech[[#This Row],[From (m)]]</f>
        <v>43.17</v>
      </c>
      <c r="F157" s="13">
        <f>Data_Geotech[[#This Row],[To (m)]]-Data_Geotech[[#This Row],[From (m)]]</f>
        <v>2.3400000000000034</v>
      </c>
      <c r="G157" s="5">
        <v>2.34</v>
      </c>
      <c r="H157" s="61">
        <f>Data_Geotech[[#This Row],[TCR (m)]]/Data_Geotech[[#This Row],[Run (m)]]*100</f>
        <v>99.999999999999844</v>
      </c>
      <c r="I157" s="151">
        <v>2.34</v>
      </c>
      <c r="J157" s="151">
        <v>2.34</v>
      </c>
      <c r="K157" s="5">
        <v>2.34</v>
      </c>
      <c r="L157" s="61">
        <f>Data_Geotech[[#This Row],[RQD (m)]]/Data_Geotech[[#This Row],[Run Reel (m)]]*100</f>
        <v>100</v>
      </c>
      <c r="M157" t="s">
        <v>580</v>
      </c>
      <c r="O157" t="s">
        <v>243</v>
      </c>
      <c r="P157" s="115" t="s">
        <v>416</v>
      </c>
      <c r="Q157" s="5" t="s">
        <v>281</v>
      </c>
      <c r="R157" s="5"/>
      <c r="S157" s="5"/>
      <c r="T157" s="5"/>
      <c r="U157" s="5"/>
      <c r="V157" s="6">
        <v>0</v>
      </c>
      <c r="W157" s="92">
        <f>SUMIFS(Discontinuities!$D$4:$D$9664,Discontinuities!$A$4:$A$9664,A157,Discontinuities!$C$4:$C$9664,"&gt;="&amp;C157,Discontinuities!$C$4:$C$9664,"&lt;"&amp;D157)
-SUMIFS(Discontinuities!$D$4:$D$9664,Discontinuities!$A$4:$A$9664,A157,Discontinuities!$C$4:$C$9664,"&gt;="&amp;C157,Discontinuities!$C$4:$C$9664,"&lt;"&amp;D157,Discontinuities!$E$4:$E$9664,"=BC")
-SUMIFS(Discontinuities!$D$4:$D$9664,Discontinuities!$A$4:$A$9664,A157,Discontinuities!$C$4:$C$9664,"&gt;="&amp;C157,Discontinuities!$C$4:$C$9664,"&lt;"&amp;D157,Discontinuities!$E$4:$E$9664,"=LC")
-SUMIFS(Discontinuities!$D$4:$D$9664,Discontinuities!$A$4:$A$9664,A157,Discontinuities!$C$4:$C$9664,"&gt;="&amp;C157,Discontinuities!$C$4:$C$9664,"&lt;"&amp;D157,Discontinuities!$E$4:$E$9664,"=FLT")</f>
        <v>0</v>
      </c>
      <c r="X157" t="s">
        <v>280</v>
      </c>
      <c r="AA157" s="12"/>
      <c r="AB157" s="43">
        <f>IFERROR(ROUND((Data_Geotech[[#This Row],[Fault (m)]]+Data_Geotech[[#This Row],[Broken Core (m)]]+Data_Geotech[[#This Row],[Lost Core (m)]])*30,0),0)</f>
        <v>0</v>
      </c>
      <c r="AC157" s="44">
        <f>IF(Data_Geotech[[#This Row],[Added fractures 
(BC, FLT, LC)]]+Data_Geotech[[#This Row],[Fracture per interval]]=0,99,1/((Data_Geotech[[#This Row],[Fracture per interval]]+Data_Geotech[[#This Row],[Added fractures 
(BC, FLT, LC)]])/Data_Geotech[[#This Row],[Run (m)]]))</f>
        <v>99</v>
      </c>
      <c r="AD157" s="155" cm="1">
        <f t="array" ref="AD157">IFERROR(_xlfn.XLOOKUP(1,(A157=PLT!$A$4:$A$8886)*(Geotech!C157&lt;=PLT!$F$4:$F$8886)*(Geotech!D157&gt;=PLT!$F$4:$F$8886)*("Valid"=PLT!$P$4:$P$8886),PLT!$V$4:$V$8886),"")</f>
        <v>0</v>
      </c>
      <c r="AE157" s="156" t="str" cm="1">
        <f t="array" ref="AE157">IFERROR(_xlfn.XLOOKUP(1,(A157=PLT!$A$4:$A$8886)*(Geotech!C157&lt;=PLT!$F$4:$F$8886)*(Geotech!D157&gt;=PLT!$F$4:$F$8886)*(PLT!$V$4:$V$8886&lt;&gt;AD157)*("Valid"=PLT!$P$4:$P$7190),PLT!$V$4:$V$8886),"")</f>
        <v/>
      </c>
      <c r="AF157" s="156" t="str" cm="1">
        <f t="array" ref="AF157">IFERROR(_xlfn.XLOOKUP(1,(A157=PLT!$A$4:$A$8886)*(Geotech!C157&lt;=PLT!$F$4:$F$8886)*(Geotech!D157&gt;=PLT!$F$4:$F$8886)*(PLT!$V$4:$V$8886&lt;&gt;AD157)*(PLT!$V$4:$V$8886&lt;&gt;AE157)*("Valid"=PLT!$P$4:$P$7190),PLT!$V$4:$V$8886),"")</f>
        <v/>
      </c>
      <c r="AG157" s="44">
        <f>IFERROR(IF(AVERAGE(AD157:AF157)&gt;References!$BO$23,References!$BP$23,
IF(AVERAGE(AD157:AF157)&gt;References!$BO$22,References!$BP$22,
IF(AVERAGE(AD157:AF157)&gt;References!$BO$21,References!$BP$21,
IF(AVERAGE(AD157:AF157)&gt;References!$BO$20,References!$BP$20,
IF(AVERAGE(AD157:AF157)&gt;References!$BO$19,References!$BP$19,
IF(AVERAGE(AD157:AF157)&gt;References!$BO$18,References!$BP$18,
0)))))),"")</f>
        <v>0</v>
      </c>
      <c r="AH157" s="43">
        <f>IF(Data_Geotech[[#This Row],[Is50]]="",VLOOKUP(Data_Geotech[[#This Row],[Field Intact Rock Strength]],Table_RMR76_Strength[],2,FALSE),Data_Geotech[[#This Row],[Is50]])</f>
        <v>0</v>
      </c>
      <c r="AI157" s="43">
        <f>IF(Data_Geotech[[#This Row],[RQD (%)]]&lt;=25,3,IF(Data_Geotech[[#This Row],[RQD (%)]]&lt;=50,8,IF(Data_Geotech[[#This Row],[RQD (%)]]&lt;=75,13,IF(Data_Geotech[[#This Row],[RQD (%)]]&lt;=90,17,20))))</f>
        <v>20</v>
      </c>
      <c r="AJ157" s="43">
        <f>IF(Data_Geotech[[#This Row],[Joint spacing (m)]]&lt;=0.05,5,IF(Data_Geotech[[#This Row],[Joint spacing (m)]]&lt;=0.3,10,IF(Data_Geotech[[#This Row],[Joint spacing (m)]]&lt;=1,20,IF(Data_Geotech[[#This Row],[Joint spacing (m)]]&lt;=3,25,30))))</f>
        <v>30</v>
      </c>
      <c r="AK15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57" s="6">
        <v>10</v>
      </c>
      <c r="AM157" s="117">
        <f>IF(Data_Geotech[[#This Row],[FIRS Code]]="R",IFERROR(SUM(Data_Geotech[[#This Row],[RMR76 - Strength rating]:[RMR76 - Ground water rating]]),""),"")</f>
        <v>85</v>
      </c>
      <c r="AN157" s="39">
        <f>IF(Data_Geotech[[#This Row],[FIRS Code]]="R",(2*Data_Geotech[[#This Row],[RMR76 - Joint condition rating]])+(IF(Data_Geotech[[#This Row],[RQD (%)]]&gt;80,80/2,Data_Geotech[[#This Row],[RQD (%)]]/2)),"")</f>
        <v>90</v>
      </c>
      <c r="AO157" s="43" t="str">
        <f>LEFT(Data_Geotech[[#This Row],[Joint Set Rating]],FIND("-",Data_Geotech[[#This Row],[Joint Set Rating]],1)-2)</f>
        <v>1</v>
      </c>
      <c r="AP15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57" s="5">
        <f t="shared" si="0"/>
        <v>1</v>
      </c>
      <c r="AR157" s="49">
        <f>IF(Data_Geotech[[#This Row],[FIRS Code]]="R",IFERROR((IF(Data_Geotech[[#This Row],[RQD (%)]]&lt;10,10,Data_Geotech[[#This Row],[RQD (%)]])/Data_Geotech[[#This Row],[Jn rating]])*Data_Geotech[[#This Row],[Jr/Ja]],""),"")</f>
        <v>533.33333333333326</v>
      </c>
      <c r="AS157" s="45">
        <f>IF(Data_Geotech[[#This Row],[FIRS Code]]="R",IFERROR((IF(Data_Geotech[[#This Row],[RQD (%)]]&lt;10,10,Data_Geotech[[#This Row],[RQD (%)]])/Data_Geotech[[#This Row],[Jn rating]])*Data_Geotech[[#This Row],[Jr/Ja]]*Data_Geotech[[#This Row],[Jw/SRF]],""),"")</f>
        <v>533.33333333333326</v>
      </c>
      <c r="AT157" s="12"/>
      <c r="AU157" s="13">
        <f>100-Data_Geotech[[#This Row],[RQD (%)]]</f>
        <v>0</v>
      </c>
      <c r="AV157" s="13">
        <f>100-Data_Geotech[[#This Row],[TCR (%)]]</f>
        <v>1.5631940186722204E-13</v>
      </c>
      <c r="AW157" s="62">
        <f>(Data_Geotech[[#This Row],[Fracture per interval]]+Data_Geotech[[#This Row],[Added fractures 
(BC, FLT, LC)]])/Data_Geotech[[#This Row],[TCR (m)]]</f>
        <v>0</v>
      </c>
      <c r="AX157" s="6" t="s">
        <v>109</v>
      </c>
      <c r="AY157" s="63">
        <f>7-MID(Data_Geotech[[#This Row],[Field Intact Rock Strength]],2,1)</f>
        <v>1</v>
      </c>
      <c r="AZ157" s="63">
        <f>VLOOKUP(Data_Geotech[[#This Row],[Field Intact Rock Strength]],Table_FieldStrength[],2,FALSE)</f>
        <v>250</v>
      </c>
      <c r="BA157" s="63">
        <f>VLOOKUP(Data_Geotech[[#This Row],[Field Intact Rock Strength]],Table_FieldStrength[],3,FALSE)</f>
        <v>275</v>
      </c>
      <c r="BB157" s="63">
        <f>VLOOKUP(Data_Geotech[[#This Row],[Field Intact Rock Strength]],Table_FieldStrength[],4,FALSE)</f>
        <v>300</v>
      </c>
      <c r="BC157" s="63">
        <f>100-Data_Geotech[[#This Row],[RMR76]]</f>
        <v>15</v>
      </c>
      <c r="BD157" s="63" t="str">
        <f>LEFT(Data_Geotech[[#This Row],[Weathering/Alteration]],FIND("-",Data_Geotech[[#This Row],[Weathering/Alteration]])-2)</f>
        <v>W1/A1</v>
      </c>
    </row>
    <row r="158" spans="1:56" hidden="1" x14ac:dyDescent="0.25">
      <c r="A158" t="s">
        <v>34</v>
      </c>
      <c r="B158" s="16" t="str">
        <f>VLOOKUP(Data_Geotech[[#This Row],[Hole ID]],Data_Log[],2,FALSE)</f>
        <v>CGF-04</v>
      </c>
      <c r="C158" s="5">
        <v>44.34</v>
      </c>
      <c r="D158" s="5">
        <v>44.96</v>
      </c>
      <c r="E158" s="5">
        <f>(Data_Geotech[[#This Row],[To (m)]]-Data_Geotech[[#This Row],[From (m)]])/2+Data_Geotech[[#This Row],[From (m)]]</f>
        <v>44.650000000000006</v>
      </c>
      <c r="F158" s="13">
        <f>Data_Geotech[[#This Row],[To (m)]]-Data_Geotech[[#This Row],[From (m)]]</f>
        <v>0.61999999999999744</v>
      </c>
      <c r="G158" s="5">
        <v>0.62</v>
      </c>
      <c r="H158" s="61">
        <f>Data_Geotech[[#This Row],[TCR (m)]]/Data_Geotech[[#This Row],[Run (m)]]*100</f>
        <v>100.00000000000043</v>
      </c>
      <c r="I158" s="151">
        <v>0.62</v>
      </c>
      <c r="J158" s="151">
        <v>0.62</v>
      </c>
      <c r="K158" s="5">
        <v>0.57999999999999996</v>
      </c>
      <c r="L158" s="61">
        <f>Data_Geotech[[#This Row],[RQD (m)]]/Data_Geotech[[#This Row],[Run Reel (m)]]*100</f>
        <v>93.548387096774192</v>
      </c>
      <c r="M158" t="s">
        <v>584</v>
      </c>
      <c r="O158" t="s">
        <v>243</v>
      </c>
      <c r="P158" s="115" t="s">
        <v>370</v>
      </c>
      <c r="Q158" s="5" t="s">
        <v>313</v>
      </c>
      <c r="R158" s="5"/>
      <c r="S158" s="5"/>
      <c r="T158" s="5"/>
      <c r="U158" s="5"/>
      <c r="V158" s="6">
        <v>3</v>
      </c>
      <c r="W158" s="92">
        <f>SUMIFS(Discontinuities!$D$4:$D$9664,Discontinuities!$A$4:$A$9664,A158,Discontinuities!$C$4:$C$9664,"&gt;="&amp;C158,Discontinuities!$C$4:$C$9664,"&lt;"&amp;D158)
-SUMIFS(Discontinuities!$D$4:$D$9664,Discontinuities!$A$4:$A$9664,A158,Discontinuities!$C$4:$C$9664,"&gt;="&amp;C158,Discontinuities!$C$4:$C$9664,"&lt;"&amp;D158,Discontinuities!$E$4:$E$9664,"=BC")
-SUMIFS(Discontinuities!$D$4:$D$9664,Discontinuities!$A$4:$A$9664,A158,Discontinuities!$C$4:$C$9664,"&gt;="&amp;C158,Discontinuities!$C$4:$C$9664,"&lt;"&amp;D158,Discontinuities!$E$4:$E$9664,"=LC")
-SUMIFS(Discontinuities!$D$4:$D$9664,Discontinuities!$A$4:$A$9664,A158,Discontinuities!$C$4:$C$9664,"&gt;="&amp;C158,Discontinuities!$C$4:$C$9664,"&lt;"&amp;D158,Discontinuities!$E$4:$E$9664,"=FLT")</f>
        <v>3</v>
      </c>
      <c r="X158" t="s">
        <v>312</v>
      </c>
      <c r="AA158" s="12"/>
      <c r="AB158" s="43">
        <f>IFERROR(ROUND((Data_Geotech[[#This Row],[Fault (m)]]+Data_Geotech[[#This Row],[Broken Core (m)]]+Data_Geotech[[#This Row],[Lost Core (m)]])*30,0),0)</f>
        <v>0</v>
      </c>
      <c r="AC158" s="44">
        <f>IF(Data_Geotech[[#This Row],[Added fractures 
(BC, FLT, LC)]]+Data_Geotech[[#This Row],[Fracture per interval]]=0,99,1/((Data_Geotech[[#This Row],[Fracture per interval]]+Data_Geotech[[#This Row],[Added fractures 
(BC, FLT, LC)]])/Data_Geotech[[#This Row],[Run (m)]]))</f>
        <v>0.20666666666666583</v>
      </c>
      <c r="AD158" s="155" cm="1">
        <f t="array" ref="AD158">IFERROR(_xlfn.XLOOKUP(1,(A158=PLT!$A$4:$A$8886)*(Geotech!C158&lt;=PLT!$F$4:$F$8886)*(Geotech!D158&gt;=PLT!$F$4:$F$8886)*("Valid"=PLT!$P$4:$P$8886),PLT!$V$4:$V$8886),"")</f>
        <v>0</v>
      </c>
      <c r="AE158" s="156" t="str" cm="1">
        <f t="array" ref="AE158">IFERROR(_xlfn.XLOOKUP(1,(A158=PLT!$A$4:$A$8886)*(Geotech!C158&lt;=PLT!$F$4:$F$8886)*(Geotech!D158&gt;=PLT!$F$4:$F$8886)*(PLT!$V$4:$V$8886&lt;&gt;AD158)*("Valid"=PLT!$P$4:$P$7190),PLT!$V$4:$V$8886),"")</f>
        <v/>
      </c>
      <c r="AF158" s="156" t="str" cm="1">
        <f t="array" ref="AF158">IFERROR(_xlfn.XLOOKUP(1,(A158=PLT!$A$4:$A$8886)*(Geotech!C158&lt;=PLT!$F$4:$F$8886)*(Geotech!D158&gt;=PLT!$F$4:$F$8886)*(PLT!$V$4:$V$8886&lt;&gt;AD158)*(PLT!$V$4:$V$8886&lt;&gt;AE158)*("Valid"=PLT!$P$4:$P$7190),PLT!$V$4:$V$8886),"")</f>
        <v/>
      </c>
      <c r="AG158" s="44">
        <f>IFERROR(IF(AVERAGE(AD158:AF158)&gt;References!$BO$23,References!$BP$23,
IF(AVERAGE(AD158:AF158)&gt;References!$BO$22,References!$BP$22,
IF(AVERAGE(AD158:AF158)&gt;References!$BO$21,References!$BP$21,
IF(AVERAGE(AD158:AF158)&gt;References!$BO$20,References!$BP$20,
IF(AVERAGE(AD158:AF158)&gt;References!$BO$19,References!$BP$19,
IF(AVERAGE(AD158:AF158)&gt;References!$BO$18,References!$BP$18,
0)))))),"")</f>
        <v>0</v>
      </c>
      <c r="AH158" s="43">
        <f>IF(Data_Geotech[[#This Row],[Is50]]="",VLOOKUP(Data_Geotech[[#This Row],[Field Intact Rock Strength]],Table_RMR76_Strength[],2,FALSE),Data_Geotech[[#This Row],[Is50]])</f>
        <v>0</v>
      </c>
      <c r="AI158" s="43">
        <f>IF(Data_Geotech[[#This Row],[RQD (%)]]&lt;=25,3,IF(Data_Geotech[[#This Row],[RQD (%)]]&lt;=50,8,IF(Data_Geotech[[#This Row],[RQD (%)]]&lt;=75,13,IF(Data_Geotech[[#This Row],[RQD (%)]]&lt;=90,17,20))))</f>
        <v>20</v>
      </c>
      <c r="AJ158" s="43">
        <f>IF(Data_Geotech[[#This Row],[Joint spacing (m)]]&lt;=0.05,5,IF(Data_Geotech[[#This Row],[Joint spacing (m)]]&lt;=0.3,10,IF(Data_Geotech[[#This Row],[Joint spacing (m)]]&lt;=1,20,IF(Data_Geotech[[#This Row],[Joint spacing (m)]]&lt;=3,25,30))))</f>
        <v>10</v>
      </c>
      <c r="AK15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17.333333333333332</v>
      </c>
      <c r="AL158" s="6">
        <v>10</v>
      </c>
      <c r="AM158" s="117">
        <f>IF(Data_Geotech[[#This Row],[FIRS Code]]="R",IFERROR(SUM(Data_Geotech[[#This Row],[RMR76 - Strength rating]:[RMR76 - Ground water rating]]),""),"")</f>
        <v>57.333333333333329</v>
      </c>
      <c r="AN158" s="39">
        <f>IF(Data_Geotech[[#This Row],[FIRS Code]]="R",(2*Data_Geotech[[#This Row],[RMR76 - Joint condition rating]])+(IF(Data_Geotech[[#This Row],[RQD (%)]]&gt;80,80/2,Data_Geotech[[#This Row],[RQD (%)]]/2)),"")</f>
        <v>74.666666666666657</v>
      </c>
      <c r="AO158" s="43" t="str">
        <f>LEFT(Data_Geotech[[#This Row],[Joint Set Rating]],FIND("-",Data_Geotech[[#This Row],[Joint Set Rating]],1)-2)</f>
        <v>2</v>
      </c>
      <c r="AP15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0.83333333333333337</v>
      </c>
      <c r="AQ158" s="5">
        <f t="shared" si="0"/>
        <v>1</v>
      </c>
      <c r="AR158" s="49">
        <f>IF(Data_Geotech[[#This Row],[FIRS Code]]="R",IFERROR((IF(Data_Geotech[[#This Row],[RQD (%)]]&lt;10,10,Data_Geotech[[#This Row],[RQD (%)]])/Data_Geotech[[#This Row],[Jn rating]])*Data_Geotech[[#This Row],[Jr/Ja]],""),"")</f>
        <v>38.978494623655912</v>
      </c>
      <c r="AS158" s="45">
        <f>IF(Data_Geotech[[#This Row],[FIRS Code]]="R",IFERROR((IF(Data_Geotech[[#This Row],[RQD (%)]]&lt;10,10,Data_Geotech[[#This Row],[RQD (%)]])/Data_Geotech[[#This Row],[Jn rating]])*Data_Geotech[[#This Row],[Jr/Ja]]*Data_Geotech[[#This Row],[Jw/SRF]],""),"")</f>
        <v>38.978494623655912</v>
      </c>
      <c r="AT158" s="12"/>
      <c r="AU158" s="13">
        <f>100-Data_Geotech[[#This Row],[RQD (%)]]</f>
        <v>6.4516129032258078</v>
      </c>
      <c r="AV158" s="13">
        <f>100-Data_Geotech[[#This Row],[TCR (%)]]</f>
        <v>-4.2632564145606011E-13</v>
      </c>
      <c r="AW158" s="62">
        <f>(Data_Geotech[[#This Row],[Fracture per interval]]+Data_Geotech[[#This Row],[Added fractures 
(BC, FLT, LC)]])/Data_Geotech[[#This Row],[TCR (m)]]</f>
        <v>4.838709677419355</v>
      </c>
      <c r="AX158" s="6" t="s">
        <v>109</v>
      </c>
      <c r="AY158" s="63">
        <f>7-MID(Data_Geotech[[#This Row],[Field Intact Rock Strength]],2,1)</f>
        <v>3</v>
      </c>
      <c r="AZ158" s="63">
        <f>VLOOKUP(Data_Geotech[[#This Row],[Field Intact Rock Strength]],Table_FieldStrength[],2,FALSE)</f>
        <v>50</v>
      </c>
      <c r="BA158" s="63">
        <f>VLOOKUP(Data_Geotech[[#This Row],[Field Intact Rock Strength]],Table_FieldStrength[],3,FALSE)</f>
        <v>75</v>
      </c>
      <c r="BB158" s="63">
        <f>VLOOKUP(Data_Geotech[[#This Row],[Field Intact Rock Strength]],Table_FieldStrength[],4,FALSE)</f>
        <v>100</v>
      </c>
      <c r="BC158" s="63">
        <f>100-Data_Geotech[[#This Row],[RMR76]]</f>
        <v>42.666666666666671</v>
      </c>
      <c r="BD158" s="63" t="str">
        <f>LEFT(Data_Geotech[[#This Row],[Weathering/Alteration]],FIND("-",Data_Geotech[[#This Row],[Weathering/Alteration]])-2)</f>
        <v>W1/A1</v>
      </c>
    </row>
    <row r="159" spans="1:56" hidden="1" x14ac:dyDescent="0.25">
      <c r="A159" t="s">
        <v>34</v>
      </c>
      <c r="B159" s="16" t="str">
        <f>VLOOKUP(Data_Geotech[[#This Row],[Hole ID]],Data_Log[],2,FALSE)</f>
        <v>CGF-04</v>
      </c>
      <c r="C159" s="5">
        <v>44.96</v>
      </c>
      <c r="D159" s="5">
        <v>47.97</v>
      </c>
      <c r="E159" s="5">
        <f>(Data_Geotech[[#This Row],[To (m)]]-Data_Geotech[[#This Row],[From (m)]])/2+Data_Geotech[[#This Row],[From (m)]]</f>
        <v>46.465000000000003</v>
      </c>
      <c r="F159" s="13">
        <f>Data_Geotech[[#This Row],[To (m)]]-Data_Geotech[[#This Row],[From (m)]]</f>
        <v>3.009999999999998</v>
      </c>
      <c r="G159" s="5">
        <v>3.01</v>
      </c>
      <c r="H159" s="61">
        <f>Data_Geotech[[#This Row],[TCR (m)]]/Data_Geotech[[#This Row],[Run (m)]]*100</f>
        <v>100.00000000000007</v>
      </c>
      <c r="I159" s="151">
        <v>3.01</v>
      </c>
      <c r="J159" s="151">
        <v>3.01</v>
      </c>
      <c r="K159" s="5">
        <v>3.01</v>
      </c>
      <c r="L159" s="61">
        <f>Data_Geotech[[#This Row],[RQD (m)]]/Data_Geotech[[#This Row],[Run Reel (m)]]*100</f>
        <v>100</v>
      </c>
      <c r="M159" t="s">
        <v>584</v>
      </c>
      <c r="O159" t="s">
        <v>278</v>
      </c>
      <c r="P159" s="115" t="s">
        <v>370</v>
      </c>
      <c r="Q159" s="5" t="s">
        <v>313</v>
      </c>
      <c r="R159" s="5"/>
      <c r="S159" s="5"/>
      <c r="T159" s="5"/>
      <c r="U159" s="5"/>
      <c r="V159" s="6">
        <v>6</v>
      </c>
      <c r="W159" s="92">
        <f>SUMIFS(Discontinuities!$D$4:$D$9664,Discontinuities!$A$4:$A$9664,A159,Discontinuities!$C$4:$C$9664,"&gt;="&amp;C159,Discontinuities!$C$4:$C$9664,"&lt;"&amp;D159)
-SUMIFS(Discontinuities!$D$4:$D$9664,Discontinuities!$A$4:$A$9664,A159,Discontinuities!$C$4:$C$9664,"&gt;="&amp;C159,Discontinuities!$C$4:$C$9664,"&lt;"&amp;D159,Discontinuities!$E$4:$E$9664,"=BC")
-SUMIFS(Discontinuities!$D$4:$D$9664,Discontinuities!$A$4:$A$9664,A159,Discontinuities!$C$4:$C$9664,"&gt;="&amp;C159,Discontinuities!$C$4:$C$9664,"&lt;"&amp;D159,Discontinuities!$E$4:$E$9664,"=LC")
-SUMIFS(Discontinuities!$D$4:$D$9664,Discontinuities!$A$4:$A$9664,A159,Discontinuities!$C$4:$C$9664,"&gt;="&amp;C159,Discontinuities!$C$4:$C$9664,"&lt;"&amp;D159,Discontinuities!$E$4:$E$9664,"=FLT")</f>
        <v>6</v>
      </c>
      <c r="X159" t="s">
        <v>345</v>
      </c>
      <c r="AA159" s="12"/>
      <c r="AB159" s="43">
        <f>IFERROR(ROUND((Data_Geotech[[#This Row],[Fault (m)]]+Data_Geotech[[#This Row],[Broken Core (m)]]+Data_Geotech[[#This Row],[Lost Core (m)]])*30,0),0)</f>
        <v>0</v>
      </c>
      <c r="AC159" s="44">
        <f>IF(Data_Geotech[[#This Row],[Added fractures 
(BC, FLT, LC)]]+Data_Geotech[[#This Row],[Fracture per interval]]=0,99,1/((Data_Geotech[[#This Row],[Fracture per interval]]+Data_Geotech[[#This Row],[Added fractures 
(BC, FLT, LC)]])/Data_Geotech[[#This Row],[Run (m)]]))</f>
        <v>0.50166666666666637</v>
      </c>
      <c r="AD159" s="155" cm="1">
        <f t="array" ref="AD159">IFERROR(_xlfn.XLOOKUP(1,(A159=PLT!$A$4:$A$8886)*(Geotech!C159&lt;=PLT!$F$4:$F$8886)*(Geotech!D159&gt;=PLT!$F$4:$F$8886)*("Valid"=PLT!$P$4:$P$8886),PLT!$V$4:$V$8886),"")</f>
        <v>0</v>
      </c>
      <c r="AE159" s="156" t="str" cm="1">
        <f t="array" ref="AE159">IFERROR(_xlfn.XLOOKUP(1,(A159=PLT!$A$4:$A$8886)*(Geotech!C159&lt;=PLT!$F$4:$F$8886)*(Geotech!D159&gt;=PLT!$F$4:$F$8886)*(PLT!$V$4:$V$8886&lt;&gt;AD159)*("Valid"=PLT!$P$4:$P$7190),PLT!$V$4:$V$8886),"")</f>
        <v/>
      </c>
      <c r="AF159" s="156" t="str" cm="1">
        <f t="array" ref="AF159">IFERROR(_xlfn.XLOOKUP(1,(A159=PLT!$A$4:$A$8886)*(Geotech!C159&lt;=PLT!$F$4:$F$8886)*(Geotech!D159&gt;=PLT!$F$4:$F$8886)*(PLT!$V$4:$V$8886&lt;&gt;AD159)*(PLT!$V$4:$V$8886&lt;&gt;AE159)*("Valid"=PLT!$P$4:$P$7190),PLT!$V$4:$V$8886),"")</f>
        <v/>
      </c>
      <c r="AG159" s="44">
        <f>IFERROR(IF(AVERAGE(AD159:AF159)&gt;References!$BO$23,References!$BP$23,
IF(AVERAGE(AD159:AF159)&gt;References!$BO$22,References!$BP$22,
IF(AVERAGE(AD159:AF159)&gt;References!$BO$21,References!$BP$21,
IF(AVERAGE(AD159:AF159)&gt;References!$BO$20,References!$BP$20,
IF(AVERAGE(AD159:AF159)&gt;References!$BO$19,References!$BP$19,
IF(AVERAGE(AD159:AF159)&gt;References!$BO$18,References!$BP$18,
0)))))),"")</f>
        <v>0</v>
      </c>
      <c r="AH159" s="43">
        <f>IF(Data_Geotech[[#This Row],[Is50]]="",VLOOKUP(Data_Geotech[[#This Row],[Field Intact Rock Strength]],Table_RMR76_Strength[],2,FALSE),Data_Geotech[[#This Row],[Is50]])</f>
        <v>0</v>
      </c>
      <c r="AI159" s="43">
        <f>IF(Data_Geotech[[#This Row],[RQD (%)]]&lt;=25,3,IF(Data_Geotech[[#This Row],[RQD (%)]]&lt;=50,8,IF(Data_Geotech[[#This Row],[RQD (%)]]&lt;=75,13,IF(Data_Geotech[[#This Row],[RQD (%)]]&lt;=90,17,20))))</f>
        <v>20</v>
      </c>
      <c r="AJ159" s="43">
        <f>IF(Data_Geotech[[#This Row],[Joint spacing (m)]]&lt;=0.05,5,IF(Data_Geotech[[#This Row],[Joint spacing (m)]]&lt;=0.3,10,IF(Data_Geotech[[#This Row],[Joint spacing (m)]]&lt;=1,20,IF(Data_Geotech[[#This Row],[Joint spacing (m)]]&lt;=3,25,30))))</f>
        <v>20</v>
      </c>
      <c r="AK15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v>
      </c>
      <c r="AL159" s="6">
        <v>10</v>
      </c>
      <c r="AM159" s="117">
        <f>IF(Data_Geotech[[#This Row],[FIRS Code]]="R",IFERROR(SUM(Data_Geotech[[#This Row],[RMR76 - Strength rating]:[RMR76 - Ground water rating]]),""),"")</f>
        <v>64</v>
      </c>
      <c r="AN159" s="39">
        <f>IF(Data_Geotech[[#This Row],[FIRS Code]]="R",(2*Data_Geotech[[#This Row],[RMR76 - Joint condition rating]])+(IF(Data_Geotech[[#This Row],[RQD (%)]]&gt;80,80/2,Data_Geotech[[#This Row],[RQD (%)]]/2)),"")</f>
        <v>68</v>
      </c>
      <c r="AO159" s="43" t="str">
        <f>LEFT(Data_Geotech[[#This Row],[Joint Set Rating]],FIND("-",Data_Geotech[[#This Row],[Joint Set Rating]],1)-2)</f>
        <v>3</v>
      </c>
      <c r="AP15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0.95833333333333337</v>
      </c>
      <c r="AQ159" s="5">
        <f t="shared" si="0"/>
        <v>1</v>
      </c>
      <c r="AR159" s="49">
        <f>IF(Data_Geotech[[#This Row],[FIRS Code]]="R",IFERROR((IF(Data_Geotech[[#This Row],[RQD (%)]]&lt;10,10,Data_Geotech[[#This Row],[RQD (%)]])/Data_Geotech[[#This Row],[Jn rating]])*Data_Geotech[[#This Row],[Jr/Ja]],""),"")</f>
        <v>31.944444444444446</v>
      </c>
      <c r="AS159" s="45">
        <f>IF(Data_Geotech[[#This Row],[FIRS Code]]="R",IFERROR((IF(Data_Geotech[[#This Row],[RQD (%)]]&lt;10,10,Data_Geotech[[#This Row],[RQD (%)]])/Data_Geotech[[#This Row],[Jn rating]])*Data_Geotech[[#This Row],[Jr/Ja]]*Data_Geotech[[#This Row],[Jw/SRF]],""),"")</f>
        <v>31.944444444444446</v>
      </c>
      <c r="AT159" s="12"/>
      <c r="AU159" s="13">
        <f>100-Data_Geotech[[#This Row],[RQD (%)]]</f>
        <v>0</v>
      </c>
      <c r="AV159" s="13">
        <f>100-Data_Geotech[[#This Row],[TCR (%)]]</f>
        <v>0</v>
      </c>
      <c r="AW159" s="62">
        <f>(Data_Geotech[[#This Row],[Fracture per interval]]+Data_Geotech[[#This Row],[Added fractures 
(BC, FLT, LC)]])/Data_Geotech[[#This Row],[TCR (m)]]</f>
        <v>1.9933554817275749</v>
      </c>
      <c r="AX159" s="6" t="s">
        <v>109</v>
      </c>
      <c r="AY159" s="63">
        <f>7-MID(Data_Geotech[[#This Row],[Field Intact Rock Strength]],2,1)</f>
        <v>3</v>
      </c>
      <c r="AZ159" s="63">
        <f>VLOOKUP(Data_Geotech[[#This Row],[Field Intact Rock Strength]],Table_FieldStrength[],2,FALSE)</f>
        <v>50</v>
      </c>
      <c r="BA159" s="63">
        <f>VLOOKUP(Data_Geotech[[#This Row],[Field Intact Rock Strength]],Table_FieldStrength[],3,FALSE)</f>
        <v>75</v>
      </c>
      <c r="BB159" s="63">
        <f>VLOOKUP(Data_Geotech[[#This Row],[Field Intact Rock Strength]],Table_FieldStrength[],4,FALSE)</f>
        <v>100</v>
      </c>
      <c r="BC159" s="63">
        <f>100-Data_Geotech[[#This Row],[RMR76]]</f>
        <v>36</v>
      </c>
      <c r="BD159" s="63" t="str">
        <f>LEFT(Data_Geotech[[#This Row],[Weathering/Alteration]],FIND("-",Data_Geotech[[#This Row],[Weathering/Alteration]])-2)</f>
        <v>W2/A2</v>
      </c>
    </row>
    <row r="160" spans="1:56" s="91" customFormat="1" hidden="1" x14ac:dyDescent="0.25">
      <c r="A160" s="91" t="s">
        <v>34</v>
      </c>
      <c r="B160" s="167" t="str">
        <f>VLOOKUP(Data_Geotech[[#This Row],[Hole ID]],Data_Log[],2,FALSE)</f>
        <v>CGF-04</v>
      </c>
      <c r="C160" s="155">
        <v>47.97</v>
      </c>
      <c r="D160" s="155">
        <v>50.96</v>
      </c>
      <c r="E160" s="155">
        <f>(Data_Geotech[[#This Row],[To (m)]]-Data_Geotech[[#This Row],[From (m)]])/2+Data_Geotech[[#This Row],[From (m)]]</f>
        <v>49.465000000000003</v>
      </c>
      <c r="F160" s="155">
        <f>Data_Geotech[[#This Row],[To (m)]]-Data_Geotech[[#This Row],[From (m)]]</f>
        <v>2.990000000000002</v>
      </c>
      <c r="G160" s="155">
        <v>2.99</v>
      </c>
      <c r="H160" s="168">
        <f>Data_Geotech[[#This Row],[TCR (m)]]/Data_Geotech[[#This Row],[Run (m)]]*100</f>
        <v>99.999999999999943</v>
      </c>
      <c r="I160" s="168">
        <v>2.99</v>
      </c>
      <c r="J160" s="168">
        <v>2.99</v>
      </c>
      <c r="K160" s="155">
        <v>2.93</v>
      </c>
      <c r="L160" s="168">
        <f>Data_Geotech[[#This Row],[RQD (m)]]/Data_Geotech[[#This Row],[Run Reel (m)]]*100</f>
        <v>97.993311036789294</v>
      </c>
      <c r="M160" s="91" t="s">
        <v>584</v>
      </c>
      <c r="O160" s="91" t="s">
        <v>278</v>
      </c>
      <c r="P160" s="169" t="s">
        <v>370</v>
      </c>
      <c r="Q160" s="155" t="s">
        <v>313</v>
      </c>
      <c r="R160" s="155"/>
      <c r="S160" s="155"/>
      <c r="T160" s="155"/>
      <c r="U160" s="155"/>
      <c r="V160" s="148">
        <v>3</v>
      </c>
      <c r="W160" s="170">
        <f>SUMIFS(Discontinuities!$D$4:$D$9664,Discontinuities!$A$4:$A$9664,A160,Discontinuities!$C$4:$C$9664,"&gt;="&amp;C160,Discontinuities!$C$4:$C$9664,"&lt;"&amp;D160)
-SUMIFS(Discontinuities!$D$4:$D$9664,Discontinuities!$A$4:$A$9664,A160,Discontinuities!$C$4:$C$9664,"&gt;="&amp;C160,Discontinuities!$C$4:$C$9664,"&lt;"&amp;D160,Discontinuities!$E$4:$E$9664,"=BC")
-SUMIFS(Discontinuities!$D$4:$D$9664,Discontinuities!$A$4:$A$9664,A160,Discontinuities!$C$4:$C$9664,"&gt;="&amp;C160,Discontinuities!$C$4:$C$9664,"&lt;"&amp;D160,Discontinuities!$E$4:$E$9664,"=LC")
-SUMIFS(Discontinuities!$D$4:$D$9664,Discontinuities!$A$4:$A$9664,A160,Discontinuities!$C$4:$C$9664,"&gt;="&amp;C160,Discontinuities!$C$4:$C$9664,"&lt;"&amp;D160,Discontinuities!$E$4:$E$9664,"=FLT")</f>
        <v>3</v>
      </c>
      <c r="X160" s="91" t="s">
        <v>345</v>
      </c>
      <c r="Y160" s="148"/>
      <c r="AB160" s="171">
        <f>IFERROR(ROUND((Data_Geotech[[#This Row],[Fault (m)]]+Data_Geotech[[#This Row],[Broken Core (m)]]+Data_Geotech[[#This Row],[Lost Core (m)]])*30,0),0)</f>
        <v>0</v>
      </c>
      <c r="AC160" s="172">
        <f>IF(Data_Geotech[[#This Row],[Added fractures 
(BC, FLT, LC)]]+Data_Geotech[[#This Row],[Fracture per interval]]=0,99,1/((Data_Geotech[[#This Row],[Fracture per interval]]+Data_Geotech[[#This Row],[Added fractures 
(BC, FLT, LC)]])/Data_Geotech[[#This Row],[Run (m)]]))</f>
        <v>0.99666666666666737</v>
      </c>
      <c r="AD160" s="155" cm="1">
        <f t="array" ref="AD160">IFERROR(_xlfn.XLOOKUP(1,(A160=PLT!$A$4:$A$8886)*(Geotech!C160&lt;=PLT!$F$4:$F$8886)*(Geotech!D160&gt;=PLT!$F$4:$F$8886)*("Valid"=PLT!$P$4:$P$8886),PLT!$V$4:$V$8886),"")</f>
        <v>0</v>
      </c>
      <c r="AE160" s="156" t="str" cm="1">
        <f t="array" ref="AE160">IFERROR(_xlfn.XLOOKUP(1,(A160=PLT!$A$4:$A$8886)*(Geotech!C160&lt;=PLT!$F$4:$F$8886)*(Geotech!D160&gt;=PLT!$F$4:$F$8886)*(PLT!$V$4:$V$8886&lt;&gt;AD160)*("Valid"=PLT!$P$4:$P$7190),PLT!$V$4:$V$8886),"")</f>
        <v/>
      </c>
      <c r="AF160" s="156" t="str" cm="1">
        <f t="array" ref="AF160">IFERROR(_xlfn.XLOOKUP(1,(A160=PLT!$A$4:$A$8886)*(Geotech!C160&lt;=PLT!$F$4:$F$8886)*(Geotech!D160&gt;=PLT!$F$4:$F$8886)*(PLT!$V$4:$V$8886&lt;&gt;AD160)*(PLT!$V$4:$V$8886&lt;&gt;AE160)*("Valid"=PLT!$P$4:$P$7190),PLT!$V$4:$V$8886),"")</f>
        <v/>
      </c>
      <c r="AG160" s="172">
        <f>IFERROR(IF(AVERAGE(AD160:AF160)&gt;References!$BO$23,References!$BP$23,
IF(AVERAGE(AD160:AF160)&gt;References!$BO$22,References!$BP$22,
IF(AVERAGE(AD160:AF160)&gt;References!$BO$21,References!$BP$21,
IF(AVERAGE(AD160:AF160)&gt;References!$BO$20,References!$BP$20,
IF(AVERAGE(AD160:AF160)&gt;References!$BO$19,References!$BP$19,
IF(AVERAGE(AD160:AF160)&gt;References!$BO$18,References!$BP$18,
0)))))),"")</f>
        <v>0</v>
      </c>
      <c r="AH160" s="171">
        <f>IF(Data_Geotech[[#This Row],[Is50]]="",VLOOKUP(Data_Geotech[[#This Row],[Field Intact Rock Strength]],Table_RMR76_Strength[],2,FALSE),Data_Geotech[[#This Row],[Is50]])</f>
        <v>0</v>
      </c>
      <c r="AI160" s="171">
        <f>IF(Data_Geotech[[#This Row],[RQD (%)]]&lt;=25,3,IF(Data_Geotech[[#This Row],[RQD (%)]]&lt;=50,8,IF(Data_Geotech[[#This Row],[RQD (%)]]&lt;=75,13,IF(Data_Geotech[[#This Row],[RQD (%)]]&lt;=90,17,20))))</f>
        <v>20</v>
      </c>
      <c r="AJ160" s="171">
        <f>IF(Data_Geotech[[#This Row],[Joint spacing (m)]]&lt;=0.05,5,IF(Data_Geotech[[#This Row],[Joint spacing (m)]]&lt;=0.3,10,IF(Data_Geotech[[#This Row],[Joint spacing (m)]]&lt;=1,20,IF(Data_Geotech[[#This Row],[Joint spacing (m)]]&lt;=3,25,30))))</f>
        <v>20</v>
      </c>
      <c r="AK160" s="17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14.666666666666666</v>
      </c>
      <c r="AL160" s="148">
        <v>10</v>
      </c>
      <c r="AM160" s="173">
        <f>IF(Data_Geotech[[#This Row],[FIRS Code]]="R",IFERROR(SUM(Data_Geotech[[#This Row],[RMR76 - Strength rating]:[RMR76 - Ground water rating]]),""),"")</f>
        <v>64.666666666666657</v>
      </c>
      <c r="AN160" s="174">
        <f>IF(Data_Geotech[[#This Row],[FIRS Code]]="R",(2*Data_Geotech[[#This Row],[RMR76 - Joint condition rating]])+(IF(Data_Geotech[[#This Row],[RQD (%)]]&gt;80,80/2,Data_Geotech[[#This Row],[RQD (%)]]/2)),"")</f>
        <v>69.333333333333329</v>
      </c>
      <c r="AO160" s="171" t="str">
        <f>LEFT(Data_Geotech[[#This Row],[Joint Set Rating]],FIND("-",Data_Geotech[[#This Row],[Joint Set Rating]],1)-2)</f>
        <v>3</v>
      </c>
      <c r="AP160" s="17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60" s="155">
        <f t="shared" si="0"/>
        <v>1</v>
      </c>
      <c r="AR160" s="175">
        <f>IF(Data_Geotech[[#This Row],[FIRS Code]]="R",IFERROR((IF(Data_Geotech[[#This Row],[RQD (%)]]&lt;10,10,Data_Geotech[[#This Row],[RQD (%)]])/Data_Geotech[[#This Row],[Jn rating]])*Data_Geotech[[#This Row],[Jr/Ja]],""),"")</f>
        <v>32.6644370122631</v>
      </c>
      <c r="AS160" s="176">
        <f>IF(Data_Geotech[[#This Row],[FIRS Code]]="R",IFERROR((IF(Data_Geotech[[#This Row],[RQD (%)]]&lt;10,10,Data_Geotech[[#This Row],[RQD (%)]])/Data_Geotech[[#This Row],[Jn rating]])*Data_Geotech[[#This Row],[Jr/Ja]]*Data_Geotech[[#This Row],[Jw/SRF]],""),"")</f>
        <v>32.6644370122631</v>
      </c>
      <c r="AU160" s="155">
        <f>100-Data_Geotech[[#This Row],[RQD (%)]]</f>
        <v>2.0066889632107063</v>
      </c>
      <c r="AV160" s="155">
        <f>100-Data_Geotech[[#This Row],[TCR (%)]]</f>
        <v>0</v>
      </c>
      <c r="AW160" s="170">
        <f>(Data_Geotech[[#This Row],[Fracture per interval]]+Data_Geotech[[#This Row],[Added fractures 
(BC, FLT, LC)]])/Data_Geotech[[#This Row],[TCR (m)]]</f>
        <v>1.0033444816053512</v>
      </c>
      <c r="AX160" s="148" t="s">
        <v>109</v>
      </c>
      <c r="AY160" s="148">
        <f>7-MID(Data_Geotech[[#This Row],[Field Intact Rock Strength]],2,1)</f>
        <v>3</v>
      </c>
      <c r="AZ160" s="148">
        <f>VLOOKUP(Data_Geotech[[#This Row],[Field Intact Rock Strength]],Table_FieldStrength[],2,FALSE)</f>
        <v>50</v>
      </c>
      <c r="BA160" s="148">
        <f>VLOOKUP(Data_Geotech[[#This Row],[Field Intact Rock Strength]],Table_FieldStrength[],3,FALSE)</f>
        <v>75</v>
      </c>
      <c r="BB160" s="148">
        <f>VLOOKUP(Data_Geotech[[#This Row],[Field Intact Rock Strength]],Table_FieldStrength[],4,FALSE)</f>
        <v>100</v>
      </c>
      <c r="BC160" s="148">
        <f>100-Data_Geotech[[#This Row],[RMR76]]</f>
        <v>35.333333333333343</v>
      </c>
      <c r="BD160" s="148" t="str">
        <f>LEFT(Data_Geotech[[#This Row],[Weathering/Alteration]],FIND("-",Data_Geotech[[#This Row],[Weathering/Alteration]])-2)</f>
        <v>W2/A2</v>
      </c>
    </row>
    <row r="161" spans="1:56" hidden="1" x14ac:dyDescent="0.25">
      <c r="A161" t="s">
        <v>34</v>
      </c>
      <c r="B161" s="16" t="str">
        <f>VLOOKUP(Data_Geotech[[#This Row],[Hole ID]],Data_Log[],2,FALSE)</f>
        <v>CGF-04</v>
      </c>
      <c r="C161" s="5">
        <v>50.96</v>
      </c>
      <c r="D161" s="5">
        <v>54</v>
      </c>
      <c r="E161" s="5">
        <f>(Data_Geotech[[#This Row],[To (m)]]-Data_Geotech[[#This Row],[From (m)]])/2+Data_Geotech[[#This Row],[From (m)]]</f>
        <v>52.480000000000004</v>
      </c>
      <c r="F161" s="13">
        <f>Data_Geotech[[#This Row],[To (m)]]-Data_Geotech[[#This Row],[From (m)]]</f>
        <v>3.0399999999999991</v>
      </c>
      <c r="G161" s="5">
        <v>3.04</v>
      </c>
      <c r="H161" s="61">
        <f>Data_Geotech[[#This Row],[TCR (m)]]/Data_Geotech[[#This Row],[Run (m)]]*100</f>
        <v>100.00000000000003</v>
      </c>
      <c r="I161" s="151">
        <v>3.01</v>
      </c>
      <c r="J161" s="151">
        <v>3.01</v>
      </c>
      <c r="K161" s="5">
        <v>3.01</v>
      </c>
      <c r="L161" s="61">
        <f>Data_Geotech[[#This Row],[RQD (m)]]/Data_Geotech[[#This Row],[Run Reel (m)]]*100</f>
        <v>100</v>
      </c>
      <c r="M161" t="s">
        <v>584</v>
      </c>
      <c r="O161" t="s">
        <v>278</v>
      </c>
      <c r="P161" s="115" t="s">
        <v>397</v>
      </c>
      <c r="Q161" s="5" t="s">
        <v>313</v>
      </c>
      <c r="R161" s="5"/>
      <c r="S161" s="5"/>
      <c r="T161" s="5"/>
      <c r="U161" s="5"/>
      <c r="V161" s="6">
        <v>3</v>
      </c>
      <c r="W161" s="92">
        <f>SUMIFS(Discontinuities!$D$4:$D$9664,Discontinuities!$A$4:$A$9664,A161,Discontinuities!$C$4:$C$9664,"&gt;="&amp;C161,Discontinuities!$C$4:$C$9664,"&lt;"&amp;D161)
-SUMIFS(Discontinuities!$D$4:$D$9664,Discontinuities!$A$4:$A$9664,A161,Discontinuities!$C$4:$C$9664,"&gt;="&amp;C161,Discontinuities!$C$4:$C$9664,"&lt;"&amp;D161,Discontinuities!$E$4:$E$9664,"=BC")
-SUMIFS(Discontinuities!$D$4:$D$9664,Discontinuities!$A$4:$A$9664,A161,Discontinuities!$C$4:$C$9664,"&gt;="&amp;C161,Discontinuities!$C$4:$C$9664,"&lt;"&amp;D161,Discontinuities!$E$4:$E$9664,"=LC")
-SUMIFS(Discontinuities!$D$4:$D$9664,Discontinuities!$A$4:$A$9664,A161,Discontinuities!$C$4:$C$9664,"&gt;="&amp;C161,Discontinuities!$C$4:$C$9664,"&lt;"&amp;D161,Discontinuities!$E$4:$E$9664,"=FLT")</f>
        <v>3</v>
      </c>
      <c r="X161" t="s">
        <v>312</v>
      </c>
      <c r="AA161" s="12"/>
      <c r="AB161" s="43">
        <f>IFERROR(ROUND((Data_Geotech[[#This Row],[Fault (m)]]+Data_Geotech[[#This Row],[Broken Core (m)]]+Data_Geotech[[#This Row],[Lost Core (m)]])*30,0),0)</f>
        <v>0</v>
      </c>
      <c r="AC161" s="44">
        <f>IF(Data_Geotech[[#This Row],[Added fractures 
(BC, FLT, LC)]]+Data_Geotech[[#This Row],[Fracture per interval]]=0,99,1/((Data_Geotech[[#This Row],[Fracture per interval]]+Data_Geotech[[#This Row],[Added fractures 
(BC, FLT, LC)]])/Data_Geotech[[#This Row],[Run (m)]]))</f>
        <v>1.013333333333333</v>
      </c>
      <c r="AD161" s="155" cm="1">
        <f t="array" ref="AD161">IFERROR(_xlfn.XLOOKUP(1,(A161=PLT!$A$4:$A$8886)*(Geotech!C161&lt;=PLT!$F$4:$F$8886)*(Geotech!D161&gt;=PLT!$F$4:$F$8886)*("Valid"=PLT!$P$4:$P$8886),PLT!$V$4:$V$8886),"")</f>
        <v>0</v>
      </c>
      <c r="AE161" s="156" t="str" cm="1">
        <f t="array" ref="AE161">IFERROR(_xlfn.XLOOKUP(1,(A161=PLT!$A$4:$A$8886)*(Geotech!C161&lt;=PLT!$F$4:$F$8886)*(Geotech!D161&gt;=PLT!$F$4:$F$8886)*(PLT!$V$4:$V$8886&lt;&gt;AD161)*("Valid"=PLT!$P$4:$P$7190),PLT!$V$4:$V$8886),"")</f>
        <v/>
      </c>
      <c r="AF161" s="156" t="str" cm="1">
        <f t="array" ref="AF161">IFERROR(_xlfn.XLOOKUP(1,(A161=PLT!$A$4:$A$8886)*(Geotech!C161&lt;=PLT!$F$4:$F$8886)*(Geotech!D161&gt;=PLT!$F$4:$F$8886)*(PLT!$V$4:$V$8886&lt;&gt;AD161)*(PLT!$V$4:$V$8886&lt;&gt;AE161)*("Valid"=PLT!$P$4:$P$7190),PLT!$V$4:$V$8886),"")</f>
        <v/>
      </c>
      <c r="AG161" s="44">
        <f>IFERROR(IF(AVERAGE(AD161:AF161)&gt;References!$BO$23,References!$BP$23,
IF(AVERAGE(AD161:AF161)&gt;References!$BO$22,References!$BP$22,
IF(AVERAGE(AD161:AF161)&gt;References!$BO$21,References!$BP$21,
IF(AVERAGE(AD161:AF161)&gt;References!$BO$20,References!$BP$20,
IF(AVERAGE(AD161:AF161)&gt;References!$BO$19,References!$BP$19,
IF(AVERAGE(AD161:AF161)&gt;References!$BO$18,References!$BP$18,
0)))))),"")</f>
        <v>0</v>
      </c>
      <c r="AH161" s="43">
        <f>IF(Data_Geotech[[#This Row],[Is50]]="",VLOOKUP(Data_Geotech[[#This Row],[Field Intact Rock Strength]],Table_RMR76_Strength[],2,FALSE),Data_Geotech[[#This Row],[Is50]])</f>
        <v>0</v>
      </c>
      <c r="AI161" s="43">
        <f>IF(Data_Geotech[[#This Row],[RQD (%)]]&lt;=25,3,IF(Data_Geotech[[#This Row],[RQD (%)]]&lt;=50,8,IF(Data_Geotech[[#This Row],[RQD (%)]]&lt;=75,13,IF(Data_Geotech[[#This Row],[RQD (%)]]&lt;=90,17,20))))</f>
        <v>20</v>
      </c>
      <c r="AJ161" s="43">
        <f>IF(Data_Geotech[[#This Row],[Joint spacing (m)]]&lt;=0.05,5,IF(Data_Geotech[[#This Row],[Joint spacing (m)]]&lt;=0.3,10,IF(Data_Geotech[[#This Row],[Joint spacing (m)]]&lt;=1,20,IF(Data_Geotech[[#This Row],[Joint spacing (m)]]&lt;=3,25,30))))</f>
        <v>25</v>
      </c>
      <c r="AK16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14.666666666666666</v>
      </c>
      <c r="AL161" s="6">
        <v>10</v>
      </c>
      <c r="AM161" s="117">
        <f>IF(Data_Geotech[[#This Row],[FIRS Code]]="R",IFERROR(SUM(Data_Geotech[[#This Row],[RMR76 - Strength rating]:[RMR76 - Ground water rating]]),""),"")</f>
        <v>69.666666666666657</v>
      </c>
      <c r="AN161" s="39">
        <f>IF(Data_Geotech[[#This Row],[FIRS Code]]="R",(2*Data_Geotech[[#This Row],[RMR76 - Joint condition rating]])+(IF(Data_Geotech[[#This Row],[RQD (%)]]&gt;80,80/2,Data_Geotech[[#This Row],[RQD (%)]]/2)),"")</f>
        <v>69.333333333333329</v>
      </c>
      <c r="AO161" s="43" t="str">
        <f>LEFT(Data_Geotech[[#This Row],[Joint Set Rating]],FIND("-",Data_Geotech[[#This Row],[Joint Set Rating]],1)-2)</f>
        <v>2</v>
      </c>
      <c r="AP16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0.58333333333333337</v>
      </c>
      <c r="AQ161" s="5">
        <f t="shared" si="0"/>
        <v>1</v>
      </c>
      <c r="AR161" s="49">
        <f>IF(Data_Geotech[[#This Row],[FIRS Code]]="R",IFERROR((IF(Data_Geotech[[#This Row],[RQD (%)]]&lt;10,10,Data_Geotech[[#This Row],[RQD (%)]])/Data_Geotech[[#This Row],[Jn rating]])*Data_Geotech[[#This Row],[Jr/Ja]],""),"")</f>
        <v>29.166666666666668</v>
      </c>
      <c r="AS161" s="45">
        <f>IF(Data_Geotech[[#This Row],[FIRS Code]]="R",IFERROR((IF(Data_Geotech[[#This Row],[RQD (%)]]&lt;10,10,Data_Geotech[[#This Row],[RQD (%)]])/Data_Geotech[[#This Row],[Jn rating]])*Data_Geotech[[#This Row],[Jr/Ja]]*Data_Geotech[[#This Row],[Jw/SRF]],""),"")</f>
        <v>29.166666666666668</v>
      </c>
      <c r="AT161" s="12"/>
      <c r="AU161" s="13">
        <f>100-Data_Geotech[[#This Row],[RQD (%)]]</f>
        <v>0</v>
      </c>
      <c r="AV161" s="13">
        <f>100-Data_Geotech[[#This Row],[TCR (%)]]</f>
        <v>0</v>
      </c>
      <c r="AW161" s="62">
        <f>(Data_Geotech[[#This Row],[Fracture per interval]]+Data_Geotech[[#This Row],[Added fractures 
(BC, FLT, LC)]])/Data_Geotech[[#This Row],[TCR (m)]]</f>
        <v>0.98684210526315785</v>
      </c>
      <c r="AX161" s="6" t="s">
        <v>109</v>
      </c>
      <c r="AY161" s="63">
        <f>7-MID(Data_Geotech[[#This Row],[Field Intact Rock Strength]],2,1)</f>
        <v>2</v>
      </c>
      <c r="AZ161" s="63">
        <f>VLOOKUP(Data_Geotech[[#This Row],[Field Intact Rock Strength]],Table_FieldStrength[],2,FALSE)</f>
        <v>100</v>
      </c>
      <c r="BA161" s="63">
        <f>VLOOKUP(Data_Geotech[[#This Row],[Field Intact Rock Strength]],Table_FieldStrength[],3,FALSE)</f>
        <v>175</v>
      </c>
      <c r="BB161" s="63">
        <f>VLOOKUP(Data_Geotech[[#This Row],[Field Intact Rock Strength]],Table_FieldStrength[],4,FALSE)</f>
        <v>250</v>
      </c>
      <c r="BC161" s="63">
        <f>100-Data_Geotech[[#This Row],[RMR76]]</f>
        <v>30.333333333333343</v>
      </c>
      <c r="BD161" s="63" t="str">
        <f>LEFT(Data_Geotech[[#This Row],[Weathering/Alteration]],FIND("-",Data_Geotech[[#This Row],[Weathering/Alteration]])-2)</f>
        <v>W2/A2</v>
      </c>
    </row>
    <row r="162" spans="1:56" hidden="1" x14ac:dyDescent="0.25">
      <c r="A162" t="s">
        <v>34</v>
      </c>
      <c r="B162" s="16" t="str">
        <f>VLOOKUP(Data_Geotech[[#This Row],[Hole ID]],Data_Log[],2,FALSE)</f>
        <v>CGF-04</v>
      </c>
      <c r="C162" s="5">
        <v>54</v>
      </c>
      <c r="D162" s="5">
        <v>57</v>
      </c>
      <c r="E162" s="5">
        <f>(Data_Geotech[[#This Row],[To (m)]]-Data_Geotech[[#This Row],[From (m)]])/2+Data_Geotech[[#This Row],[From (m)]]</f>
        <v>55.5</v>
      </c>
      <c r="F162" s="13">
        <f>Data_Geotech[[#This Row],[To (m)]]-Data_Geotech[[#This Row],[From (m)]]</f>
        <v>3</v>
      </c>
      <c r="G162" s="5">
        <v>3</v>
      </c>
      <c r="H162" s="61">
        <f>Data_Geotech[[#This Row],[TCR (m)]]/Data_Geotech[[#This Row],[Run (m)]]*100</f>
        <v>100</v>
      </c>
      <c r="I162" s="151">
        <v>3</v>
      </c>
      <c r="J162" s="151">
        <v>3</v>
      </c>
      <c r="K162" s="5">
        <v>3</v>
      </c>
      <c r="L162" s="61">
        <f>Data_Geotech[[#This Row],[RQD (m)]]/Data_Geotech[[#This Row],[Run Reel (m)]]*100</f>
        <v>100</v>
      </c>
      <c r="M162" t="s">
        <v>584</v>
      </c>
      <c r="O162" t="s">
        <v>278</v>
      </c>
      <c r="P162" s="115" t="s">
        <v>397</v>
      </c>
      <c r="Q162" s="5" t="s">
        <v>313</v>
      </c>
      <c r="R162" s="5"/>
      <c r="S162" s="5"/>
      <c r="T162" s="5"/>
      <c r="U162" s="5"/>
      <c r="V162" s="6">
        <v>3</v>
      </c>
      <c r="W162" s="92">
        <f>SUMIFS(Discontinuities!$D$4:$D$9664,Discontinuities!$A$4:$A$9664,A162,Discontinuities!$C$4:$C$9664,"&gt;="&amp;C162,Discontinuities!$C$4:$C$9664,"&lt;"&amp;D162)
-SUMIFS(Discontinuities!$D$4:$D$9664,Discontinuities!$A$4:$A$9664,A162,Discontinuities!$C$4:$C$9664,"&gt;="&amp;C162,Discontinuities!$C$4:$C$9664,"&lt;"&amp;D162,Discontinuities!$E$4:$E$9664,"=BC")
-SUMIFS(Discontinuities!$D$4:$D$9664,Discontinuities!$A$4:$A$9664,A162,Discontinuities!$C$4:$C$9664,"&gt;="&amp;C162,Discontinuities!$C$4:$C$9664,"&lt;"&amp;D162,Discontinuities!$E$4:$E$9664,"=LC")
-SUMIFS(Discontinuities!$D$4:$D$9664,Discontinuities!$A$4:$A$9664,A162,Discontinuities!$C$4:$C$9664,"&gt;="&amp;C162,Discontinuities!$C$4:$C$9664,"&lt;"&amp;D162,Discontinuities!$E$4:$E$9664,"=FLT")</f>
        <v>3</v>
      </c>
      <c r="X162" t="s">
        <v>345</v>
      </c>
      <c r="AA162" s="12"/>
      <c r="AB162" s="43">
        <f>IFERROR(ROUND((Data_Geotech[[#This Row],[Fault (m)]]+Data_Geotech[[#This Row],[Broken Core (m)]]+Data_Geotech[[#This Row],[Lost Core (m)]])*30,0),0)</f>
        <v>0</v>
      </c>
      <c r="AC162" s="44">
        <f>IF(Data_Geotech[[#This Row],[Added fractures 
(BC, FLT, LC)]]+Data_Geotech[[#This Row],[Fracture per interval]]=0,99,1/((Data_Geotech[[#This Row],[Fracture per interval]]+Data_Geotech[[#This Row],[Added fractures 
(BC, FLT, LC)]])/Data_Geotech[[#This Row],[Run (m)]]))</f>
        <v>1</v>
      </c>
      <c r="AD162" s="155" cm="1">
        <f t="array" ref="AD162">IFERROR(_xlfn.XLOOKUP(1,(A162=PLT!$A$4:$A$8886)*(Geotech!C162&lt;=PLT!$F$4:$F$8886)*(Geotech!D162&gt;=PLT!$F$4:$F$8886)*("Valid"=PLT!$P$4:$P$8886),PLT!$V$4:$V$8886),"")</f>
        <v>0</v>
      </c>
      <c r="AE162" s="156" t="str" cm="1">
        <f t="array" ref="AE162">IFERROR(_xlfn.XLOOKUP(1,(A162=PLT!$A$4:$A$8886)*(Geotech!C162&lt;=PLT!$F$4:$F$8886)*(Geotech!D162&gt;=PLT!$F$4:$F$8886)*(PLT!$V$4:$V$8886&lt;&gt;AD162)*("Valid"=PLT!$P$4:$P$7190),PLT!$V$4:$V$8886),"")</f>
        <v/>
      </c>
      <c r="AF162" s="156" t="str" cm="1">
        <f t="array" ref="AF162">IFERROR(_xlfn.XLOOKUP(1,(A162=PLT!$A$4:$A$8886)*(Geotech!C162&lt;=PLT!$F$4:$F$8886)*(Geotech!D162&gt;=PLT!$F$4:$F$8886)*(PLT!$V$4:$V$8886&lt;&gt;AD162)*(PLT!$V$4:$V$8886&lt;&gt;AE162)*("Valid"=PLT!$P$4:$P$7190),PLT!$V$4:$V$8886),"")</f>
        <v/>
      </c>
      <c r="AG162" s="44">
        <f>IFERROR(IF(AVERAGE(AD162:AF162)&gt;References!$BO$23,References!$BP$23,
IF(AVERAGE(AD162:AF162)&gt;References!$BO$22,References!$BP$22,
IF(AVERAGE(AD162:AF162)&gt;References!$BO$21,References!$BP$21,
IF(AVERAGE(AD162:AF162)&gt;References!$BO$20,References!$BP$20,
IF(AVERAGE(AD162:AF162)&gt;References!$BO$19,References!$BP$19,
IF(AVERAGE(AD162:AF162)&gt;References!$BO$18,References!$BP$18,
0)))))),"")</f>
        <v>0</v>
      </c>
      <c r="AH162" s="43">
        <f>IF(Data_Geotech[[#This Row],[Is50]]="",VLOOKUP(Data_Geotech[[#This Row],[Field Intact Rock Strength]],Table_RMR76_Strength[],2,FALSE),Data_Geotech[[#This Row],[Is50]])</f>
        <v>0</v>
      </c>
      <c r="AI162" s="43">
        <f>IF(Data_Geotech[[#This Row],[RQD (%)]]&lt;=25,3,IF(Data_Geotech[[#This Row],[RQD (%)]]&lt;=50,8,IF(Data_Geotech[[#This Row],[RQD (%)]]&lt;=75,13,IF(Data_Geotech[[#This Row],[RQD (%)]]&lt;=90,17,20))))</f>
        <v>20</v>
      </c>
      <c r="AJ162" s="43">
        <f>IF(Data_Geotech[[#This Row],[Joint spacing (m)]]&lt;=0.05,5,IF(Data_Geotech[[#This Row],[Joint spacing (m)]]&lt;=0.3,10,IF(Data_Geotech[[#This Row],[Joint spacing (m)]]&lt;=1,20,IF(Data_Geotech[[#This Row],[Joint spacing (m)]]&lt;=3,25,30))))</f>
        <v>20</v>
      </c>
      <c r="AK16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62" s="6">
        <v>10</v>
      </c>
      <c r="AM162" s="117">
        <f>IF(Data_Geotech[[#This Row],[FIRS Code]]="R",IFERROR(SUM(Data_Geotech[[#This Row],[RMR76 - Strength rating]:[RMR76 - Ground water rating]]),""),"")</f>
        <v>70</v>
      </c>
      <c r="AN162" s="39">
        <f>IF(Data_Geotech[[#This Row],[FIRS Code]]="R",(2*Data_Geotech[[#This Row],[RMR76 - Joint condition rating]])+(IF(Data_Geotech[[#This Row],[RQD (%)]]&gt;80,80/2,Data_Geotech[[#This Row],[RQD (%)]]/2)),"")</f>
        <v>80</v>
      </c>
      <c r="AO162" s="43" t="str">
        <f>LEFT(Data_Geotech[[#This Row],[Joint Set Rating]],FIND("-",Data_Geotech[[#This Row],[Joint Set Rating]],1)-2)</f>
        <v>3</v>
      </c>
      <c r="AP16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1.3333333333333333</v>
      </c>
      <c r="AQ162" s="5">
        <f t="shared" si="0"/>
        <v>1</v>
      </c>
      <c r="AR162" s="49">
        <f>IF(Data_Geotech[[#This Row],[FIRS Code]]="R",IFERROR((IF(Data_Geotech[[#This Row],[RQD (%)]]&lt;10,10,Data_Geotech[[#This Row],[RQD (%)]])/Data_Geotech[[#This Row],[Jn rating]])*Data_Geotech[[#This Row],[Jr/Ja]],""),"")</f>
        <v>44.444444444444443</v>
      </c>
      <c r="AS162" s="45">
        <f>IF(Data_Geotech[[#This Row],[FIRS Code]]="R",IFERROR((IF(Data_Geotech[[#This Row],[RQD (%)]]&lt;10,10,Data_Geotech[[#This Row],[RQD (%)]])/Data_Geotech[[#This Row],[Jn rating]])*Data_Geotech[[#This Row],[Jr/Ja]]*Data_Geotech[[#This Row],[Jw/SRF]],""),"")</f>
        <v>44.444444444444443</v>
      </c>
      <c r="AT162" s="12"/>
      <c r="AU162" s="13">
        <f>100-Data_Geotech[[#This Row],[RQD (%)]]</f>
        <v>0</v>
      </c>
      <c r="AV162" s="13">
        <f>100-Data_Geotech[[#This Row],[TCR (%)]]</f>
        <v>0</v>
      </c>
      <c r="AW162" s="62">
        <f>(Data_Geotech[[#This Row],[Fracture per interval]]+Data_Geotech[[#This Row],[Added fractures 
(BC, FLT, LC)]])/Data_Geotech[[#This Row],[TCR (m)]]</f>
        <v>1</v>
      </c>
      <c r="AX162" s="6" t="s">
        <v>109</v>
      </c>
      <c r="AY162" s="63">
        <f>7-MID(Data_Geotech[[#This Row],[Field Intact Rock Strength]],2,1)</f>
        <v>2</v>
      </c>
      <c r="AZ162" s="63">
        <f>VLOOKUP(Data_Geotech[[#This Row],[Field Intact Rock Strength]],Table_FieldStrength[],2,FALSE)</f>
        <v>100</v>
      </c>
      <c r="BA162" s="63">
        <f>VLOOKUP(Data_Geotech[[#This Row],[Field Intact Rock Strength]],Table_FieldStrength[],3,FALSE)</f>
        <v>175</v>
      </c>
      <c r="BB162" s="63">
        <f>VLOOKUP(Data_Geotech[[#This Row],[Field Intact Rock Strength]],Table_FieldStrength[],4,FALSE)</f>
        <v>250</v>
      </c>
      <c r="BC162" s="63">
        <f>100-Data_Geotech[[#This Row],[RMR76]]</f>
        <v>30</v>
      </c>
      <c r="BD162" s="63" t="str">
        <f>LEFT(Data_Geotech[[#This Row],[Weathering/Alteration]],FIND("-",Data_Geotech[[#This Row],[Weathering/Alteration]])-2)</f>
        <v>W2/A2</v>
      </c>
    </row>
    <row r="163" spans="1:56" hidden="1" x14ac:dyDescent="0.25">
      <c r="A163" t="s">
        <v>34</v>
      </c>
      <c r="B163" s="16" t="str">
        <f>VLOOKUP(Data_Geotech[[#This Row],[Hole ID]],Data_Log[],2,FALSE)</f>
        <v>CGF-04</v>
      </c>
      <c r="C163" s="5">
        <v>57</v>
      </c>
      <c r="D163" s="5">
        <v>60.02</v>
      </c>
      <c r="E163" s="5">
        <f>(Data_Geotech[[#This Row],[To (m)]]-Data_Geotech[[#This Row],[From (m)]])/2+Data_Geotech[[#This Row],[From (m)]]</f>
        <v>58.510000000000005</v>
      </c>
      <c r="F163" s="13">
        <f>Data_Geotech[[#This Row],[To (m)]]-Data_Geotech[[#This Row],[From (m)]]</f>
        <v>3.0200000000000031</v>
      </c>
      <c r="G163" s="5">
        <v>3.02</v>
      </c>
      <c r="H163" s="61">
        <f>Data_Geotech[[#This Row],[TCR (m)]]/Data_Geotech[[#This Row],[Run (m)]]*100</f>
        <v>99.999999999999901</v>
      </c>
      <c r="I163" s="151">
        <v>3.03</v>
      </c>
      <c r="J163" s="151">
        <v>3.03</v>
      </c>
      <c r="K163" s="5">
        <v>3.03</v>
      </c>
      <c r="L163" s="61">
        <f>Data_Geotech[[#This Row],[RQD (m)]]/Data_Geotech[[#This Row],[Run Reel (m)]]*100</f>
        <v>100</v>
      </c>
      <c r="M163" t="s">
        <v>584</v>
      </c>
      <c r="O163" t="s">
        <v>278</v>
      </c>
      <c r="P163" s="115" t="s">
        <v>397</v>
      </c>
      <c r="Q163" s="5" t="s">
        <v>313</v>
      </c>
      <c r="R163" s="5"/>
      <c r="S163" s="5"/>
      <c r="T163" s="5"/>
      <c r="U163" s="5"/>
      <c r="V163" s="6">
        <v>3</v>
      </c>
      <c r="W163" s="92">
        <f>SUMIFS(Discontinuities!$D$4:$D$9664,Discontinuities!$A$4:$A$9664,A163,Discontinuities!$C$4:$C$9664,"&gt;="&amp;C163,Discontinuities!$C$4:$C$9664,"&lt;"&amp;D163)
-SUMIFS(Discontinuities!$D$4:$D$9664,Discontinuities!$A$4:$A$9664,A163,Discontinuities!$C$4:$C$9664,"&gt;="&amp;C163,Discontinuities!$C$4:$C$9664,"&lt;"&amp;D163,Discontinuities!$E$4:$E$9664,"=BC")
-SUMIFS(Discontinuities!$D$4:$D$9664,Discontinuities!$A$4:$A$9664,A163,Discontinuities!$C$4:$C$9664,"&gt;="&amp;C163,Discontinuities!$C$4:$C$9664,"&lt;"&amp;D163,Discontinuities!$E$4:$E$9664,"=LC")
-SUMIFS(Discontinuities!$D$4:$D$9664,Discontinuities!$A$4:$A$9664,A163,Discontinuities!$C$4:$C$9664,"&gt;="&amp;C163,Discontinuities!$C$4:$C$9664,"&lt;"&amp;D163,Discontinuities!$E$4:$E$9664,"=FLT")</f>
        <v>3</v>
      </c>
      <c r="X163" t="s">
        <v>345</v>
      </c>
      <c r="AA163" s="12"/>
      <c r="AB163" s="43">
        <f>IFERROR(ROUND((Data_Geotech[[#This Row],[Fault (m)]]+Data_Geotech[[#This Row],[Broken Core (m)]]+Data_Geotech[[#This Row],[Lost Core (m)]])*30,0),0)</f>
        <v>0</v>
      </c>
      <c r="AC163" s="44">
        <f>IF(Data_Geotech[[#This Row],[Added fractures 
(BC, FLT, LC)]]+Data_Geotech[[#This Row],[Fracture per interval]]=0,99,1/((Data_Geotech[[#This Row],[Fracture per interval]]+Data_Geotech[[#This Row],[Added fractures 
(BC, FLT, LC)]])/Data_Geotech[[#This Row],[Run (m)]]))</f>
        <v>1.0066666666666677</v>
      </c>
      <c r="AD163" s="155" cm="1">
        <f t="array" ref="AD163">IFERROR(_xlfn.XLOOKUP(1,(A163=PLT!$A$4:$A$8886)*(Geotech!C163&lt;=PLT!$F$4:$F$8886)*(Geotech!D163&gt;=PLT!$F$4:$F$8886)*("Valid"=PLT!$P$4:$P$8886),PLT!$V$4:$V$8886),"")</f>
        <v>0</v>
      </c>
      <c r="AE163" s="156" t="str" cm="1">
        <f t="array" ref="AE163">IFERROR(_xlfn.XLOOKUP(1,(A163=PLT!$A$4:$A$8886)*(Geotech!C163&lt;=PLT!$F$4:$F$8886)*(Geotech!D163&gt;=PLT!$F$4:$F$8886)*(PLT!$V$4:$V$8886&lt;&gt;AD163)*("Valid"=PLT!$P$4:$P$7190),PLT!$V$4:$V$8886),"")</f>
        <v/>
      </c>
      <c r="AF163" s="156" t="str" cm="1">
        <f t="array" ref="AF163">IFERROR(_xlfn.XLOOKUP(1,(A163=PLT!$A$4:$A$8886)*(Geotech!C163&lt;=PLT!$F$4:$F$8886)*(Geotech!D163&gt;=PLT!$F$4:$F$8886)*(PLT!$V$4:$V$8886&lt;&gt;AD163)*(PLT!$V$4:$V$8886&lt;&gt;AE163)*("Valid"=PLT!$P$4:$P$7190),PLT!$V$4:$V$8886),"")</f>
        <v/>
      </c>
      <c r="AG163" s="44">
        <f>IFERROR(IF(AVERAGE(AD163:AF163)&gt;References!$BO$23,References!$BP$23,
IF(AVERAGE(AD163:AF163)&gt;References!$BO$22,References!$BP$22,
IF(AVERAGE(AD163:AF163)&gt;References!$BO$21,References!$BP$21,
IF(AVERAGE(AD163:AF163)&gt;References!$BO$20,References!$BP$20,
IF(AVERAGE(AD163:AF163)&gt;References!$BO$19,References!$BP$19,
IF(AVERAGE(AD163:AF163)&gt;References!$BO$18,References!$BP$18,
0)))))),"")</f>
        <v>0</v>
      </c>
      <c r="AH163" s="43">
        <f>IF(Data_Geotech[[#This Row],[Is50]]="",VLOOKUP(Data_Geotech[[#This Row],[Field Intact Rock Strength]],Table_RMR76_Strength[],2,FALSE),Data_Geotech[[#This Row],[Is50]])</f>
        <v>0</v>
      </c>
      <c r="AI163" s="43">
        <f>IF(Data_Geotech[[#This Row],[RQD (%)]]&lt;=25,3,IF(Data_Geotech[[#This Row],[RQD (%)]]&lt;=50,8,IF(Data_Geotech[[#This Row],[RQD (%)]]&lt;=75,13,IF(Data_Geotech[[#This Row],[RQD (%)]]&lt;=90,17,20))))</f>
        <v>20</v>
      </c>
      <c r="AJ163" s="43">
        <f>IF(Data_Geotech[[#This Row],[Joint spacing (m)]]&lt;=0.05,5,IF(Data_Geotech[[#This Row],[Joint spacing (m)]]&lt;=0.3,10,IF(Data_Geotech[[#This Row],[Joint spacing (m)]]&lt;=1,20,IF(Data_Geotech[[#This Row],[Joint spacing (m)]]&lt;=3,25,30))))</f>
        <v>25</v>
      </c>
      <c r="AK16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17</v>
      </c>
      <c r="AL163" s="6">
        <v>10</v>
      </c>
      <c r="AM163" s="117">
        <f>IF(Data_Geotech[[#This Row],[FIRS Code]]="R",IFERROR(SUM(Data_Geotech[[#This Row],[RMR76 - Strength rating]:[RMR76 - Ground water rating]]),""),"")</f>
        <v>72</v>
      </c>
      <c r="AN163" s="39">
        <f>IF(Data_Geotech[[#This Row],[FIRS Code]]="R",(2*Data_Geotech[[#This Row],[RMR76 - Joint condition rating]])+(IF(Data_Geotech[[#This Row],[RQD (%)]]&gt;80,80/2,Data_Geotech[[#This Row],[RQD (%)]]/2)),"")</f>
        <v>74</v>
      </c>
      <c r="AO163" s="43" t="str">
        <f>LEFT(Data_Geotech[[#This Row],[Joint Set Rating]],FIND("-",Data_Geotech[[#This Row],[Joint Set Rating]],1)-2)</f>
        <v>3</v>
      </c>
      <c r="AP16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1.75</v>
      </c>
      <c r="AQ163" s="5">
        <f t="shared" si="0"/>
        <v>1</v>
      </c>
      <c r="AR163" s="49">
        <f>IF(Data_Geotech[[#This Row],[FIRS Code]]="R",IFERROR((IF(Data_Geotech[[#This Row],[RQD (%)]]&lt;10,10,Data_Geotech[[#This Row],[RQD (%)]])/Data_Geotech[[#This Row],[Jn rating]])*Data_Geotech[[#This Row],[Jr/Ja]],""),"")</f>
        <v>58.333333333333336</v>
      </c>
      <c r="AS163" s="45">
        <f>IF(Data_Geotech[[#This Row],[FIRS Code]]="R",IFERROR((IF(Data_Geotech[[#This Row],[RQD (%)]]&lt;10,10,Data_Geotech[[#This Row],[RQD (%)]])/Data_Geotech[[#This Row],[Jn rating]])*Data_Geotech[[#This Row],[Jr/Ja]]*Data_Geotech[[#This Row],[Jw/SRF]],""),"")</f>
        <v>58.333333333333336</v>
      </c>
      <c r="AT163" s="12"/>
      <c r="AU163" s="13">
        <f>100-Data_Geotech[[#This Row],[RQD (%)]]</f>
        <v>0</v>
      </c>
      <c r="AV163" s="13">
        <f>100-Data_Geotech[[#This Row],[TCR (%)]]</f>
        <v>0</v>
      </c>
      <c r="AW163" s="62">
        <f>(Data_Geotech[[#This Row],[Fracture per interval]]+Data_Geotech[[#This Row],[Added fractures 
(BC, FLT, LC)]])/Data_Geotech[[#This Row],[TCR (m)]]</f>
        <v>0.99337748344370858</v>
      </c>
      <c r="AX163" s="6" t="s">
        <v>109</v>
      </c>
      <c r="AY163" s="63">
        <f>7-MID(Data_Geotech[[#This Row],[Field Intact Rock Strength]],2,1)</f>
        <v>2</v>
      </c>
      <c r="AZ163" s="63">
        <f>VLOOKUP(Data_Geotech[[#This Row],[Field Intact Rock Strength]],Table_FieldStrength[],2,FALSE)</f>
        <v>100</v>
      </c>
      <c r="BA163" s="63">
        <f>VLOOKUP(Data_Geotech[[#This Row],[Field Intact Rock Strength]],Table_FieldStrength[],3,FALSE)</f>
        <v>175</v>
      </c>
      <c r="BB163" s="63">
        <f>VLOOKUP(Data_Geotech[[#This Row],[Field Intact Rock Strength]],Table_FieldStrength[],4,FALSE)</f>
        <v>250</v>
      </c>
      <c r="BC163" s="63">
        <f>100-Data_Geotech[[#This Row],[RMR76]]</f>
        <v>28</v>
      </c>
      <c r="BD163" s="63" t="str">
        <f>LEFT(Data_Geotech[[#This Row],[Weathering/Alteration]],FIND("-",Data_Geotech[[#This Row],[Weathering/Alteration]])-2)</f>
        <v>W2/A2</v>
      </c>
    </row>
    <row r="164" spans="1:56" hidden="1" x14ac:dyDescent="0.25">
      <c r="A164" t="s">
        <v>34</v>
      </c>
      <c r="B164" s="16" t="str">
        <f>VLOOKUP(Data_Geotech[[#This Row],[Hole ID]],Data_Log[],2,FALSE)</f>
        <v>CGF-04</v>
      </c>
      <c r="C164" s="5">
        <v>60.02</v>
      </c>
      <c r="D164" s="5">
        <v>62.97</v>
      </c>
      <c r="E164" s="5">
        <f>(Data_Geotech[[#This Row],[To (m)]]-Data_Geotech[[#This Row],[From (m)]])/2+Data_Geotech[[#This Row],[From (m)]]</f>
        <v>61.495000000000005</v>
      </c>
      <c r="F164" s="13">
        <f>Data_Geotech[[#This Row],[To (m)]]-Data_Geotech[[#This Row],[From (m)]]</f>
        <v>2.9499999999999957</v>
      </c>
      <c r="G164" s="5">
        <v>2.95</v>
      </c>
      <c r="H164" s="61">
        <f>Data_Geotech[[#This Row],[TCR (m)]]/Data_Geotech[[#This Row],[Run (m)]]*100</f>
        <v>100.00000000000016</v>
      </c>
      <c r="I164" s="151">
        <v>2.95</v>
      </c>
      <c r="J164" s="151">
        <v>2.95</v>
      </c>
      <c r="K164" s="5">
        <v>2.95</v>
      </c>
      <c r="L164" s="61">
        <f>Data_Geotech[[#This Row],[RQD (m)]]/Data_Geotech[[#This Row],[Run Reel (m)]]*100</f>
        <v>100</v>
      </c>
      <c r="M164" t="s">
        <v>584</v>
      </c>
      <c r="O164" t="s">
        <v>278</v>
      </c>
      <c r="P164" s="115" t="s">
        <v>397</v>
      </c>
      <c r="Q164" s="5" t="s">
        <v>281</v>
      </c>
      <c r="R164" s="5"/>
      <c r="S164" s="5"/>
      <c r="T164" s="5"/>
      <c r="U164" s="5"/>
      <c r="V164" s="6">
        <v>2</v>
      </c>
      <c r="W164" s="92">
        <f>SUMIFS(Discontinuities!$D$4:$D$9664,Discontinuities!$A$4:$A$9664,A164,Discontinuities!$C$4:$C$9664,"&gt;="&amp;C164,Discontinuities!$C$4:$C$9664,"&lt;"&amp;D164)
-SUMIFS(Discontinuities!$D$4:$D$9664,Discontinuities!$A$4:$A$9664,A164,Discontinuities!$C$4:$C$9664,"&gt;="&amp;C164,Discontinuities!$C$4:$C$9664,"&lt;"&amp;D164,Discontinuities!$E$4:$E$9664,"=BC")
-SUMIFS(Discontinuities!$D$4:$D$9664,Discontinuities!$A$4:$A$9664,A164,Discontinuities!$C$4:$C$9664,"&gt;="&amp;C164,Discontinuities!$C$4:$C$9664,"&lt;"&amp;D164,Discontinuities!$E$4:$E$9664,"=LC")
-SUMIFS(Discontinuities!$D$4:$D$9664,Discontinuities!$A$4:$A$9664,A164,Discontinuities!$C$4:$C$9664,"&gt;="&amp;C164,Discontinuities!$C$4:$C$9664,"&lt;"&amp;D164,Discontinuities!$E$4:$E$9664,"=FLT")</f>
        <v>2</v>
      </c>
      <c r="X164" t="s">
        <v>312</v>
      </c>
      <c r="AA164" s="12"/>
      <c r="AB164" s="43">
        <f>IFERROR(ROUND((Data_Geotech[[#This Row],[Fault (m)]]+Data_Geotech[[#This Row],[Broken Core (m)]]+Data_Geotech[[#This Row],[Lost Core (m)]])*30,0),0)</f>
        <v>0</v>
      </c>
      <c r="AC164" s="44">
        <f>IF(Data_Geotech[[#This Row],[Added fractures 
(BC, FLT, LC)]]+Data_Geotech[[#This Row],[Fracture per interval]]=0,99,1/((Data_Geotech[[#This Row],[Fracture per interval]]+Data_Geotech[[#This Row],[Added fractures 
(BC, FLT, LC)]])/Data_Geotech[[#This Row],[Run (m)]]))</f>
        <v>1.4749999999999979</v>
      </c>
      <c r="AD164" s="155" cm="1">
        <f t="array" ref="AD164">IFERROR(_xlfn.XLOOKUP(1,(A164=PLT!$A$4:$A$8886)*(Geotech!C164&lt;=PLT!$F$4:$F$8886)*(Geotech!D164&gt;=PLT!$F$4:$F$8886)*("Valid"=PLT!$P$4:$P$8886),PLT!$V$4:$V$8886),"")</f>
        <v>0</v>
      </c>
      <c r="AE164" s="156" t="str" cm="1">
        <f t="array" ref="AE164">IFERROR(_xlfn.XLOOKUP(1,(A164=PLT!$A$4:$A$8886)*(Geotech!C164&lt;=PLT!$F$4:$F$8886)*(Geotech!D164&gt;=PLT!$F$4:$F$8886)*(PLT!$V$4:$V$8886&lt;&gt;AD164)*("Valid"=PLT!$P$4:$P$7190),PLT!$V$4:$V$8886),"")</f>
        <v/>
      </c>
      <c r="AF164" s="156" t="str" cm="1">
        <f t="array" ref="AF164">IFERROR(_xlfn.XLOOKUP(1,(A164=PLT!$A$4:$A$8886)*(Geotech!C164&lt;=PLT!$F$4:$F$8886)*(Geotech!D164&gt;=PLT!$F$4:$F$8886)*(PLT!$V$4:$V$8886&lt;&gt;AD164)*(PLT!$V$4:$V$8886&lt;&gt;AE164)*("Valid"=PLT!$P$4:$P$7190),PLT!$V$4:$V$8886),"")</f>
        <v/>
      </c>
      <c r="AG164" s="44">
        <f>IFERROR(IF(AVERAGE(AD164:AF164)&gt;References!$BO$23,References!$BP$23,
IF(AVERAGE(AD164:AF164)&gt;References!$BO$22,References!$BP$22,
IF(AVERAGE(AD164:AF164)&gt;References!$BO$21,References!$BP$21,
IF(AVERAGE(AD164:AF164)&gt;References!$BO$20,References!$BP$20,
IF(AVERAGE(AD164:AF164)&gt;References!$BO$19,References!$BP$19,
IF(AVERAGE(AD164:AF164)&gt;References!$BO$18,References!$BP$18,
0)))))),"")</f>
        <v>0</v>
      </c>
      <c r="AH164" s="43">
        <f>IF(Data_Geotech[[#This Row],[Is50]]="",VLOOKUP(Data_Geotech[[#This Row],[Field Intact Rock Strength]],Table_RMR76_Strength[],2,FALSE),Data_Geotech[[#This Row],[Is50]])</f>
        <v>0</v>
      </c>
      <c r="AI164" s="43">
        <f>IF(Data_Geotech[[#This Row],[RQD (%)]]&lt;=25,3,IF(Data_Geotech[[#This Row],[RQD (%)]]&lt;=50,8,IF(Data_Geotech[[#This Row],[RQD (%)]]&lt;=75,13,IF(Data_Geotech[[#This Row],[RQD (%)]]&lt;=90,17,20))))</f>
        <v>20</v>
      </c>
      <c r="AJ164" s="43">
        <f>IF(Data_Geotech[[#This Row],[Joint spacing (m)]]&lt;=0.05,5,IF(Data_Geotech[[#This Row],[Joint spacing (m)]]&lt;=0.3,10,IF(Data_Geotech[[#This Row],[Joint spacing (m)]]&lt;=1,20,IF(Data_Geotech[[#This Row],[Joint spacing (m)]]&lt;=3,25,30))))</f>
        <v>25</v>
      </c>
      <c r="AK16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64" s="6">
        <v>10</v>
      </c>
      <c r="AM164" s="117">
        <f>IF(Data_Geotech[[#This Row],[FIRS Code]]="R",IFERROR(SUM(Data_Geotech[[#This Row],[RMR76 - Strength rating]:[RMR76 - Ground water rating]]),""),"")</f>
        <v>75</v>
      </c>
      <c r="AN164" s="39">
        <f>IF(Data_Geotech[[#This Row],[FIRS Code]]="R",(2*Data_Geotech[[#This Row],[RMR76 - Joint condition rating]])+(IF(Data_Geotech[[#This Row],[RQD (%)]]&gt;80,80/2,Data_Geotech[[#This Row],[RQD (%)]]/2)),"")</f>
        <v>80</v>
      </c>
      <c r="AO164" s="43" t="str">
        <f>LEFT(Data_Geotech[[#This Row],[Joint Set Rating]],FIND("-",Data_Geotech[[#This Row],[Joint Set Rating]],1)-2)</f>
        <v>2</v>
      </c>
      <c r="AP16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164" s="5">
        <f t="shared" si="0"/>
        <v>1</v>
      </c>
      <c r="AR164" s="49">
        <f>IF(Data_Geotech[[#This Row],[FIRS Code]]="R",IFERROR((IF(Data_Geotech[[#This Row],[RQD (%)]]&lt;10,10,Data_Geotech[[#This Row],[RQD (%)]])/Data_Geotech[[#This Row],[Jn rating]])*Data_Geotech[[#This Row],[Jr/Ja]],""),"")</f>
        <v>62.5</v>
      </c>
      <c r="AS164" s="45">
        <f>IF(Data_Geotech[[#This Row],[FIRS Code]]="R",IFERROR((IF(Data_Geotech[[#This Row],[RQD (%)]]&lt;10,10,Data_Geotech[[#This Row],[RQD (%)]])/Data_Geotech[[#This Row],[Jn rating]])*Data_Geotech[[#This Row],[Jr/Ja]]*Data_Geotech[[#This Row],[Jw/SRF]],""),"")</f>
        <v>62.5</v>
      </c>
      <c r="AT164" s="12"/>
      <c r="AU164" s="13">
        <f>100-Data_Geotech[[#This Row],[RQD (%)]]</f>
        <v>0</v>
      </c>
      <c r="AV164" s="13">
        <f>100-Data_Geotech[[#This Row],[TCR (%)]]</f>
        <v>-1.5631940186722204E-13</v>
      </c>
      <c r="AW164" s="62">
        <f>(Data_Geotech[[#This Row],[Fracture per interval]]+Data_Geotech[[#This Row],[Added fractures 
(BC, FLT, LC)]])/Data_Geotech[[#This Row],[TCR (m)]]</f>
        <v>0.67796610169491522</v>
      </c>
      <c r="AX164" s="6" t="s">
        <v>109</v>
      </c>
      <c r="AY164" s="63">
        <f>7-MID(Data_Geotech[[#This Row],[Field Intact Rock Strength]],2,1)</f>
        <v>2</v>
      </c>
      <c r="AZ164" s="63">
        <f>VLOOKUP(Data_Geotech[[#This Row],[Field Intact Rock Strength]],Table_FieldStrength[],2,FALSE)</f>
        <v>100</v>
      </c>
      <c r="BA164" s="63">
        <f>VLOOKUP(Data_Geotech[[#This Row],[Field Intact Rock Strength]],Table_FieldStrength[],3,FALSE)</f>
        <v>175</v>
      </c>
      <c r="BB164" s="63">
        <f>VLOOKUP(Data_Geotech[[#This Row],[Field Intact Rock Strength]],Table_FieldStrength[],4,FALSE)</f>
        <v>250</v>
      </c>
      <c r="BC164" s="63">
        <f>100-Data_Geotech[[#This Row],[RMR76]]</f>
        <v>25</v>
      </c>
      <c r="BD164" s="63" t="str">
        <f>LEFT(Data_Geotech[[#This Row],[Weathering/Alteration]],FIND("-",Data_Geotech[[#This Row],[Weathering/Alteration]])-2)</f>
        <v>W2/A2</v>
      </c>
    </row>
    <row r="165" spans="1:56" hidden="1" x14ac:dyDescent="0.25">
      <c r="A165" t="s">
        <v>34</v>
      </c>
      <c r="B165" s="16" t="str">
        <f>VLOOKUP(Data_Geotech[[#This Row],[Hole ID]],Data_Log[],2,FALSE)</f>
        <v>CGF-04</v>
      </c>
      <c r="C165" s="5">
        <v>62.97</v>
      </c>
      <c r="D165" s="5">
        <v>65.98</v>
      </c>
      <c r="E165" s="5">
        <f>(Data_Geotech[[#This Row],[To (m)]]-Data_Geotech[[#This Row],[From (m)]])/2+Data_Geotech[[#This Row],[From (m)]]</f>
        <v>64.474999999999994</v>
      </c>
      <c r="F165" s="13">
        <f>Data_Geotech[[#This Row],[To (m)]]-Data_Geotech[[#This Row],[From (m)]]</f>
        <v>3.0100000000000051</v>
      </c>
      <c r="G165" s="5">
        <v>3.01</v>
      </c>
      <c r="H165" s="61">
        <f>Data_Geotech[[#This Row],[TCR (m)]]/Data_Geotech[[#This Row],[Run (m)]]*100</f>
        <v>99.999999999999829</v>
      </c>
      <c r="I165" s="151">
        <v>3.01</v>
      </c>
      <c r="J165" s="151">
        <v>3.01</v>
      </c>
      <c r="K165" s="5">
        <v>3.01</v>
      </c>
      <c r="L165" s="61">
        <f>Data_Geotech[[#This Row],[RQD (m)]]/Data_Geotech[[#This Row],[Run Reel (m)]]*100</f>
        <v>100</v>
      </c>
      <c r="M165" t="s">
        <v>584</v>
      </c>
      <c r="O165" t="s">
        <v>278</v>
      </c>
      <c r="P165" s="115" t="s">
        <v>416</v>
      </c>
      <c r="Q165" s="5" t="s">
        <v>281</v>
      </c>
      <c r="R165" s="5"/>
      <c r="S165" s="5"/>
      <c r="T165" s="5"/>
      <c r="U165" s="5"/>
      <c r="V165" s="6">
        <v>3</v>
      </c>
      <c r="W165" s="92">
        <f>SUMIFS(Discontinuities!$D$4:$D$9664,Discontinuities!$A$4:$A$9664,A165,Discontinuities!$C$4:$C$9664,"&gt;="&amp;C165,Discontinuities!$C$4:$C$9664,"&lt;"&amp;D165)
-SUMIFS(Discontinuities!$D$4:$D$9664,Discontinuities!$A$4:$A$9664,A165,Discontinuities!$C$4:$C$9664,"&gt;="&amp;C165,Discontinuities!$C$4:$C$9664,"&lt;"&amp;D165,Discontinuities!$E$4:$E$9664,"=BC")
-SUMIFS(Discontinuities!$D$4:$D$9664,Discontinuities!$A$4:$A$9664,A165,Discontinuities!$C$4:$C$9664,"&gt;="&amp;C165,Discontinuities!$C$4:$C$9664,"&lt;"&amp;D165,Discontinuities!$E$4:$E$9664,"=LC")
-SUMIFS(Discontinuities!$D$4:$D$9664,Discontinuities!$A$4:$A$9664,A165,Discontinuities!$C$4:$C$9664,"&gt;="&amp;C165,Discontinuities!$C$4:$C$9664,"&lt;"&amp;D165,Discontinuities!$E$4:$E$9664,"=FLT")</f>
        <v>3</v>
      </c>
      <c r="X165" t="s">
        <v>312</v>
      </c>
      <c r="AA165" s="12"/>
      <c r="AB165" s="43">
        <f>IFERROR(ROUND((Data_Geotech[[#This Row],[Fault (m)]]+Data_Geotech[[#This Row],[Broken Core (m)]]+Data_Geotech[[#This Row],[Lost Core (m)]])*30,0),0)</f>
        <v>0</v>
      </c>
      <c r="AC165" s="44">
        <f>IF(Data_Geotech[[#This Row],[Added fractures 
(BC, FLT, LC)]]+Data_Geotech[[#This Row],[Fracture per interval]]=0,99,1/((Data_Geotech[[#This Row],[Fracture per interval]]+Data_Geotech[[#This Row],[Added fractures 
(BC, FLT, LC)]])/Data_Geotech[[#This Row],[Run (m)]]))</f>
        <v>1.003333333333335</v>
      </c>
      <c r="AD165" s="155" cm="1">
        <f t="array" ref="AD165">IFERROR(_xlfn.XLOOKUP(1,(A165=PLT!$A$4:$A$8886)*(Geotech!C165&lt;=PLT!$F$4:$F$8886)*(Geotech!D165&gt;=PLT!$F$4:$F$8886)*("Valid"=PLT!$P$4:$P$8886),PLT!$V$4:$V$8886),"")</f>
        <v>0</v>
      </c>
      <c r="AE165" s="156" t="str" cm="1">
        <f t="array" ref="AE165">IFERROR(_xlfn.XLOOKUP(1,(A165=PLT!$A$4:$A$8886)*(Geotech!C165&lt;=PLT!$F$4:$F$8886)*(Geotech!D165&gt;=PLT!$F$4:$F$8886)*(PLT!$V$4:$V$8886&lt;&gt;AD165)*("Valid"=PLT!$P$4:$P$7190),PLT!$V$4:$V$8886),"")</f>
        <v/>
      </c>
      <c r="AF165" s="156" t="str" cm="1">
        <f t="array" ref="AF165">IFERROR(_xlfn.XLOOKUP(1,(A165=PLT!$A$4:$A$8886)*(Geotech!C165&lt;=PLT!$F$4:$F$8886)*(Geotech!D165&gt;=PLT!$F$4:$F$8886)*(PLT!$V$4:$V$8886&lt;&gt;AD165)*(PLT!$V$4:$V$8886&lt;&gt;AE165)*("Valid"=PLT!$P$4:$P$7190),PLT!$V$4:$V$8886),"")</f>
        <v/>
      </c>
      <c r="AG165" s="44">
        <f>IFERROR(IF(AVERAGE(AD165:AF165)&gt;References!$BO$23,References!$BP$23,
IF(AVERAGE(AD165:AF165)&gt;References!$BO$22,References!$BP$22,
IF(AVERAGE(AD165:AF165)&gt;References!$BO$21,References!$BP$21,
IF(AVERAGE(AD165:AF165)&gt;References!$BO$20,References!$BP$20,
IF(AVERAGE(AD165:AF165)&gt;References!$BO$19,References!$BP$19,
IF(AVERAGE(AD165:AF165)&gt;References!$BO$18,References!$BP$18,
0)))))),"")</f>
        <v>0</v>
      </c>
      <c r="AH165" s="43">
        <f>IF(Data_Geotech[[#This Row],[Is50]]="",VLOOKUP(Data_Geotech[[#This Row],[Field Intact Rock Strength]],Table_RMR76_Strength[],2,FALSE),Data_Geotech[[#This Row],[Is50]])</f>
        <v>0</v>
      </c>
      <c r="AI165" s="43">
        <f>IF(Data_Geotech[[#This Row],[RQD (%)]]&lt;=25,3,IF(Data_Geotech[[#This Row],[RQD (%)]]&lt;=50,8,IF(Data_Geotech[[#This Row],[RQD (%)]]&lt;=75,13,IF(Data_Geotech[[#This Row],[RQD (%)]]&lt;=90,17,20))))</f>
        <v>20</v>
      </c>
      <c r="AJ165" s="43">
        <f>IF(Data_Geotech[[#This Row],[Joint spacing (m)]]&lt;=0.05,5,IF(Data_Geotech[[#This Row],[Joint spacing (m)]]&lt;=0.3,10,IF(Data_Geotech[[#This Row],[Joint spacing (m)]]&lt;=1,20,IF(Data_Geotech[[#This Row],[Joint spacing (m)]]&lt;=3,25,30))))</f>
        <v>25</v>
      </c>
      <c r="AK16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16.333333333333332</v>
      </c>
      <c r="AL165" s="6">
        <v>10</v>
      </c>
      <c r="AM165" s="117">
        <f>IF(Data_Geotech[[#This Row],[FIRS Code]]="R",IFERROR(SUM(Data_Geotech[[#This Row],[RMR76 - Strength rating]:[RMR76 - Ground water rating]]),""),"")</f>
        <v>71.333333333333329</v>
      </c>
      <c r="AN165" s="39">
        <f>IF(Data_Geotech[[#This Row],[FIRS Code]]="R",(2*Data_Geotech[[#This Row],[RMR76 - Joint condition rating]])+(IF(Data_Geotech[[#This Row],[RQD (%)]]&gt;80,80/2,Data_Geotech[[#This Row],[RQD (%)]]/2)),"")</f>
        <v>72.666666666666657</v>
      </c>
      <c r="AO165" s="43" t="str">
        <f>LEFT(Data_Geotech[[#This Row],[Joint Set Rating]],FIND("-",Data_Geotech[[#This Row],[Joint Set Rating]],1)-2)</f>
        <v>2</v>
      </c>
      <c r="AP16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1.25</v>
      </c>
      <c r="AQ165" s="5">
        <f t="shared" si="0"/>
        <v>1</v>
      </c>
      <c r="AR165" s="49">
        <f>IF(Data_Geotech[[#This Row],[FIRS Code]]="R",IFERROR((IF(Data_Geotech[[#This Row],[RQD (%)]]&lt;10,10,Data_Geotech[[#This Row],[RQD (%)]])/Data_Geotech[[#This Row],[Jn rating]])*Data_Geotech[[#This Row],[Jr/Ja]],""),"")</f>
        <v>62.5</v>
      </c>
      <c r="AS165" s="45">
        <f>IF(Data_Geotech[[#This Row],[FIRS Code]]="R",IFERROR((IF(Data_Geotech[[#This Row],[RQD (%)]]&lt;10,10,Data_Geotech[[#This Row],[RQD (%)]])/Data_Geotech[[#This Row],[Jn rating]])*Data_Geotech[[#This Row],[Jr/Ja]]*Data_Geotech[[#This Row],[Jw/SRF]],""),"")</f>
        <v>62.5</v>
      </c>
      <c r="AT165" s="12"/>
      <c r="AU165" s="13">
        <f>100-Data_Geotech[[#This Row],[RQD (%)]]</f>
        <v>0</v>
      </c>
      <c r="AV165" s="13">
        <f>100-Data_Geotech[[#This Row],[TCR (%)]]</f>
        <v>1.7053025658242404E-13</v>
      </c>
      <c r="AW165" s="62">
        <f>(Data_Geotech[[#This Row],[Fracture per interval]]+Data_Geotech[[#This Row],[Added fractures 
(BC, FLT, LC)]])/Data_Geotech[[#This Row],[TCR (m)]]</f>
        <v>0.99667774086378746</v>
      </c>
      <c r="AX165" s="6" t="s">
        <v>109</v>
      </c>
      <c r="AY165" s="63">
        <f>7-MID(Data_Geotech[[#This Row],[Field Intact Rock Strength]],2,1)</f>
        <v>1</v>
      </c>
      <c r="AZ165" s="63">
        <f>VLOOKUP(Data_Geotech[[#This Row],[Field Intact Rock Strength]],Table_FieldStrength[],2,FALSE)</f>
        <v>250</v>
      </c>
      <c r="BA165" s="63">
        <f>VLOOKUP(Data_Geotech[[#This Row],[Field Intact Rock Strength]],Table_FieldStrength[],3,FALSE)</f>
        <v>275</v>
      </c>
      <c r="BB165" s="63">
        <f>VLOOKUP(Data_Geotech[[#This Row],[Field Intact Rock Strength]],Table_FieldStrength[],4,FALSE)</f>
        <v>300</v>
      </c>
      <c r="BC165" s="63">
        <f>100-Data_Geotech[[#This Row],[RMR76]]</f>
        <v>28.666666666666671</v>
      </c>
      <c r="BD165" s="63" t="str">
        <f>LEFT(Data_Geotech[[#This Row],[Weathering/Alteration]],FIND("-",Data_Geotech[[#This Row],[Weathering/Alteration]])-2)</f>
        <v>W2/A2</v>
      </c>
    </row>
    <row r="166" spans="1:56" hidden="1" x14ac:dyDescent="0.25">
      <c r="A166" t="s">
        <v>34</v>
      </c>
      <c r="B166" s="16" t="str">
        <f>VLOOKUP(Data_Geotech[[#This Row],[Hole ID]],Data_Log[],2,FALSE)</f>
        <v>CGF-04</v>
      </c>
      <c r="C166" s="5">
        <v>65.98</v>
      </c>
      <c r="D166" s="5">
        <v>69</v>
      </c>
      <c r="E166" s="5">
        <f>(Data_Geotech[[#This Row],[To (m)]]-Data_Geotech[[#This Row],[From (m)]])/2+Data_Geotech[[#This Row],[From (m)]]</f>
        <v>67.490000000000009</v>
      </c>
      <c r="F166" s="13">
        <f>Data_Geotech[[#This Row],[To (m)]]-Data_Geotech[[#This Row],[From (m)]]</f>
        <v>3.019999999999996</v>
      </c>
      <c r="G166" s="5">
        <v>3.02</v>
      </c>
      <c r="H166" s="61">
        <f>Data_Geotech[[#This Row],[TCR (m)]]/Data_Geotech[[#This Row],[Run (m)]]*100</f>
        <v>100.00000000000013</v>
      </c>
      <c r="I166" s="151">
        <v>3.02</v>
      </c>
      <c r="J166" s="151">
        <v>3.02</v>
      </c>
      <c r="K166" s="5">
        <v>3.02</v>
      </c>
      <c r="L166" s="61">
        <f>Data_Geotech[[#This Row],[RQD (m)]]/Data_Geotech[[#This Row],[Run Reel (m)]]*100</f>
        <v>100</v>
      </c>
      <c r="M166" t="s">
        <v>584</v>
      </c>
      <c r="O166" t="s">
        <v>278</v>
      </c>
      <c r="P166" s="115" t="s">
        <v>397</v>
      </c>
      <c r="Q166" s="5" t="s">
        <v>313</v>
      </c>
      <c r="R166" s="5"/>
      <c r="S166" s="5"/>
      <c r="T166" s="5"/>
      <c r="U166" s="5"/>
      <c r="V166" s="6">
        <v>3</v>
      </c>
      <c r="W166" s="92">
        <f>SUMIFS(Discontinuities!$D$4:$D$9664,Discontinuities!$A$4:$A$9664,A166,Discontinuities!$C$4:$C$9664,"&gt;="&amp;C166,Discontinuities!$C$4:$C$9664,"&lt;"&amp;D166)
-SUMIFS(Discontinuities!$D$4:$D$9664,Discontinuities!$A$4:$A$9664,A166,Discontinuities!$C$4:$C$9664,"&gt;="&amp;C166,Discontinuities!$C$4:$C$9664,"&lt;"&amp;D166,Discontinuities!$E$4:$E$9664,"=BC")
-SUMIFS(Discontinuities!$D$4:$D$9664,Discontinuities!$A$4:$A$9664,A166,Discontinuities!$C$4:$C$9664,"&gt;="&amp;C166,Discontinuities!$C$4:$C$9664,"&lt;"&amp;D166,Discontinuities!$E$4:$E$9664,"=LC")
-SUMIFS(Discontinuities!$D$4:$D$9664,Discontinuities!$A$4:$A$9664,A166,Discontinuities!$C$4:$C$9664,"&gt;="&amp;C166,Discontinuities!$C$4:$C$9664,"&lt;"&amp;D166,Discontinuities!$E$4:$E$9664,"=FLT")</f>
        <v>3</v>
      </c>
      <c r="X166" t="s">
        <v>345</v>
      </c>
      <c r="AA166" s="12"/>
      <c r="AB166" s="43">
        <f>IFERROR(ROUND((Data_Geotech[[#This Row],[Fault (m)]]+Data_Geotech[[#This Row],[Broken Core (m)]]+Data_Geotech[[#This Row],[Lost Core (m)]])*30,0),0)</f>
        <v>0</v>
      </c>
      <c r="AC166" s="44">
        <f>IF(Data_Geotech[[#This Row],[Added fractures 
(BC, FLT, LC)]]+Data_Geotech[[#This Row],[Fracture per interval]]=0,99,1/((Data_Geotech[[#This Row],[Fracture per interval]]+Data_Geotech[[#This Row],[Added fractures 
(BC, FLT, LC)]])/Data_Geotech[[#This Row],[Run (m)]]))</f>
        <v>1.0066666666666653</v>
      </c>
      <c r="AD166" s="155" cm="1">
        <f t="array" ref="AD166">IFERROR(_xlfn.XLOOKUP(1,(A166=PLT!$A$4:$A$8886)*(Geotech!C166&lt;=PLT!$F$4:$F$8886)*(Geotech!D166&gt;=PLT!$F$4:$F$8886)*("Valid"=PLT!$P$4:$P$8886),PLT!$V$4:$V$8886),"")</f>
        <v>0</v>
      </c>
      <c r="AE166" s="156" t="str" cm="1">
        <f t="array" ref="AE166">IFERROR(_xlfn.XLOOKUP(1,(A166=PLT!$A$4:$A$8886)*(Geotech!C166&lt;=PLT!$F$4:$F$8886)*(Geotech!D166&gt;=PLT!$F$4:$F$8886)*(PLT!$V$4:$V$8886&lt;&gt;AD166)*("Valid"=PLT!$P$4:$P$7190),PLT!$V$4:$V$8886),"")</f>
        <v/>
      </c>
      <c r="AF166" s="156" t="str" cm="1">
        <f t="array" ref="AF166">IFERROR(_xlfn.XLOOKUP(1,(A166=PLT!$A$4:$A$8886)*(Geotech!C166&lt;=PLT!$F$4:$F$8886)*(Geotech!D166&gt;=PLT!$F$4:$F$8886)*(PLT!$V$4:$V$8886&lt;&gt;AD166)*(PLT!$V$4:$V$8886&lt;&gt;AE166)*("Valid"=PLT!$P$4:$P$7190),PLT!$V$4:$V$8886),"")</f>
        <v/>
      </c>
      <c r="AG166" s="44">
        <f>IFERROR(IF(AVERAGE(AD166:AF166)&gt;References!$BO$23,References!$BP$23,
IF(AVERAGE(AD166:AF166)&gt;References!$BO$22,References!$BP$22,
IF(AVERAGE(AD166:AF166)&gt;References!$BO$21,References!$BP$21,
IF(AVERAGE(AD166:AF166)&gt;References!$BO$20,References!$BP$20,
IF(AVERAGE(AD166:AF166)&gt;References!$BO$19,References!$BP$19,
IF(AVERAGE(AD166:AF166)&gt;References!$BO$18,References!$BP$18,
0)))))),"")</f>
        <v>0</v>
      </c>
      <c r="AH166" s="43">
        <f>IF(Data_Geotech[[#This Row],[Is50]]="",VLOOKUP(Data_Geotech[[#This Row],[Field Intact Rock Strength]],Table_RMR76_Strength[],2,FALSE),Data_Geotech[[#This Row],[Is50]])</f>
        <v>0</v>
      </c>
      <c r="AI166" s="43">
        <f>IF(Data_Geotech[[#This Row],[RQD (%)]]&lt;=25,3,IF(Data_Geotech[[#This Row],[RQD (%)]]&lt;=50,8,IF(Data_Geotech[[#This Row],[RQD (%)]]&lt;=75,13,IF(Data_Geotech[[#This Row],[RQD (%)]]&lt;=90,17,20))))</f>
        <v>20</v>
      </c>
      <c r="AJ166" s="43">
        <f>IF(Data_Geotech[[#This Row],[Joint spacing (m)]]&lt;=0.05,5,IF(Data_Geotech[[#This Row],[Joint spacing (m)]]&lt;=0.3,10,IF(Data_Geotech[[#This Row],[Joint spacing (m)]]&lt;=1,20,IF(Data_Geotech[[#This Row],[Joint spacing (m)]]&lt;=3,25,30))))</f>
        <v>25</v>
      </c>
      <c r="AK16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21.666666666666668</v>
      </c>
      <c r="AL166" s="6">
        <v>10</v>
      </c>
      <c r="AM166" s="117">
        <f>IF(Data_Geotech[[#This Row],[FIRS Code]]="R",IFERROR(SUM(Data_Geotech[[#This Row],[RMR76 - Strength rating]:[RMR76 - Ground water rating]]),""),"")</f>
        <v>76.666666666666671</v>
      </c>
      <c r="AN166" s="39">
        <f>IF(Data_Geotech[[#This Row],[FIRS Code]]="R",(2*Data_Geotech[[#This Row],[RMR76 - Joint condition rating]])+(IF(Data_Geotech[[#This Row],[RQD (%)]]&gt;80,80/2,Data_Geotech[[#This Row],[RQD (%)]]/2)),"")</f>
        <v>83.333333333333343</v>
      </c>
      <c r="AO166" s="43" t="str">
        <f>LEFT(Data_Geotech[[#This Row],[Joint Set Rating]],FIND("-",Data_Geotech[[#This Row],[Joint Set Rating]],1)-2)</f>
        <v>3</v>
      </c>
      <c r="AP16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1.0833333333333333</v>
      </c>
      <c r="AQ166" s="5">
        <f t="shared" si="0"/>
        <v>1</v>
      </c>
      <c r="AR166" s="49">
        <f>IF(Data_Geotech[[#This Row],[FIRS Code]]="R",IFERROR((IF(Data_Geotech[[#This Row],[RQD (%)]]&lt;10,10,Data_Geotech[[#This Row],[RQD (%)]])/Data_Geotech[[#This Row],[Jn rating]])*Data_Geotech[[#This Row],[Jr/Ja]],""),"")</f>
        <v>36.111111111111114</v>
      </c>
      <c r="AS166" s="45">
        <f>IF(Data_Geotech[[#This Row],[FIRS Code]]="R",IFERROR((IF(Data_Geotech[[#This Row],[RQD (%)]]&lt;10,10,Data_Geotech[[#This Row],[RQD (%)]])/Data_Geotech[[#This Row],[Jn rating]])*Data_Geotech[[#This Row],[Jr/Ja]]*Data_Geotech[[#This Row],[Jw/SRF]],""),"")</f>
        <v>36.111111111111114</v>
      </c>
      <c r="AT166" s="12"/>
      <c r="AU166" s="13">
        <f>100-Data_Geotech[[#This Row],[RQD (%)]]</f>
        <v>0</v>
      </c>
      <c r="AV166" s="13">
        <f>100-Data_Geotech[[#This Row],[TCR (%)]]</f>
        <v>-1.2789769243681803E-13</v>
      </c>
      <c r="AW166" s="62">
        <f>(Data_Geotech[[#This Row],[Fracture per interval]]+Data_Geotech[[#This Row],[Added fractures 
(BC, FLT, LC)]])/Data_Geotech[[#This Row],[TCR (m)]]</f>
        <v>0.99337748344370858</v>
      </c>
      <c r="AX166" s="6" t="s">
        <v>109</v>
      </c>
      <c r="AY166" s="63">
        <f>7-MID(Data_Geotech[[#This Row],[Field Intact Rock Strength]],2,1)</f>
        <v>2</v>
      </c>
      <c r="AZ166" s="63">
        <f>VLOOKUP(Data_Geotech[[#This Row],[Field Intact Rock Strength]],Table_FieldStrength[],2,FALSE)</f>
        <v>100</v>
      </c>
      <c r="BA166" s="63">
        <f>VLOOKUP(Data_Geotech[[#This Row],[Field Intact Rock Strength]],Table_FieldStrength[],3,FALSE)</f>
        <v>175</v>
      </c>
      <c r="BB166" s="63">
        <f>VLOOKUP(Data_Geotech[[#This Row],[Field Intact Rock Strength]],Table_FieldStrength[],4,FALSE)</f>
        <v>250</v>
      </c>
      <c r="BC166" s="63">
        <f>100-Data_Geotech[[#This Row],[RMR76]]</f>
        <v>23.333333333333329</v>
      </c>
      <c r="BD166" s="63" t="str">
        <f>LEFT(Data_Geotech[[#This Row],[Weathering/Alteration]],FIND("-",Data_Geotech[[#This Row],[Weathering/Alteration]])-2)</f>
        <v>W2/A2</v>
      </c>
    </row>
    <row r="167" spans="1:56" hidden="1" x14ac:dyDescent="0.25">
      <c r="A167" t="s">
        <v>34</v>
      </c>
      <c r="B167" s="16" t="str">
        <f>VLOOKUP(Data_Geotech[[#This Row],[Hole ID]],Data_Log[],2,FALSE)</f>
        <v>CGF-04</v>
      </c>
      <c r="C167" s="5">
        <v>69</v>
      </c>
      <c r="D167" s="5">
        <v>72</v>
      </c>
      <c r="E167" s="5">
        <f>(Data_Geotech[[#This Row],[To (m)]]-Data_Geotech[[#This Row],[From (m)]])/2+Data_Geotech[[#This Row],[From (m)]]</f>
        <v>70.5</v>
      </c>
      <c r="F167" s="13">
        <f>Data_Geotech[[#This Row],[To (m)]]-Data_Geotech[[#This Row],[From (m)]]</f>
        <v>3</v>
      </c>
      <c r="G167" s="5">
        <v>3</v>
      </c>
      <c r="H167" s="61">
        <f>Data_Geotech[[#This Row],[TCR (m)]]/Data_Geotech[[#This Row],[Run (m)]]*100</f>
        <v>100</v>
      </c>
      <c r="I167" s="151">
        <v>2.98</v>
      </c>
      <c r="J167" s="151">
        <v>2.98</v>
      </c>
      <c r="K167" s="5">
        <v>2.84</v>
      </c>
      <c r="L167" s="61">
        <f>Data_Geotech[[#This Row],[RQD (m)]]/Data_Geotech[[#This Row],[Run Reel (m)]]*100</f>
        <v>95.302013422818789</v>
      </c>
      <c r="M167" t="s">
        <v>584</v>
      </c>
      <c r="O167" t="s">
        <v>278</v>
      </c>
      <c r="P167" s="115" t="s">
        <v>397</v>
      </c>
      <c r="Q167" s="5" t="s">
        <v>346</v>
      </c>
      <c r="R167" s="5"/>
      <c r="S167" s="5"/>
      <c r="T167" s="5"/>
      <c r="U167" s="5"/>
      <c r="V167" s="6">
        <v>4</v>
      </c>
      <c r="W167" s="92">
        <f>SUMIFS(Discontinuities!$D$4:$D$9664,Discontinuities!$A$4:$A$9664,A167,Discontinuities!$C$4:$C$9664,"&gt;="&amp;C167,Discontinuities!$C$4:$C$9664,"&lt;"&amp;D167)
-SUMIFS(Discontinuities!$D$4:$D$9664,Discontinuities!$A$4:$A$9664,A167,Discontinuities!$C$4:$C$9664,"&gt;="&amp;C167,Discontinuities!$C$4:$C$9664,"&lt;"&amp;D167,Discontinuities!$E$4:$E$9664,"=BC")
-SUMIFS(Discontinuities!$D$4:$D$9664,Discontinuities!$A$4:$A$9664,A167,Discontinuities!$C$4:$C$9664,"&gt;="&amp;C167,Discontinuities!$C$4:$C$9664,"&lt;"&amp;D167,Discontinuities!$E$4:$E$9664,"=LC")
-SUMIFS(Discontinuities!$D$4:$D$9664,Discontinuities!$A$4:$A$9664,A167,Discontinuities!$C$4:$C$9664,"&gt;="&amp;C167,Discontinuities!$C$4:$C$9664,"&lt;"&amp;D167,Discontinuities!$E$4:$E$9664,"=FLT")</f>
        <v>4</v>
      </c>
      <c r="X167" t="s">
        <v>400</v>
      </c>
      <c r="AA167" s="12"/>
      <c r="AB167" s="43">
        <f>IFERROR(ROUND((Data_Geotech[[#This Row],[Fault (m)]]+Data_Geotech[[#This Row],[Broken Core (m)]]+Data_Geotech[[#This Row],[Lost Core (m)]])*30,0),0)</f>
        <v>0</v>
      </c>
      <c r="AC167" s="44">
        <f>IF(Data_Geotech[[#This Row],[Added fractures 
(BC, FLT, LC)]]+Data_Geotech[[#This Row],[Fracture per interval]]=0,99,1/((Data_Geotech[[#This Row],[Fracture per interval]]+Data_Geotech[[#This Row],[Added fractures 
(BC, FLT, LC)]])/Data_Geotech[[#This Row],[Run (m)]]))</f>
        <v>0.75</v>
      </c>
      <c r="AD167" s="155" cm="1">
        <f t="array" ref="AD167">IFERROR(_xlfn.XLOOKUP(1,(A167=PLT!$A$4:$A$8886)*(Geotech!C167&lt;=PLT!$F$4:$F$8886)*(Geotech!D167&gt;=PLT!$F$4:$F$8886)*("Valid"=PLT!$P$4:$P$8886),PLT!$V$4:$V$8886),"")</f>
        <v>0</v>
      </c>
      <c r="AE167" s="156" t="str" cm="1">
        <f t="array" ref="AE167">IFERROR(_xlfn.XLOOKUP(1,(A167=PLT!$A$4:$A$8886)*(Geotech!C167&lt;=PLT!$F$4:$F$8886)*(Geotech!D167&gt;=PLT!$F$4:$F$8886)*(PLT!$V$4:$V$8886&lt;&gt;AD167)*("Valid"=PLT!$P$4:$P$7190),PLT!$V$4:$V$8886),"")</f>
        <v/>
      </c>
      <c r="AF167" s="156" t="str" cm="1">
        <f t="array" ref="AF167">IFERROR(_xlfn.XLOOKUP(1,(A167=PLT!$A$4:$A$8886)*(Geotech!C167&lt;=PLT!$F$4:$F$8886)*(Geotech!D167&gt;=PLT!$F$4:$F$8886)*(PLT!$V$4:$V$8886&lt;&gt;AD167)*(PLT!$V$4:$V$8886&lt;&gt;AE167)*("Valid"=PLT!$P$4:$P$7190),PLT!$V$4:$V$8886),"")</f>
        <v/>
      </c>
      <c r="AG167" s="44">
        <f>IFERROR(IF(AVERAGE(AD167:AF167)&gt;References!$BO$23,References!$BP$23,
IF(AVERAGE(AD167:AF167)&gt;References!$BO$22,References!$BP$22,
IF(AVERAGE(AD167:AF167)&gt;References!$BO$21,References!$BP$21,
IF(AVERAGE(AD167:AF167)&gt;References!$BO$20,References!$BP$20,
IF(AVERAGE(AD167:AF167)&gt;References!$BO$19,References!$BP$19,
IF(AVERAGE(AD167:AF167)&gt;References!$BO$18,References!$BP$18,
0)))))),"")</f>
        <v>0</v>
      </c>
      <c r="AH167" s="43">
        <f>IF(Data_Geotech[[#This Row],[Is50]]="",VLOOKUP(Data_Geotech[[#This Row],[Field Intact Rock Strength]],Table_RMR76_Strength[],2,FALSE),Data_Geotech[[#This Row],[Is50]])</f>
        <v>0</v>
      </c>
      <c r="AI167" s="43">
        <f>IF(Data_Geotech[[#This Row],[RQD (%)]]&lt;=25,3,IF(Data_Geotech[[#This Row],[RQD (%)]]&lt;=50,8,IF(Data_Geotech[[#This Row],[RQD (%)]]&lt;=75,13,IF(Data_Geotech[[#This Row],[RQD (%)]]&lt;=90,17,20))))</f>
        <v>20</v>
      </c>
      <c r="AJ167" s="43">
        <f>IF(Data_Geotech[[#This Row],[Joint spacing (m)]]&lt;=0.05,5,IF(Data_Geotech[[#This Row],[Joint spacing (m)]]&lt;=0.3,10,IF(Data_Geotech[[#This Row],[Joint spacing (m)]]&lt;=1,20,IF(Data_Geotech[[#This Row],[Joint spacing (m)]]&lt;=3,25,30))))</f>
        <v>20</v>
      </c>
      <c r="AK16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v>
      </c>
      <c r="AL167" s="6">
        <v>10</v>
      </c>
      <c r="AM167" s="117">
        <f>IF(Data_Geotech[[#This Row],[FIRS Code]]="R",IFERROR(SUM(Data_Geotech[[#This Row],[RMR76 - Strength rating]:[RMR76 - Ground water rating]]),""),"")</f>
        <v>68</v>
      </c>
      <c r="AN167" s="39">
        <f>IF(Data_Geotech[[#This Row],[FIRS Code]]="R",(2*Data_Geotech[[#This Row],[RMR76 - Joint condition rating]])+(IF(Data_Geotech[[#This Row],[RQD (%)]]&gt;80,80/2,Data_Geotech[[#This Row],[RQD (%)]]/2)),"")</f>
        <v>76</v>
      </c>
      <c r="AO167" s="43" t="str">
        <f>LEFT(Data_Geotech[[#This Row],[Joint Set Rating]],FIND("-",Data_Geotech[[#This Row],[Joint Set Rating]],1)-2)</f>
        <v>6</v>
      </c>
      <c r="AP16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167" s="5">
        <f t="shared" si="0"/>
        <v>1</v>
      </c>
      <c r="AR167" s="49">
        <f>IF(Data_Geotech[[#This Row],[FIRS Code]]="R",IFERROR((IF(Data_Geotech[[#This Row],[RQD (%)]]&lt;10,10,Data_Geotech[[#This Row],[RQD (%)]])/Data_Geotech[[#This Row],[Jn rating]])*Data_Geotech[[#This Row],[Jr/Ja]],""),"")</f>
        <v>11.912751677852349</v>
      </c>
      <c r="AS167" s="45">
        <f>IF(Data_Geotech[[#This Row],[FIRS Code]]="R",IFERROR((IF(Data_Geotech[[#This Row],[RQD (%)]]&lt;10,10,Data_Geotech[[#This Row],[RQD (%)]])/Data_Geotech[[#This Row],[Jn rating]])*Data_Geotech[[#This Row],[Jr/Ja]]*Data_Geotech[[#This Row],[Jw/SRF]],""),"")</f>
        <v>11.912751677852349</v>
      </c>
      <c r="AT167" s="12"/>
      <c r="AU167" s="13">
        <f>100-Data_Geotech[[#This Row],[RQD (%)]]</f>
        <v>4.6979865771812115</v>
      </c>
      <c r="AV167" s="13">
        <f>100-Data_Geotech[[#This Row],[TCR (%)]]</f>
        <v>0</v>
      </c>
      <c r="AW167" s="62">
        <f>(Data_Geotech[[#This Row],[Fracture per interval]]+Data_Geotech[[#This Row],[Added fractures 
(BC, FLT, LC)]])/Data_Geotech[[#This Row],[TCR (m)]]</f>
        <v>1.3333333333333333</v>
      </c>
      <c r="AX167" s="6" t="s">
        <v>109</v>
      </c>
      <c r="AY167" s="63">
        <f>7-MID(Data_Geotech[[#This Row],[Field Intact Rock Strength]],2,1)</f>
        <v>2</v>
      </c>
      <c r="AZ167" s="63">
        <f>VLOOKUP(Data_Geotech[[#This Row],[Field Intact Rock Strength]],Table_FieldStrength[],2,FALSE)</f>
        <v>100</v>
      </c>
      <c r="BA167" s="63">
        <f>VLOOKUP(Data_Geotech[[#This Row],[Field Intact Rock Strength]],Table_FieldStrength[],3,FALSE)</f>
        <v>175</v>
      </c>
      <c r="BB167" s="63">
        <f>VLOOKUP(Data_Geotech[[#This Row],[Field Intact Rock Strength]],Table_FieldStrength[],4,FALSE)</f>
        <v>250</v>
      </c>
      <c r="BC167" s="63">
        <f>100-Data_Geotech[[#This Row],[RMR76]]</f>
        <v>32</v>
      </c>
      <c r="BD167" s="63" t="str">
        <f>LEFT(Data_Geotech[[#This Row],[Weathering/Alteration]],FIND("-",Data_Geotech[[#This Row],[Weathering/Alteration]])-2)</f>
        <v>W2/A2</v>
      </c>
    </row>
    <row r="168" spans="1:56" hidden="1" x14ac:dyDescent="0.25">
      <c r="A168" t="s">
        <v>34</v>
      </c>
      <c r="B168" s="16" t="str">
        <f>VLOOKUP(Data_Geotech[[#This Row],[Hole ID]],Data_Log[],2,FALSE)</f>
        <v>CGF-04</v>
      </c>
      <c r="C168" s="5">
        <v>72</v>
      </c>
      <c r="D168" s="5">
        <v>75</v>
      </c>
      <c r="E168" s="5">
        <f>(Data_Geotech[[#This Row],[To (m)]]-Data_Geotech[[#This Row],[From (m)]])/2+Data_Geotech[[#This Row],[From (m)]]</f>
        <v>73.5</v>
      </c>
      <c r="F168" s="13">
        <f>Data_Geotech[[#This Row],[To (m)]]-Data_Geotech[[#This Row],[From (m)]]</f>
        <v>3</v>
      </c>
      <c r="G168" s="5">
        <v>3</v>
      </c>
      <c r="H168" s="61">
        <f>Data_Geotech[[#This Row],[TCR (m)]]/Data_Geotech[[#This Row],[Run (m)]]*100</f>
        <v>100</v>
      </c>
      <c r="I168" s="151">
        <v>3</v>
      </c>
      <c r="J168" s="151">
        <v>3</v>
      </c>
      <c r="K168" s="5">
        <v>3</v>
      </c>
      <c r="L168" s="61">
        <f>Data_Geotech[[#This Row],[RQD (m)]]/Data_Geotech[[#This Row],[Run Reel (m)]]*100</f>
        <v>100</v>
      </c>
      <c r="M168" t="s">
        <v>584</v>
      </c>
      <c r="O168" t="s">
        <v>278</v>
      </c>
      <c r="P168" s="115" t="s">
        <v>370</v>
      </c>
      <c r="Q168" s="5" t="s">
        <v>313</v>
      </c>
      <c r="R168" s="5"/>
      <c r="S168" s="5"/>
      <c r="T168" s="5"/>
      <c r="U168" s="5"/>
      <c r="V168" s="6">
        <v>0</v>
      </c>
      <c r="W168" s="92">
        <f>SUMIFS(Discontinuities!$D$4:$D$9664,Discontinuities!$A$4:$A$9664,A168,Discontinuities!$C$4:$C$9664,"&gt;="&amp;C168,Discontinuities!$C$4:$C$9664,"&lt;"&amp;D168)
-SUMIFS(Discontinuities!$D$4:$D$9664,Discontinuities!$A$4:$A$9664,A168,Discontinuities!$C$4:$C$9664,"&gt;="&amp;C168,Discontinuities!$C$4:$C$9664,"&lt;"&amp;D168,Discontinuities!$E$4:$E$9664,"=BC")
-SUMIFS(Discontinuities!$D$4:$D$9664,Discontinuities!$A$4:$A$9664,A168,Discontinuities!$C$4:$C$9664,"&gt;="&amp;C168,Discontinuities!$C$4:$C$9664,"&lt;"&amp;D168,Discontinuities!$E$4:$E$9664,"=LC")
-SUMIFS(Discontinuities!$D$4:$D$9664,Discontinuities!$A$4:$A$9664,A168,Discontinuities!$C$4:$C$9664,"&gt;="&amp;C168,Discontinuities!$C$4:$C$9664,"&lt;"&amp;D168,Discontinuities!$E$4:$E$9664,"=FLT")</f>
        <v>0</v>
      </c>
      <c r="X168" t="s">
        <v>345</v>
      </c>
      <c r="AA168" s="12"/>
      <c r="AB168" s="43">
        <f>IFERROR(ROUND((Data_Geotech[[#This Row],[Fault (m)]]+Data_Geotech[[#This Row],[Broken Core (m)]]+Data_Geotech[[#This Row],[Lost Core (m)]])*30,0),0)</f>
        <v>0</v>
      </c>
      <c r="AC168" s="44">
        <f>IF(Data_Geotech[[#This Row],[Added fractures 
(BC, FLT, LC)]]+Data_Geotech[[#This Row],[Fracture per interval]]=0,99,1/((Data_Geotech[[#This Row],[Fracture per interval]]+Data_Geotech[[#This Row],[Added fractures 
(BC, FLT, LC)]])/Data_Geotech[[#This Row],[Run (m)]]))</f>
        <v>99</v>
      </c>
      <c r="AD168" s="155" cm="1">
        <f t="array" ref="AD168">IFERROR(_xlfn.XLOOKUP(1,(A168=PLT!$A$4:$A$8886)*(Geotech!C168&lt;=PLT!$F$4:$F$8886)*(Geotech!D168&gt;=PLT!$F$4:$F$8886)*("Valid"=PLT!$P$4:$P$8886),PLT!$V$4:$V$8886),"")</f>
        <v>0</v>
      </c>
      <c r="AE168" s="156" t="str" cm="1">
        <f t="array" ref="AE168">IFERROR(_xlfn.XLOOKUP(1,(A168=PLT!$A$4:$A$8886)*(Geotech!C168&lt;=PLT!$F$4:$F$8886)*(Geotech!D168&gt;=PLT!$F$4:$F$8886)*(PLT!$V$4:$V$8886&lt;&gt;AD168)*("Valid"=PLT!$P$4:$P$7190),PLT!$V$4:$V$8886),"")</f>
        <v/>
      </c>
      <c r="AF168" s="156" t="str" cm="1">
        <f t="array" ref="AF168">IFERROR(_xlfn.XLOOKUP(1,(A168=PLT!$A$4:$A$8886)*(Geotech!C168&lt;=PLT!$F$4:$F$8886)*(Geotech!D168&gt;=PLT!$F$4:$F$8886)*(PLT!$V$4:$V$8886&lt;&gt;AD168)*(PLT!$V$4:$V$8886&lt;&gt;AE168)*("Valid"=PLT!$P$4:$P$7190),PLT!$V$4:$V$8886),"")</f>
        <v/>
      </c>
      <c r="AG168" s="44">
        <f>IFERROR(IF(AVERAGE(AD168:AF168)&gt;References!$BO$23,References!$BP$23,
IF(AVERAGE(AD168:AF168)&gt;References!$BO$22,References!$BP$22,
IF(AVERAGE(AD168:AF168)&gt;References!$BO$21,References!$BP$21,
IF(AVERAGE(AD168:AF168)&gt;References!$BO$20,References!$BP$20,
IF(AVERAGE(AD168:AF168)&gt;References!$BO$19,References!$BP$19,
IF(AVERAGE(AD168:AF168)&gt;References!$BO$18,References!$BP$18,
0)))))),"")</f>
        <v>0</v>
      </c>
      <c r="AH168" s="43">
        <f>IF(Data_Geotech[[#This Row],[Is50]]="",VLOOKUP(Data_Geotech[[#This Row],[Field Intact Rock Strength]],Table_RMR76_Strength[],2,FALSE),Data_Geotech[[#This Row],[Is50]])</f>
        <v>0</v>
      </c>
      <c r="AI168" s="43">
        <f>IF(Data_Geotech[[#This Row],[RQD (%)]]&lt;=25,3,IF(Data_Geotech[[#This Row],[RQD (%)]]&lt;=50,8,IF(Data_Geotech[[#This Row],[RQD (%)]]&lt;=75,13,IF(Data_Geotech[[#This Row],[RQD (%)]]&lt;=90,17,20))))</f>
        <v>20</v>
      </c>
      <c r="AJ168" s="43">
        <f>IF(Data_Geotech[[#This Row],[Joint spacing (m)]]&lt;=0.05,5,IF(Data_Geotech[[#This Row],[Joint spacing (m)]]&lt;=0.3,10,IF(Data_Geotech[[#This Row],[Joint spacing (m)]]&lt;=1,20,IF(Data_Geotech[[#This Row],[Joint spacing (m)]]&lt;=3,25,30))))</f>
        <v>30</v>
      </c>
      <c r="AK16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68" s="6">
        <v>10</v>
      </c>
      <c r="AM168" s="117">
        <f>IF(Data_Geotech[[#This Row],[FIRS Code]]="R",IFERROR(SUM(Data_Geotech[[#This Row],[RMR76 - Strength rating]:[RMR76 - Ground water rating]]),""),"")</f>
        <v>85</v>
      </c>
      <c r="AN168" s="39">
        <f>IF(Data_Geotech[[#This Row],[FIRS Code]]="R",(2*Data_Geotech[[#This Row],[RMR76 - Joint condition rating]])+(IF(Data_Geotech[[#This Row],[RQD (%)]]&gt;80,80/2,Data_Geotech[[#This Row],[RQD (%)]]/2)),"")</f>
        <v>90</v>
      </c>
      <c r="AO168" s="43" t="str">
        <f>LEFT(Data_Geotech[[#This Row],[Joint Set Rating]],FIND("-",Data_Geotech[[#This Row],[Joint Set Rating]],1)-2)</f>
        <v>3</v>
      </c>
      <c r="AP16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68" s="5">
        <f t="shared" si="0"/>
        <v>1</v>
      </c>
      <c r="AR168" s="49">
        <f>IF(Data_Geotech[[#This Row],[FIRS Code]]="R",IFERROR((IF(Data_Geotech[[#This Row],[RQD (%)]]&lt;10,10,Data_Geotech[[#This Row],[RQD (%)]])/Data_Geotech[[#This Row],[Jn rating]])*Data_Geotech[[#This Row],[Jr/Ja]],""),"")</f>
        <v>177.77777777777777</v>
      </c>
      <c r="AS168" s="45">
        <f>IF(Data_Geotech[[#This Row],[FIRS Code]]="R",IFERROR((IF(Data_Geotech[[#This Row],[RQD (%)]]&lt;10,10,Data_Geotech[[#This Row],[RQD (%)]])/Data_Geotech[[#This Row],[Jn rating]])*Data_Geotech[[#This Row],[Jr/Ja]]*Data_Geotech[[#This Row],[Jw/SRF]],""),"")</f>
        <v>177.77777777777777</v>
      </c>
      <c r="AT168" s="12"/>
      <c r="AU168" s="13">
        <f>100-Data_Geotech[[#This Row],[RQD (%)]]</f>
        <v>0</v>
      </c>
      <c r="AV168" s="13">
        <f>100-Data_Geotech[[#This Row],[TCR (%)]]</f>
        <v>0</v>
      </c>
      <c r="AW168" s="62">
        <f>(Data_Geotech[[#This Row],[Fracture per interval]]+Data_Geotech[[#This Row],[Added fractures 
(BC, FLT, LC)]])/Data_Geotech[[#This Row],[TCR (m)]]</f>
        <v>0</v>
      </c>
      <c r="AX168" s="6" t="s">
        <v>109</v>
      </c>
      <c r="AY168" s="63">
        <f>7-MID(Data_Geotech[[#This Row],[Field Intact Rock Strength]],2,1)</f>
        <v>3</v>
      </c>
      <c r="AZ168" s="63">
        <f>VLOOKUP(Data_Geotech[[#This Row],[Field Intact Rock Strength]],Table_FieldStrength[],2,FALSE)</f>
        <v>50</v>
      </c>
      <c r="BA168" s="63">
        <f>VLOOKUP(Data_Geotech[[#This Row],[Field Intact Rock Strength]],Table_FieldStrength[],3,FALSE)</f>
        <v>75</v>
      </c>
      <c r="BB168" s="63">
        <f>VLOOKUP(Data_Geotech[[#This Row],[Field Intact Rock Strength]],Table_FieldStrength[],4,FALSE)</f>
        <v>100</v>
      </c>
      <c r="BC168" s="63">
        <f>100-Data_Geotech[[#This Row],[RMR76]]</f>
        <v>15</v>
      </c>
      <c r="BD168" s="63" t="str">
        <f>LEFT(Data_Geotech[[#This Row],[Weathering/Alteration]],FIND("-",Data_Geotech[[#This Row],[Weathering/Alteration]])-2)</f>
        <v>W2/A2</v>
      </c>
    </row>
    <row r="169" spans="1:56" hidden="1" x14ac:dyDescent="0.25">
      <c r="A169" t="s">
        <v>34</v>
      </c>
      <c r="B169" s="16" t="str">
        <f>VLOOKUP(Data_Geotech[[#This Row],[Hole ID]],Data_Log[],2,FALSE)</f>
        <v>CGF-04</v>
      </c>
      <c r="C169" s="5">
        <v>75</v>
      </c>
      <c r="D169" s="5">
        <v>77.94</v>
      </c>
      <c r="E169" s="5">
        <f>(Data_Geotech[[#This Row],[To (m)]]-Data_Geotech[[#This Row],[From (m)]])/2+Data_Geotech[[#This Row],[From (m)]]</f>
        <v>76.47</v>
      </c>
      <c r="F169" s="13">
        <f>Data_Geotech[[#This Row],[To (m)]]-Data_Geotech[[#This Row],[From (m)]]</f>
        <v>2.9399999999999977</v>
      </c>
      <c r="G169" s="5">
        <v>2.94</v>
      </c>
      <c r="H169" s="61">
        <f>Data_Geotech[[#This Row],[TCR (m)]]/Data_Geotech[[#This Row],[Run (m)]]*100</f>
        <v>100.00000000000007</v>
      </c>
      <c r="I169" s="151">
        <v>2.94</v>
      </c>
      <c r="J169" s="151">
        <v>2.94</v>
      </c>
      <c r="K169" s="5">
        <v>2.91</v>
      </c>
      <c r="L169" s="61">
        <f>Data_Geotech[[#This Row],[RQD (m)]]/Data_Geotech[[#This Row],[Run Reel (m)]]*100</f>
        <v>98.979591836734699</v>
      </c>
      <c r="M169" t="s">
        <v>584</v>
      </c>
      <c r="O169" t="s">
        <v>278</v>
      </c>
      <c r="P169" s="115" t="s">
        <v>397</v>
      </c>
      <c r="Q169" s="5" t="s">
        <v>313</v>
      </c>
      <c r="R169" s="5"/>
      <c r="S169" s="5"/>
      <c r="T169" s="5"/>
      <c r="U169" s="5"/>
      <c r="V169" s="6">
        <v>2</v>
      </c>
      <c r="W169" s="92">
        <f>SUMIFS(Discontinuities!$D$4:$D$9664,Discontinuities!$A$4:$A$9664,A169,Discontinuities!$C$4:$C$9664,"&gt;="&amp;C169,Discontinuities!$C$4:$C$9664,"&lt;"&amp;D169)
-SUMIFS(Discontinuities!$D$4:$D$9664,Discontinuities!$A$4:$A$9664,A169,Discontinuities!$C$4:$C$9664,"&gt;="&amp;C169,Discontinuities!$C$4:$C$9664,"&lt;"&amp;D169,Discontinuities!$E$4:$E$9664,"=BC")
-SUMIFS(Discontinuities!$D$4:$D$9664,Discontinuities!$A$4:$A$9664,A169,Discontinuities!$C$4:$C$9664,"&gt;="&amp;C169,Discontinuities!$C$4:$C$9664,"&lt;"&amp;D169,Discontinuities!$E$4:$E$9664,"=LC")
-SUMIFS(Discontinuities!$D$4:$D$9664,Discontinuities!$A$4:$A$9664,A169,Discontinuities!$C$4:$C$9664,"&gt;="&amp;C169,Discontinuities!$C$4:$C$9664,"&lt;"&amp;D169,Discontinuities!$E$4:$E$9664,"=FLT")</f>
        <v>2</v>
      </c>
      <c r="X169" t="s">
        <v>345</v>
      </c>
      <c r="AA169" s="12"/>
      <c r="AB169" s="43">
        <f>IFERROR(ROUND((Data_Geotech[[#This Row],[Fault (m)]]+Data_Geotech[[#This Row],[Broken Core (m)]]+Data_Geotech[[#This Row],[Lost Core (m)]])*30,0),0)</f>
        <v>0</v>
      </c>
      <c r="AC169" s="44">
        <f>IF(Data_Geotech[[#This Row],[Added fractures 
(BC, FLT, LC)]]+Data_Geotech[[#This Row],[Fracture per interval]]=0,99,1/((Data_Geotech[[#This Row],[Fracture per interval]]+Data_Geotech[[#This Row],[Added fractures 
(BC, FLT, LC)]])/Data_Geotech[[#This Row],[Run (m)]]))</f>
        <v>1.4699999999999989</v>
      </c>
      <c r="AD169" s="155" cm="1">
        <f t="array" ref="AD169">IFERROR(_xlfn.XLOOKUP(1,(A169=PLT!$A$4:$A$8886)*(Geotech!C169&lt;=PLT!$F$4:$F$8886)*(Geotech!D169&gt;=PLT!$F$4:$F$8886)*("Valid"=PLT!$P$4:$P$8886),PLT!$V$4:$V$8886),"")</f>
        <v>0</v>
      </c>
      <c r="AE169" s="156" t="str" cm="1">
        <f t="array" ref="AE169">IFERROR(_xlfn.XLOOKUP(1,(A169=PLT!$A$4:$A$8886)*(Geotech!C169&lt;=PLT!$F$4:$F$8886)*(Geotech!D169&gt;=PLT!$F$4:$F$8886)*(PLT!$V$4:$V$8886&lt;&gt;AD169)*("Valid"=PLT!$P$4:$P$7190),PLT!$V$4:$V$8886),"")</f>
        <v/>
      </c>
      <c r="AF169" s="156" t="str" cm="1">
        <f t="array" ref="AF169">IFERROR(_xlfn.XLOOKUP(1,(A169=PLT!$A$4:$A$8886)*(Geotech!C169&lt;=PLT!$F$4:$F$8886)*(Geotech!D169&gt;=PLT!$F$4:$F$8886)*(PLT!$V$4:$V$8886&lt;&gt;AD169)*(PLT!$V$4:$V$8886&lt;&gt;AE169)*("Valid"=PLT!$P$4:$P$7190),PLT!$V$4:$V$8886),"")</f>
        <v/>
      </c>
      <c r="AG169" s="44">
        <f>IFERROR(IF(AVERAGE(AD169:AF169)&gt;References!$BO$23,References!$BP$23,
IF(AVERAGE(AD169:AF169)&gt;References!$BO$22,References!$BP$22,
IF(AVERAGE(AD169:AF169)&gt;References!$BO$21,References!$BP$21,
IF(AVERAGE(AD169:AF169)&gt;References!$BO$20,References!$BP$20,
IF(AVERAGE(AD169:AF169)&gt;References!$BO$19,References!$BP$19,
IF(AVERAGE(AD169:AF169)&gt;References!$BO$18,References!$BP$18,
0)))))),"")</f>
        <v>0</v>
      </c>
      <c r="AH169" s="43">
        <f>IF(Data_Geotech[[#This Row],[Is50]]="",VLOOKUP(Data_Geotech[[#This Row],[Field Intact Rock Strength]],Table_RMR76_Strength[],2,FALSE),Data_Geotech[[#This Row],[Is50]])</f>
        <v>0</v>
      </c>
      <c r="AI169" s="43">
        <f>IF(Data_Geotech[[#This Row],[RQD (%)]]&lt;=25,3,IF(Data_Geotech[[#This Row],[RQD (%)]]&lt;=50,8,IF(Data_Geotech[[#This Row],[RQD (%)]]&lt;=75,13,IF(Data_Geotech[[#This Row],[RQD (%)]]&lt;=90,17,20))))</f>
        <v>20</v>
      </c>
      <c r="AJ169" s="43">
        <f>IF(Data_Geotech[[#This Row],[Joint spacing (m)]]&lt;=0.05,5,IF(Data_Geotech[[#This Row],[Joint spacing (m)]]&lt;=0.3,10,IF(Data_Geotech[[#This Row],[Joint spacing (m)]]&lt;=1,20,IF(Data_Geotech[[#This Row],[Joint spacing (m)]]&lt;=3,25,30))))</f>
        <v>25</v>
      </c>
      <c r="AK16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16</v>
      </c>
      <c r="AL169" s="6">
        <v>10</v>
      </c>
      <c r="AM169" s="117">
        <f>IF(Data_Geotech[[#This Row],[FIRS Code]]="R",IFERROR(SUM(Data_Geotech[[#This Row],[RMR76 - Strength rating]:[RMR76 - Ground water rating]]),""),"")</f>
        <v>71</v>
      </c>
      <c r="AN169" s="39">
        <f>IF(Data_Geotech[[#This Row],[FIRS Code]]="R",(2*Data_Geotech[[#This Row],[RMR76 - Joint condition rating]])+(IF(Data_Geotech[[#This Row],[RQD (%)]]&gt;80,80/2,Data_Geotech[[#This Row],[RQD (%)]]/2)),"")</f>
        <v>72</v>
      </c>
      <c r="AO169" s="43" t="str">
        <f>LEFT(Data_Geotech[[#This Row],[Joint Set Rating]],FIND("-",Data_Geotech[[#This Row],[Joint Set Rating]],1)-2)</f>
        <v>3</v>
      </c>
      <c r="AP16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0.6875</v>
      </c>
      <c r="AQ169" s="5">
        <f t="shared" si="0"/>
        <v>1</v>
      </c>
      <c r="AR169" s="49">
        <f>IF(Data_Geotech[[#This Row],[FIRS Code]]="R",IFERROR((IF(Data_Geotech[[#This Row],[RQD (%)]]&lt;10,10,Data_Geotech[[#This Row],[RQD (%)]])/Data_Geotech[[#This Row],[Jn rating]])*Data_Geotech[[#This Row],[Jr/Ja]],""),"")</f>
        <v>22.682823129251702</v>
      </c>
      <c r="AS169" s="45">
        <f>IF(Data_Geotech[[#This Row],[FIRS Code]]="R",IFERROR((IF(Data_Geotech[[#This Row],[RQD (%)]]&lt;10,10,Data_Geotech[[#This Row],[RQD (%)]])/Data_Geotech[[#This Row],[Jn rating]])*Data_Geotech[[#This Row],[Jr/Ja]]*Data_Geotech[[#This Row],[Jw/SRF]],""),"")</f>
        <v>22.682823129251702</v>
      </c>
      <c r="AT169" s="12"/>
      <c r="AU169" s="13">
        <f>100-Data_Geotech[[#This Row],[RQD (%)]]</f>
        <v>1.0204081632653015</v>
      </c>
      <c r="AV169" s="13">
        <f>100-Data_Geotech[[#This Row],[TCR (%)]]</f>
        <v>0</v>
      </c>
      <c r="AW169" s="62">
        <f>(Data_Geotech[[#This Row],[Fracture per interval]]+Data_Geotech[[#This Row],[Added fractures 
(BC, FLT, LC)]])/Data_Geotech[[#This Row],[TCR (m)]]</f>
        <v>0.68027210884353739</v>
      </c>
      <c r="AX169" s="6" t="s">
        <v>109</v>
      </c>
      <c r="AY169" s="63">
        <f>7-MID(Data_Geotech[[#This Row],[Field Intact Rock Strength]],2,1)</f>
        <v>2</v>
      </c>
      <c r="AZ169" s="63">
        <f>VLOOKUP(Data_Geotech[[#This Row],[Field Intact Rock Strength]],Table_FieldStrength[],2,FALSE)</f>
        <v>100</v>
      </c>
      <c r="BA169" s="63">
        <f>VLOOKUP(Data_Geotech[[#This Row],[Field Intact Rock Strength]],Table_FieldStrength[],3,FALSE)</f>
        <v>175</v>
      </c>
      <c r="BB169" s="63">
        <f>VLOOKUP(Data_Geotech[[#This Row],[Field Intact Rock Strength]],Table_FieldStrength[],4,FALSE)</f>
        <v>250</v>
      </c>
      <c r="BC169" s="63">
        <f>100-Data_Geotech[[#This Row],[RMR76]]</f>
        <v>29</v>
      </c>
      <c r="BD169" s="63" t="str">
        <f>LEFT(Data_Geotech[[#This Row],[Weathering/Alteration]],FIND("-",Data_Geotech[[#This Row],[Weathering/Alteration]])-2)</f>
        <v>W2/A2</v>
      </c>
    </row>
    <row r="170" spans="1:56" hidden="1" x14ac:dyDescent="0.25">
      <c r="A170" t="s">
        <v>34</v>
      </c>
      <c r="B170" s="16" t="str">
        <f>VLOOKUP(Data_Geotech[[#This Row],[Hole ID]],Data_Log[],2,FALSE)</f>
        <v>CGF-04</v>
      </c>
      <c r="C170" s="5">
        <v>77.94</v>
      </c>
      <c r="D170" s="5">
        <v>80.900000000000006</v>
      </c>
      <c r="E170" s="5">
        <f>(Data_Geotech[[#This Row],[To (m)]]-Data_Geotech[[#This Row],[From (m)]])/2+Data_Geotech[[#This Row],[From (m)]]</f>
        <v>79.42</v>
      </c>
      <c r="F170" s="13">
        <f>Data_Geotech[[#This Row],[To (m)]]-Data_Geotech[[#This Row],[From (m)]]</f>
        <v>2.960000000000008</v>
      </c>
      <c r="G170" s="5">
        <v>2.96</v>
      </c>
      <c r="H170" s="61">
        <f>Data_Geotech[[#This Row],[TCR (m)]]/Data_Geotech[[#This Row],[Run (m)]]*100</f>
        <v>99.99999999999973</v>
      </c>
      <c r="I170" s="151">
        <v>2.92</v>
      </c>
      <c r="J170" s="151">
        <v>2.9</v>
      </c>
      <c r="K170" s="5">
        <v>2.9</v>
      </c>
      <c r="L170" s="61">
        <f>Data_Geotech[[#This Row],[RQD (m)]]/Data_Geotech[[#This Row],[Run Reel (m)]]*100</f>
        <v>100</v>
      </c>
      <c r="M170" t="s">
        <v>584</v>
      </c>
      <c r="O170" t="s">
        <v>278</v>
      </c>
      <c r="P170" s="115" t="s">
        <v>370</v>
      </c>
      <c r="Q170" s="5" t="s">
        <v>313</v>
      </c>
      <c r="R170" s="5"/>
      <c r="S170" s="5"/>
      <c r="T170" s="5"/>
      <c r="U170" s="5"/>
      <c r="V170" s="6">
        <v>1</v>
      </c>
      <c r="W170" s="92">
        <f>SUMIFS(Discontinuities!$D$4:$D$9664,Discontinuities!$A$4:$A$9664,A170,Discontinuities!$C$4:$C$9664,"&gt;="&amp;C170,Discontinuities!$C$4:$C$9664,"&lt;"&amp;D170)
-SUMIFS(Discontinuities!$D$4:$D$9664,Discontinuities!$A$4:$A$9664,A170,Discontinuities!$C$4:$C$9664,"&gt;="&amp;C170,Discontinuities!$C$4:$C$9664,"&lt;"&amp;D170,Discontinuities!$E$4:$E$9664,"=BC")
-SUMIFS(Discontinuities!$D$4:$D$9664,Discontinuities!$A$4:$A$9664,A170,Discontinuities!$C$4:$C$9664,"&gt;="&amp;C170,Discontinuities!$C$4:$C$9664,"&lt;"&amp;D170,Discontinuities!$E$4:$E$9664,"=LC")
-SUMIFS(Discontinuities!$D$4:$D$9664,Discontinuities!$A$4:$A$9664,A170,Discontinuities!$C$4:$C$9664,"&gt;="&amp;C170,Discontinuities!$C$4:$C$9664,"&lt;"&amp;D170,Discontinuities!$E$4:$E$9664,"=FLT")</f>
        <v>1</v>
      </c>
      <c r="X170" t="s">
        <v>345</v>
      </c>
      <c r="AA170" s="12"/>
      <c r="AB170" s="43">
        <f>IFERROR(ROUND((Data_Geotech[[#This Row],[Fault (m)]]+Data_Geotech[[#This Row],[Broken Core (m)]]+Data_Geotech[[#This Row],[Lost Core (m)]])*30,0),0)</f>
        <v>0</v>
      </c>
      <c r="AC170" s="44">
        <f>IF(Data_Geotech[[#This Row],[Added fractures 
(BC, FLT, LC)]]+Data_Geotech[[#This Row],[Fracture per interval]]=0,99,1/((Data_Geotech[[#This Row],[Fracture per interval]]+Data_Geotech[[#This Row],[Added fractures 
(BC, FLT, LC)]])/Data_Geotech[[#This Row],[Run (m)]]))</f>
        <v>2.960000000000008</v>
      </c>
      <c r="AD170" s="155" cm="1">
        <f t="array" ref="AD170">IFERROR(_xlfn.XLOOKUP(1,(A170=PLT!$A$4:$A$8886)*(Geotech!C170&lt;=PLT!$F$4:$F$8886)*(Geotech!D170&gt;=PLT!$F$4:$F$8886)*("Valid"=PLT!$P$4:$P$8886),PLT!$V$4:$V$8886),"")</f>
        <v>0</v>
      </c>
      <c r="AE170" s="156" t="str" cm="1">
        <f t="array" ref="AE170">IFERROR(_xlfn.XLOOKUP(1,(A170=PLT!$A$4:$A$8886)*(Geotech!C170&lt;=PLT!$F$4:$F$8886)*(Geotech!D170&gt;=PLT!$F$4:$F$8886)*(PLT!$V$4:$V$8886&lt;&gt;AD170)*("Valid"=PLT!$P$4:$P$7190),PLT!$V$4:$V$8886),"")</f>
        <v/>
      </c>
      <c r="AF170" s="156" t="str" cm="1">
        <f t="array" ref="AF170">IFERROR(_xlfn.XLOOKUP(1,(A170=PLT!$A$4:$A$8886)*(Geotech!C170&lt;=PLT!$F$4:$F$8886)*(Geotech!D170&gt;=PLT!$F$4:$F$8886)*(PLT!$V$4:$V$8886&lt;&gt;AD170)*(PLT!$V$4:$V$8886&lt;&gt;AE170)*("Valid"=PLT!$P$4:$P$7190),PLT!$V$4:$V$8886),"")</f>
        <v/>
      </c>
      <c r="AG170" s="44">
        <f>IFERROR(IF(AVERAGE(AD170:AF170)&gt;References!$BO$23,References!$BP$23,
IF(AVERAGE(AD170:AF170)&gt;References!$BO$22,References!$BP$22,
IF(AVERAGE(AD170:AF170)&gt;References!$BO$21,References!$BP$21,
IF(AVERAGE(AD170:AF170)&gt;References!$BO$20,References!$BP$20,
IF(AVERAGE(AD170:AF170)&gt;References!$BO$19,References!$BP$19,
IF(AVERAGE(AD170:AF170)&gt;References!$BO$18,References!$BP$18,
0)))))),"")</f>
        <v>0</v>
      </c>
      <c r="AH170" s="43">
        <f>IF(Data_Geotech[[#This Row],[Is50]]="",VLOOKUP(Data_Geotech[[#This Row],[Field Intact Rock Strength]],Table_RMR76_Strength[],2,FALSE),Data_Geotech[[#This Row],[Is50]])</f>
        <v>0</v>
      </c>
      <c r="AI170" s="43">
        <f>IF(Data_Geotech[[#This Row],[RQD (%)]]&lt;=25,3,IF(Data_Geotech[[#This Row],[RQD (%)]]&lt;=50,8,IF(Data_Geotech[[#This Row],[RQD (%)]]&lt;=75,13,IF(Data_Geotech[[#This Row],[RQD (%)]]&lt;=90,17,20))))</f>
        <v>20</v>
      </c>
      <c r="AJ170" s="43">
        <f>IF(Data_Geotech[[#This Row],[Joint spacing (m)]]&lt;=0.05,5,IF(Data_Geotech[[#This Row],[Joint spacing (m)]]&lt;=0.3,10,IF(Data_Geotech[[#This Row],[Joint spacing (m)]]&lt;=1,20,IF(Data_Geotech[[#This Row],[Joint spacing (m)]]&lt;=3,25,30))))</f>
        <v>25</v>
      </c>
      <c r="AK17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12</v>
      </c>
      <c r="AL170" s="6">
        <v>10</v>
      </c>
      <c r="AM170" s="117">
        <f>IF(Data_Geotech[[#This Row],[FIRS Code]]="R",IFERROR(SUM(Data_Geotech[[#This Row],[RMR76 - Strength rating]:[RMR76 - Ground water rating]]),""),"")</f>
        <v>67</v>
      </c>
      <c r="AN170" s="39">
        <f>IF(Data_Geotech[[#This Row],[FIRS Code]]="R",(2*Data_Geotech[[#This Row],[RMR76 - Joint condition rating]])+(IF(Data_Geotech[[#This Row],[RQD (%)]]&gt;80,80/2,Data_Geotech[[#This Row],[RQD (%)]]/2)),"")</f>
        <v>64</v>
      </c>
      <c r="AO170" s="43" t="str">
        <f>LEFT(Data_Geotech[[#This Row],[Joint Set Rating]],FIND("-",Data_Geotech[[#This Row],[Joint Set Rating]],1)-2)</f>
        <v>3</v>
      </c>
      <c r="AP17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0.33333333333333331</v>
      </c>
      <c r="AQ170" s="5">
        <f t="shared" si="0"/>
        <v>1</v>
      </c>
      <c r="AR170" s="49">
        <f>IF(Data_Geotech[[#This Row],[FIRS Code]]="R",IFERROR((IF(Data_Geotech[[#This Row],[RQD (%)]]&lt;10,10,Data_Geotech[[#This Row],[RQD (%)]])/Data_Geotech[[#This Row],[Jn rating]])*Data_Geotech[[#This Row],[Jr/Ja]],""),"")</f>
        <v>11.111111111111111</v>
      </c>
      <c r="AS170" s="45">
        <f>IF(Data_Geotech[[#This Row],[FIRS Code]]="R",IFERROR((IF(Data_Geotech[[#This Row],[RQD (%)]]&lt;10,10,Data_Geotech[[#This Row],[RQD (%)]])/Data_Geotech[[#This Row],[Jn rating]])*Data_Geotech[[#This Row],[Jr/Ja]]*Data_Geotech[[#This Row],[Jw/SRF]],""),"")</f>
        <v>11.111111111111111</v>
      </c>
      <c r="AT170" s="12"/>
      <c r="AU170" s="13">
        <f>100-Data_Geotech[[#This Row],[RQD (%)]]</f>
        <v>0</v>
      </c>
      <c r="AV170" s="13">
        <f>100-Data_Geotech[[#This Row],[TCR (%)]]</f>
        <v>2.7000623958883807E-13</v>
      </c>
      <c r="AW170" s="62">
        <f>(Data_Geotech[[#This Row],[Fracture per interval]]+Data_Geotech[[#This Row],[Added fractures 
(BC, FLT, LC)]])/Data_Geotech[[#This Row],[TCR (m)]]</f>
        <v>0.33783783783783783</v>
      </c>
      <c r="AX170" s="6" t="s">
        <v>109</v>
      </c>
      <c r="AY170" s="63">
        <f>7-MID(Data_Geotech[[#This Row],[Field Intact Rock Strength]],2,1)</f>
        <v>3</v>
      </c>
      <c r="AZ170" s="63">
        <f>VLOOKUP(Data_Geotech[[#This Row],[Field Intact Rock Strength]],Table_FieldStrength[],2,FALSE)</f>
        <v>50</v>
      </c>
      <c r="BA170" s="63">
        <f>VLOOKUP(Data_Geotech[[#This Row],[Field Intact Rock Strength]],Table_FieldStrength[],3,FALSE)</f>
        <v>75</v>
      </c>
      <c r="BB170" s="63">
        <f>VLOOKUP(Data_Geotech[[#This Row],[Field Intact Rock Strength]],Table_FieldStrength[],4,FALSE)</f>
        <v>100</v>
      </c>
      <c r="BC170" s="63">
        <f>100-Data_Geotech[[#This Row],[RMR76]]</f>
        <v>33</v>
      </c>
      <c r="BD170" s="63" t="str">
        <f>LEFT(Data_Geotech[[#This Row],[Weathering/Alteration]],FIND("-",Data_Geotech[[#This Row],[Weathering/Alteration]])-2)</f>
        <v>W2/A2</v>
      </c>
    </row>
    <row r="171" spans="1:56" hidden="1" x14ac:dyDescent="0.25">
      <c r="A171" t="s">
        <v>34</v>
      </c>
      <c r="B171" s="16" t="str">
        <f>VLOOKUP(Data_Geotech[[#This Row],[Hole ID]],Data_Log[],2,FALSE)</f>
        <v>CGF-04</v>
      </c>
      <c r="C171" s="5">
        <v>80.900000000000006</v>
      </c>
      <c r="D171" s="5">
        <v>83.97</v>
      </c>
      <c r="E171" s="5">
        <f>(Data_Geotech[[#This Row],[To (m)]]-Data_Geotech[[#This Row],[From (m)]])/2+Data_Geotech[[#This Row],[From (m)]]</f>
        <v>82.435000000000002</v>
      </c>
      <c r="F171" s="13">
        <f>Data_Geotech[[#This Row],[To (m)]]-Data_Geotech[[#This Row],[From (m)]]</f>
        <v>3.0699999999999932</v>
      </c>
      <c r="G171" s="5">
        <v>3.07</v>
      </c>
      <c r="H171" s="61">
        <f>Data_Geotech[[#This Row],[TCR (m)]]/Data_Geotech[[#This Row],[Run (m)]]*100</f>
        <v>100.00000000000023</v>
      </c>
      <c r="I171" s="151">
        <v>3.07</v>
      </c>
      <c r="J171" s="151">
        <v>3.07</v>
      </c>
      <c r="K171" s="5">
        <v>3.07</v>
      </c>
      <c r="L171" s="61">
        <f>Data_Geotech[[#This Row],[RQD (m)]]/Data_Geotech[[#This Row],[Run Reel (m)]]*100</f>
        <v>100</v>
      </c>
      <c r="M171" t="s">
        <v>584</v>
      </c>
      <c r="O171" t="s">
        <v>243</v>
      </c>
      <c r="P171" s="115" t="s">
        <v>397</v>
      </c>
      <c r="Q171" s="5" t="s">
        <v>281</v>
      </c>
      <c r="R171" s="5"/>
      <c r="S171" s="5"/>
      <c r="T171" s="5"/>
      <c r="U171" s="5"/>
      <c r="V171" s="6">
        <v>2</v>
      </c>
      <c r="W171" s="92">
        <f>SUMIFS(Discontinuities!$D$4:$D$9664,Discontinuities!$A$4:$A$9664,A171,Discontinuities!$C$4:$C$9664,"&gt;="&amp;C171,Discontinuities!$C$4:$C$9664,"&lt;"&amp;D171)
-SUMIFS(Discontinuities!$D$4:$D$9664,Discontinuities!$A$4:$A$9664,A171,Discontinuities!$C$4:$C$9664,"&gt;="&amp;C171,Discontinuities!$C$4:$C$9664,"&lt;"&amp;D171,Discontinuities!$E$4:$E$9664,"=BC")
-SUMIFS(Discontinuities!$D$4:$D$9664,Discontinuities!$A$4:$A$9664,A171,Discontinuities!$C$4:$C$9664,"&gt;="&amp;C171,Discontinuities!$C$4:$C$9664,"&lt;"&amp;D171,Discontinuities!$E$4:$E$9664,"=LC")
-SUMIFS(Discontinuities!$D$4:$D$9664,Discontinuities!$A$4:$A$9664,A171,Discontinuities!$C$4:$C$9664,"&gt;="&amp;C171,Discontinuities!$C$4:$C$9664,"&lt;"&amp;D171,Discontinuities!$E$4:$E$9664,"=FLT")</f>
        <v>2</v>
      </c>
      <c r="X171" t="s">
        <v>312</v>
      </c>
      <c r="AA171" s="12"/>
      <c r="AB171" s="43">
        <f>IFERROR(ROUND((Data_Geotech[[#This Row],[Fault (m)]]+Data_Geotech[[#This Row],[Broken Core (m)]]+Data_Geotech[[#This Row],[Lost Core (m)]])*30,0),0)</f>
        <v>0</v>
      </c>
      <c r="AC171" s="44">
        <f>IF(Data_Geotech[[#This Row],[Added fractures 
(BC, FLT, LC)]]+Data_Geotech[[#This Row],[Fracture per interval]]=0,99,1/((Data_Geotech[[#This Row],[Fracture per interval]]+Data_Geotech[[#This Row],[Added fractures 
(BC, FLT, LC)]])/Data_Geotech[[#This Row],[Run (m)]]))</f>
        <v>1.5349999999999968</v>
      </c>
      <c r="AD171" s="155" cm="1">
        <f t="array" ref="AD171">IFERROR(_xlfn.XLOOKUP(1,(A171=PLT!$A$4:$A$8886)*(Geotech!C171&lt;=PLT!$F$4:$F$8886)*(Geotech!D171&gt;=PLT!$F$4:$F$8886)*("Valid"=PLT!$P$4:$P$8886),PLT!$V$4:$V$8886),"")</f>
        <v>0</v>
      </c>
      <c r="AE171" s="156" t="str" cm="1">
        <f t="array" ref="AE171">IFERROR(_xlfn.XLOOKUP(1,(A171=PLT!$A$4:$A$8886)*(Geotech!C171&lt;=PLT!$F$4:$F$8886)*(Geotech!D171&gt;=PLT!$F$4:$F$8886)*(PLT!$V$4:$V$8886&lt;&gt;AD171)*("Valid"=PLT!$P$4:$P$7190),PLT!$V$4:$V$8886),"")</f>
        <v/>
      </c>
      <c r="AF171" s="156" t="str" cm="1">
        <f t="array" ref="AF171">IFERROR(_xlfn.XLOOKUP(1,(A171=PLT!$A$4:$A$8886)*(Geotech!C171&lt;=PLT!$F$4:$F$8886)*(Geotech!D171&gt;=PLT!$F$4:$F$8886)*(PLT!$V$4:$V$8886&lt;&gt;AD171)*(PLT!$V$4:$V$8886&lt;&gt;AE171)*("Valid"=PLT!$P$4:$P$7190),PLT!$V$4:$V$8886),"")</f>
        <v/>
      </c>
      <c r="AG171" s="44">
        <f>IFERROR(IF(AVERAGE(AD171:AF171)&gt;References!$BO$23,References!$BP$23,
IF(AVERAGE(AD171:AF171)&gt;References!$BO$22,References!$BP$22,
IF(AVERAGE(AD171:AF171)&gt;References!$BO$21,References!$BP$21,
IF(AVERAGE(AD171:AF171)&gt;References!$BO$20,References!$BP$20,
IF(AVERAGE(AD171:AF171)&gt;References!$BO$19,References!$BP$19,
IF(AVERAGE(AD171:AF171)&gt;References!$BO$18,References!$BP$18,
0)))))),"")</f>
        <v>0</v>
      </c>
      <c r="AH171" s="43">
        <f>IF(Data_Geotech[[#This Row],[Is50]]="",VLOOKUP(Data_Geotech[[#This Row],[Field Intact Rock Strength]],Table_RMR76_Strength[],2,FALSE),Data_Geotech[[#This Row],[Is50]])</f>
        <v>0</v>
      </c>
      <c r="AI171" s="43">
        <f>IF(Data_Geotech[[#This Row],[RQD (%)]]&lt;=25,3,IF(Data_Geotech[[#This Row],[RQD (%)]]&lt;=50,8,IF(Data_Geotech[[#This Row],[RQD (%)]]&lt;=75,13,IF(Data_Geotech[[#This Row],[RQD (%)]]&lt;=90,17,20))))</f>
        <v>20</v>
      </c>
      <c r="AJ171" s="43">
        <f>IF(Data_Geotech[[#This Row],[Joint spacing (m)]]&lt;=0.05,5,IF(Data_Geotech[[#This Row],[Joint spacing (m)]]&lt;=0.3,10,IF(Data_Geotech[[#This Row],[Joint spacing (m)]]&lt;=1,20,IF(Data_Geotech[[#This Row],[Joint spacing (m)]]&lt;=3,25,30))))</f>
        <v>25</v>
      </c>
      <c r="AK17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171" s="6">
        <v>10</v>
      </c>
      <c r="AM171" s="117">
        <f>IF(Data_Geotech[[#This Row],[FIRS Code]]="R",IFERROR(SUM(Data_Geotech[[#This Row],[RMR76 - Strength rating]:[RMR76 - Ground water rating]]),""),"")</f>
        <v>77.5</v>
      </c>
      <c r="AN171" s="39">
        <f>IF(Data_Geotech[[#This Row],[FIRS Code]]="R",(2*Data_Geotech[[#This Row],[RMR76 - Joint condition rating]])+(IF(Data_Geotech[[#This Row],[RQD (%)]]&gt;80,80/2,Data_Geotech[[#This Row],[RQD (%)]]/2)),"")</f>
        <v>85</v>
      </c>
      <c r="AO171" s="43" t="str">
        <f>LEFT(Data_Geotech[[#This Row],[Joint Set Rating]],FIND("-",Data_Geotech[[#This Row],[Joint Set Rating]],1)-2)</f>
        <v>2</v>
      </c>
      <c r="AP17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2.25</v>
      </c>
      <c r="AQ171" s="5">
        <f t="shared" si="0"/>
        <v>1</v>
      </c>
      <c r="AR171" s="49">
        <f>IF(Data_Geotech[[#This Row],[FIRS Code]]="R",IFERROR((IF(Data_Geotech[[#This Row],[RQD (%)]]&lt;10,10,Data_Geotech[[#This Row],[RQD (%)]])/Data_Geotech[[#This Row],[Jn rating]])*Data_Geotech[[#This Row],[Jr/Ja]],""),"")</f>
        <v>112.5</v>
      </c>
      <c r="AS171" s="45">
        <f>IF(Data_Geotech[[#This Row],[FIRS Code]]="R",IFERROR((IF(Data_Geotech[[#This Row],[RQD (%)]]&lt;10,10,Data_Geotech[[#This Row],[RQD (%)]])/Data_Geotech[[#This Row],[Jn rating]])*Data_Geotech[[#This Row],[Jr/Ja]]*Data_Geotech[[#This Row],[Jw/SRF]],""),"")</f>
        <v>112.5</v>
      </c>
      <c r="AT171" s="12"/>
      <c r="AU171" s="13">
        <f>100-Data_Geotech[[#This Row],[RQD (%)]]</f>
        <v>0</v>
      </c>
      <c r="AV171" s="13">
        <f>100-Data_Geotech[[#This Row],[TCR (%)]]</f>
        <v>-2.2737367544323206E-13</v>
      </c>
      <c r="AW171" s="62">
        <f>(Data_Geotech[[#This Row],[Fracture per interval]]+Data_Geotech[[#This Row],[Added fractures 
(BC, FLT, LC)]])/Data_Geotech[[#This Row],[TCR (m)]]</f>
        <v>0.65146579804560267</v>
      </c>
      <c r="AX171" s="6" t="s">
        <v>109</v>
      </c>
      <c r="AY171" s="63">
        <f>7-MID(Data_Geotech[[#This Row],[Field Intact Rock Strength]],2,1)</f>
        <v>2</v>
      </c>
      <c r="AZ171" s="63">
        <f>VLOOKUP(Data_Geotech[[#This Row],[Field Intact Rock Strength]],Table_FieldStrength[],2,FALSE)</f>
        <v>100</v>
      </c>
      <c r="BA171" s="63">
        <f>VLOOKUP(Data_Geotech[[#This Row],[Field Intact Rock Strength]],Table_FieldStrength[],3,FALSE)</f>
        <v>175</v>
      </c>
      <c r="BB171" s="63">
        <f>VLOOKUP(Data_Geotech[[#This Row],[Field Intact Rock Strength]],Table_FieldStrength[],4,FALSE)</f>
        <v>250</v>
      </c>
      <c r="BC171" s="63">
        <f>100-Data_Geotech[[#This Row],[RMR76]]</f>
        <v>22.5</v>
      </c>
      <c r="BD171" s="63" t="str">
        <f>LEFT(Data_Geotech[[#This Row],[Weathering/Alteration]],FIND("-",Data_Geotech[[#This Row],[Weathering/Alteration]])-2)</f>
        <v>W1/A1</v>
      </c>
    </row>
    <row r="172" spans="1:56" hidden="1" x14ac:dyDescent="0.25">
      <c r="A172" t="s">
        <v>34</v>
      </c>
      <c r="B172" s="16" t="str">
        <f>VLOOKUP(Data_Geotech[[#This Row],[Hole ID]],Data_Log[],2,FALSE)</f>
        <v>CGF-04</v>
      </c>
      <c r="C172" s="5">
        <v>83.97</v>
      </c>
      <c r="D172" s="5">
        <v>86.95</v>
      </c>
      <c r="E172" s="5">
        <f>(Data_Geotech[[#This Row],[To (m)]]-Data_Geotech[[#This Row],[From (m)]])/2+Data_Geotech[[#This Row],[From (m)]]</f>
        <v>85.460000000000008</v>
      </c>
      <c r="F172" s="13">
        <f>Data_Geotech[[#This Row],[To (m)]]-Data_Geotech[[#This Row],[From (m)]]</f>
        <v>2.980000000000004</v>
      </c>
      <c r="G172" s="5">
        <v>2.98</v>
      </c>
      <c r="H172" s="61">
        <f>Data_Geotech[[#This Row],[TCR (m)]]/Data_Geotech[[#This Row],[Run (m)]]*100</f>
        <v>99.999999999999872</v>
      </c>
      <c r="I172" s="151">
        <v>2.98</v>
      </c>
      <c r="J172" s="151">
        <v>2.98</v>
      </c>
      <c r="K172" s="5">
        <v>2.98</v>
      </c>
      <c r="L172" s="61">
        <f>Data_Geotech[[#This Row],[RQD (m)]]/Data_Geotech[[#This Row],[Run Reel (m)]]*100</f>
        <v>100</v>
      </c>
      <c r="M172" t="s">
        <v>584</v>
      </c>
      <c r="O172" t="s">
        <v>278</v>
      </c>
      <c r="P172" s="115" t="s">
        <v>397</v>
      </c>
      <c r="Q172" s="5" t="s">
        <v>313</v>
      </c>
      <c r="R172" s="5"/>
      <c r="S172" s="5"/>
      <c r="T172" s="5"/>
      <c r="U172" s="5"/>
      <c r="V172" s="6">
        <v>4</v>
      </c>
      <c r="W172" s="92">
        <f>SUMIFS(Discontinuities!$D$4:$D$9664,Discontinuities!$A$4:$A$9664,A172,Discontinuities!$C$4:$C$9664,"&gt;="&amp;C172,Discontinuities!$C$4:$C$9664,"&lt;"&amp;D172)
-SUMIFS(Discontinuities!$D$4:$D$9664,Discontinuities!$A$4:$A$9664,A172,Discontinuities!$C$4:$C$9664,"&gt;="&amp;C172,Discontinuities!$C$4:$C$9664,"&lt;"&amp;D172,Discontinuities!$E$4:$E$9664,"=BC")
-SUMIFS(Discontinuities!$D$4:$D$9664,Discontinuities!$A$4:$A$9664,A172,Discontinuities!$C$4:$C$9664,"&gt;="&amp;C172,Discontinuities!$C$4:$C$9664,"&lt;"&amp;D172,Discontinuities!$E$4:$E$9664,"=LC")
-SUMIFS(Discontinuities!$D$4:$D$9664,Discontinuities!$A$4:$A$9664,A172,Discontinuities!$C$4:$C$9664,"&gt;="&amp;C172,Discontinuities!$C$4:$C$9664,"&lt;"&amp;D172,Discontinuities!$E$4:$E$9664,"=FLT")</f>
        <v>4</v>
      </c>
      <c r="X172" t="s">
        <v>345</v>
      </c>
      <c r="AA172" s="12"/>
      <c r="AB172" s="43">
        <f>IFERROR(ROUND((Data_Geotech[[#This Row],[Fault (m)]]+Data_Geotech[[#This Row],[Broken Core (m)]]+Data_Geotech[[#This Row],[Lost Core (m)]])*30,0),0)</f>
        <v>0</v>
      </c>
      <c r="AC172" s="44">
        <f>IF(Data_Geotech[[#This Row],[Added fractures 
(BC, FLT, LC)]]+Data_Geotech[[#This Row],[Fracture per interval]]=0,99,1/((Data_Geotech[[#This Row],[Fracture per interval]]+Data_Geotech[[#This Row],[Added fractures 
(BC, FLT, LC)]])/Data_Geotech[[#This Row],[Run (m)]]))</f>
        <v>0.74500000000000099</v>
      </c>
      <c r="AD172" s="155" cm="1">
        <f t="array" ref="AD172">IFERROR(_xlfn.XLOOKUP(1,(A172=PLT!$A$4:$A$8886)*(Geotech!C172&lt;=PLT!$F$4:$F$8886)*(Geotech!D172&gt;=PLT!$F$4:$F$8886)*("Valid"=PLT!$P$4:$P$8886),PLT!$V$4:$V$8886),"")</f>
        <v>0</v>
      </c>
      <c r="AE172" s="156" t="str" cm="1">
        <f t="array" ref="AE172">IFERROR(_xlfn.XLOOKUP(1,(A172=PLT!$A$4:$A$8886)*(Geotech!C172&lt;=PLT!$F$4:$F$8886)*(Geotech!D172&gt;=PLT!$F$4:$F$8886)*(PLT!$V$4:$V$8886&lt;&gt;AD172)*("Valid"=PLT!$P$4:$P$7190),PLT!$V$4:$V$8886),"")</f>
        <v/>
      </c>
      <c r="AF172" s="156" t="str" cm="1">
        <f t="array" ref="AF172">IFERROR(_xlfn.XLOOKUP(1,(A172=PLT!$A$4:$A$8886)*(Geotech!C172&lt;=PLT!$F$4:$F$8886)*(Geotech!D172&gt;=PLT!$F$4:$F$8886)*(PLT!$V$4:$V$8886&lt;&gt;AD172)*(PLT!$V$4:$V$8886&lt;&gt;AE172)*("Valid"=PLT!$P$4:$P$7190),PLT!$V$4:$V$8886),"")</f>
        <v/>
      </c>
      <c r="AG172" s="44">
        <f>IFERROR(IF(AVERAGE(AD172:AF172)&gt;References!$BO$23,References!$BP$23,
IF(AVERAGE(AD172:AF172)&gt;References!$BO$22,References!$BP$22,
IF(AVERAGE(AD172:AF172)&gt;References!$BO$21,References!$BP$21,
IF(AVERAGE(AD172:AF172)&gt;References!$BO$20,References!$BP$20,
IF(AVERAGE(AD172:AF172)&gt;References!$BO$19,References!$BP$19,
IF(AVERAGE(AD172:AF172)&gt;References!$BO$18,References!$BP$18,
0)))))),"")</f>
        <v>0</v>
      </c>
      <c r="AH172" s="43">
        <f>IF(Data_Geotech[[#This Row],[Is50]]="",VLOOKUP(Data_Geotech[[#This Row],[Field Intact Rock Strength]],Table_RMR76_Strength[],2,FALSE),Data_Geotech[[#This Row],[Is50]])</f>
        <v>0</v>
      </c>
      <c r="AI172" s="43">
        <f>IF(Data_Geotech[[#This Row],[RQD (%)]]&lt;=25,3,IF(Data_Geotech[[#This Row],[RQD (%)]]&lt;=50,8,IF(Data_Geotech[[#This Row],[RQD (%)]]&lt;=75,13,IF(Data_Geotech[[#This Row],[RQD (%)]]&lt;=90,17,20))))</f>
        <v>20</v>
      </c>
      <c r="AJ172" s="43">
        <f>IF(Data_Geotech[[#This Row],[Joint spacing (m)]]&lt;=0.05,5,IF(Data_Geotech[[#This Row],[Joint spacing (m)]]&lt;=0.3,10,IF(Data_Geotech[[#This Row],[Joint spacing (m)]]&lt;=1,20,IF(Data_Geotech[[#This Row],[Joint spacing (m)]]&lt;=3,25,30))))</f>
        <v>20</v>
      </c>
      <c r="AK17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20.5</v>
      </c>
      <c r="AL172" s="6">
        <v>10</v>
      </c>
      <c r="AM172" s="117">
        <f>IF(Data_Geotech[[#This Row],[FIRS Code]]="R",IFERROR(SUM(Data_Geotech[[#This Row],[RMR76 - Strength rating]:[RMR76 - Ground water rating]]),""),"")</f>
        <v>70.5</v>
      </c>
      <c r="AN172" s="39">
        <f>IF(Data_Geotech[[#This Row],[FIRS Code]]="R",(2*Data_Geotech[[#This Row],[RMR76 - Joint condition rating]])+(IF(Data_Geotech[[#This Row],[RQD (%)]]&gt;80,80/2,Data_Geotech[[#This Row],[RQD (%)]]/2)),"")</f>
        <v>81</v>
      </c>
      <c r="AO172" s="43" t="str">
        <f>LEFT(Data_Geotech[[#This Row],[Joint Set Rating]],FIND("-",Data_Geotech[[#This Row],[Joint Set Rating]],1)-2)</f>
        <v>3</v>
      </c>
      <c r="AP17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1.46875</v>
      </c>
      <c r="AQ172" s="5">
        <f t="shared" si="0"/>
        <v>1</v>
      </c>
      <c r="AR172" s="49">
        <f>IF(Data_Geotech[[#This Row],[FIRS Code]]="R",IFERROR((IF(Data_Geotech[[#This Row],[RQD (%)]]&lt;10,10,Data_Geotech[[#This Row],[RQD (%)]])/Data_Geotech[[#This Row],[Jn rating]])*Data_Geotech[[#This Row],[Jr/Ja]],""),"")</f>
        <v>48.958333333333336</v>
      </c>
      <c r="AS172" s="45">
        <f>IF(Data_Geotech[[#This Row],[FIRS Code]]="R",IFERROR((IF(Data_Geotech[[#This Row],[RQD (%)]]&lt;10,10,Data_Geotech[[#This Row],[RQD (%)]])/Data_Geotech[[#This Row],[Jn rating]])*Data_Geotech[[#This Row],[Jr/Ja]]*Data_Geotech[[#This Row],[Jw/SRF]],""),"")</f>
        <v>48.958333333333336</v>
      </c>
      <c r="AT172" s="12"/>
      <c r="AU172" s="13">
        <f>100-Data_Geotech[[#This Row],[RQD (%)]]</f>
        <v>0</v>
      </c>
      <c r="AV172" s="13">
        <f>100-Data_Geotech[[#This Row],[TCR (%)]]</f>
        <v>1.2789769243681803E-13</v>
      </c>
      <c r="AW172" s="62">
        <f>(Data_Geotech[[#This Row],[Fracture per interval]]+Data_Geotech[[#This Row],[Added fractures 
(BC, FLT, LC)]])/Data_Geotech[[#This Row],[TCR (m)]]</f>
        <v>1.3422818791946309</v>
      </c>
      <c r="AX172" s="6" t="s">
        <v>109</v>
      </c>
      <c r="AY172" s="63">
        <f>7-MID(Data_Geotech[[#This Row],[Field Intact Rock Strength]],2,1)</f>
        <v>2</v>
      </c>
      <c r="AZ172" s="63">
        <f>VLOOKUP(Data_Geotech[[#This Row],[Field Intact Rock Strength]],Table_FieldStrength[],2,FALSE)</f>
        <v>100</v>
      </c>
      <c r="BA172" s="63">
        <f>VLOOKUP(Data_Geotech[[#This Row],[Field Intact Rock Strength]],Table_FieldStrength[],3,FALSE)</f>
        <v>175</v>
      </c>
      <c r="BB172" s="63">
        <f>VLOOKUP(Data_Geotech[[#This Row],[Field Intact Rock Strength]],Table_FieldStrength[],4,FALSE)</f>
        <v>250</v>
      </c>
      <c r="BC172" s="63">
        <f>100-Data_Geotech[[#This Row],[RMR76]]</f>
        <v>29.5</v>
      </c>
      <c r="BD172" s="63" t="str">
        <f>LEFT(Data_Geotech[[#This Row],[Weathering/Alteration]],FIND("-",Data_Geotech[[#This Row],[Weathering/Alteration]])-2)</f>
        <v>W2/A2</v>
      </c>
    </row>
    <row r="173" spans="1:56" hidden="1" x14ac:dyDescent="0.25">
      <c r="A173" t="s">
        <v>34</v>
      </c>
      <c r="B173" s="16" t="str">
        <f>VLOOKUP(Data_Geotech[[#This Row],[Hole ID]],Data_Log[],2,FALSE)</f>
        <v>CGF-04</v>
      </c>
      <c r="C173" s="5">
        <v>86.95</v>
      </c>
      <c r="D173" s="5">
        <v>90</v>
      </c>
      <c r="E173" s="5">
        <f>(Data_Geotech[[#This Row],[To (m)]]-Data_Geotech[[#This Row],[From (m)]])/2+Data_Geotech[[#This Row],[From (m)]]</f>
        <v>88.474999999999994</v>
      </c>
      <c r="F173" s="13">
        <f>Data_Geotech[[#This Row],[To (m)]]-Data_Geotech[[#This Row],[From (m)]]</f>
        <v>3.0499999999999972</v>
      </c>
      <c r="G173" s="5">
        <v>3.05</v>
      </c>
      <c r="H173" s="61">
        <f>Data_Geotech[[#This Row],[TCR (m)]]/Data_Geotech[[#This Row],[Run (m)]]*100</f>
        <v>100.00000000000009</v>
      </c>
      <c r="I173" s="151">
        <v>3.04</v>
      </c>
      <c r="J173" s="151">
        <v>3.04</v>
      </c>
      <c r="K173" s="5">
        <v>3.04</v>
      </c>
      <c r="L173" s="61">
        <f>Data_Geotech[[#This Row],[RQD (m)]]/Data_Geotech[[#This Row],[Run Reel (m)]]*100</f>
        <v>100</v>
      </c>
      <c r="M173" t="s">
        <v>584</v>
      </c>
      <c r="O173" t="s">
        <v>243</v>
      </c>
      <c r="P173" s="115" t="s">
        <v>397</v>
      </c>
      <c r="Q173" s="5" t="s">
        <v>313</v>
      </c>
      <c r="R173" s="5"/>
      <c r="S173" s="5"/>
      <c r="T173" s="5"/>
      <c r="U173" s="5"/>
      <c r="V173" s="6">
        <v>2</v>
      </c>
      <c r="W173" s="92">
        <f>SUMIFS(Discontinuities!$D$4:$D$9664,Discontinuities!$A$4:$A$9664,A173,Discontinuities!$C$4:$C$9664,"&gt;="&amp;C173,Discontinuities!$C$4:$C$9664,"&lt;"&amp;D173)
-SUMIFS(Discontinuities!$D$4:$D$9664,Discontinuities!$A$4:$A$9664,A173,Discontinuities!$C$4:$C$9664,"&gt;="&amp;C173,Discontinuities!$C$4:$C$9664,"&lt;"&amp;D173,Discontinuities!$E$4:$E$9664,"=BC")
-SUMIFS(Discontinuities!$D$4:$D$9664,Discontinuities!$A$4:$A$9664,A173,Discontinuities!$C$4:$C$9664,"&gt;="&amp;C173,Discontinuities!$C$4:$C$9664,"&lt;"&amp;D173,Discontinuities!$E$4:$E$9664,"=LC")
-SUMIFS(Discontinuities!$D$4:$D$9664,Discontinuities!$A$4:$A$9664,A173,Discontinuities!$C$4:$C$9664,"&gt;="&amp;C173,Discontinuities!$C$4:$C$9664,"&lt;"&amp;D173,Discontinuities!$E$4:$E$9664,"=FLT")</f>
        <v>2</v>
      </c>
      <c r="X173" t="s">
        <v>417</v>
      </c>
      <c r="AA173" s="12"/>
      <c r="AB173" s="43">
        <f>IFERROR(ROUND((Data_Geotech[[#This Row],[Fault (m)]]+Data_Geotech[[#This Row],[Broken Core (m)]]+Data_Geotech[[#This Row],[Lost Core (m)]])*30,0),0)</f>
        <v>0</v>
      </c>
      <c r="AC173" s="44">
        <f>IF(Data_Geotech[[#This Row],[Added fractures 
(BC, FLT, LC)]]+Data_Geotech[[#This Row],[Fracture per interval]]=0,99,1/((Data_Geotech[[#This Row],[Fracture per interval]]+Data_Geotech[[#This Row],[Added fractures 
(BC, FLT, LC)]])/Data_Geotech[[#This Row],[Run (m)]]))</f>
        <v>1.5249999999999986</v>
      </c>
      <c r="AD173" s="155" cm="1">
        <f t="array" ref="AD173">IFERROR(_xlfn.XLOOKUP(1,(A173=PLT!$A$4:$A$8886)*(Geotech!C173&lt;=PLT!$F$4:$F$8886)*(Geotech!D173&gt;=PLT!$F$4:$F$8886)*("Valid"=PLT!$P$4:$P$8886),PLT!$V$4:$V$8886),"")</f>
        <v>0</v>
      </c>
      <c r="AE173" s="156" t="str" cm="1">
        <f t="array" ref="AE173">IFERROR(_xlfn.XLOOKUP(1,(A173=PLT!$A$4:$A$8886)*(Geotech!C173&lt;=PLT!$F$4:$F$8886)*(Geotech!D173&gt;=PLT!$F$4:$F$8886)*(PLT!$V$4:$V$8886&lt;&gt;AD173)*("Valid"=PLT!$P$4:$P$7190),PLT!$V$4:$V$8886),"")</f>
        <v/>
      </c>
      <c r="AF173" s="156" t="str" cm="1">
        <f t="array" ref="AF173">IFERROR(_xlfn.XLOOKUP(1,(A173=PLT!$A$4:$A$8886)*(Geotech!C173&lt;=PLT!$F$4:$F$8886)*(Geotech!D173&gt;=PLT!$F$4:$F$8886)*(PLT!$V$4:$V$8886&lt;&gt;AD173)*(PLT!$V$4:$V$8886&lt;&gt;AE173)*("Valid"=PLT!$P$4:$P$7190),PLT!$V$4:$V$8886),"")</f>
        <v/>
      </c>
      <c r="AG173" s="44">
        <f>IFERROR(IF(AVERAGE(AD173:AF173)&gt;References!$BO$23,References!$BP$23,
IF(AVERAGE(AD173:AF173)&gt;References!$BO$22,References!$BP$22,
IF(AVERAGE(AD173:AF173)&gt;References!$BO$21,References!$BP$21,
IF(AVERAGE(AD173:AF173)&gt;References!$BO$20,References!$BP$20,
IF(AVERAGE(AD173:AF173)&gt;References!$BO$19,References!$BP$19,
IF(AVERAGE(AD173:AF173)&gt;References!$BO$18,References!$BP$18,
0)))))),"")</f>
        <v>0</v>
      </c>
      <c r="AH173" s="43">
        <f>IF(Data_Geotech[[#This Row],[Is50]]="",VLOOKUP(Data_Geotech[[#This Row],[Field Intact Rock Strength]],Table_RMR76_Strength[],2,FALSE),Data_Geotech[[#This Row],[Is50]])</f>
        <v>0</v>
      </c>
      <c r="AI173" s="43">
        <f>IF(Data_Geotech[[#This Row],[RQD (%)]]&lt;=25,3,IF(Data_Geotech[[#This Row],[RQD (%)]]&lt;=50,8,IF(Data_Geotech[[#This Row],[RQD (%)]]&lt;=75,13,IF(Data_Geotech[[#This Row],[RQD (%)]]&lt;=90,17,20))))</f>
        <v>20</v>
      </c>
      <c r="AJ173" s="43">
        <f>IF(Data_Geotech[[#This Row],[Joint spacing (m)]]&lt;=0.05,5,IF(Data_Geotech[[#This Row],[Joint spacing (m)]]&lt;=0.3,10,IF(Data_Geotech[[#This Row],[Joint spacing (m)]]&lt;=1,20,IF(Data_Geotech[[#This Row],[Joint spacing (m)]]&lt;=3,25,30))))</f>
        <v>25</v>
      </c>
      <c r="AK17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22.5</v>
      </c>
      <c r="AL173" s="6">
        <v>10</v>
      </c>
      <c r="AM173" s="117">
        <f>IF(Data_Geotech[[#This Row],[FIRS Code]]="R",IFERROR(SUM(Data_Geotech[[#This Row],[RMR76 - Strength rating]:[RMR76 - Ground water rating]]),""),"")</f>
        <v>77.5</v>
      </c>
      <c r="AN173" s="39">
        <f>IF(Data_Geotech[[#This Row],[FIRS Code]]="R",(2*Data_Geotech[[#This Row],[RMR76 - Joint condition rating]])+(IF(Data_Geotech[[#This Row],[RQD (%)]]&gt;80,80/2,Data_Geotech[[#This Row],[RQD (%)]]/2)),"")</f>
        <v>85</v>
      </c>
      <c r="AO173" s="43" t="str">
        <f>LEFT(Data_Geotech[[#This Row],[Joint Set Rating]],FIND("-",Data_Geotech[[#This Row],[Joint Set Rating]],1)-2)</f>
        <v>9</v>
      </c>
      <c r="AP17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1.875</v>
      </c>
      <c r="AQ173" s="5">
        <f t="shared" si="0"/>
        <v>1</v>
      </c>
      <c r="AR173" s="49">
        <f>IF(Data_Geotech[[#This Row],[FIRS Code]]="R",IFERROR((IF(Data_Geotech[[#This Row],[RQD (%)]]&lt;10,10,Data_Geotech[[#This Row],[RQD (%)]])/Data_Geotech[[#This Row],[Jn rating]])*Data_Geotech[[#This Row],[Jr/Ja]],""),"")</f>
        <v>20.833333333333332</v>
      </c>
      <c r="AS173" s="45">
        <f>IF(Data_Geotech[[#This Row],[FIRS Code]]="R",IFERROR((IF(Data_Geotech[[#This Row],[RQD (%)]]&lt;10,10,Data_Geotech[[#This Row],[RQD (%)]])/Data_Geotech[[#This Row],[Jn rating]])*Data_Geotech[[#This Row],[Jr/Ja]]*Data_Geotech[[#This Row],[Jw/SRF]],""),"")</f>
        <v>20.833333333333332</v>
      </c>
      <c r="AT173" s="12"/>
      <c r="AU173" s="13">
        <f>100-Data_Geotech[[#This Row],[RQD (%)]]</f>
        <v>0</v>
      </c>
      <c r="AV173" s="13">
        <f>100-Data_Geotech[[#This Row],[TCR (%)]]</f>
        <v>0</v>
      </c>
      <c r="AW173" s="62">
        <f>(Data_Geotech[[#This Row],[Fracture per interval]]+Data_Geotech[[#This Row],[Added fractures 
(BC, FLT, LC)]])/Data_Geotech[[#This Row],[TCR (m)]]</f>
        <v>0.65573770491803285</v>
      </c>
      <c r="AX173" s="6" t="s">
        <v>109</v>
      </c>
      <c r="AY173" s="63">
        <f>7-MID(Data_Geotech[[#This Row],[Field Intact Rock Strength]],2,1)</f>
        <v>2</v>
      </c>
      <c r="AZ173" s="63">
        <f>VLOOKUP(Data_Geotech[[#This Row],[Field Intact Rock Strength]],Table_FieldStrength[],2,FALSE)</f>
        <v>100</v>
      </c>
      <c r="BA173" s="63">
        <f>VLOOKUP(Data_Geotech[[#This Row],[Field Intact Rock Strength]],Table_FieldStrength[],3,FALSE)</f>
        <v>175</v>
      </c>
      <c r="BB173" s="63">
        <f>VLOOKUP(Data_Geotech[[#This Row],[Field Intact Rock Strength]],Table_FieldStrength[],4,FALSE)</f>
        <v>250</v>
      </c>
      <c r="BC173" s="63">
        <f>100-Data_Geotech[[#This Row],[RMR76]]</f>
        <v>22.5</v>
      </c>
      <c r="BD173" s="63" t="str">
        <f>LEFT(Data_Geotech[[#This Row],[Weathering/Alteration]],FIND("-",Data_Geotech[[#This Row],[Weathering/Alteration]])-2)</f>
        <v>W1/A1</v>
      </c>
    </row>
    <row r="174" spans="1:56" hidden="1" x14ac:dyDescent="0.25">
      <c r="A174" t="s">
        <v>34</v>
      </c>
      <c r="B174" s="16" t="str">
        <f>VLOOKUP(Data_Geotech[[#This Row],[Hole ID]],Data_Log[],2,FALSE)</f>
        <v>CGF-04</v>
      </c>
      <c r="C174" s="5">
        <v>90</v>
      </c>
      <c r="D174" s="5">
        <v>92.97</v>
      </c>
      <c r="E174" s="5">
        <f>(Data_Geotech[[#This Row],[To (m)]]-Data_Geotech[[#This Row],[From (m)]])/2+Data_Geotech[[#This Row],[From (m)]]</f>
        <v>91.484999999999999</v>
      </c>
      <c r="F174" s="13">
        <f>Data_Geotech[[#This Row],[To (m)]]-Data_Geotech[[#This Row],[From (m)]]</f>
        <v>2.9699999999999989</v>
      </c>
      <c r="G174" s="5">
        <v>2.97</v>
      </c>
      <c r="H174" s="61">
        <f>Data_Geotech[[#This Row],[TCR (m)]]/Data_Geotech[[#This Row],[Run (m)]]*100</f>
        <v>100.00000000000004</v>
      </c>
      <c r="I174" s="151">
        <v>2.97</v>
      </c>
      <c r="J174" s="151">
        <v>2.97</v>
      </c>
      <c r="K174" s="5">
        <v>2.97</v>
      </c>
      <c r="L174" s="61">
        <f>Data_Geotech[[#This Row],[RQD (m)]]/Data_Geotech[[#This Row],[Run Reel (m)]]*100</f>
        <v>100</v>
      </c>
      <c r="M174" t="s">
        <v>584</v>
      </c>
      <c r="O174" t="s">
        <v>243</v>
      </c>
      <c r="P174" s="115" t="s">
        <v>397</v>
      </c>
      <c r="Q174" s="5" t="s">
        <v>281</v>
      </c>
      <c r="R174" s="5"/>
      <c r="S174" s="5"/>
      <c r="T174" s="5"/>
      <c r="U174" s="5"/>
      <c r="V174" s="6">
        <v>2</v>
      </c>
      <c r="W174" s="92">
        <f>SUMIFS(Discontinuities!$D$4:$D$9664,Discontinuities!$A$4:$A$9664,A174,Discontinuities!$C$4:$C$9664,"&gt;="&amp;C174,Discontinuities!$C$4:$C$9664,"&lt;"&amp;D174)
-SUMIFS(Discontinuities!$D$4:$D$9664,Discontinuities!$A$4:$A$9664,A174,Discontinuities!$C$4:$C$9664,"&gt;="&amp;C174,Discontinuities!$C$4:$C$9664,"&lt;"&amp;D174,Discontinuities!$E$4:$E$9664,"=BC")
-SUMIFS(Discontinuities!$D$4:$D$9664,Discontinuities!$A$4:$A$9664,A174,Discontinuities!$C$4:$C$9664,"&gt;="&amp;C174,Discontinuities!$C$4:$C$9664,"&lt;"&amp;D174,Discontinuities!$E$4:$E$9664,"=LC")
-SUMIFS(Discontinuities!$D$4:$D$9664,Discontinuities!$A$4:$A$9664,A174,Discontinuities!$C$4:$C$9664,"&gt;="&amp;C174,Discontinuities!$C$4:$C$9664,"&lt;"&amp;D174,Discontinuities!$E$4:$E$9664,"=FLT")</f>
        <v>2</v>
      </c>
      <c r="X174" t="s">
        <v>373</v>
      </c>
      <c r="AA174" s="12"/>
      <c r="AB174" s="43">
        <f>IFERROR(ROUND((Data_Geotech[[#This Row],[Fault (m)]]+Data_Geotech[[#This Row],[Broken Core (m)]]+Data_Geotech[[#This Row],[Lost Core (m)]])*30,0),0)</f>
        <v>0</v>
      </c>
      <c r="AC174" s="44">
        <f>IF(Data_Geotech[[#This Row],[Added fractures 
(BC, FLT, LC)]]+Data_Geotech[[#This Row],[Fracture per interval]]=0,99,1/((Data_Geotech[[#This Row],[Fracture per interval]]+Data_Geotech[[#This Row],[Added fractures 
(BC, FLT, LC)]])/Data_Geotech[[#This Row],[Run (m)]]))</f>
        <v>1.4849999999999994</v>
      </c>
      <c r="AD174" s="155" cm="1">
        <f t="array" ref="AD174">IFERROR(_xlfn.XLOOKUP(1,(A174=PLT!$A$4:$A$8886)*(Geotech!C174&lt;=PLT!$F$4:$F$8886)*(Geotech!D174&gt;=PLT!$F$4:$F$8886)*("Valid"=PLT!$P$4:$P$8886),PLT!$V$4:$V$8886),"")</f>
        <v>0</v>
      </c>
      <c r="AE174" s="156" t="str" cm="1">
        <f t="array" ref="AE174">IFERROR(_xlfn.XLOOKUP(1,(A174=PLT!$A$4:$A$8886)*(Geotech!C174&lt;=PLT!$F$4:$F$8886)*(Geotech!D174&gt;=PLT!$F$4:$F$8886)*(PLT!$V$4:$V$8886&lt;&gt;AD174)*("Valid"=PLT!$P$4:$P$7190),PLT!$V$4:$V$8886),"")</f>
        <v/>
      </c>
      <c r="AF174" s="156" t="str" cm="1">
        <f t="array" ref="AF174">IFERROR(_xlfn.XLOOKUP(1,(A174=PLT!$A$4:$A$8886)*(Geotech!C174&lt;=PLT!$F$4:$F$8886)*(Geotech!D174&gt;=PLT!$F$4:$F$8886)*(PLT!$V$4:$V$8886&lt;&gt;AD174)*(PLT!$V$4:$V$8886&lt;&gt;AE174)*("Valid"=PLT!$P$4:$P$7190),PLT!$V$4:$V$8886),"")</f>
        <v/>
      </c>
      <c r="AG174" s="44">
        <f>IFERROR(IF(AVERAGE(AD174:AF174)&gt;References!$BO$23,References!$BP$23,
IF(AVERAGE(AD174:AF174)&gt;References!$BO$22,References!$BP$22,
IF(AVERAGE(AD174:AF174)&gt;References!$BO$21,References!$BP$21,
IF(AVERAGE(AD174:AF174)&gt;References!$BO$20,References!$BP$20,
IF(AVERAGE(AD174:AF174)&gt;References!$BO$19,References!$BP$19,
IF(AVERAGE(AD174:AF174)&gt;References!$BO$18,References!$BP$18,
0)))))),"")</f>
        <v>0</v>
      </c>
      <c r="AH174" s="43">
        <f>IF(Data_Geotech[[#This Row],[Is50]]="",VLOOKUP(Data_Geotech[[#This Row],[Field Intact Rock Strength]],Table_RMR76_Strength[],2,FALSE),Data_Geotech[[#This Row],[Is50]])</f>
        <v>0</v>
      </c>
      <c r="AI174" s="43">
        <f>IF(Data_Geotech[[#This Row],[RQD (%)]]&lt;=25,3,IF(Data_Geotech[[#This Row],[RQD (%)]]&lt;=50,8,IF(Data_Geotech[[#This Row],[RQD (%)]]&lt;=75,13,IF(Data_Geotech[[#This Row],[RQD (%)]]&lt;=90,17,20))))</f>
        <v>20</v>
      </c>
      <c r="AJ174" s="43">
        <f>IF(Data_Geotech[[#This Row],[Joint spacing (m)]]&lt;=0.05,5,IF(Data_Geotech[[#This Row],[Joint spacing (m)]]&lt;=0.3,10,IF(Data_Geotech[[#This Row],[Joint spacing (m)]]&lt;=1,20,IF(Data_Geotech[[#This Row],[Joint spacing (m)]]&lt;=3,25,30))))</f>
        <v>25</v>
      </c>
      <c r="AK17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20</v>
      </c>
      <c r="AL174" s="6">
        <v>10</v>
      </c>
      <c r="AM174" s="117">
        <f>IF(Data_Geotech[[#This Row],[FIRS Code]]="R",IFERROR(SUM(Data_Geotech[[#This Row],[RMR76 - Strength rating]:[RMR76 - Ground water rating]]),""),"")</f>
        <v>75</v>
      </c>
      <c r="AN174" s="39">
        <f>IF(Data_Geotech[[#This Row],[FIRS Code]]="R",(2*Data_Geotech[[#This Row],[RMR76 - Joint condition rating]])+(IF(Data_Geotech[[#This Row],[RQD (%)]]&gt;80,80/2,Data_Geotech[[#This Row],[RQD (%)]]/2)),"")</f>
        <v>80</v>
      </c>
      <c r="AO174" s="43" t="str">
        <f>LEFT(Data_Geotech[[#This Row],[Joint Set Rating]],FIND("-",Data_Geotech[[#This Row],[Joint Set Rating]],1)-2)</f>
        <v>4</v>
      </c>
      <c r="AP17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0.75</v>
      </c>
      <c r="AQ174" s="5">
        <f t="shared" si="0"/>
        <v>1</v>
      </c>
      <c r="AR174" s="49">
        <f>IF(Data_Geotech[[#This Row],[FIRS Code]]="R",IFERROR((IF(Data_Geotech[[#This Row],[RQD (%)]]&lt;10,10,Data_Geotech[[#This Row],[RQD (%)]])/Data_Geotech[[#This Row],[Jn rating]])*Data_Geotech[[#This Row],[Jr/Ja]],""),"")</f>
        <v>18.75</v>
      </c>
      <c r="AS174" s="45">
        <f>IF(Data_Geotech[[#This Row],[FIRS Code]]="R",IFERROR((IF(Data_Geotech[[#This Row],[RQD (%)]]&lt;10,10,Data_Geotech[[#This Row],[RQD (%)]])/Data_Geotech[[#This Row],[Jn rating]])*Data_Geotech[[#This Row],[Jr/Ja]]*Data_Geotech[[#This Row],[Jw/SRF]],""),"")</f>
        <v>18.75</v>
      </c>
      <c r="AT174" s="12"/>
      <c r="AU174" s="13">
        <f>100-Data_Geotech[[#This Row],[RQD (%)]]</f>
        <v>0</v>
      </c>
      <c r="AV174" s="13">
        <f>100-Data_Geotech[[#This Row],[TCR (%)]]</f>
        <v>0</v>
      </c>
      <c r="AW174" s="62">
        <f>(Data_Geotech[[#This Row],[Fracture per interval]]+Data_Geotech[[#This Row],[Added fractures 
(BC, FLT, LC)]])/Data_Geotech[[#This Row],[TCR (m)]]</f>
        <v>0.67340067340067333</v>
      </c>
      <c r="AX174" s="6" t="s">
        <v>109</v>
      </c>
      <c r="AY174" s="63">
        <f>7-MID(Data_Geotech[[#This Row],[Field Intact Rock Strength]],2,1)</f>
        <v>2</v>
      </c>
      <c r="AZ174" s="63">
        <f>VLOOKUP(Data_Geotech[[#This Row],[Field Intact Rock Strength]],Table_FieldStrength[],2,FALSE)</f>
        <v>100</v>
      </c>
      <c r="BA174" s="63">
        <f>VLOOKUP(Data_Geotech[[#This Row],[Field Intact Rock Strength]],Table_FieldStrength[],3,FALSE)</f>
        <v>175</v>
      </c>
      <c r="BB174" s="63">
        <f>VLOOKUP(Data_Geotech[[#This Row],[Field Intact Rock Strength]],Table_FieldStrength[],4,FALSE)</f>
        <v>250</v>
      </c>
      <c r="BC174" s="63">
        <f>100-Data_Geotech[[#This Row],[RMR76]]</f>
        <v>25</v>
      </c>
      <c r="BD174" s="63" t="str">
        <f>LEFT(Data_Geotech[[#This Row],[Weathering/Alteration]],FIND("-",Data_Geotech[[#This Row],[Weathering/Alteration]])-2)</f>
        <v>W1/A1</v>
      </c>
    </row>
    <row r="175" spans="1:56" hidden="1" x14ac:dyDescent="0.25">
      <c r="A175" t="s">
        <v>34</v>
      </c>
      <c r="B175" s="16" t="str">
        <f>VLOOKUP(Data_Geotech[[#This Row],[Hole ID]],Data_Log[],2,FALSE)</f>
        <v>CGF-04</v>
      </c>
      <c r="C175" s="5">
        <v>92.97</v>
      </c>
      <c r="D175" s="5">
        <v>96</v>
      </c>
      <c r="E175" s="5">
        <f>(Data_Geotech[[#This Row],[To (m)]]-Data_Geotech[[#This Row],[From (m)]])/2+Data_Geotech[[#This Row],[From (m)]]</f>
        <v>94.484999999999999</v>
      </c>
      <c r="F175" s="13">
        <f>Data_Geotech[[#This Row],[To (m)]]-Data_Geotech[[#This Row],[From (m)]]</f>
        <v>3.0300000000000011</v>
      </c>
      <c r="G175" s="5">
        <v>3.03</v>
      </c>
      <c r="H175" s="61">
        <f>Data_Geotech[[#This Row],[TCR (m)]]/Data_Geotech[[#This Row],[Run (m)]]*100</f>
        <v>99.999999999999957</v>
      </c>
      <c r="I175" s="151">
        <v>3.07</v>
      </c>
      <c r="J175" s="151">
        <v>3.07</v>
      </c>
      <c r="K175" s="5">
        <v>2.84</v>
      </c>
      <c r="L175" s="61">
        <f>Data_Geotech[[#This Row],[RQD (m)]]/Data_Geotech[[#This Row],[Run Reel (m)]]*100</f>
        <v>92.508143322475561</v>
      </c>
      <c r="M175" t="s">
        <v>584</v>
      </c>
      <c r="O175" t="s">
        <v>278</v>
      </c>
      <c r="P175" s="115" t="s">
        <v>370</v>
      </c>
      <c r="Q175" s="5" t="s">
        <v>313</v>
      </c>
      <c r="R175" s="5"/>
      <c r="S175" s="5">
        <v>0.23</v>
      </c>
      <c r="T175" s="5"/>
      <c r="U175" s="5"/>
      <c r="V175" s="6">
        <v>5</v>
      </c>
      <c r="W175" s="92">
        <f>SUMIFS(Discontinuities!$D$4:$D$9664,Discontinuities!$A$4:$A$9664,A175,Discontinuities!$C$4:$C$9664,"&gt;="&amp;C175,Discontinuities!$C$4:$C$9664,"&lt;"&amp;D175)
-SUMIFS(Discontinuities!$D$4:$D$9664,Discontinuities!$A$4:$A$9664,A175,Discontinuities!$C$4:$C$9664,"&gt;="&amp;C175,Discontinuities!$C$4:$C$9664,"&lt;"&amp;D175,Discontinuities!$E$4:$E$9664,"=BC")
-SUMIFS(Discontinuities!$D$4:$D$9664,Discontinuities!$A$4:$A$9664,A175,Discontinuities!$C$4:$C$9664,"&gt;="&amp;C175,Discontinuities!$C$4:$C$9664,"&lt;"&amp;D175,Discontinuities!$E$4:$E$9664,"=LC")
-SUMIFS(Discontinuities!$D$4:$D$9664,Discontinuities!$A$4:$A$9664,A175,Discontinuities!$C$4:$C$9664,"&gt;="&amp;C175,Discontinuities!$C$4:$C$9664,"&lt;"&amp;D175,Discontinuities!$E$4:$E$9664,"=FLT")</f>
        <v>5</v>
      </c>
      <c r="X175" t="s">
        <v>400</v>
      </c>
      <c r="AA175" s="12"/>
      <c r="AB175" s="43">
        <f>IFERROR(ROUND((Data_Geotech[[#This Row],[Fault (m)]]+Data_Geotech[[#This Row],[Broken Core (m)]]+Data_Geotech[[#This Row],[Lost Core (m)]])*30,0),0)</f>
        <v>7</v>
      </c>
      <c r="AC175" s="44">
        <f>IF(Data_Geotech[[#This Row],[Added fractures 
(BC, FLT, LC)]]+Data_Geotech[[#This Row],[Fracture per interval]]=0,99,1/((Data_Geotech[[#This Row],[Fracture per interval]]+Data_Geotech[[#This Row],[Added fractures 
(BC, FLT, LC)]])/Data_Geotech[[#This Row],[Run (m)]]))</f>
        <v>0.25250000000000011</v>
      </c>
      <c r="AD175" s="155" cm="1">
        <f t="array" ref="AD175">IFERROR(_xlfn.XLOOKUP(1,(A175=PLT!$A$4:$A$8886)*(Geotech!C175&lt;=PLT!$F$4:$F$8886)*(Geotech!D175&gt;=PLT!$F$4:$F$8886)*("Valid"=PLT!$P$4:$P$8886),PLT!$V$4:$V$8886),"")</f>
        <v>0</v>
      </c>
      <c r="AE175" s="156" t="str" cm="1">
        <f t="array" ref="AE175">IFERROR(_xlfn.XLOOKUP(1,(A175=PLT!$A$4:$A$8886)*(Geotech!C175&lt;=PLT!$F$4:$F$8886)*(Geotech!D175&gt;=PLT!$F$4:$F$8886)*(PLT!$V$4:$V$8886&lt;&gt;AD175)*("Valid"=PLT!$P$4:$P$7190),PLT!$V$4:$V$8886),"")</f>
        <v/>
      </c>
      <c r="AF175" s="156" t="str" cm="1">
        <f t="array" ref="AF175">IFERROR(_xlfn.XLOOKUP(1,(A175=PLT!$A$4:$A$8886)*(Geotech!C175&lt;=PLT!$F$4:$F$8886)*(Geotech!D175&gt;=PLT!$F$4:$F$8886)*(PLT!$V$4:$V$8886&lt;&gt;AD175)*(PLT!$V$4:$V$8886&lt;&gt;AE175)*("Valid"=PLT!$P$4:$P$7190),PLT!$V$4:$V$8886),"")</f>
        <v/>
      </c>
      <c r="AG175" s="44">
        <f>IFERROR(IF(AVERAGE(AD175:AF175)&gt;References!$BO$23,References!$BP$23,
IF(AVERAGE(AD175:AF175)&gt;References!$BO$22,References!$BP$22,
IF(AVERAGE(AD175:AF175)&gt;References!$BO$21,References!$BP$21,
IF(AVERAGE(AD175:AF175)&gt;References!$BO$20,References!$BP$20,
IF(AVERAGE(AD175:AF175)&gt;References!$BO$19,References!$BP$19,
IF(AVERAGE(AD175:AF175)&gt;References!$BO$18,References!$BP$18,
0)))))),"")</f>
        <v>0</v>
      </c>
      <c r="AH175" s="43">
        <f>IF(Data_Geotech[[#This Row],[Is50]]="",VLOOKUP(Data_Geotech[[#This Row],[Field Intact Rock Strength]],Table_RMR76_Strength[],2,FALSE),Data_Geotech[[#This Row],[Is50]])</f>
        <v>0</v>
      </c>
      <c r="AI175" s="43">
        <f>IF(Data_Geotech[[#This Row],[RQD (%)]]&lt;=25,3,IF(Data_Geotech[[#This Row],[RQD (%)]]&lt;=50,8,IF(Data_Geotech[[#This Row],[RQD (%)]]&lt;=75,13,IF(Data_Geotech[[#This Row],[RQD (%)]]&lt;=90,17,20))))</f>
        <v>20</v>
      </c>
      <c r="AJ175" s="43">
        <f>IF(Data_Geotech[[#This Row],[Joint spacing (m)]]&lt;=0.05,5,IF(Data_Geotech[[#This Row],[Joint spacing (m)]]&lt;=0.3,10,IF(Data_Geotech[[#This Row],[Joint spacing (m)]]&lt;=1,20,IF(Data_Geotech[[#This Row],[Joint spacing (m)]]&lt;=3,25,30))))</f>
        <v>10</v>
      </c>
      <c r="AK17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21</v>
      </c>
      <c r="AL175" s="6">
        <v>10</v>
      </c>
      <c r="AM175" s="117">
        <f>IF(Data_Geotech[[#This Row],[FIRS Code]]="R",IFERROR(SUM(Data_Geotech[[#This Row],[RMR76 - Strength rating]:[RMR76 - Ground water rating]]),""),"")</f>
        <v>61</v>
      </c>
      <c r="AN175" s="39">
        <f>IF(Data_Geotech[[#This Row],[FIRS Code]]="R",(2*Data_Geotech[[#This Row],[RMR76 - Joint condition rating]])+(IF(Data_Geotech[[#This Row],[RQD (%)]]&gt;80,80/2,Data_Geotech[[#This Row],[RQD (%)]]/2)),"")</f>
        <v>82</v>
      </c>
      <c r="AO175" s="43" t="str">
        <f>LEFT(Data_Geotech[[#This Row],[Joint Set Rating]],FIND("-",Data_Geotech[[#This Row],[Joint Set Rating]],1)-2)</f>
        <v>6</v>
      </c>
      <c r="AP17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0.9</v>
      </c>
      <c r="AQ175" s="5">
        <f t="shared" si="0"/>
        <v>1</v>
      </c>
      <c r="AR175" s="49">
        <f>IF(Data_Geotech[[#This Row],[FIRS Code]]="R",IFERROR((IF(Data_Geotech[[#This Row],[RQD (%)]]&lt;10,10,Data_Geotech[[#This Row],[RQD (%)]])/Data_Geotech[[#This Row],[Jn rating]])*Data_Geotech[[#This Row],[Jr/Ja]],""),"")</f>
        <v>13.876221498371335</v>
      </c>
      <c r="AS175" s="45">
        <f>IF(Data_Geotech[[#This Row],[FIRS Code]]="R",IFERROR((IF(Data_Geotech[[#This Row],[RQD (%)]]&lt;10,10,Data_Geotech[[#This Row],[RQD (%)]])/Data_Geotech[[#This Row],[Jn rating]])*Data_Geotech[[#This Row],[Jr/Ja]]*Data_Geotech[[#This Row],[Jw/SRF]],""),"")</f>
        <v>13.876221498371335</v>
      </c>
      <c r="AT175" s="12"/>
      <c r="AU175" s="13">
        <f>100-Data_Geotech[[#This Row],[RQD (%)]]</f>
        <v>7.4918566775244386</v>
      </c>
      <c r="AV175" s="13">
        <f>100-Data_Geotech[[#This Row],[TCR (%)]]</f>
        <v>0</v>
      </c>
      <c r="AW175" s="62">
        <f>(Data_Geotech[[#This Row],[Fracture per interval]]+Data_Geotech[[#This Row],[Added fractures 
(BC, FLT, LC)]])/Data_Geotech[[#This Row],[TCR (m)]]</f>
        <v>3.9603960396039608</v>
      </c>
      <c r="AX175" s="6" t="s">
        <v>109</v>
      </c>
      <c r="AY175" s="63">
        <f>7-MID(Data_Geotech[[#This Row],[Field Intact Rock Strength]],2,1)</f>
        <v>3</v>
      </c>
      <c r="AZ175" s="63">
        <f>VLOOKUP(Data_Geotech[[#This Row],[Field Intact Rock Strength]],Table_FieldStrength[],2,FALSE)</f>
        <v>50</v>
      </c>
      <c r="BA175" s="63">
        <f>VLOOKUP(Data_Geotech[[#This Row],[Field Intact Rock Strength]],Table_FieldStrength[],3,FALSE)</f>
        <v>75</v>
      </c>
      <c r="BB175" s="63">
        <f>VLOOKUP(Data_Geotech[[#This Row],[Field Intact Rock Strength]],Table_FieldStrength[],4,FALSE)</f>
        <v>100</v>
      </c>
      <c r="BC175" s="63">
        <f>100-Data_Geotech[[#This Row],[RMR76]]</f>
        <v>39</v>
      </c>
      <c r="BD175" s="63" t="str">
        <f>LEFT(Data_Geotech[[#This Row],[Weathering/Alteration]],FIND("-",Data_Geotech[[#This Row],[Weathering/Alteration]])-2)</f>
        <v>W2/A2</v>
      </c>
    </row>
    <row r="176" spans="1:56" hidden="1" x14ac:dyDescent="0.25">
      <c r="A176" t="s">
        <v>34</v>
      </c>
      <c r="B176" s="16" t="str">
        <f>VLOOKUP(Data_Geotech[[#This Row],[Hole ID]],Data_Log[],2,FALSE)</f>
        <v>CGF-04</v>
      </c>
      <c r="C176" s="5">
        <v>96</v>
      </c>
      <c r="D176" s="5">
        <v>99.04</v>
      </c>
      <c r="E176" s="5">
        <f>(Data_Geotech[[#This Row],[To (m)]]-Data_Geotech[[#This Row],[From (m)]])/2+Data_Geotech[[#This Row],[From (m)]]</f>
        <v>97.52000000000001</v>
      </c>
      <c r="F176" s="13">
        <f>Data_Geotech[[#This Row],[To (m)]]-Data_Geotech[[#This Row],[From (m)]]</f>
        <v>3.0400000000000063</v>
      </c>
      <c r="G176" s="5">
        <v>3.04</v>
      </c>
      <c r="H176" s="61">
        <f>Data_Geotech[[#This Row],[TCR (m)]]/Data_Geotech[[#This Row],[Run (m)]]*100</f>
        <v>99.999999999999801</v>
      </c>
      <c r="I176" s="151">
        <v>3.04</v>
      </c>
      <c r="J176" s="151">
        <v>3.04</v>
      </c>
      <c r="K176" s="5">
        <v>2.98</v>
      </c>
      <c r="L176" s="61">
        <f>Data_Geotech[[#This Row],[RQD (m)]]/Data_Geotech[[#This Row],[Run Reel (m)]]*100</f>
        <v>98.026315789473685</v>
      </c>
      <c r="M176" t="s">
        <v>584</v>
      </c>
      <c r="O176" t="s">
        <v>278</v>
      </c>
      <c r="P176" s="115" t="s">
        <v>397</v>
      </c>
      <c r="Q176" s="5" t="s">
        <v>281</v>
      </c>
      <c r="R176" s="5"/>
      <c r="S176" s="5"/>
      <c r="T176" s="5"/>
      <c r="U176" s="5"/>
      <c r="V176" s="6">
        <v>3</v>
      </c>
      <c r="W176" s="92">
        <f>SUMIFS(Discontinuities!$D$4:$D$9664,Discontinuities!$A$4:$A$9664,A176,Discontinuities!$C$4:$C$9664,"&gt;="&amp;C176,Discontinuities!$C$4:$C$9664,"&lt;"&amp;D176)
-SUMIFS(Discontinuities!$D$4:$D$9664,Discontinuities!$A$4:$A$9664,A176,Discontinuities!$C$4:$C$9664,"&gt;="&amp;C176,Discontinuities!$C$4:$C$9664,"&lt;"&amp;D176,Discontinuities!$E$4:$E$9664,"=BC")
-SUMIFS(Discontinuities!$D$4:$D$9664,Discontinuities!$A$4:$A$9664,A176,Discontinuities!$C$4:$C$9664,"&gt;="&amp;C176,Discontinuities!$C$4:$C$9664,"&lt;"&amp;D176,Discontinuities!$E$4:$E$9664,"=LC")
-SUMIFS(Discontinuities!$D$4:$D$9664,Discontinuities!$A$4:$A$9664,A176,Discontinuities!$C$4:$C$9664,"&gt;="&amp;C176,Discontinuities!$C$4:$C$9664,"&lt;"&amp;D176,Discontinuities!$E$4:$E$9664,"=FLT")</f>
        <v>3</v>
      </c>
      <c r="X176" t="s">
        <v>312</v>
      </c>
      <c r="AA176" s="12"/>
      <c r="AB176" s="43">
        <f>IFERROR(ROUND((Data_Geotech[[#This Row],[Fault (m)]]+Data_Geotech[[#This Row],[Broken Core (m)]]+Data_Geotech[[#This Row],[Lost Core (m)]])*30,0),0)</f>
        <v>0</v>
      </c>
      <c r="AC176" s="44">
        <f>IF(Data_Geotech[[#This Row],[Added fractures 
(BC, FLT, LC)]]+Data_Geotech[[#This Row],[Fracture per interval]]=0,99,1/((Data_Geotech[[#This Row],[Fracture per interval]]+Data_Geotech[[#This Row],[Added fractures 
(BC, FLT, LC)]])/Data_Geotech[[#This Row],[Run (m)]]))</f>
        <v>1.0133333333333354</v>
      </c>
      <c r="AD176" s="155" cm="1">
        <f t="array" ref="AD176">IFERROR(_xlfn.XLOOKUP(1,(A176=PLT!$A$4:$A$8886)*(Geotech!C176&lt;=PLT!$F$4:$F$8886)*(Geotech!D176&gt;=PLT!$F$4:$F$8886)*("Valid"=PLT!$P$4:$P$8886),PLT!$V$4:$V$8886),"")</f>
        <v>0</v>
      </c>
      <c r="AE176" s="156" t="str" cm="1">
        <f t="array" ref="AE176">IFERROR(_xlfn.XLOOKUP(1,(A176=PLT!$A$4:$A$8886)*(Geotech!C176&lt;=PLT!$F$4:$F$8886)*(Geotech!D176&gt;=PLT!$F$4:$F$8886)*(PLT!$V$4:$V$8886&lt;&gt;AD176)*("Valid"=PLT!$P$4:$P$7190),PLT!$V$4:$V$8886),"")</f>
        <v/>
      </c>
      <c r="AF176" s="156" t="str" cm="1">
        <f t="array" ref="AF176">IFERROR(_xlfn.XLOOKUP(1,(A176=PLT!$A$4:$A$8886)*(Geotech!C176&lt;=PLT!$F$4:$F$8886)*(Geotech!D176&gt;=PLT!$F$4:$F$8886)*(PLT!$V$4:$V$8886&lt;&gt;AD176)*(PLT!$V$4:$V$8886&lt;&gt;AE176)*("Valid"=PLT!$P$4:$P$7190),PLT!$V$4:$V$8886),"")</f>
        <v/>
      </c>
      <c r="AG176" s="44">
        <f>IFERROR(IF(AVERAGE(AD176:AF176)&gt;References!$BO$23,References!$BP$23,
IF(AVERAGE(AD176:AF176)&gt;References!$BO$22,References!$BP$22,
IF(AVERAGE(AD176:AF176)&gt;References!$BO$21,References!$BP$21,
IF(AVERAGE(AD176:AF176)&gt;References!$BO$20,References!$BP$20,
IF(AVERAGE(AD176:AF176)&gt;References!$BO$19,References!$BP$19,
IF(AVERAGE(AD176:AF176)&gt;References!$BO$18,References!$BP$18,
0)))))),"")</f>
        <v>0</v>
      </c>
      <c r="AH176" s="43">
        <f>IF(Data_Geotech[[#This Row],[Is50]]="",VLOOKUP(Data_Geotech[[#This Row],[Field Intact Rock Strength]],Table_RMR76_Strength[],2,FALSE),Data_Geotech[[#This Row],[Is50]])</f>
        <v>0</v>
      </c>
      <c r="AI176" s="43">
        <f>IF(Data_Geotech[[#This Row],[RQD (%)]]&lt;=25,3,IF(Data_Geotech[[#This Row],[RQD (%)]]&lt;=50,8,IF(Data_Geotech[[#This Row],[RQD (%)]]&lt;=75,13,IF(Data_Geotech[[#This Row],[RQD (%)]]&lt;=90,17,20))))</f>
        <v>20</v>
      </c>
      <c r="AJ176" s="43">
        <f>IF(Data_Geotech[[#This Row],[Joint spacing (m)]]&lt;=0.05,5,IF(Data_Geotech[[#This Row],[Joint spacing (m)]]&lt;=0.3,10,IF(Data_Geotech[[#This Row],[Joint spacing (m)]]&lt;=1,20,IF(Data_Geotech[[#This Row],[Joint spacing (m)]]&lt;=3,25,30))))</f>
        <v>25</v>
      </c>
      <c r="AK17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76" s="6">
        <v>10</v>
      </c>
      <c r="AM176" s="117">
        <f>IF(Data_Geotech[[#This Row],[FIRS Code]]="R",IFERROR(SUM(Data_Geotech[[#This Row],[RMR76 - Strength rating]:[RMR76 - Ground water rating]]),""),"")</f>
        <v>80</v>
      </c>
      <c r="AN176" s="39">
        <f>IF(Data_Geotech[[#This Row],[FIRS Code]]="R",(2*Data_Geotech[[#This Row],[RMR76 - Joint condition rating]])+(IF(Data_Geotech[[#This Row],[RQD (%)]]&gt;80,80/2,Data_Geotech[[#This Row],[RQD (%)]]/2)),"")</f>
        <v>90</v>
      </c>
      <c r="AO176" s="43" t="str">
        <f>LEFT(Data_Geotech[[#This Row],[Joint Set Rating]],FIND("-",Data_Geotech[[#This Row],[Joint Set Rating]],1)-2)</f>
        <v>2</v>
      </c>
      <c r="AP17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2.5</v>
      </c>
      <c r="AQ176" s="5">
        <f t="shared" si="0"/>
        <v>1</v>
      </c>
      <c r="AR176" s="49">
        <f>IF(Data_Geotech[[#This Row],[FIRS Code]]="R",IFERROR((IF(Data_Geotech[[#This Row],[RQD (%)]]&lt;10,10,Data_Geotech[[#This Row],[RQD (%)]])/Data_Geotech[[#This Row],[Jn rating]])*Data_Geotech[[#This Row],[Jr/Ja]],""),"")</f>
        <v>122.53289473684211</v>
      </c>
      <c r="AS176" s="45">
        <f>IF(Data_Geotech[[#This Row],[FIRS Code]]="R",IFERROR((IF(Data_Geotech[[#This Row],[RQD (%)]]&lt;10,10,Data_Geotech[[#This Row],[RQD (%)]])/Data_Geotech[[#This Row],[Jn rating]])*Data_Geotech[[#This Row],[Jr/Ja]]*Data_Geotech[[#This Row],[Jw/SRF]],""),"")</f>
        <v>122.53289473684211</v>
      </c>
      <c r="AT176" s="12"/>
      <c r="AU176" s="13">
        <f>100-Data_Geotech[[#This Row],[RQD (%)]]</f>
        <v>1.973684210526315</v>
      </c>
      <c r="AV176" s="13">
        <f>100-Data_Geotech[[#This Row],[TCR (%)]]</f>
        <v>1.9895196601282805E-13</v>
      </c>
      <c r="AW176" s="62">
        <f>(Data_Geotech[[#This Row],[Fracture per interval]]+Data_Geotech[[#This Row],[Added fractures 
(BC, FLT, LC)]])/Data_Geotech[[#This Row],[TCR (m)]]</f>
        <v>0.98684210526315785</v>
      </c>
      <c r="AX176" s="6" t="s">
        <v>109</v>
      </c>
      <c r="AY176" s="63">
        <f>7-MID(Data_Geotech[[#This Row],[Field Intact Rock Strength]],2,1)</f>
        <v>2</v>
      </c>
      <c r="AZ176" s="63">
        <f>VLOOKUP(Data_Geotech[[#This Row],[Field Intact Rock Strength]],Table_FieldStrength[],2,FALSE)</f>
        <v>100</v>
      </c>
      <c r="BA176" s="63">
        <f>VLOOKUP(Data_Geotech[[#This Row],[Field Intact Rock Strength]],Table_FieldStrength[],3,FALSE)</f>
        <v>175</v>
      </c>
      <c r="BB176" s="63">
        <f>VLOOKUP(Data_Geotech[[#This Row],[Field Intact Rock Strength]],Table_FieldStrength[],4,FALSE)</f>
        <v>250</v>
      </c>
      <c r="BC176" s="63">
        <f>100-Data_Geotech[[#This Row],[RMR76]]</f>
        <v>20</v>
      </c>
      <c r="BD176" s="63" t="str">
        <f>LEFT(Data_Geotech[[#This Row],[Weathering/Alteration]],FIND("-",Data_Geotech[[#This Row],[Weathering/Alteration]])-2)</f>
        <v>W2/A2</v>
      </c>
    </row>
    <row r="177" spans="1:56" hidden="1" x14ac:dyDescent="0.25">
      <c r="A177" t="s">
        <v>34</v>
      </c>
      <c r="B177" s="16" t="str">
        <f>VLOOKUP(Data_Geotech[[#This Row],[Hole ID]],Data_Log[],2,FALSE)</f>
        <v>CGF-04</v>
      </c>
      <c r="C177" s="5">
        <v>99.04</v>
      </c>
      <c r="D177" s="5">
        <v>101</v>
      </c>
      <c r="E177" s="5">
        <f>(Data_Geotech[[#This Row],[To (m)]]-Data_Geotech[[#This Row],[From (m)]])/2+Data_Geotech[[#This Row],[From (m)]]</f>
        <v>100.02000000000001</v>
      </c>
      <c r="F177" s="13">
        <f>Data_Geotech[[#This Row],[To (m)]]-Data_Geotech[[#This Row],[From (m)]]</f>
        <v>1.9599999999999937</v>
      </c>
      <c r="G177" s="5">
        <v>1.96</v>
      </c>
      <c r="H177" s="61">
        <f>Data_Geotech[[#This Row],[TCR (m)]]/Data_Geotech[[#This Row],[Run (m)]]*100</f>
        <v>100.00000000000031</v>
      </c>
      <c r="I177" s="151">
        <v>1.92</v>
      </c>
      <c r="J177" s="151">
        <v>1.92</v>
      </c>
      <c r="K177" s="5">
        <v>1.9</v>
      </c>
      <c r="L177" s="61">
        <f>Data_Geotech[[#This Row],[RQD (m)]]/Data_Geotech[[#This Row],[Run Reel (m)]]*100</f>
        <v>98.958333333333343</v>
      </c>
      <c r="M177" t="s">
        <v>584</v>
      </c>
      <c r="O177" t="s">
        <v>278</v>
      </c>
      <c r="P177" s="115" t="s">
        <v>397</v>
      </c>
      <c r="Q177" s="5" t="s">
        <v>313</v>
      </c>
      <c r="R177" s="5"/>
      <c r="S177" s="5"/>
      <c r="T177" s="5"/>
      <c r="U177" s="5"/>
      <c r="V177" s="6">
        <v>4</v>
      </c>
      <c r="W177" s="92">
        <f>SUMIFS(Discontinuities!$D$4:$D$9664,Discontinuities!$A$4:$A$9664,A177,Discontinuities!$C$4:$C$9664,"&gt;="&amp;C177,Discontinuities!$C$4:$C$9664,"&lt;"&amp;D177)
-SUMIFS(Discontinuities!$D$4:$D$9664,Discontinuities!$A$4:$A$9664,A177,Discontinuities!$C$4:$C$9664,"&gt;="&amp;C177,Discontinuities!$C$4:$C$9664,"&lt;"&amp;D177,Discontinuities!$E$4:$E$9664,"=BC")
-SUMIFS(Discontinuities!$D$4:$D$9664,Discontinuities!$A$4:$A$9664,A177,Discontinuities!$C$4:$C$9664,"&gt;="&amp;C177,Discontinuities!$C$4:$C$9664,"&lt;"&amp;D177,Discontinuities!$E$4:$E$9664,"=LC")
-SUMIFS(Discontinuities!$D$4:$D$9664,Discontinuities!$A$4:$A$9664,A177,Discontinuities!$C$4:$C$9664,"&gt;="&amp;C177,Discontinuities!$C$4:$C$9664,"&lt;"&amp;D177,Discontinuities!$E$4:$E$9664,"=FLT")</f>
        <v>4</v>
      </c>
      <c r="X177" t="s">
        <v>400</v>
      </c>
      <c r="AA177" s="12"/>
      <c r="AB177" s="43">
        <f>IFERROR(ROUND((Data_Geotech[[#This Row],[Fault (m)]]+Data_Geotech[[#This Row],[Broken Core (m)]]+Data_Geotech[[#This Row],[Lost Core (m)]])*30,0),0)</f>
        <v>0</v>
      </c>
      <c r="AC177" s="44">
        <f>IF(Data_Geotech[[#This Row],[Added fractures 
(BC, FLT, LC)]]+Data_Geotech[[#This Row],[Fracture per interval]]=0,99,1/((Data_Geotech[[#This Row],[Fracture per interval]]+Data_Geotech[[#This Row],[Added fractures 
(BC, FLT, LC)]])/Data_Geotech[[#This Row],[Run (m)]]))</f>
        <v>0.48999999999999838</v>
      </c>
      <c r="AD177" s="155" cm="1">
        <f t="array" ref="AD177">IFERROR(_xlfn.XLOOKUP(1,(A177=PLT!$A$4:$A$8886)*(Geotech!C177&lt;=PLT!$F$4:$F$8886)*(Geotech!D177&gt;=PLT!$F$4:$F$8886)*("Valid"=PLT!$P$4:$P$8886),PLT!$V$4:$V$8886),"")</f>
        <v>0</v>
      </c>
      <c r="AE177" s="156" t="str" cm="1">
        <f t="array" ref="AE177">IFERROR(_xlfn.XLOOKUP(1,(A177=PLT!$A$4:$A$8886)*(Geotech!C177&lt;=PLT!$F$4:$F$8886)*(Geotech!D177&gt;=PLT!$F$4:$F$8886)*(PLT!$V$4:$V$8886&lt;&gt;AD177)*("Valid"=PLT!$P$4:$P$7190),PLT!$V$4:$V$8886),"")</f>
        <v/>
      </c>
      <c r="AF177" s="156" t="str" cm="1">
        <f t="array" ref="AF177">IFERROR(_xlfn.XLOOKUP(1,(A177=PLT!$A$4:$A$8886)*(Geotech!C177&lt;=PLT!$F$4:$F$8886)*(Geotech!D177&gt;=PLT!$F$4:$F$8886)*(PLT!$V$4:$V$8886&lt;&gt;AD177)*(PLT!$V$4:$V$8886&lt;&gt;AE177)*("Valid"=PLT!$P$4:$P$7190),PLT!$V$4:$V$8886),"")</f>
        <v/>
      </c>
      <c r="AG177" s="44">
        <f>IFERROR(IF(AVERAGE(AD177:AF177)&gt;References!$BO$23,References!$BP$23,
IF(AVERAGE(AD177:AF177)&gt;References!$BO$22,References!$BP$22,
IF(AVERAGE(AD177:AF177)&gt;References!$BO$21,References!$BP$21,
IF(AVERAGE(AD177:AF177)&gt;References!$BO$20,References!$BP$20,
IF(AVERAGE(AD177:AF177)&gt;References!$BO$19,References!$BP$19,
IF(AVERAGE(AD177:AF177)&gt;References!$BO$18,References!$BP$18,
0)))))),"")</f>
        <v>0</v>
      </c>
      <c r="AH177" s="43">
        <f>IF(Data_Geotech[[#This Row],[Is50]]="",VLOOKUP(Data_Geotech[[#This Row],[Field Intact Rock Strength]],Table_RMR76_Strength[],2,FALSE),Data_Geotech[[#This Row],[Is50]])</f>
        <v>0</v>
      </c>
      <c r="AI177" s="43">
        <f>IF(Data_Geotech[[#This Row],[RQD (%)]]&lt;=25,3,IF(Data_Geotech[[#This Row],[RQD (%)]]&lt;=50,8,IF(Data_Geotech[[#This Row],[RQD (%)]]&lt;=75,13,IF(Data_Geotech[[#This Row],[RQD (%)]]&lt;=90,17,20))))</f>
        <v>20</v>
      </c>
      <c r="AJ177" s="43">
        <f>IF(Data_Geotech[[#This Row],[Joint spacing (m)]]&lt;=0.05,5,IF(Data_Geotech[[#This Row],[Joint spacing (m)]]&lt;=0.3,10,IF(Data_Geotech[[#This Row],[Joint spacing (m)]]&lt;=1,20,IF(Data_Geotech[[#This Row],[Joint spacing (m)]]&lt;=3,25,30))))</f>
        <v>20</v>
      </c>
      <c r="AK17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18</v>
      </c>
      <c r="AL177" s="6">
        <v>10</v>
      </c>
      <c r="AM177" s="117">
        <f>IF(Data_Geotech[[#This Row],[FIRS Code]]="R",IFERROR(SUM(Data_Geotech[[#This Row],[RMR76 - Strength rating]:[RMR76 - Ground water rating]]),""),"")</f>
        <v>68</v>
      </c>
      <c r="AN177" s="39">
        <f>IF(Data_Geotech[[#This Row],[FIRS Code]]="R",(2*Data_Geotech[[#This Row],[RMR76 - Joint condition rating]])+(IF(Data_Geotech[[#This Row],[RQD (%)]]&gt;80,80/2,Data_Geotech[[#This Row],[RQD (%)]]/2)),"")</f>
        <v>76</v>
      </c>
      <c r="AO177" s="43" t="str">
        <f>LEFT(Data_Geotech[[#This Row],[Joint Set Rating]],FIND("-",Data_Geotech[[#This Row],[Joint Set Rating]],1)-2)</f>
        <v>6</v>
      </c>
      <c r="AP17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1</v>
      </c>
      <c r="AQ177" s="5">
        <f t="shared" si="0"/>
        <v>1</v>
      </c>
      <c r="AR177" s="49">
        <f>IF(Data_Geotech[[#This Row],[FIRS Code]]="R",IFERROR((IF(Data_Geotech[[#This Row],[RQD (%)]]&lt;10,10,Data_Geotech[[#This Row],[RQD (%)]])/Data_Geotech[[#This Row],[Jn rating]])*Data_Geotech[[#This Row],[Jr/Ja]],""),"")</f>
        <v>16.493055555555557</v>
      </c>
      <c r="AS177" s="45">
        <f>IF(Data_Geotech[[#This Row],[FIRS Code]]="R",IFERROR((IF(Data_Geotech[[#This Row],[RQD (%)]]&lt;10,10,Data_Geotech[[#This Row],[RQD (%)]])/Data_Geotech[[#This Row],[Jn rating]])*Data_Geotech[[#This Row],[Jr/Ja]]*Data_Geotech[[#This Row],[Jw/SRF]],""),"")</f>
        <v>16.493055555555557</v>
      </c>
      <c r="AT177" s="12"/>
      <c r="AU177" s="13">
        <f>100-Data_Geotech[[#This Row],[RQD (%)]]</f>
        <v>1.0416666666666572</v>
      </c>
      <c r="AV177" s="13">
        <f>100-Data_Geotech[[#This Row],[TCR (%)]]</f>
        <v>-3.1263880373444408E-13</v>
      </c>
      <c r="AW177" s="62">
        <f>(Data_Geotech[[#This Row],[Fracture per interval]]+Data_Geotech[[#This Row],[Added fractures 
(BC, FLT, LC)]])/Data_Geotech[[#This Row],[TCR (m)]]</f>
        <v>2.0408163265306123</v>
      </c>
      <c r="AX177" s="6" t="s">
        <v>109</v>
      </c>
      <c r="AY177" s="63">
        <f>7-MID(Data_Geotech[[#This Row],[Field Intact Rock Strength]],2,1)</f>
        <v>2</v>
      </c>
      <c r="AZ177" s="63">
        <f>VLOOKUP(Data_Geotech[[#This Row],[Field Intact Rock Strength]],Table_FieldStrength[],2,FALSE)</f>
        <v>100</v>
      </c>
      <c r="BA177" s="63">
        <f>VLOOKUP(Data_Geotech[[#This Row],[Field Intact Rock Strength]],Table_FieldStrength[],3,FALSE)</f>
        <v>175</v>
      </c>
      <c r="BB177" s="63">
        <f>VLOOKUP(Data_Geotech[[#This Row],[Field Intact Rock Strength]],Table_FieldStrength[],4,FALSE)</f>
        <v>250</v>
      </c>
      <c r="BC177" s="63">
        <f>100-Data_Geotech[[#This Row],[RMR76]]</f>
        <v>32</v>
      </c>
      <c r="BD177" s="63" t="str">
        <f>LEFT(Data_Geotech[[#This Row],[Weathering/Alteration]],FIND("-",Data_Geotech[[#This Row],[Weathering/Alteration]])-2)</f>
        <v>W2/A2</v>
      </c>
    </row>
    <row r="178" spans="1:56" hidden="1" x14ac:dyDescent="0.25">
      <c r="A178" t="s">
        <v>34</v>
      </c>
      <c r="B178" s="16" t="str">
        <f>VLOOKUP(Data_Geotech[[#This Row],[Hole ID]],Data_Log[],2,FALSE)</f>
        <v>CGF-04</v>
      </c>
      <c r="C178" s="5">
        <v>101</v>
      </c>
      <c r="D178" s="5">
        <v>102</v>
      </c>
      <c r="E178" s="5">
        <f>(Data_Geotech[[#This Row],[To (m)]]-Data_Geotech[[#This Row],[From (m)]])/2+Data_Geotech[[#This Row],[From (m)]]</f>
        <v>101.5</v>
      </c>
      <c r="F178" s="13">
        <f>Data_Geotech[[#This Row],[To (m)]]-Data_Geotech[[#This Row],[From (m)]]</f>
        <v>1</v>
      </c>
      <c r="G178" s="5">
        <v>1</v>
      </c>
      <c r="H178" s="61">
        <f>Data_Geotech[[#This Row],[TCR (m)]]/Data_Geotech[[#This Row],[Run (m)]]*100</f>
        <v>100</v>
      </c>
      <c r="I178" s="151">
        <v>0.92</v>
      </c>
      <c r="J178" s="151">
        <v>0.92</v>
      </c>
      <c r="K178" s="5">
        <v>0.92</v>
      </c>
      <c r="L178" s="61">
        <f>Data_Geotech[[#This Row],[RQD (m)]]/Data_Geotech[[#This Row],[Run Reel (m)]]*100</f>
        <v>100</v>
      </c>
      <c r="M178" t="s">
        <v>584</v>
      </c>
      <c r="O178" t="s">
        <v>278</v>
      </c>
      <c r="P178" s="115" t="s">
        <v>342</v>
      </c>
      <c r="Q178" s="5" t="s">
        <v>346</v>
      </c>
      <c r="R178" s="5"/>
      <c r="S178" s="5"/>
      <c r="T178" s="5"/>
      <c r="U178" s="5"/>
      <c r="V178" s="6">
        <v>0</v>
      </c>
      <c r="W178" s="92">
        <f>SUMIFS(Discontinuities!$D$4:$D$9664,Discontinuities!$A$4:$A$9664,A178,Discontinuities!$C$4:$C$9664,"&gt;="&amp;C178,Discontinuities!$C$4:$C$9664,"&lt;"&amp;D178)
-SUMIFS(Discontinuities!$D$4:$D$9664,Discontinuities!$A$4:$A$9664,A178,Discontinuities!$C$4:$C$9664,"&gt;="&amp;C178,Discontinuities!$C$4:$C$9664,"&lt;"&amp;D178,Discontinuities!$E$4:$E$9664,"=BC")
-SUMIFS(Discontinuities!$D$4:$D$9664,Discontinuities!$A$4:$A$9664,A178,Discontinuities!$C$4:$C$9664,"&gt;="&amp;C178,Discontinuities!$C$4:$C$9664,"&lt;"&amp;D178,Discontinuities!$E$4:$E$9664,"=LC")
-SUMIFS(Discontinuities!$D$4:$D$9664,Discontinuities!$A$4:$A$9664,A178,Discontinuities!$C$4:$C$9664,"&gt;="&amp;C178,Discontinuities!$C$4:$C$9664,"&lt;"&amp;D178,Discontinuities!$E$4:$E$9664,"=FLT")</f>
        <v>0</v>
      </c>
      <c r="X178" t="s">
        <v>280</v>
      </c>
      <c r="Z178" t="s">
        <v>604</v>
      </c>
      <c r="AA178" s="12"/>
      <c r="AB178" s="43">
        <f>IFERROR(ROUND((Data_Geotech[[#This Row],[Fault (m)]]+Data_Geotech[[#This Row],[Broken Core (m)]]+Data_Geotech[[#This Row],[Lost Core (m)]])*30,0),0)</f>
        <v>0</v>
      </c>
      <c r="AC178" s="44">
        <f>IF(Data_Geotech[[#This Row],[Added fractures 
(BC, FLT, LC)]]+Data_Geotech[[#This Row],[Fracture per interval]]=0,99,1/((Data_Geotech[[#This Row],[Fracture per interval]]+Data_Geotech[[#This Row],[Added fractures 
(BC, FLT, LC)]])/Data_Geotech[[#This Row],[Run (m)]]))</f>
        <v>99</v>
      </c>
      <c r="AD178" s="155" t="str" cm="1">
        <f t="array" ref="AD178">IFERROR(_xlfn.XLOOKUP(1,(A178=PLT!$A$4:$A$8886)*(Geotech!C178&lt;=PLT!$F$4:$F$8886)*(Geotech!D178&gt;=PLT!$F$4:$F$8886)*("Valid"=PLT!$P$4:$P$8886),PLT!$V$4:$V$8886),"")</f>
        <v/>
      </c>
      <c r="AE178" s="156" t="str" cm="1">
        <f t="array" ref="AE178">IFERROR(_xlfn.XLOOKUP(1,(A178=PLT!$A$4:$A$8886)*(Geotech!C178&lt;=PLT!$F$4:$F$8886)*(Geotech!D178&gt;=PLT!$F$4:$F$8886)*(PLT!$V$4:$V$8886&lt;&gt;AD178)*("Valid"=PLT!$P$4:$P$7190),PLT!$V$4:$V$8886),"")</f>
        <v/>
      </c>
      <c r="AF178" s="156" t="str" cm="1">
        <f t="array" ref="AF178">IFERROR(_xlfn.XLOOKUP(1,(A178=PLT!$A$4:$A$8886)*(Geotech!C178&lt;=PLT!$F$4:$F$8886)*(Geotech!D178&gt;=PLT!$F$4:$F$8886)*(PLT!$V$4:$V$8886&lt;&gt;AD178)*(PLT!$V$4:$V$8886&lt;&gt;AE178)*("Valid"=PLT!$P$4:$P$7190),PLT!$V$4:$V$8886),"")</f>
        <v/>
      </c>
      <c r="AG178" s="44" t="str">
        <f>IFERROR(IF(AVERAGE(AD178:AF178)&gt;References!$BO$23,References!$BP$23,
IF(AVERAGE(AD178:AF178)&gt;References!$BO$22,References!$BP$22,
IF(AVERAGE(AD178:AF178)&gt;References!$BO$21,References!$BP$21,
IF(AVERAGE(AD178:AF178)&gt;References!$BO$20,References!$BP$20,
IF(AVERAGE(AD178:AF178)&gt;References!$BO$19,References!$BP$19,
IF(AVERAGE(AD178:AF178)&gt;References!$BO$18,References!$BP$18,
0)))))),"")</f>
        <v/>
      </c>
      <c r="AH178" s="43">
        <f>IF(Data_Geotech[[#This Row],[Is50]]="",VLOOKUP(Data_Geotech[[#This Row],[Field Intact Rock Strength]],Table_RMR76_Strength[],2,FALSE),Data_Geotech[[#This Row],[Is50]])</f>
        <v>4</v>
      </c>
      <c r="AI178" s="43">
        <f>IF(Data_Geotech[[#This Row],[RQD (%)]]&lt;=25,3,IF(Data_Geotech[[#This Row],[RQD (%)]]&lt;=50,8,IF(Data_Geotech[[#This Row],[RQD (%)]]&lt;=75,13,IF(Data_Geotech[[#This Row],[RQD (%)]]&lt;=90,17,20))))</f>
        <v>20</v>
      </c>
      <c r="AJ178" s="43">
        <f>IF(Data_Geotech[[#This Row],[Joint spacing (m)]]&lt;=0.05,5,IF(Data_Geotech[[#This Row],[Joint spacing (m)]]&lt;=0.3,10,IF(Data_Geotech[[#This Row],[Joint spacing (m)]]&lt;=1,20,IF(Data_Geotech[[#This Row],[Joint spacing (m)]]&lt;=3,25,30))))</f>
        <v>30</v>
      </c>
      <c r="AK17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78" s="6">
        <v>10</v>
      </c>
      <c r="AM178" s="117">
        <f>IF(Data_Geotech[[#This Row],[FIRS Code]]="R",IFERROR(SUM(Data_Geotech[[#This Row],[RMR76 - Strength rating]:[RMR76 - Ground water rating]]),""),"")</f>
        <v>89</v>
      </c>
      <c r="AN178" s="39">
        <f>IF(Data_Geotech[[#This Row],[FIRS Code]]="R",(2*Data_Geotech[[#This Row],[RMR76 - Joint condition rating]])+(IF(Data_Geotech[[#This Row],[RQD (%)]]&gt;80,80/2,Data_Geotech[[#This Row],[RQD (%)]]/2)),"")</f>
        <v>90</v>
      </c>
      <c r="AO178" s="43" t="str">
        <f>LEFT(Data_Geotech[[#This Row],[Joint Set Rating]],FIND("-",Data_Geotech[[#This Row],[Joint Set Rating]],1)-2)</f>
        <v>1</v>
      </c>
      <c r="AP17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78" s="5">
        <f t="shared" si="0"/>
        <v>1</v>
      </c>
      <c r="AR178" s="49">
        <f>IF(Data_Geotech[[#This Row],[FIRS Code]]="R",IFERROR((IF(Data_Geotech[[#This Row],[RQD (%)]]&lt;10,10,Data_Geotech[[#This Row],[RQD (%)]])/Data_Geotech[[#This Row],[Jn rating]])*Data_Geotech[[#This Row],[Jr/Ja]],""),"")</f>
        <v>533.33333333333326</v>
      </c>
      <c r="AS178" s="45">
        <f>IF(Data_Geotech[[#This Row],[FIRS Code]]="R",IFERROR((IF(Data_Geotech[[#This Row],[RQD (%)]]&lt;10,10,Data_Geotech[[#This Row],[RQD (%)]])/Data_Geotech[[#This Row],[Jn rating]])*Data_Geotech[[#This Row],[Jr/Ja]]*Data_Geotech[[#This Row],[Jw/SRF]],""),"")</f>
        <v>533.33333333333326</v>
      </c>
      <c r="AT178" s="12"/>
      <c r="AU178" s="13">
        <f>100-Data_Geotech[[#This Row],[RQD (%)]]</f>
        <v>0</v>
      </c>
      <c r="AV178" s="13">
        <f>100-Data_Geotech[[#This Row],[TCR (%)]]</f>
        <v>0</v>
      </c>
      <c r="AW178" s="62">
        <f>(Data_Geotech[[#This Row],[Fracture per interval]]+Data_Geotech[[#This Row],[Added fractures 
(BC, FLT, LC)]])/Data_Geotech[[#This Row],[TCR (m)]]</f>
        <v>0</v>
      </c>
      <c r="AX178" s="6" t="s">
        <v>109</v>
      </c>
      <c r="AY178" s="63">
        <f>7-MID(Data_Geotech[[#This Row],[Field Intact Rock Strength]],2,1)</f>
        <v>4</v>
      </c>
      <c r="AZ178" s="63">
        <f>VLOOKUP(Data_Geotech[[#This Row],[Field Intact Rock Strength]],Table_FieldStrength[],2,FALSE)</f>
        <v>25</v>
      </c>
      <c r="BA178" s="63">
        <f>VLOOKUP(Data_Geotech[[#This Row],[Field Intact Rock Strength]],Table_FieldStrength[],3,FALSE)</f>
        <v>37.5</v>
      </c>
      <c r="BB178" s="63">
        <f>VLOOKUP(Data_Geotech[[#This Row],[Field Intact Rock Strength]],Table_FieldStrength[],4,FALSE)</f>
        <v>50</v>
      </c>
      <c r="BC178" s="63">
        <f>100-Data_Geotech[[#This Row],[RMR76]]</f>
        <v>11</v>
      </c>
      <c r="BD178" s="63" t="str">
        <f>LEFT(Data_Geotech[[#This Row],[Weathering/Alteration]],FIND("-",Data_Geotech[[#This Row],[Weathering/Alteration]])-2)</f>
        <v>W2/A2</v>
      </c>
    </row>
    <row r="179" spans="1:56" hidden="1" x14ac:dyDescent="0.25">
      <c r="A179" t="s">
        <v>34</v>
      </c>
      <c r="B179" s="16" t="str">
        <f>VLOOKUP(Data_Geotech[[#This Row],[Hole ID]],Data_Log[],2,FALSE)</f>
        <v>CGF-04</v>
      </c>
      <c r="C179" s="5">
        <v>102</v>
      </c>
      <c r="D179" s="5">
        <v>102.33</v>
      </c>
      <c r="E179" s="5">
        <f>(Data_Geotech[[#This Row],[To (m)]]-Data_Geotech[[#This Row],[From (m)]])/2+Data_Geotech[[#This Row],[From (m)]]</f>
        <v>102.16499999999999</v>
      </c>
      <c r="F179" s="13">
        <f>Data_Geotech[[#This Row],[To (m)]]-Data_Geotech[[#This Row],[From (m)]]</f>
        <v>0.32999999999999829</v>
      </c>
      <c r="G179" s="5">
        <v>0.33</v>
      </c>
      <c r="H179" s="61">
        <f>Data_Geotech[[#This Row],[TCR (m)]]/Data_Geotech[[#This Row],[Run (m)]]*100</f>
        <v>100.00000000000051</v>
      </c>
      <c r="I179" s="151">
        <v>0.33</v>
      </c>
      <c r="J179" s="151">
        <v>0.33</v>
      </c>
      <c r="K179" s="5">
        <v>0.33</v>
      </c>
      <c r="L179" s="61">
        <f>Data_Geotech[[#This Row],[RQD (m)]]/Data_Geotech[[#This Row],[Run Reel (m)]]*100</f>
        <v>100</v>
      </c>
      <c r="M179" t="s">
        <v>584</v>
      </c>
      <c r="O179" t="s">
        <v>310</v>
      </c>
      <c r="P179" s="115" t="s">
        <v>397</v>
      </c>
      <c r="Q179" s="5" t="s">
        <v>346</v>
      </c>
      <c r="R179" s="5"/>
      <c r="S179" s="5"/>
      <c r="T179" s="5"/>
      <c r="U179" s="5"/>
      <c r="V179" s="6">
        <v>0</v>
      </c>
      <c r="W179" s="92">
        <f>SUMIFS(Discontinuities!$D$4:$D$9664,Discontinuities!$A$4:$A$9664,A179,Discontinuities!$C$4:$C$9664,"&gt;="&amp;C179,Discontinuities!$C$4:$C$9664,"&lt;"&amp;D179)
-SUMIFS(Discontinuities!$D$4:$D$9664,Discontinuities!$A$4:$A$9664,A179,Discontinuities!$C$4:$C$9664,"&gt;="&amp;C179,Discontinuities!$C$4:$C$9664,"&lt;"&amp;D179,Discontinuities!$E$4:$E$9664,"=BC")
-SUMIFS(Discontinuities!$D$4:$D$9664,Discontinuities!$A$4:$A$9664,A179,Discontinuities!$C$4:$C$9664,"&gt;="&amp;C179,Discontinuities!$C$4:$C$9664,"&lt;"&amp;D179,Discontinuities!$E$4:$E$9664,"=LC")
-SUMIFS(Discontinuities!$D$4:$D$9664,Discontinuities!$A$4:$A$9664,A179,Discontinuities!$C$4:$C$9664,"&gt;="&amp;C179,Discontinuities!$C$4:$C$9664,"&lt;"&amp;D179,Discontinuities!$E$4:$E$9664,"=FLT")</f>
        <v>0</v>
      </c>
      <c r="X179" t="s">
        <v>280</v>
      </c>
      <c r="Z179" t="s">
        <v>604</v>
      </c>
      <c r="AA179" s="12"/>
      <c r="AB179" s="43">
        <f>IFERROR(ROUND((Data_Geotech[[#This Row],[Fault (m)]]+Data_Geotech[[#This Row],[Broken Core (m)]]+Data_Geotech[[#This Row],[Lost Core (m)]])*30,0),0)</f>
        <v>0</v>
      </c>
      <c r="AC179" s="44">
        <f>IF(Data_Geotech[[#This Row],[Added fractures 
(BC, FLT, LC)]]+Data_Geotech[[#This Row],[Fracture per interval]]=0,99,1/((Data_Geotech[[#This Row],[Fracture per interval]]+Data_Geotech[[#This Row],[Added fractures 
(BC, FLT, LC)]])/Data_Geotech[[#This Row],[Run (m)]]))</f>
        <v>99</v>
      </c>
      <c r="AD179" s="155" cm="1">
        <f t="array" ref="AD179">IFERROR(_xlfn.XLOOKUP(1,(A179=PLT!$A$4:$A$8886)*(Geotech!C179&lt;=PLT!$F$4:$F$8886)*(Geotech!D179&gt;=PLT!$F$4:$F$8886)*("Valid"=PLT!$P$4:$P$8886),PLT!$V$4:$V$8886),"")</f>
        <v>0</v>
      </c>
      <c r="AE179" s="156" t="str" cm="1">
        <f t="array" ref="AE179">IFERROR(_xlfn.XLOOKUP(1,(A179=PLT!$A$4:$A$8886)*(Geotech!C179&lt;=PLT!$F$4:$F$8886)*(Geotech!D179&gt;=PLT!$F$4:$F$8886)*(PLT!$V$4:$V$8886&lt;&gt;AD179)*("Valid"=PLT!$P$4:$P$7190),PLT!$V$4:$V$8886),"")</f>
        <v/>
      </c>
      <c r="AF179" s="156" t="str" cm="1">
        <f t="array" ref="AF179">IFERROR(_xlfn.XLOOKUP(1,(A179=PLT!$A$4:$A$8886)*(Geotech!C179&lt;=PLT!$F$4:$F$8886)*(Geotech!D179&gt;=PLT!$F$4:$F$8886)*(PLT!$V$4:$V$8886&lt;&gt;AD179)*(PLT!$V$4:$V$8886&lt;&gt;AE179)*("Valid"=PLT!$P$4:$P$7190),PLT!$V$4:$V$8886),"")</f>
        <v/>
      </c>
      <c r="AG179" s="44">
        <f>IFERROR(IF(AVERAGE(AD179:AF179)&gt;References!$BO$23,References!$BP$23,
IF(AVERAGE(AD179:AF179)&gt;References!$BO$22,References!$BP$22,
IF(AVERAGE(AD179:AF179)&gt;References!$BO$21,References!$BP$21,
IF(AVERAGE(AD179:AF179)&gt;References!$BO$20,References!$BP$20,
IF(AVERAGE(AD179:AF179)&gt;References!$BO$19,References!$BP$19,
IF(AVERAGE(AD179:AF179)&gt;References!$BO$18,References!$BP$18,
0)))))),"")</f>
        <v>0</v>
      </c>
      <c r="AH179" s="43">
        <f>IF(Data_Geotech[[#This Row],[Is50]]="",VLOOKUP(Data_Geotech[[#This Row],[Field Intact Rock Strength]],Table_RMR76_Strength[],2,FALSE),Data_Geotech[[#This Row],[Is50]])</f>
        <v>0</v>
      </c>
      <c r="AI179" s="43">
        <f>IF(Data_Geotech[[#This Row],[RQD (%)]]&lt;=25,3,IF(Data_Geotech[[#This Row],[RQD (%)]]&lt;=50,8,IF(Data_Geotech[[#This Row],[RQD (%)]]&lt;=75,13,IF(Data_Geotech[[#This Row],[RQD (%)]]&lt;=90,17,20))))</f>
        <v>20</v>
      </c>
      <c r="AJ179" s="43">
        <f>IF(Data_Geotech[[#This Row],[Joint spacing (m)]]&lt;=0.05,5,IF(Data_Geotech[[#This Row],[Joint spacing (m)]]&lt;=0.3,10,IF(Data_Geotech[[#This Row],[Joint spacing (m)]]&lt;=1,20,IF(Data_Geotech[[#This Row],[Joint spacing (m)]]&lt;=3,25,30))))</f>
        <v>30</v>
      </c>
      <c r="AK17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79" s="6">
        <v>10</v>
      </c>
      <c r="AM179" s="117">
        <f>IF(Data_Geotech[[#This Row],[FIRS Code]]="R",IFERROR(SUM(Data_Geotech[[#This Row],[RMR76 - Strength rating]:[RMR76 - Ground water rating]]),""),"")</f>
        <v>85</v>
      </c>
      <c r="AN179" s="39">
        <f>IF(Data_Geotech[[#This Row],[FIRS Code]]="R",(2*Data_Geotech[[#This Row],[RMR76 - Joint condition rating]])+(IF(Data_Geotech[[#This Row],[RQD (%)]]&gt;80,80/2,Data_Geotech[[#This Row],[RQD (%)]]/2)),"")</f>
        <v>90</v>
      </c>
      <c r="AO179" s="43" t="str">
        <f>LEFT(Data_Geotech[[#This Row],[Joint Set Rating]],FIND("-",Data_Geotech[[#This Row],[Joint Set Rating]],1)-2)</f>
        <v>1</v>
      </c>
      <c r="AP17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79" s="5">
        <f t="shared" si="0"/>
        <v>1</v>
      </c>
      <c r="AR179" s="49">
        <f>IF(Data_Geotech[[#This Row],[FIRS Code]]="R",IFERROR((IF(Data_Geotech[[#This Row],[RQD (%)]]&lt;10,10,Data_Geotech[[#This Row],[RQD (%)]])/Data_Geotech[[#This Row],[Jn rating]])*Data_Geotech[[#This Row],[Jr/Ja]],""),"")</f>
        <v>533.33333333333326</v>
      </c>
      <c r="AS179" s="45">
        <f>IF(Data_Geotech[[#This Row],[FIRS Code]]="R",IFERROR((IF(Data_Geotech[[#This Row],[RQD (%)]]&lt;10,10,Data_Geotech[[#This Row],[RQD (%)]])/Data_Geotech[[#This Row],[Jn rating]])*Data_Geotech[[#This Row],[Jr/Ja]]*Data_Geotech[[#This Row],[Jw/SRF]],""),"")</f>
        <v>533.33333333333326</v>
      </c>
      <c r="AT179" s="12"/>
      <c r="AU179" s="13">
        <f>100-Data_Geotech[[#This Row],[RQD (%)]]</f>
        <v>0</v>
      </c>
      <c r="AV179" s="13">
        <f>100-Data_Geotech[[#This Row],[TCR (%)]]</f>
        <v>-5.1159076974727213E-13</v>
      </c>
      <c r="AW179" s="62">
        <f>(Data_Geotech[[#This Row],[Fracture per interval]]+Data_Geotech[[#This Row],[Added fractures 
(BC, FLT, LC)]])/Data_Geotech[[#This Row],[TCR (m)]]</f>
        <v>0</v>
      </c>
      <c r="AX179" s="6" t="s">
        <v>109</v>
      </c>
      <c r="AY179" s="63">
        <f>7-MID(Data_Geotech[[#This Row],[Field Intact Rock Strength]],2,1)</f>
        <v>2</v>
      </c>
      <c r="AZ179" s="63">
        <f>VLOOKUP(Data_Geotech[[#This Row],[Field Intact Rock Strength]],Table_FieldStrength[],2,FALSE)</f>
        <v>100</v>
      </c>
      <c r="BA179" s="63">
        <f>VLOOKUP(Data_Geotech[[#This Row],[Field Intact Rock Strength]],Table_FieldStrength[],3,FALSE)</f>
        <v>175</v>
      </c>
      <c r="BB179" s="63">
        <f>VLOOKUP(Data_Geotech[[#This Row],[Field Intact Rock Strength]],Table_FieldStrength[],4,FALSE)</f>
        <v>250</v>
      </c>
      <c r="BC179" s="63">
        <f>100-Data_Geotech[[#This Row],[RMR76]]</f>
        <v>15</v>
      </c>
      <c r="BD179" s="63" t="str">
        <f>LEFT(Data_Geotech[[#This Row],[Weathering/Alteration]],FIND("-",Data_Geotech[[#This Row],[Weathering/Alteration]])-2)</f>
        <v>W3/A3</v>
      </c>
    </row>
    <row r="180" spans="1:56" hidden="1" x14ac:dyDescent="0.25">
      <c r="A180" t="s">
        <v>34</v>
      </c>
      <c r="B180" s="16" t="str">
        <f>VLOOKUP(Data_Geotech[[#This Row],[Hole ID]],Data_Log[],2,FALSE)</f>
        <v>CGF-04</v>
      </c>
      <c r="C180" s="5">
        <v>102.33</v>
      </c>
      <c r="D180" s="5">
        <v>104</v>
      </c>
      <c r="E180" s="5">
        <f>(Data_Geotech[[#This Row],[To (m)]]-Data_Geotech[[#This Row],[From (m)]])/2+Data_Geotech[[#This Row],[From (m)]]</f>
        <v>103.16499999999999</v>
      </c>
      <c r="F180" s="13">
        <f>Data_Geotech[[#This Row],[To (m)]]-Data_Geotech[[#This Row],[From (m)]]</f>
        <v>1.6700000000000017</v>
      </c>
      <c r="G180" s="5">
        <v>1.67</v>
      </c>
      <c r="H180" s="61">
        <f>Data_Geotech[[#This Row],[TCR (m)]]/Data_Geotech[[#This Row],[Run (m)]]*100</f>
        <v>99.999999999999886</v>
      </c>
      <c r="I180" s="151">
        <v>1.67</v>
      </c>
      <c r="J180" s="151">
        <v>1.67</v>
      </c>
      <c r="K180" s="5">
        <v>1.67</v>
      </c>
      <c r="L180" s="61">
        <f>Data_Geotech[[#This Row],[RQD (m)]]/Data_Geotech[[#This Row],[Run Reel (m)]]*100</f>
        <v>100</v>
      </c>
      <c r="M180" t="s">
        <v>584</v>
      </c>
      <c r="O180" t="s">
        <v>278</v>
      </c>
      <c r="P180" s="115" t="s">
        <v>397</v>
      </c>
      <c r="Q180" s="5" t="s">
        <v>313</v>
      </c>
      <c r="R180" s="5"/>
      <c r="S180" s="5"/>
      <c r="T180" s="5"/>
      <c r="U180" s="5"/>
      <c r="V180" s="6">
        <v>2</v>
      </c>
      <c r="W180" s="92">
        <f>SUMIFS(Discontinuities!$D$4:$D$9664,Discontinuities!$A$4:$A$9664,A180,Discontinuities!$C$4:$C$9664,"&gt;="&amp;C180,Discontinuities!$C$4:$C$9664,"&lt;"&amp;D180)
-SUMIFS(Discontinuities!$D$4:$D$9664,Discontinuities!$A$4:$A$9664,A180,Discontinuities!$C$4:$C$9664,"&gt;="&amp;C180,Discontinuities!$C$4:$C$9664,"&lt;"&amp;D180,Discontinuities!$E$4:$E$9664,"=BC")
-SUMIFS(Discontinuities!$D$4:$D$9664,Discontinuities!$A$4:$A$9664,A180,Discontinuities!$C$4:$C$9664,"&gt;="&amp;C180,Discontinuities!$C$4:$C$9664,"&lt;"&amp;D180,Discontinuities!$E$4:$E$9664,"=LC")
-SUMIFS(Discontinuities!$D$4:$D$9664,Discontinuities!$A$4:$A$9664,A180,Discontinuities!$C$4:$C$9664,"&gt;="&amp;C180,Discontinuities!$C$4:$C$9664,"&lt;"&amp;D180,Discontinuities!$E$4:$E$9664,"=FLT")</f>
        <v>2</v>
      </c>
      <c r="X180" t="s">
        <v>373</v>
      </c>
      <c r="AA180" s="12"/>
      <c r="AB180" s="43">
        <f>IFERROR(ROUND((Data_Geotech[[#This Row],[Fault (m)]]+Data_Geotech[[#This Row],[Broken Core (m)]]+Data_Geotech[[#This Row],[Lost Core (m)]])*30,0),0)</f>
        <v>0</v>
      </c>
      <c r="AC180" s="44">
        <f>IF(Data_Geotech[[#This Row],[Added fractures 
(BC, FLT, LC)]]+Data_Geotech[[#This Row],[Fracture per interval]]=0,99,1/((Data_Geotech[[#This Row],[Fracture per interval]]+Data_Geotech[[#This Row],[Added fractures 
(BC, FLT, LC)]])/Data_Geotech[[#This Row],[Run (m)]]))</f>
        <v>0.83500000000000085</v>
      </c>
      <c r="AD180" s="155" cm="1">
        <f t="array" ref="AD180">IFERROR(_xlfn.XLOOKUP(1,(A180=PLT!$A$4:$A$8886)*(Geotech!C180&lt;=PLT!$F$4:$F$8886)*(Geotech!D180&gt;=PLT!$F$4:$F$8886)*("Valid"=PLT!$P$4:$P$8886),PLT!$V$4:$V$8886),"")</f>
        <v>0</v>
      </c>
      <c r="AE180" s="156" t="str" cm="1">
        <f t="array" ref="AE180">IFERROR(_xlfn.XLOOKUP(1,(A180=PLT!$A$4:$A$8886)*(Geotech!C180&lt;=PLT!$F$4:$F$8886)*(Geotech!D180&gt;=PLT!$F$4:$F$8886)*(PLT!$V$4:$V$8886&lt;&gt;AD180)*("Valid"=PLT!$P$4:$P$7190),PLT!$V$4:$V$8886),"")</f>
        <v/>
      </c>
      <c r="AF180" s="156" t="str" cm="1">
        <f t="array" ref="AF180">IFERROR(_xlfn.XLOOKUP(1,(A180=PLT!$A$4:$A$8886)*(Geotech!C180&lt;=PLT!$F$4:$F$8886)*(Geotech!D180&gt;=PLT!$F$4:$F$8886)*(PLT!$V$4:$V$8886&lt;&gt;AD180)*(PLT!$V$4:$V$8886&lt;&gt;AE180)*("Valid"=PLT!$P$4:$P$7190),PLT!$V$4:$V$8886),"")</f>
        <v/>
      </c>
      <c r="AG180" s="44">
        <f>IFERROR(IF(AVERAGE(AD180:AF180)&gt;References!$BO$23,References!$BP$23,
IF(AVERAGE(AD180:AF180)&gt;References!$BO$22,References!$BP$22,
IF(AVERAGE(AD180:AF180)&gt;References!$BO$21,References!$BP$21,
IF(AVERAGE(AD180:AF180)&gt;References!$BO$20,References!$BP$20,
IF(AVERAGE(AD180:AF180)&gt;References!$BO$19,References!$BP$19,
IF(AVERAGE(AD180:AF180)&gt;References!$BO$18,References!$BP$18,
0)))))),"")</f>
        <v>0</v>
      </c>
      <c r="AH180" s="43">
        <f>IF(Data_Geotech[[#This Row],[Is50]]="",VLOOKUP(Data_Geotech[[#This Row],[Field Intact Rock Strength]],Table_RMR76_Strength[],2,FALSE),Data_Geotech[[#This Row],[Is50]])</f>
        <v>0</v>
      </c>
      <c r="AI180" s="43">
        <f>IF(Data_Geotech[[#This Row],[RQD (%)]]&lt;=25,3,IF(Data_Geotech[[#This Row],[RQD (%)]]&lt;=50,8,IF(Data_Geotech[[#This Row],[RQD (%)]]&lt;=75,13,IF(Data_Geotech[[#This Row],[RQD (%)]]&lt;=90,17,20))))</f>
        <v>20</v>
      </c>
      <c r="AJ180" s="43">
        <f>IF(Data_Geotech[[#This Row],[Joint spacing (m)]]&lt;=0.05,5,IF(Data_Geotech[[#This Row],[Joint spacing (m)]]&lt;=0.3,10,IF(Data_Geotech[[#This Row],[Joint spacing (m)]]&lt;=1,20,IF(Data_Geotech[[#This Row],[Joint spacing (m)]]&lt;=3,25,30))))</f>
        <v>20</v>
      </c>
      <c r="AK18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80" s="6">
        <v>10</v>
      </c>
      <c r="AM180" s="117">
        <f>IF(Data_Geotech[[#This Row],[FIRS Code]]="R",IFERROR(SUM(Data_Geotech[[#This Row],[RMR76 - Strength rating]:[RMR76 - Ground water rating]]),""),"")</f>
        <v>56</v>
      </c>
      <c r="AN180" s="39">
        <f>IF(Data_Geotech[[#This Row],[FIRS Code]]="R",(2*Data_Geotech[[#This Row],[RMR76 - Joint condition rating]])+(IF(Data_Geotech[[#This Row],[RQD (%)]]&gt;80,80/2,Data_Geotech[[#This Row],[RQD (%)]]/2)),"")</f>
        <v>52</v>
      </c>
      <c r="AO180" s="43" t="str">
        <f>LEFT(Data_Geotech[[#This Row],[Joint Set Rating]],FIND("-",Data_Geotech[[#This Row],[Joint Set Rating]],1)-2)</f>
        <v>4</v>
      </c>
      <c r="AP180" s="145" t="str">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ERROR: should never happen!</v>
      </c>
      <c r="AQ180" s="5">
        <f t="shared" si="0"/>
        <v>1</v>
      </c>
      <c r="AR180" s="49" t="str">
        <f>IF(Data_Geotech[[#This Row],[FIRS Code]]="R",IFERROR((IF(Data_Geotech[[#This Row],[RQD (%)]]&lt;10,10,Data_Geotech[[#This Row],[RQD (%)]])/Data_Geotech[[#This Row],[Jn rating]])*Data_Geotech[[#This Row],[Jr/Ja]],""),"")</f>
        <v/>
      </c>
      <c r="AS180" s="45" t="str">
        <f>IF(Data_Geotech[[#This Row],[FIRS Code]]="R",IFERROR((IF(Data_Geotech[[#This Row],[RQD (%)]]&lt;10,10,Data_Geotech[[#This Row],[RQD (%)]])/Data_Geotech[[#This Row],[Jn rating]])*Data_Geotech[[#This Row],[Jr/Ja]]*Data_Geotech[[#This Row],[Jw/SRF]],""),"")</f>
        <v/>
      </c>
      <c r="AT180" s="12"/>
      <c r="AU180" s="13">
        <f>100-Data_Geotech[[#This Row],[RQD (%)]]</f>
        <v>0</v>
      </c>
      <c r="AV180" s="13">
        <f>100-Data_Geotech[[#This Row],[TCR (%)]]</f>
        <v>1.1368683772161603E-13</v>
      </c>
      <c r="AW180" s="62">
        <f>(Data_Geotech[[#This Row],[Fracture per interval]]+Data_Geotech[[#This Row],[Added fractures 
(BC, FLT, LC)]])/Data_Geotech[[#This Row],[TCR (m)]]</f>
        <v>1.1976047904191618</v>
      </c>
      <c r="AX180" s="6" t="s">
        <v>109</v>
      </c>
      <c r="AY180" s="63">
        <f>7-MID(Data_Geotech[[#This Row],[Field Intact Rock Strength]],2,1)</f>
        <v>2</v>
      </c>
      <c r="AZ180" s="63">
        <f>VLOOKUP(Data_Geotech[[#This Row],[Field Intact Rock Strength]],Table_FieldStrength[],2,FALSE)</f>
        <v>100</v>
      </c>
      <c r="BA180" s="63">
        <f>VLOOKUP(Data_Geotech[[#This Row],[Field Intact Rock Strength]],Table_FieldStrength[],3,FALSE)</f>
        <v>175</v>
      </c>
      <c r="BB180" s="63">
        <f>VLOOKUP(Data_Geotech[[#This Row],[Field Intact Rock Strength]],Table_FieldStrength[],4,FALSE)</f>
        <v>250</v>
      </c>
      <c r="BC180" s="63">
        <f>100-Data_Geotech[[#This Row],[RMR76]]</f>
        <v>44</v>
      </c>
      <c r="BD180" s="63" t="str">
        <f>LEFT(Data_Geotech[[#This Row],[Weathering/Alteration]],FIND("-",Data_Geotech[[#This Row],[Weathering/Alteration]])-2)</f>
        <v>W2/A2</v>
      </c>
    </row>
    <row r="181" spans="1:56" hidden="1" x14ac:dyDescent="0.25">
      <c r="A181" t="s">
        <v>34</v>
      </c>
      <c r="B181" s="16" t="str">
        <f>VLOOKUP(Data_Geotech[[#This Row],[Hole ID]],Data_Log[],2,FALSE)</f>
        <v>CGF-04</v>
      </c>
      <c r="C181" s="5">
        <v>104</v>
      </c>
      <c r="D181" s="5">
        <v>105.5</v>
      </c>
      <c r="E181" s="5">
        <f>(Data_Geotech[[#This Row],[To (m)]]-Data_Geotech[[#This Row],[From (m)]])/2+Data_Geotech[[#This Row],[From (m)]]</f>
        <v>104.75</v>
      </c>
      <c r="F181" s="13">
        <f>Data_Geotech[[#This Row],[To (m)]]-Data_Geotech[[#This Row],[From (m)]]</f>
        <v>1.5</v>
      </c>
      <c r="G181" s="5">
        <v>1.5</v>
      </c>
      <c r="H181" s="61">
        <f>Data_Geotech[[#This Row],[TCR (m)]]/Data_Geotech[[#This Row],[Run (m)]]*100</f>
        <v>100</v>
      </c>
      <c r="I181" s="151">
        <v>1.5</v>
      </c>
      <c r="J181" s="151">
        <v>1.5</v>
      </c>
      <c r="K181" s="5">
        <v>1.42</v>
      </c>
      <c r="L181" s="61">
        <f>Data_Geotech[[#This Row],[RQD (m)]]/Data_Geotech[[#This Row],[Run Reel (m)]]*100</f>
        <v>94.666666666666671</v>
      </c>
      <c r="M181" t="s">
        <v>584</v>
      </c>
      <c r="O181" t="s">
        <v>310</v>
      </c>
      <c r="P181" s="115" t="s">
        <v>342</v>
      </c>
      <c r="Q181" s="5" t="s">
        <v>313</v>
      </c>
      <c r="R181" s="5"/>
      <c r="S181" s="5"/>
      <c r="T181" s="5"/>
      <c r="U181" s="5"/>
      <c r="V181" s="6">
        <v>3</v>
      </c>
      <c r="W181" s="92">
        <f>SUMIFS(Discontinuities!$D$4:$D$9664,Discontinuities!$A$4:$A$9664,A181,Discontinuities!$C$4:$C$9664,"&gt;="&amp;C181,Discontinuities!$C$4:$C$9664,"&lt;"&amp;D181)
-SUMIFS(Discontinuities!$D$4:$D$9664,Discontinuities!$A$4:$A$9664,A181,Discontinuities!$C$4:$C$9664,"&gt;="&amp;C181,Discontinuities!$C$4:$C$9664,"&lt;"&amp;D181,Discontinuities!$E$4:$E$9664,"=BC")
-SUMIFS(Discontinuities!$D$4:$D$9664,Discontinuities!$A$4:$A$9664,A181,Discontinuities!$C$4:$C$9664,"&gt;="&amp;C181,Discontinuities!$C$4:$C$9664,"&lt;"&amp;D181,Discontinuities!$E$4:$E$9664,"=LC")
-SUMIFS(Discontinuities!$D$4:$D$9664,Discontinuities!$A$4:$A$9664,A181,Discontinuities!$C$4:$C$9664,"&gt;="&amp;C181,Discontinuities!$C$4:$C$9664,"&lt;"&amp;D181,Discontinuities!$E$4:$E$9664,"=FLT")</f>
        <v>3</v>
      </c>
      <c r="X181" t="s">
        <v>345</v>
      </c>
      <c r="Z181" t="s">
        <v>604</v>
      </c>
      <c r="AA181" s="12"/>
      <c r="AB181" s="43">
        <f>IFERROR(ROUND((Data_Geotech[[#This Row],[Fault (m)]]+Data_Geotech[[#This Row],[Broken Core (m)]]+Data_Geotech[[#This Row],[Lost Core (m)]])*30,0),0)</f>
        <v>0</v>
      </c>
      <c r="AC181" s="44">
        <f>IF(Data_Geotech[[#This Row],[Added fractures 
(BC, FLT, LC)]]+Data_Geotech[[#This Row],[Fracture per interval]]=0,99,1/((Data_Geotech[[#This Row],[Fracture per interval]]+Data_Geotech[[#This Row],[Added fractures 
(BC, FLT, LC)]])/Data_Geotech[[#This Row],[Run (m)]]))</f>
        <v>0.5</v>
      </c>
      <c r="AD181" s="155" cm="1">
        <f t="array" ref="AD181">IFERROR(_xlfn.XLOOKUP(1,(A181=PLT!$A$4:$A$8886)*(Geotech!C181&lt;=PLT!$F$4:$F$8886)*(Geotech!D181&gt;=PLT!$F$4:$F$8886)*("Valid"=PLT!$P$4:$P$8886),PLT!$V$4:$V$8886),"")</f>
        <v>0</v>
      </c>
      <c r="AE181" s="156" t="str" cm="1">
        <f t="array" ref="AE181">IFERROR(_xlfn.XLOOKUP(1,(A181=PLT!$A$4:$A$8886)*(Geotech!C181&lt;=PLT!$F$4:$F$8886)*(Geotech!D181&gt;=PLT!$F$4:$F$8886)*(PLT!$V$4:$V$8886&lt;&gt;AD181)*("Valid"=PLT!$P$4:$P$7190),PLT!$V$4:$V$8886),"")</f>
        <v/>
      </c>
      <c r="AF181" s="156" t="str" cm="1">
        <f t="array" ref="AF181">IFERROR(_xlfn.XLOOKUP(1,(A181=PLT!$A$4:$A$8886)*(Geotech!C181&lt;=PLT!$F$4:$F$8886)*(Geotech!D181&gt;=PLT!$F$4:$F$8886)*(PLT!$V$4:$V$8886&lt;&gt;AD181)*(PLT!$V$4:$V$8886&lt;&gt;AE181)*("Valid"=PLT!$P$4:$P$7190),PLT!$V$4:$V$8886),"")</f>
        <v/>
      </c>
      <c r="AG181" s="44">
        <f>IFERROR(IF(AVERAGE(AD181:AF181)&gt;References!$BO$23,References!$BP$23,
IF(AVERAGE(AD181:AF181)&gt;References!$BO$22,References!$BP$22,
IF(AVERAGE(AD181:AF181)&gt;References!$BO$21,References!$BP$21,
IF(AVERAGE(AD181:AF181)&gt;References!$BO$20,References!$BP$20,
IF(AVERAGE(AD181:AF181)&gt;References!$BO$19,References!$BP$19,
IF(AVERAGE(AD181:AF181)&gt;References!$BO$18,References!$BP$18,
0)))))),"")</f>
        <v>0</v>
      </c>
      <c r="AH181" s="43">
        <f>IF(Data_Geotech[[#This Row],[Is50]]="",VLOOKUP(Data_Geotech[[#This Row],[Field Intact Rock Strength]],Table_RMR76_Strength[],2,FALSE),Data_Geotech[[#This Row],[Is50]])</f>
        <v>0</v>
      </c>
      <c r="AI181" s="43">
        <f>IF(Data_Geotech[[#This Row],[RQD (%)]]&lt;=25,3,IF(Data_Geotech[[#This Row],[RQD (%)]]&lt;=50,8,IF(Data_Geotech[[#This Row],[RQD (%)]]&lt;=75,13,IF(Data_Geotech[[#This Row],[RQD (%)]]&lt;=90,17,20))))</f>
        <v>20</v>
      </c>
      <c r="AJ181" s="43">
        <f>IF(Data_Geotech[[#This Row],[Joint spacing (m)]]&lt;=0.05,5,IF(Data_Geotech[[#This Row],[Joint spacing (m)]]&lt;=0.3,10,IF(Data_Geotech[[#This Row],[Joint spacing (m)]]&lt;=1,20,IF(Data_Geotech[[#This Row],[Joint spacing (m)]]&lt;=3,25,30))))</f>
        <v>20</v>
      </c>
      <c r="AK18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81" s="6">
        <v>10</v>
      </c>
      <c r="AM181" s="117">
        <f>IF(Data_Geotech[[#This Row],[FIRS Code]]="R",IFERROR(SUM(Data_Geotech[[#This Row],[RMR76 - Strength rating]:[RMR76 - Ground water rating]]),""),"")</f>
        <v>56</v>
      </c>
      <c r="AN181" s="39">
        <f>IF(Data_Geotech[[#This Row],[FIRS Code]]="R",(2*Data_Geotech[[#This Row],[RMR76 - Joint condition rating]])+(IF(Data_Geotech[[#This Row],[RQD (%)]]&gt;80,80/2,Data_Geotech[[#This Row],[RQD (%)]]/2)),"")</f>
        <v>52</v>
      </c>
      <c r="AO181" s="43" t="str">
        <f>LEFT(Data_Geotech[[#This Row],[Joint Set Rating]],FIND("-",Data_Geotech[[#This Row],[Joint Set Rating]],1)-2)</f>
        <v>3</v>
      </c>
      <c r="AP181" s="145" t="str">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ERROR: should never happen!</v>
      </c>
      <c r="AQ181" s="5">
        <f t="shared" si="0"/>
        <v>1</v>
      </c>
      <c r="AR181" s="49" t="str">
        <f>IF(Data_Geotech[[#This Row],[FIRS Code]]="R",IFERROR((IF(Data_Geotech[[#This Row],[RQD (%)]]&lt;10,10,Data_Geotech[[#This Row],[RQD (%)]])/Data_Geotech[[#This Row],[Jn rating]])*Data_Geotech[[#This Row],[Jr/Ja]],""),"")</f>
        <v/>
      </c>
      <c r="AS181" s="45" t="str">
        <f>IF(Data_Geotech[[#This Row],[FIRS Code]]="R",IFERROR((IF(Data_Geotech[[#This Row],[RQD (%)]]&lt;10,10,Data_Geotech[[#This Row],[RQD (%)]])/Data_Geotech[[#This Row],[Jn rating]])*Data_Geotech[[#This Row],[Jr/Ja]]*Data_Geotech[[#This Row],[Jw/SRF]],""),"")</f>
        <v/>
      </c>
      <c r="AT181" s="12"/>
      <c r="AU181" s="13">
        <f>100-Data_Geotech[[#This Row],[RQD (%)]]</f>
        <v>5.3333333333333286</v>
      </c>
      <c r="AV181" s="13">
        <f>100-Data_Geotech[[#This Row],[TCR (%)]]</f>
        <v>0</v>
      </c>
      <c r="AW181" s="62">
        <f>(Data_Geotech[[#This Row],[Fracture per interval]]+Data_Geotech[[#This Row],[Added fractures 
(BC, FLT, LC)]])/Data_Geotech[[#This Row],[TCR (m)]]</f>
        <v>2</v>
      </c>
      <c r="AX181" s="6" t="s">
        <v>109</v>
      </c>
      <c r="AY181" s="63">
        <f>7-MID(Data_Geotech[[#This Row],[Field Intact Rock Strength]],2,1)</f>
        <v>4</v>
      </c>
      <c r="AZ181" s="63">
        <f>VLOOKUP(Data_Geotech[[#This Row],[Field Intact Rock Strength]],Table_FieldStrength[],2,FALSE)</f>
        <v>25</v>
      </c>
      <c r="BA181" s="63">
        <f>VLOOKUP(Data_Geotech[[#This Row],[Field Intact Rock Strength]],Table_FieldStrength[],3,FALSE)</f>
        <v>37.5</v>
      </c>
      <c r="BB181" s="63">
        <f>VLOOKUP(Data_Geotech[[#This Row],[Field Intact Rock Strength]],Table_FieldStrength[],4,FALSE)</f>
        <v>50</v>
      </c>
      <c r="BC181" s="63">
        <f>100-Data_Geotech[[#This Row],[RMR76]]</f>
        <v>44</v>
      </c>
      <c r="BD181" s="63" t="str">
        <f>LEFT(Data_Geotech[[#This Row],[Weathering/Alteration]],FIND("-",Data_Geotech[[#This Row],[Weathering/Alteration]])-2)</f>
        <v>W3/A3</v>
      </c>
    </row>
    <row r="182" spans="1:56" hidden="1" x14ac:dyDescent="0.25">
      <c r="A182" t="s">
        <v>34</v>
      </c>
      <c r="B182" s="16" t="str">
        <f>VLOOKUP(Data_Geotech[[#This Row],[Hole ID]],Data_Log[],2,FALSE)</f>
        <v>CGF-04</v>
      </c>
      <c r="C182" s="5">
        <v>105.5</v>
      </c>
      <c r="D182" s="5">
        <v>107.97</v>
      </c>
      <c r="E182" s="5">
        <f>(Data_Geotech[[#This Row],[To (m)]]-Data_Geotech[[#This Row],[From (m)]])/2+Data_Geotech[[#This Row],[From (m)]]</f>
        <v>106.735</v>
      </c>
      <c r="F182" s="13">
        <f>Data_Geotech[[#This Row],[To (m)]]-Data_Geotech[[#This Row],[From (m)]]</f>
        <v>2.4699999999999989</v>
      </c>
      <c r="G182" s="5">
        <v>2.4700000000000002</v>
      </c>
      <c r="H182" s="61">
        <f>Data_Geotech[[#This Row],[TCR (m)]]/Data_Geotech[[#This Row],[Run (m)]]*100</f>
        <v>100.00000000000004</v>
      </c>
      <c r="I182" s="151">
        <v>2.44</v>
      </c>
      <c r="J182" s="151">
        <v>2.44</v>
      </c>
      <c r="K182" s="5">
        <v>2.44</v>
      </c>
      <c r="L182" s="61">
        <f>Data_Geotech[[#This Row],[RQD (m)]]/Data_Geotech[[#This Row],[Run Reel (m)]]*100</f>
        <v>100</v>
      </c>
      <c r="M182" t="s">
        <v>584</v>
      </c>
      <c r="O182" t="s">
        <v>278</v>
      </c>
      <c r="P182" s="115" t="s">
        <v>370</v>
      </c>
      <c r="Q182" s="5" t="s">
        <v>281</v>
      </c>
      <c r="R182" s="5"/>
      <c r="S182" s="5"/>
      <c r="T182" s="5"/>
      <c r="U182" s="5"/>
      <c r="V182" s="6">
        <v>3</v>
      </c>
      <c r="W182" s="92">
        <f>SUMIFS(Discontinuities!$D$4:$D$9664,Discontinuities!$A$4:$A$9664,A182,Discontinuities!$C$4:$C$9664,"&gt;="&amp;C182,Discontinuities!$C$4:$C$9664,"&lt;"&amp;D182)
-SUMIFS(Discontinuities!$D$4:$D$9664,Discontinuities!$A$4:$A$9664,A182,Discontinuities!$C$4:$C$9664,"&gt;="&amp;C182,Discontinuities!$C$4:$C$9664,"&lt;"&amp;D182,Discontinuities!$E$4:$E$9664,"=BC")
-SUMIFS(Discontinuities!$D$4:$D$9664,Discontinuities!$A$4:$A$9664,A182,Discontinuities!$C$4:$C$9664,"&gt;="&amp;C182,Discontinuities!$C$4:$C$9664,"&lt;"&amp;D182,Discontinuities!$E$4:$E$9664,"=LC")
-SUMIFS(Discontinuities!$D$4:$D$9664,Discontinuities!$A$4:$A$9664,A182,Discontinuities!$C$4:$C$9664,"&gt;="&amp;C182,Discontinuities!$C$4:$C$9664,"&lt;"&amp;D182,Discontinuities!$E$4:$E$9664,"=FLT")</f>
        <v>3</v>
      </c>
      <c r="X182" t="s">
        <v>345</v>
      </c>
      <c r="AA182" s="12"/>
      <c r="AB182" s="43">
        <f>IFERROR(ROUND((Data_Geotech[[#This Row],[Fault (m)]]+Data_Geotech[[#This Row],[Broken Core (m)]]+Data_Geotech[[#This Row],[Lost Core (m)]])*30,0),0)</f>
        <v>0</v>
      </c>
      <c r="AC182" s="44">
        <f>IF(Data_Geotech[[#This Row],[Added fractures 
(BC, FLT, LC)]]+Data_Geotech[[#This Row],[Fracture per interval]]=0,99,1/((Data_Geotech[[#This Row],[Fracture per interval]]+Data_Geotech[[#This Row],[Added fractures 
(BC, FLT, LC)]])/Data_Geotech[[#This Row],[Run (m)]]))</f>
        <v>0.82333333333333292</v>
      </c>
      <c r="AD182" s="155" cm="1">
        <f t="array" ref="AD182">IFERROR(_xlfn.XLOOKUP(1,(A182=PLT!$A$4:$A$8886)*(Geotech!C182&lt;=PLT!$F$4:$F$8886)*(Geotech!D182&gt;=PLT!$F$4:$F$8886)*("Valid"=PLT!$P$4:$P$8886),PLT!$V$4:$V$8886),"")</f>
        <v>0</v>
      </c>
      <c r="AE182" s="156" t="str" cm="1">
        <f t="array" ref="AE182">IFERROR(_xlfn.XLOOKUP(1,(A182=PLT!$A$4:$A$8886)*(Geotech!C182&lt;=PLT!$F$4:$F$8886)*(Geotech!D182&gt;=PLT!$F$4:$F$8886)*(PLT!$V$4:$V$8886&lt;&gt;AD182)*("Valid"=PLT!$P$4:$P$7190),PLT!$V$4:$V$8886),"")</f>
        <v/>
      </c>
      <c r="AF182" s="156" t="str" cm="1">
        <f t="array" ref="AF182">IFERROR(_xlfn.XLOOKUP(1,(A182=PLT!$A$4:$A$8886)*(Geotech!C182&lt;=PLT!$F$4:$F$8886)*(Geotech!D182&gt;=PLT!$F$4:$F$8886)*(PLT!$V$4:$V$8886&lt;&gt;AD182)*(PLT!$V$4:$V$8886&lt;&gt;AE182)*("Valid"=PLT!$P$4:$P$7190),PLT!$V$4:$V$8886),"")</f>
        <v/>
      </c>
      <c r="AG182" s="44">
        <f>IFERROR(IF(AVERAGE(AD182:AF182)&gt;References!$BO$23,References!$BP$23,
IF(AVERAGE(AD182:AF182)&gt;References!$BO$22,References!$BP$22,
IF(AVERAGE(AD182:AF182)&gt;References!$BO$21,References!$BP$21,
IF(AVERAGE(AD182:AF182)&gt;References!$BO$20,References!$BP$20,
IF(AVERAGE(AD182:AF182)&gt;References!$BO$19,References!$BP$19,
IF(AVERAGE(AD182:AF182)&gt;References!$BO$18,References!$BP$18,
0)))))),"")</f>
        <v>0</v>
      </c>
      <c r="AH182" s="43">
        <f>IF(Data_Geotech[[#This Row],[Is50]]="",VLOOKUP(Data_Geotech[[#This Row],[Field Intact Rock Strength]],Table_RMR76_Strength[],2,FALSE),Data_Geotech[[#This Row],[Is50]])</f>
        <v>0</v>
      </c>
      <c r="AI182" s="43">
        <f>IF(Data_Geotech[[#This Row],[RQD (%)]]&lt;=25,3,IF(Data_Geotech[[#This Row],[RQD (%)]]&lt;=50,8,IF(Data_Geotech[[#This Row],[RQD (%)]]&lt;=75,13,IF(Data_Geotech[[#This Row],[RQD (%)]]&lt;=90,17,20))))</f>
        <v>20</v>
      </c>
      <c r="AJ182" s="43">
        <f>IF(Data_Geotech[[#This Row],[Joint spacing (m)]]&lt;=0.05,5,IF(Data_Geotech[[#This Row],[Joint spacing (m)]]&lt;=0.3,10,IF(Data_Geotech[[#This Row],[Joint spacing (m)]]&lt;=1,20,IF(Data_Geotech[[#This Row],[Joint spacing (m)]]&lt;=3,25,30))))</f>
        <v>20</v>
      </c>
      <c r="AK18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82" s="6">
        <v>10</v>
      </c>
      <c r="AM182" s="117">
        <f>IF(Data_Geotech[[#This Row],[FIRS Code]]="R",IFERROR(SUM(Data_Geotech[[#This Row],[RMR76 - Strength rating]:[RMR76 - Ground water rating]]),""),"")</f>
        <v>56</v>
      </c>
      <c r="AN182" s="39">
        <f>IF(Data_Geotech[[#This Row],[FIRS Code]]="R",(2*Data_Geotech[[#This Row],[RMR76 - Joint condition rating]])+(IF(Data_Geotech[[#This Row],[RQD (%)]]&gt;80,80/2,Data_Geotech[[#This Row],[RQD (%)]]/2)),"")</f>
        <v>52</v>
      </c>
      <c r="AO182" s="43" t="str">
        <f>LEFT(Data_Geotech[[#This Row],[Joint Set Rating]],FIND("-",Data_Geotech[[#This Row],[Joint Set Rating]],1)-2)</f>
        <v>3</v>
      </c>
      <c r="AP182" s="145" t="str">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ERROR: should never happen!</v>
      </c>
      <c r="AQ182" s="5">
        <f t="shared" si="0"/>
        <v>1</v>
      </c>
      <c r="AR182" s="49" t="str">
        <f>IF(Data_Geotech[[#This Row],[FIRS Code]]="R",IFERROR((IF(Data_Geotech[[#This Row],[RQD (%)]]&lt;10,10,Data_Geotech[[#This Row],[RQD (%)]])/Data_Geotech[[#This Row],[Jn rating]])*Data_Geotech[[#This Row],[Jr/Ja]],""),"")</f>
        <v/>
      </c>
      <c r="AS182" s="45" t="str">
        <f>IF(Data_Geotech[[#This Row],[FIRS Code]]="R",IFERROR((IF(Data_Geotech[[#This Row],[RQD (%)]]&lt;10,10,Data_Geotech[[#This Row],[RQD (%)]])/Data_Geotech[[#This Row],[Jn rating]])*Data_Geotech[[#This Row],[Jr/Ja]]*Data_Geotech[[#This Row],[Jw/SRF]],""),"")</f>
        <v/>
      </c>
      <c r="AT182" s="12"/>
      <c r="AU182" s="13">
        <f>100-Data_Geotech[[#This Row],[RQD (%)]]</f>
        <v>0</v>
      </c>
      <c r="AV182" s="13">
        <f>100-Data_Geotech[[#This Row],[TCR (%)]]</f>
        <v>0</v>
      </c>
      <c r="AW182" s="62">
        <f>(Data_Geotech[[#This Row],[Fracture per interval]]+Data_Geotech[[#This Row],[Added fractures 
(BC, FLT, LC)]])/Data_Geotech[[#This Row],[TCR (m)]]</f>
        <v>1.214574898785425</v>
      </c>
      <c r="AX182" s="6" t="s">
        <v>109</v>
      </c>
      <c r="AY182" s="63">
        <f>7-MID(Data_Geotech[[#This Row],[Field Intact Rock Strength]],2,1)</f>
        <v>3</v>
      </c>
      <c r="AZ182" s="63">
        <f>VLOOKUP(Data_Geotech[[#This Row],[Field Intact Rock Strength]],Table_FieldStrength[],2,FALSE)</f>
        <v>50</v>
      </c>
      <c r="BA182" s="63">
        <f>VLOOKUP(Data_Geotech[[#This Row],[Field Intact Rock Strength]],Table_FieldStrength[],3,FALSE)</f>
        <v>75</v>
      </c>
      <c r="BB182" s="63">
        <f>VLOOKUP(Data_Geotech[[#This Row],[Field Intact Rock Strength]],Table_FieldStrength[],4,FALSE)</f>
        <v>100</v>
      </c>
      <c r="BC182" s="63">
        <f>100-Data_Geotech[[#This Row],[RMR76]]</f>
        <v>44</v>
      </c>
      <c r="BD182" s="63" t="str">
        <f>LEFT(Data_Geotech[[#This Row],[Weathering/Alteration]],FIND("-",Data_Geotech[[#This Row],[Weathering/Alteration]])-2)</f>
        <v>W2/A2</v>
      </c>
    </row>
    <row r="183" spans="1:56" hidden="1" x14ac:dyDescent="0.25">
      <c r="A183" t="s">
        <v>34</v>
      </c>
      <c r="B183" s="16" t="str">
        <f>VLOOKUP(Data_Geotech[[#This Row],[Hole ID]],Data_Log[],2,FALSE)</f>
        <v>CGF-04</v>
      </c>
      <c r="C183" s="5">
        <v>107.97</v>
      </c>
      <c r="D183" s="5">
        <v>110.96</v>
      </c>
      <c r="E183" s="5">
        <f>(Data_Geotech[[#This Row],[To (m)]]-Data_Geotech[[#This Row],[From (m)]])/2+Data_Geotech[[#This Row],[From (m)]]</f>
        <v>109.465</v>
      </c>
      <c r="F183" s="13">
        <f>Data_Geotech[[#This Row],[To (m)]]-Data_Geotech[[#This Row],[From (m)]]</f>
        <v>2.9899999999999949</v>
      </c>
      <c r="G183" s="5">
        <v>2.99</v>
      </c>
      <c r="H183" s="61">
        <f>Data_Geotech[[#This Row],[TCR (m)]]/Data_Geotech[[#This Row],[Run (m)]]*100</f>
        <v>100.00000000000017</v>
      </c>
      <c r="I183" s="151">
        <v>2.98</v>
      </c>
      <c r="J183" s="151">
        <v>2.98</v>
      </c>
      <c r="K183" s="5">
        <v>2.98</v>
      </c>
      <c r="L183" s="61">
        <f>Data_Geotech[[#This Row],[RQD (m)]]/Data_Geotech[[#This Row],[Run Reel (m)]]*100</f>
        <v>100</v>
      </c>
      <c r="M183" t="s">
        <v>584</v>
      </c>
      <c r="O183" t="s">
        <v>243</v>
      </c>
      <c r="P183" s="115" t="s">
        <v>397</v>
      </c>
      <c r="Q183" s="5" t="s">
        <v>313</v>
      </c>
      <c r="R183" s="5"/>
      <c r="S183" s="5"/>
      <c r="T183" s="5"/>
      <c r="U183" s="5"/>
      <c r="V183" s="6">
        <v>3</v>
      </c>
      <c r="W183" s="92">
        <f>SUMIFS(Discontinuities!$D$4:$D$9664,Discontinuities!$A$4:$A$9664,A183,Discontinuities!$C$4:$C$9664,"&gt;="&amp;C183,Discontinuities!$C$4:$C$9664,"&lt;"&amp;D183)
-SUMIFS(Discontinuities!$D$4:$D$9664,Discontinuities!$A$4:$A$9664,A183,Discontinuities!$C$4:$C$9664,"&gt;="&amp;C183,Discontinuities!$C$4:$C$9664,"&lt;"&amp;D183,Discontinuities!$E$4:$E$9664,"=BC")
-SUMIFS(Discontinuities!$D$4:$D$9664,Discontinuities!$A$4:$A$9664,A183,Discontinuities!$C$4:$C$9664,"&gt;="&amp;C183,Discontinuities!$C$4:$C$9664,"&lt;"&amp;D183,Discontinuities!$E$4:$E$9664,"=LC")
-SUMIFS(Discontinuities!$D$4:$D$9664,Discontinuities!$A$4:$A$9664,A183,Discontinuities!$C$4:$C$9664,"&gt;="&amp;C183,Discontinuities!$C$4:$C$9664,"&lt;"&amp;D183,Discontinuities!$E$4:$E$9664,"=FLT")</f>
        <v>3</v>
      </c>
      <c r="X183" t="s">
        <v>345</v>
      </c>
      <c r="AA183" s="12"/>
      <c r="AB183" s="43">
        <f>IFERROR(ROUND((Data_Geotech[[#This Row],[Fault (m)]]+Data_Geotech[[#This Row],[Broken Core (m)]]+Data_Geotech[[#This Row],[Lost Core (m)]])*30,0),0)</f>
        <v>0</v>
      </c>
      <c r="AC183" s="44">
        <f>IF(Data_Geotech[[#This Row],[Added fractures 
(BC, FLT, LC)]]+Data_Geotech[[#This Row],[Fracture per interval]]=0,99,1/((Data_Geotech[[#This Row],[Fracture per interval]]+Data_Geotech[[#This Row],[Added fractures 
(BC, FLT, LC)]])/Data_Geotech[[#This Row],[Run (m)]]))</f>
        <v>0.99666666666666492</v>
      </c>
      <c r="AD183" s="155" cm="1">
        <f t="array" ref="AD183">IFERROR(_xlfn.XLOOKUP(1,(A183=PLT!$A$4:$A$8886)*(Geotech!C183&lt;=PLT!$F$4:$F$8886)*(Geotech!D183&gt;=PLT!$F$4:$F$8886)*("Valid"=PLT!$P$4:$P$8886),PLT!$V$4:$V$8886),"")</f>
        <v>0</v>
      </c>
      <c r="AE183" s="156" t="str" cm="1">
        <f t="array" ref="AE183">IFERROR(_xlfn.XLOOKUP(1,(A183=PLT!$A$4:$A$8886)*(Geotech!C183&lt;=PLT!$F$4:$F$8886)*(Geotech!D183&gt;=PLT!$F$4:$F$8886)*(PLT!$V$4:$V$8886&lt;&gt;AD183)*("Valid"=PLT!$P$4:$P$7190),PLT!$V$4:$V$8886),"")</f>
        <v/>
      </c>
      <c r="AF183" s="156" t="str" cm="1">
        <f t="array" ref="AF183">IFERROR(_xlfn.XLOOKUP(1,(A183=PLT!$A$4:$A$8886)*(Geotech!C183&lt;=PLT!$F$4:$F$8886)*(Geotech!D183&gt;=PLT!$F$4:$F$8886)*(PLT!$V$4:$V$8886&lt;&gt;AD183)*(PLT!$V$4:$V$8886&lt;&gt;AE183)*("Valid"=PLT!$P$4:$P$7190),PLT!$V$4:$V$8886),"")</f>
        <v/>
      </c>
      <c r="AG183" s="44">
        <f>IFERROR(IF(AVERAGE(AD183:AF183)&gt;References!$BO$23,References!$BP$23,
IF(AVERAGE(AD183:AF183)&gt;References!$BO$22,References!$BP$22,
IF(AVERAGE(AD183:AF183)&gt;References!$BO$21,References!$BP$21,
IF(AVERAGE(AD183:AF183)&gt;References!$BO$20,References!$BP$20,
IF(AVERAGE(AD183:AF183)&gt;References!$BO$19,References!$BP$19,
IF(AVERAGE(AD183:AF183)&gt;References!$BO$18,References!$BP$18,
0)))))),"")</f>
        <v>0</v>
      </c>
      <c r="AH183" s="43">
        <f>IF(Data_Geotech[[#This Row],[Is50]]="",VLOOKUP(Data_Geotech[[#This Row],[Field Intact Rock Strength]],Table_RMR76_Strength[],2,FALSE),Data_Geotech[[#This Row],[Is50]])</f>
        <v>0</v>
      </c>
      <c r="AI183" s="43">
        <f>IF(Data_Geotech[[#This Row],[RQD (%)]]&lt;=25,3,IF(Data_Geotech[[#This Row],[RQD (%)]]&lt;=50,8,IF(Data_Geotech[[#This Row],[RQD (%)]]&lt;=75,13,IF(Data_Geotech[[#This Row],[RQD (%)]]&lt;=90,17,20))))</f>
        <v>20</v>
      </c>
      <c r="AJ183" s="43">
        <f>IF(Data_Geotech[[#This Row],[Joint spacing (m)]]&lt;=0.05,5,IF(Data_Geotech[[#This Row],[Joint spacing (m)]]&lt;=0.3,10,IF(Data_Geotech[[#This Row],[Joint spacing (m)]]&lt;=1,20,IF(Data_Geotech[[#This Row],[Joint spacing (m)]]&lt;=3,25,30))))</f>
        <v>20</v>
      </c>
      <c r="AK18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83" s="6">
        <v>10</v>
      </c>
      <c r="AM183" s="117">
        <f>IF(Data_Geotech[[#This Row],[FIRS Code]]="R",IFERROR(SUM(Data_Geotech[[#This Row],[RMR76 - Strength rating]:[RMR76 - Ground water rating]]),""),"")</f>
        <v>56</v>
      </c>
      <c r="AN183" s="39">
        <f>IF(Data_Geotech[[#This Row],[FIRS Code]]="R",(2*Data_Geotech[[#This Row],[RMR76 - Joint condition rating]])+(IF(Data_Geotech[[#This Row],[RQD (%)]]&gt;80,80/2,Data_Geotech[[#This Row],[RQD (%)]]/2)),"")</f>
        <v>52</v>
      </c>
      <c r="AO183" s="43" t="str">
        <f>LEFT(Data_Geotech[[#This Row],[Joint Set Rating]],FIND("-",Data_Geotech[[#This Row],[Joint Set Rating]],1)-2)</f>
        <v>3</v>
      </c>
      <c r="AP183" s="145" t="str">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ERROR: should never happen!</v>
      </c>
      <c r="AQ183" s="5">
        <f t="shared" si="0"/>
        <v>1</v>
      </c>
      <c r="AR183" s="49" t="str">
        <f>IF(Data_Geotech[[#This Row],[FIRS Code]]="R",IFERROR((IF(Data_Geotech[[#This Row],[RQD (%)]]&lt;10,10,Data_Geotech[[#This Row],[RQD (%)]])/Data_Geotech[[#This Row],[Jn rating]])*Data_Geotech[[#This Row],[Jr/Ja]],""),"")</f>
        <v/>
      </c>
      <c r="AS183" s="45" t="str">
        <f>IF(Data_Geotech[[#This Row],[FIRS Code]]="R",IFERROR((IF(Data_Geotech[[#This Row],[RQD (%)]]&lt;10,10,Data_Geotech[[#This Row],[RQD (%)]])/Data_Geotech[[#This Row],[Jn rating]])*Data_Geotech[[#This Row],[Jr/Ja]]*Data_Geotech[[#This Row],[Jw/SRF]],""),"")</f>
        <v/>
      </c>
      <c r="AT183" s="12"/>
      <c r="AU183" s="13">
        <f>100-Data_Geotech[[#This Row],[RQD (%)]]</f>
        <v>0</v>
      </c>
      <c r="AV183" s="13">
        <f>100-Data_Geotech[[#This Row],[TCR (%)]]</f>
        <v>-1.7053025658242404E-13</v>
      </c>
      <c r="AW183" s="62">
        <f>(Data_Geotech[[#This Row],[Fracture per interval]]+Data_Geotech[[#This Row],[Added fractures 
(BC, FLT, LC)]])/Data_Geotech[[#This Row],[TCR (m)]]</f>
        <v>1.0033444816053512</v>
      </c>
      <c r="AX183" s="6" t="s">
        <v>109</v>
      </c>
      <c r="AY183" s="63">
        <f>7-MID(Data_Geotech[[#This Row],[Field Intact Rock Strength]],2,1)</f>
        <v>2</v>
      </c>
      <c r="AZ183" s="63">
        <f>VLOOKUP(Data_Geotech[[#This Row],[Field Intact Rock Strength]],Table_FieldStrength[],2,FALSE)</f>
        <v>100</v>
      </c>
      <c r="BA183" s="63">
        <f>VLOOKUP(Data_Geotech[[#This Row],[Field Intact Rock Strength]],Table_FieldStrength[],3,FALSE)</f>
        <v>175</v>
      </c>
      <c r="BB183" s="63">
        <f>VLOOKUP(Data_Geotech[[#This Row],[Field Intact Rock Strength]],Table_FieldStrength[],4,FALSE)</f>
        <v>250</v>
      </c>
      <c r="BC183" s="63">
        <f>100-Data_Geotech[[#This Row],[RMR76]]</f>
        <v>44</v>
      </c>
      <c r="BD183" s="63" t="str">
        <f>LEFT(Data_Geotech[[#This Row],[Weathering/Alteration]],FIND("-",Data_Geotech[[#This Row],[Weathering/Alteration]])-2)</f>
        <v>W1/A1</v>
      </c>
    </row>
    <row r="184" spans="1:56" hidden="1" x14ac:dyDescent="0.25">
      <c r="A184" t="s">
        <v>34</v>
      </c>
      <c r="B184" s="16" t="str">
        <f>VLOOKUP(Data_Geotech[[#This Row],[Hole ID]],Data_Log[],2,FALSE)</f>
        <v>CGF-04</v>
      </c>
      <c r="C184" s="5">
        <v>110.96</v>
      </c>
      <c r="D184" s="5">
        <v>114</v>
      </c>
      <c r="E184" s="5">
        <f>(Data_Geotech[[#This Row],[To (m)]]-Data_Geotech[[#This Row],[From (m)]])/2+Data_Geotech[[#This Row],[From (m)]]</f>
        <v>112.47999999999999</v>
      </c>
      <c r="F184" s="13">
        <f>Data_Geotech[[#This Row],[To (m)]]-Data_Geotech[[#This Row],[From (m)]]</f>
        <v>3.0400000000000063</v>
      </c>
      <c r="G184" s="5">
        <v>3.04</v>
      </c>
      <c r="H184" s="61">
        <f>Data_Geotech[[#This Row],[TCR (m)]]/Data_Geotech[[#This Row],[Run (m)]]*100</f>
        <v>99.999999999999801</v>
      </c>
      <c r="I184" s="151">
        <v>3.01</v>
      </c>
      <c r="J184" s="151">
        <v>3.01</v>
      </c>
      <c r="K184" s="5">
        <v>3.01</v>
      </c>
      <c r="L184" s="61">
        <f>Data_Geotech[[#This Row],[RQD (m)]]/Data_Geotech[[#This Row],[Run Reel (m)]]*100</f>
        <v>100</v>
      </c>
      <c r="M184" t="s">
        <v>584</v>
      </c>
      <c r="O184" t="s">
        <v>243</v>
      </c>
      <c r="P184" s="115" t="s">
        <v>370</v>
      </c>
      <c r="Q184" s="5" t="s">
        <v>313</v>
      </c>
      <c r="R184" s="5"/>
      <c r="S184" s="5"/>
      <c r="T184" s="5"/>
      <c r="U184" s="5"/>
      <c r="V184" s="6">
        <v>2</v>
      </c>
      <c r="W184" s="92">
        <f>SUMIFS(Discontinuities!$D$4:$D$9664,Discontinuities!$A$4:$A$9664,A184,Discontinuities!$C$4:$C$9664,"&gt;="&amp;C184,Discontinuities!$C$4:$C$9664,"&lt;"&amp;D184)
-SUMIFS(Discontinuities!$D$4:$D$9664,Discontinuities!$A$4:$A$9664,A184,Discontinuities!$C$4:$C$9664,"&gt;="&amp;C184,Discontinuities!$C$4:$C$9664,"&lt;"&amp;D184,Discontinuities!$E$4:$E$9664,"=BC")
-SUMIFS(Discontinuities!$D$4:$D$9664,Discontinuities!$A$4:$A$9664,A184,Discontinuities!$C$4:$C$9664,"&gt;="&amp;C184,Discontinuities!$C$4:$C$9664,"&lt;"&amp;D184,Discontinuities!$E$4:$E$9664,"=LC")
-SUMIFS(Discontinuities!$D$4:$D$9664,Discontinuities!$A$4:$A$9664,A184,Discontinuities!$C$4:$C$9664,"&gt;="&amp;C184,Discontinuities!$C$4:$C$9664,"&lt;"&amp;D184,Discontinuities!$E$4:$E$9664,"=FLT")</f>
        <v>2</v>
      </c>
      <c r="X184" t="s">
        <v>345</v>
      </c>
      <c r="AA184" s="12"/>
      <c r="AB184" s="43">
        <f>IFERROR(ROUND((Data_Geotech[[#This Row],[Fault (m)]]+Data_Geotech[[#This Row],[Broken Core (m)]]+Data_Geotech[[#This Row],[Lost Core (m)]])*30,0),0)</f>
        <v>0</v>
      </c>
      <c r="AC184" s="44">
        <f>IF(Data_Geotech[[#This Row],[Added fractures 
(BC, FLT, LC)]]+Data_Geotech[[#This Row],[Fracture per interval]]=0,99,1/((Data_Geotech[[#This Row],[Fracture per interval]]+Data_Geotech[[#This Row],[Added fractures 
(BC, FLT, LC)]])/Data_Geotech[[#This Row],[Run (m)]]))</f>
        <v>1.5200000000000031</v>
      </c>
      <c r="AD184" s="155" cm="1">
        <f t="array" ref="AD184">IFERROR(_xlfn.XLOOKUP(1,(A184=PLT!$A$4:$A$8886)*(Geotech!C184&lt;=PLT!$F$4:$F$8886)*(Geotech!D184&gt;=PLT!$F$4:$F$8886)*("Valid"=PLT!$P$4:$P$8886),PLT!$V$4:$V$8886),"")</f>
        <v>0</v>
      </c>
      <c r="AE184" s="156" t="str" cm="1">
        <f t="array" ref="AE184">IFERROR(_xlfn.XLOOKUP(1,(A184=PLT!$A$4:$A$8886)*(Geotech!C184&lt;=PLT!$F$4:$F$8886)*(Geotech!D184&gt;=PLT!$F$4:$F$8886)*(PLT!$V$4:$V$8886&lt;&gt;AD184)*("Valid"=PLT!$P$4:$P$7190),PLT!$V$4:$V$8886),"")</f>
        <v/>
      </c>
      <c r="AF184" s="156" t="str" cm="1">
        <f t="array" ref="AF184">IFERROR(_xlfn.XLOOKUP(1,(A184=PLT!$A$4:$A$8886)*(Geotech!C184&lt;=PLT!$F$4:$F$8886)*(Geotech!D184&gt;=PLT!$F$4:$F$8886)*(PLT!$V$4:$V$8886&lt;&gt;AD184)*(PLT!$V$4:$V$8886&lt;&gt;AE184)*("Valid"=PLT!$P$4:$P$7190),PLT!$V$4:$V$8886),"")</f>
        <v/>
      </c>
      <c r="AG184" s="44">
        <f>IFERROR(IF(AVERAGE(AD184:AF184)&gt;References!$BO$23,References!$BP$23,
IF(AVERAGE(AD184:AF184)&gt;References!$BO$22,References!$BP$22,
IF(AVERAGE(AD184:AF184)&gt;References!$BO$21,References!$BP$21,
IF(AVERAGE(AD184:AF184)&gt;References!$BO$20,References!$BP$20,
IF(AVERAGE(AD184:AF184)&gt;References!$BO$19,References!$BP$19,
IF(AVERAGE(AD184:AF184)&gt;References!$BO$18,References!$BP$18,
0)))))),"")</f>
        <v>0</v>
      </c>
      <c r="AH184" s="43">
        <f>IF(Data_Geotech[[#This Row],[Is50]]="",VLOOKUP(Data_Geotech[[#This Row],[Field Intact Rock Strength]],Table_RMR76_Strength[],2,FALSE),Data_Geotech[[#This Row],[Is50]])</f>
        <v>0</v>
      </c>
      <c r="AI184" s="43">
        <f>IF(Data_Geotech[[#This Row],[RQD (%)]]&lt;=25,3,IF(Data_Geotech[[#This Row],[RQD (%)]]&lt;=50,8,IF(Data_Geotech[[#This Row],[RQD (%)]]&lt;=75,13,IF(Data_Geotech[[#This Row],[RQD (%)]]&lt;=90,17,20))))</f>
        <v>20</v>
      </c>
      <c r="AJ184" s="43">
        <f>IF(Data_Geotech[[#This Row],[Joint spacing (m)]]&lt;=0.05,5,IF(Data_Geotech[[#This Row],[Joint spacing (m)]]&lt;=0.3,10,IF(Data_Geotech[[#This Row],[Joint spacing (m)]]&lt;=1,20,IF(Data_Geotech[[#This Row],[Joint spacing (m)]]&lt;=3,25,30))))</f>
        <v>25</v>
      </c>
      <c r="AK18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6</v>
      </c>
      <c r="AL184" s="6">
        <v>10</v>
      </c>
      <c r="AM184" s="117">
        <f>IF(Data_Geotech[[#This Row],[FIRS Code]]="R",IFERROR(SUM(Data_Geotech[[#This Row],[RMR76 - Strength rating]:[RMR76 - Ground water rating]]),""),"")</f>
        <v>61</v>
      </c>
      <c r="AN184" s="39">
        <f>IF(Data_Geotech[[#This Row],[FIRS Code]]="R",(2*Data_Geotech[[#This Row],[RMR76 - Joint condition rating]])+(IF(Data_Geotech[[#This Row],[RQD (%)]]&gt;80,80/2,Data_Geotech[[#This Row],[RQD (%)]]/2)),"")</f>
        <v>52</v>
      </c>
      <c r="AO184" s="43" t="str">
        <f>LEFT(Data_Geotech[[#This Row],[Joint Set Rating]],FIND("-",Data_Geotech[[#This Row],[Joint Set Rating]],1)-2)</f>
        <v>3</v>
      </c>
      <c r="AP184" s="145" t="str">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ERROR: should never happen!</v>
      </c>
      <c r="AQ184" s="5">
        <f t="shared" si="0"/>
        <v>1</v>
      </c>
      <c r="AR184" s="49" t="str">
        <f>IF(Data_Geotech[[#This Row],[FIRS Code]]="R",IFERROR((IF(Data_Geotech[[#This Row],[RQD (%)]]&lt;10,10,Data_Geotech[[#This Row],[RQD (%)]])/Data_Geotech[[#This Row],[Jn rating]])*Data_Geotech[[#This Row],[Jr/Ja]],""),"")</f>
        <v/>
      </c>
      <c r="AS184" s="45" t="str">
        <f>IF(Data_Geotech[[#This Row],[FIRS Code]]="R",IFERROR((IF(Data_Geotech[[#This Row],[RQD (%)]]&lt;10,10,Data_Geotech[[#This Row],[RQD (%)]])/Data_Geotech[[#This Row],[Jn rating]])*Data_Geotech[[#This Row],[Jr/Ja]]*Data_Geotech[[#This Row],[Jw/SRF]],""),"")</f>
        <v/>
      </c>
      <c r="AT184" s="12"/>
      <c r="AU184" s="13">
        <f>100-Data_Geotech[[#This Row],[RQD (%)]]</f>
        <v>0</v>
      </c>
      <c r="AV184" s="13">
        <f>100-Data_Geotech[[#This Row],[TCR (%)]]</f>
        <v>1.9895196601282805E-13</v>
      </c>
      <c r="AW184" s="62">
        <f>(Data_Geotech[[#This Row],[Fracture per interval]]+Data_Geotech[[#This Row],[Added fractures 
(BC, FLT, LC)]])/Data_Geotech[[#This Row],[TCR (m)]]</f>
        <v>0.65789473684210531</v>
      </c>
      <c r="AX184" s="6" t="s">
        <v>109</v>
      </c>
      <c r="AY184" s="63">
        <f>7-MID(Data_Geotech[[#This Row],[Field Intact Rock Strength]],2,1)</f>
        <v>3</v>
      </c>
      <c r="AZ184" s="63">
        <f>VLOOKUP(Data_Geotech[[#This Row],[Field Intact Rock Strength]],Table_FieldStrength[],2,FALSE)</f>
        <v>50</v>
      </c>
      <c r="BA184" s="63">
        <f>VLOOKUP(Data_Geotech[[#This Row],[Field Intact Rock Strength]],Table_FieldStrength[],3,FALSE)</f>
        <v>75</v>
      </c>
      <c r="BB184" s="63">
        <f>VLOOKUP(Data_Geotech[[#This Row],[Field Intact Rock Strength]],Table_FieldStrength[],4,FALSE)</f>
        <v>100</v>
      </c>
      <c r="BC184" s="63">
        <f>100-Data_Geotech[[#This Row],[RMR76]]</f>
        <v>39</v>
      </c>
      <c r="BD184" s="63" t="str">
        <f>LEFT(Data_Geotech[[#This Row],[Weathering/Alteration]],FIND("-",Data_Geotech[[#This Row],[Weathering/Alteration]])-2)</f>
        <v>W1/A1</v>
      </c>
    </row>
    <row r="185" spans="1:56" hidden="1" x14ac:dyDescent="0.25">
      <c r="A185" t="s">
        <v>34</v>
      </c>
      <c r="B185" s="16" t="str">
        <f>VLOOKUP(Data_Geotech[[#This Row],[Hole ID]],Data_Log[],2,FALSE)</f>
        <v>CGF-04</v>
      </c>
      <c r="C185" s="5">
        <v>114</v>
      </c>
      <c r="D185" s="5">
        <v>115.3</v>
      </c>
      <c r="E185" s="5">
        <f>(Data_Geotech[[#This Row],[To (m)]]-Data_Geotech[[#This Row],[From (m)]])/2+Data_Geotech[[#This Row],[From (m)]]</f>
        <v>114.65</v>
      </c>
      <c r="F185" s="13">
        <f>Data_Geotech[[#This Row],[To (m)]]-Data_Geotech[[#This Row],[From (m)]]</f>
        <v>1.2999999999999972</v>
      </c>
      <c r="G185" s="5">
        <v>1.3</v>
      </c>
      <c r="H185" s="61">
        <f>Data_Geotech[[#This Row],[TCR (m)]]/Data_Geotech[[#This Row],[Run (m)]]*100</f>
        <v>100.00000000000023</v>
      </c>
      <c r="I185" s="151">
        <v>1.3</v>
      </c>
      <c r="J185" s="151">
        <v>1.3</v>
      </c>
      <c r="K185" s="5">
        <v>1.3</v>
      </c>
      <c r="L185" s="61">
        <f>Data_Geotech[[#This Row],[RQD (m)]]/Data_Geotech[[#This Row],[Run Reel (m)]]*100</f>
        <v>100</v>
      </c>
      <c r="M185" t="s">
        <v>584</v>
      </c>
      <c r="O185" t="s">
        <v>278</v>
      </c>
      <c r="P185" s="115" t="s">
        <v>397</v>
      </c>
      <c r="Q185" s="5" t="s">
        <v>281</v>
      </c>
      <c r="R185" s="5"/>
      <c r="S185" s="5"/>
      <c r="T185" s="5"/>
      <c r="U185" s="5"/>
      <c r="V185" s="6">
        <v>0</v>
      </c>
      <c r="W185" s="92">
        <f>SUMIFS(Discontinuities!$D$4:$D$9664,Discontinuities!$A$4:$A$9664,A185,Discontinuities!$C$4:$C$9664,"&gt;="&amp;C185,Discontinuities!$C$4:$C$9664,"&lt;"&amp;D185)
-SUMIFS(Discontinuities!$D$4:$D$9664,Discontinuities!$A$4:$A$9664,A185,Discontinuities!$C$4:$C$9664,"&gt;="&amp;C185,Discontinuities!$C$4:$C$9664,"&lt;"&amp;D185,Discontinuities!$E$4:$E$9664,"=BC")
-SUMIFS(Discontinuities!$D$4:$D$9664,Discontinuities!$A$4:$A$9664,A185,Discontinuities!$C$4:$C$9664,"&gt;="&amp;C185,Discontinuities!$C$4:$C$9664,"&lt;"&amp;D185,Discontinuities!$E$4:$E$9664,"=LC")
-SUMIFS(Discontinuities!$D$4:$D$9664,Discontinuities!$A$4:$A$9664,A185,Discontinuities!$C$4:$C$9664,"&gt;="&amp;C185,Discontinuities!$C$4:$C$9664,"&lt;"&amp;D185,Discontinuities!$E$4:$E$9664,"=FLT")</f>
        <v>0</v>
      </c>
      <c r="X185" t="s">
        <v>312</v>
      </c>
      <c r="AA185" s="12"/>
      <c r="AB185" s="43">
        <f>IFERROR(ROUND((Data_Geotech[[#This Row],[Fault (m)]]+Data_Geotech[[#This Row],[Broken Core (m)]]+Data_Geotech[[#This Row],[Lost Core (m)]])*30,0),0)</f>
        <v>0</v>
      </c>
      <c r="AC185" s="44">
        <f>IF(Data_Geotech[[#This Row],[Added fractures 
(BC, FLT, LC)]]+Data_Geotech[[#This Row],[Fracture per interval]]=0,99,1/((Data_Geotech[[#This Row],[Fracture per interval]]+Data_Geotech[[#This Row],[Added fractures 
(BC, FLT, LC)]])/Data_Geotech[[#This Row],[Run (m)]]))</f>
        <v>99</v>
      </c>
      <c r="AD185" s="155" cm="1">
        <f t="array" ref="AD185">IFERROR(_xlfn.XLOOKUP(1,(A185=PLT!$A$4:$A$8886)*(Geotech!C185&lt;=PLT!$F$4:$F$8886)*(Geotech!D185&gt;=PLT!$F$4:$F$8886)*("Valid"=PLT!$P$4:$P$8886),PLT!$V$4:$V$8886),"")</f>
        <v>0</v>
      </c>
      <c r="AE185" s="156" t="str" cm="1">
        <f t="array" ref="AE185">IFERROR(_xlfn.XLOOKUP(1,(A185=PLT!$A$4:$A$8886)*(Geotech!C185&lt;=PLT!$F$4:$F$8886)*(Geotech!D185&gt;=PLT!$F$4:$F$8886)*(PLT!$V$4:$V$8886&lt;&gt;AD185)*("Valid"=PLT!$P$4:$P$7190),PLT!$V$4:$V$8886),"")</f>
        <v/>
      </c>
      <c r="AF185" s="156" t="str" cm="1">
        <f t="array" ref="AF185">IFERROR(_xlfn.XLOOKUP(1,(A185=PLT!$A$4:$A$8886)*(Geotech!C185&lt;=PLT!$F$4:$F$8886)*(Geotech!D185&gt;=PLT!$F$4:$F$8886)*(PLT!$V$4:$V$8886&lt;&gt;AD185)*(PLT!$V$4:$V$8886&lt;&gt;AE185)*("Valid"=PLT!$P$4:$P$7190),PLT!$V$4:$V$8886),"")</f>
        <v/>
      </c>
      <c r="AG185" s="44">
        <f>IFERROR(IF(AVERAGE(AD185:AF185)&gt;References!$BO$23,References!$BP$23,
IF(AVERAGE(AD185:AF185)&gt;References!$BO$22,References!$BP$22,
IF(AVERAGE(AD185:AF185)&gt;References!$BO$21,References!$BP$21,
IF(AVERAGE(AD185:AF185)&gt;References!$BO$20,References!$BP$20,
IF(AVERAGE(AD185:AF185)&gt;References!$BO$19,References!$BP$19,
IF(AVERAGE(AD185:AF185)&gt;References!$BO$18,References!$BP$18,
0)))))),"")</f>
        <v>0</v>
      </c>
      <c r="AH185" s="43">
        <f>IF(Data_Geotech[[#This Row],[Is50]]="",VLOOKUP(Data_Geotech[[#This Row],[Field Intact Rock Strength]],Table_RMR76_Strength[],2,FALSE),Data_Geotech[[#This Row],[Is50]])</f>
        <v>0</v>
      </c>
      <c r="AI185" s="43">
        <f>IF(Data_Geotech[[#This Row],[RQD (%)]]&lt;=25,3,IF(Data_Geotech[[#This Row],[RQD (%)]]&lt;=50,8,IF(Data_Geotech[[#This Row],[RQD (%)]]&lt;=75,13,IF(Data_Geotech[[#This Row],[RQD (%)]]&lt;=90,17,20))))</f>
        <v>20</v>
      </c>
      <c r="AJ185" s="43">
        <f>IF(Data_Geotech[[#This Row],[Joint spacing (m)]]&lt;=0.05,5,IF(Data_Geotech[[#This Row],[Joint spacing (m)]]&lt;=0.3,10,IF(Data_Geotech[[#This Row],[Joint spacing (m)]]&lt;=1,20,IF(Data_Geotech[[#This Row],[Joint spacing (m)]]&lt;=3,25,30))))</f>
        <v>30</v>
      </c>
      <c r="AK18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85" s="6">
        <v>10</v>
      </c>
      <c r="AM185" s="117">
        <f>IF(Data_Geotech[[#This Row],[FIRS Code]]="R",IFERROR(SUM(Data_Geotech[[#This Row],[RMR76 - Strength rating]:[RMR76 - Ground water rating]]),""),"")</f>
        <v>85</v>
      </c>
      <c r="AN185" s="39">
        <f>IF(Data_Geotech[[#This Row],[FIRS Code]]="R",(2*Data_Geotech[[#This Row],[RMR76 - Joint condition rating]])+(IF(Data_Geotech[[#This Row],[RQD (%)]]&gt;80,80/2,Data_Geotech[[#This Row],[RQD (%)]]/2)),"")</f>
        <v>90</v>
      </c>
      <c r="AO185" s="43" t="str">
        <f>LEFT(Data_Geotech[[#This Row],[Joint Set Rating]],FIND("-",Data_Geotech[[#This Row],[Joint Set Rating]],1)-2)</f>
        <v>2</v>
      </c>
      <c r="AP18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85" s="5">
        <f t="shared" si="0"/>
        <v>1</v>
      </c>
      <c r="AR185" s="49">
        <f>IF(Data_Geotech[[#This Row],[FIRS Code]]="R",IFERROR((IF(Data_Geotech[[#This Row],[RQD (%)]]&lt;10,10,Data_Geotech[[#This Row],[RQD (%)]])/Data_Geotech[[#This Row],[Jn rating]])*Data_Geotech[[#This Row],[Jr/Ja]],""),"")</f>
        <v>266.66666666666663</v>
      </c>
      <c r="AS185" s="45">
        <f>IF(Data_Geotech[[#This Row],[FIRS Code]]="R",IFERROR((IF(Data_Geotech[[#This Row],[RQD (%)]]&lt;10,10,Data_Geotech[[#This Row],[RQD (%)]])/Data_Geotech[[#This Row],[Jn rating]])*Data_Geotech[[#This Row],[Jr/Ja]]*Data_Geotech[[#This Row],[Jw/SRF]],""),"")</f>
        <v>266.66666666666663</v>
      </c>
      <c r="AT185" s="12"/>
      <c r="AU185" s="13">
        <f>100-Data_Geotech[[#This Row],[RQD (%)]]</f>
        <v>0</v>
      </c>
      <c r="AV185" s="13">
        <f>100-Data_Geotech[[#This Row],[TCR (%)]]</f>
        <v>-2.2737367544323206E-13</v>
      </c>
      <c r="AW185" s="62">
        <f>(Data_Geotech[[#This Row],[Fracture per interval]]+Data_Geotech[[#This Row],[Added fractures 
(BC, FLT, LC)]])/Data_Geotech[[#This Row],[TCR (m)]]</f>
        <v>0</v>
      </c>
      <c r="AX185" s="6" t="s">
        <v>109</v>
      </c>
      <c r="AY185" s="63">
        <f>7-MID(Data_Geotech[[#This Row],[Field Intact Rock Strength]],2,1)</f>
        <v>2</v>
      </c>
      <c r="AZ185" s="63">
        <f>VLOOKUP(Data_Geotech[[#This Row],[Field Intact Rock Strength]],Table_FieldStrength[],2,FALSE)</f>
        <v>100</v>
      </c>
      <c r="BA185" s="63">
        <f>VLOOKUP(Data_Geotech[[#This Row],[Field Intact Rock Strength]],Table_FieldStrength[],3,FALSE)</f>
        <v>175</v>
      </c>
      <c r="BB185" s="63">
        <f>VLOOKUP(Data_Geotech[[#This Row],[Field Intact Rock Strength]],Table_FieldStrength[],4,FALSE)</f>
        <v>250</v>
      </c>
      <c r="BC185" s="63">
        <f>100-Data_Geotech[[#This Row],[RMR76]]</f>
        <v>15</v>
      </c>
      <c r="BD185" s="63" t="str">
        <f>LEFT(Data_Geotech[[#This Row],[Weathering/Alteration]],FIND("-",Data_Geotech[[#This Row],[Weathering/Alteration]])-2)</f>
        <v>W2/A2</v>
      </c>
    </row>
    <row r="186" spans="1:56" hidden="1" x14ac:dyDescent="0.25">
      <c r="B186" s="16" t="e">
        <f>VLOOKUP(Data_Geotech[[#This Row],[Hole ID]],Data_Log[],2,FALSE)</f>
        <v>#N/A</v>
      </c>
      <c r="C186" s="5"/>
      <c r="D186" s="5"/>
      <c r="E186" s="5">
        <f>(Data_Geotech[[#This Row],[To (m)]]-Data_Geotech[[#This Row],[From (m)]])/2+Data_Geotech[[#This Row],[From (m)]]</f>
        <v>0</v>
      </c>
      <c r="F186" s="13">
        <f>Data_Geotech[[#This Row],[To (m)]]-Data_Geotech[[#This Row],[From (m)]]</f>
        <v>0</v>
      </c>
      <c r="G186" s="5"/>
      <c r="H186" s="61" t="e">
        <f>Data_Geotech[[#This Row],[TCR (m)]]/Data_Geotech[[#This Row],[Run (m)]]*100</f>
        <v>#DIV/0!</v>
      </c>
      <c r="I186" s="151"/>
      <c r="J186" s="151"/>
      <c r="K186" s="5"/>
      <c r="L186" s="61" t="e">
        <f>Data_Geotech[[#This Row],[RQD (m)]]/Data_Geotech[[#This Row],[Run Reel (m)]]*100</f>
        <v>#DIV/0!</v>
      </c>
      <c r="P186" s="115"/>
      <c r="Q186" s="5"/>
      <c r="R186" s="5"/>
      <c r="S186" s="5"/>
      <c r="T186" s="5"/>
      <c r="U186" s="5"/>
      <c r="V186" s="6"/>
      <c r="W186" s="92">
        <f>SUMIFS(Discontinuities!$D$4:$D$9664,Discontinuities!$A$4:$A$9664,A186,Discontinuities!$C$4:$C$9664,"&gt;="&amp;C186,Discontinuities!$C$4:$C$9664,"&lt;"&amp;D186)
-SUMIFS(Discontinuities!$D$4:$D$9664,Discontinuities!$A$4:$A$9664,A186,Discontinuities!$C$4:$C$9664,"&gt;="&amp;C186,Discontinuities!$C$4:$C$9664,"&lt;"&amp;D186,Discontinuities!$E$4:$E$9664,"=BC")
-SUMIFS(Discontinuities!$D$4:$D$9664,Discontinuities!$A$4:$A$9664,A186,Discontinuities!$C$4:$C$9664,"&gt;="&amp;C186,Discontinuities!$C$4:$C$9664,"&lt;"&amp;D186,Discontinuities!$E$4:$E$9664,"=LC")
-SUMIFS(Discontinuities!$D$4:$D$9664,Discontinuities!$A$4:$A$9664,A186,Discontinuities!$C$4:$C$9664,"&gt;="&amp;C186,Discontinuities!$C$4:$C$9664,"&lt;"&amp;D186,Discontinuities!$E$4:$E$9664,"=FLT")</f>
        <v>0</v>
      </c>
      <c r="AA186" s="12"/>
      <c r="AB186" s="43">
        <f>IFERROR(ROUND((Data_Geotech[[#This Row],[Fault (m)]]+Data_Geotech[[#This Row],[Broken Core (m)]]+Data_Geotech[[#This Row],[Lost Core (m)]])*30,0),0)</f>
        <v>0</v>
      </c>
      <c r="AC186" s="44">
        <f>IF(Data_Geotech[[#This Row],[Added fractures 
(BC, FLT, LC)]]+Data_Geotech[[#This Row],[Fracture per interval]]=0,99,1/((Data_Geotech[[#This Row],[Fracture per interval]]+Data_Geotech[[#This Row],[Added fractures 
(BC, FLT, LC)]])/Data_Geotech[[#This Row],[Run (m)]]))</f>
        <v>99</v>
      </c>
      <c r="AD186" s="155" t="str" cm="1">
        <f t="array" ref="AD186">IFERROR(_xlfn.XLOOKUP(1,(A186=PLT!$A$4:$A$8886)*(Geotech!C186&lt;=PLT!$F$4:$F$8886)*(Geotech!D186&gt;=PLT!$F$4:$F$8886)*("Valid"=PLT!$P$4:$P$8886),PLT!$V$4:$V$8886),"")</f>
        <v/>
      </c>
      <c r="AE186" s="156" t="str" cm="1">
        <f t="array" ref="AE186">IFERROR(_xlfn.XLOOKUP(1,(A186=PLT!$A$4:$A$8886)*(Geotech!C186&lt;=PLT!$F$4:$F$8886)*(Geotech!D186&gt;=PLT!$F$4:$F$8886)*(PLT!$V$4:$V$8886&lt;&gt;AD186)*("Valid"=PLT!$P$4:$P$7190),PLT!$V$4:$V$8886),"")</f>
        <v/>
      </c>
      <c r="AF186" s="156" t="str" cm="1">
        <f t="array" ref="AF186">IFERROR(_xlfn.XLOOKUP(1,(A186=PLT!$A$4:$A$8886)*(Geotech!C186&lt;=PLT!$F$4:$F$8886)*(Geotech!D186&gt;=PLT!$F$4:$F$8886)*(PLT!$V$4:$V$8886&lt;&gt;AD186)*(PLT!$V$4:$V$8886&lt;&gt;AE186)*("Valid"=PLT!$P$4:$P$7190),PLT!$V$4:$V$8886),"")</f>
        <v/>
      </c>
      <c r="AG186" s="44" t="str">
        <f>IFERROR(IF(AVERAGE(AD186:AF186)&gt;References!$BO$23,References!$BP$23,
IF(AVERAGE(AD186:AF186)&gt;References!$BO$22,References!$BP$22,
IF(AVERAGE(AD186:AF186)&gt;References!$BO$21,References!$BP$21,
IF(AVERAGE(AD186:AF186)&gt;References!$BO$20,References!$BP$20,
IF(AVERAGE(AD186:AF186)&gt;References!$BO$19,References!$BP$19,
IF(AVERAGE(AD186:AF186)&gt;References!$BO$18,References!$BP$18,
0)))))),"")</f>
        <v/>
      </c>
      <c r="AH186" s="43" t="e">
        <f>IF(Data_Geotech[[#This Row],[Is50]]="",VLOOKUP(Data_Geotech[[#This Row],[Field Intact Rock Strength]],Table_RMR76_Strength[],2,FALSE),Data_Geotech[[#This Row],[Is50]])</f>
        <v>#N/A</v>
      </c>
      <c r="AI186" s="43" t="e">
        <f>IF(Data_Geotech[[#This Row],[RQD (%)]]&lt;=25,3,IF(Data_Geotech[[#This Row],[RQD (%)]]&lt;=50,8,IF(Data_Geotech[[#This Row],[RQD (%)]]&lt;=75,13,IF(Data_Geotech[[#This Row],[RQD (%)]]&lt;=90,17,20))))</f>
        <v>#DIV/0!</v>
      </c>
      <c r="AJ186" s="43">
        <f>IF(Data_Geotech[[#This Row],[Joint spacing (m)]]&lt;=0.05,5,IF(Data_Geotech[[#This Row],[Joint spacing (m)]]&lt;=0.3,10,IF(Data_Geotech[[#This Row],[Joint spacing (m)]]&lt;=1,20,IF(Data_Geotech[[#This Row],[Joint spacing (m)]]&lt;=3,25,30))))</f>
        <v>30</v>
      </c>
      <c r="AK18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86" s="6">
        <v>10</v>
      </c>
      <c r="AM186" s="117" t="str">
        <f>IF(Data_Geotech[[#This Row],[FIRS Code]]="R",IFERROR(SUM(Data_Geotech[[#This Row],[RMR76 - Strength rating]:[RMR76 - Ground water rating]]),""),"")</f>
        <v/>
      </c>
      <c r="AN186" s="39" t="e">
        <f>IF(Data_Geotech[[#This Row],[FIRS Code]]="R",(2*Data_Geotech[[#This Row],[RMR76 - Joint condition rating]])+(IF(Data_Geotech[[#This Row],[RQD (%)]]&gt;80,80/2,Data_Geotech[[#This Row],[RQD (%)]]/2)),"")</f>
        <v>#DIV/0!</v>
      </c>
      <c r="AO186" s="43" t="e">
        <f>LEFT(Data_Geotech[[#This Row],[Joint Set Rating]],FIND("-",Data_Geotech[[#This Row],[Joint Set Rating]],1)-2)</f>
        <v>#VALUE!</v>
      </c>
      <c r="AP18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86" s="5">
        <f t="shared" si="0"/>
        <v>1</v>
      </c>
      <c r="AR186" s="49" t="str">
        <f>IF(Data_Geotech[[#This Row],[FIRS Code]]="R",IFERROR((IF(Data_Geotech[[#This Row],[RQD (%)]]&lt;10,10,Data_Geotech[[#This Row],[RQD (%)]])/Data_Geotech[[#This Row],[Jn rating]])*Data_Geotech[[#This Row],[Jr/Ja]],""),"")</f>
        <v/>
      </c>
      <c r="AS186" s="45" t="str">
        <f>IF(Data_Geotech[[#This Row],[FIRS Code]]="R",IFERROR((IF(Data_Geotech[[#This Row],[RQD (%)]]&lt;10,10,Data_Geotech[[#This Row],[RQD (%)]])/Data_Geotech[[#This Row],[Jn rating]])*Data_Geotech[[#This Row],[Jr/Ja]]*Data_Geotech[[#This Row],[Jw/SRF]],""),"")</f>
        <v/>
      </c>
      <c r="AT186" s="12"/>
      <c r="AU186" s="13" t="e">
        <f>100-Data_Geotech[[#This Row],[RQD (%)]]</f>
        <v>#DIV/0!</v>
      </c>
      <c r="AV186" s="13" t="e">
        <f>100-Data_Geotech[[#This Row],[TCR (%)]]</f>
        <v>#DIV/0!</v>
      </c>
      <c r="AW186" s="62" t="e">
        <f>(Data_Geotech[[#This Row],[Fracture per interval]]+Data_Geotech[[#This Row],[Added fractures 
(BC, FLT, LC)]])/Data_Geotech[[#This Row],[TCR (m)]]</f>
        <v>#DIV/0!</v>
      </c>
      <c r="AX186" s="6" t="s">
        <v>109</v>
      </c>
      <c r="AY186" s="63" t="e">
        <f>7-MID(Data_Geotech[[#This Row],[Field Intact Rock Strength]],2,1)</f>
        <v>#VALUE!</v>
      </c>
      <c r="AZ186" s="63" t="e">
        <f>VLOOKUP(Data_Geotech[[#This Row],[Field Intact Rock Strength]],Table_FieldStrength[],2,FALSE)</f>
        <v>#N/A</v>
      </c>
      <c r="BA186" s="63" t="e">
        <f>VLOOKUP(Data_Geotech[[#This Row],[Field Intact Rock Strength]],Table_FieldStrength[],3,FALSE)</f>
        <v>#N/A</v>
      </c>
      <c r="BB186" s="63" t="e">
        <f>VLOOKUP(Data_Geotech[[#This Row],[Field Intact Rock Strength]],Table_FieldStrength[],4,FALSE)</f>
        <v>#N/A</v>
      </c>
      <c r="BC186" s="63" t="e">
        <f>100-Data_Geotech[[#This Row],[RMR76]]</f>
        <v>#VALUE!</v>
      </c>
      <c r="BD186" s="63" t="e">
        <f>LEFT(Data_Geotech[[#This Row],[Weathering/Alteration]],FIND("-",Data_Geotech[[#This Row],[Weathering/Alteration]])-2)</f>
        <v>#VALUE!</v>
      </c>
    </row>
    <row r="187" spans="1:56" hidden="1" x14ac:dyDescent="0.25">
      <c r="B187" s="16" t="e">
        <f>VLOOKUP(Data_Geotech[[#This Row],[Hole ID]],Data_Log[],2,FALSE)</f>
        <v>#N/A</v>
      </c>
      <c r="C187" s="5"/>
      <c r="D187" s="5"/>
      <c r="E187" s="5">
        <f>(Data_Geotech[[#This Row],[To (m)]]-Data_Geotech[[#This Row],[From (m)]])/2+Data_Geotech[[#This Row],[From (m)]]</f>
        <v>0</v>
      </c>
      <c r="F187" s="13">
        <f>Data_Geotech[[#This Row],[To (m)]]-Data_Geotech[[#This Row],[From (m)]]</f>
        <v>0</v>
      </c>
      <c r="G187" s="5"/>
      <c r="H187" s="61" t="e">
        <f>Data_Geotech[[#This Row],[TCR (m)]]/Data_Geotech[[#This Row],[Run (m)]]*100</f>
        <v>#DIV/0!</v>
      </c>
      <c r="I187" s="151"/>
      <c r="J187" s="151"/>
      <c r="K187" s="5"/>
      <c r="L187" s="61" t="e">
        <f>Data_Geotech[[#This Row],[RQD (m)]]/Data_Geotech[[#This Row],[Run Reel (m)]]*100</f>
        <v>#DIV/0!</v>
      </c>
      <c r="P187" s="115"/>
      <c r="Q187" s="5"/>
      <c r="R187" s="5"/>
      <c r="S187" s="5"/>
      <c r="T187" s="5"/>
      <c r="U187" s="5"/>
      <c r="V187" s="6"/>
      <c r="W187" s="92">
        <f>SUMIFS(Discontinuities!$D$4:$D$9664,Discontinuities!$A$4:$A$9664,A187,Discontinuities!$C$4:$C$9664,"&gt;="&amp;C187,Discontinuities!$C$4:$C$9664,"&lt;"&amp;D187)
-SUMIFS(Discontinuities!$D$4:$D$9664,Discontinuities!$A$4:$A$9664,A187,Discontinuities!$C$4:$C$9664,"&gt;="&amp;C187,Discontinuities!$C$4:$C$9664,"&lt;"&amp;D187,Discontinuities!$E$4:$E$9664,"=BC")
-SUMIFS(Discontinuities!$D$4:$D$9664,Discontinuities!$A$4:$A$9664,A187,Discontinuities!$C$4:$C$9664,"&gt;="&amp;C187,Discontinuities!$C$4:$C$9664,"&lt;"&amp;D187,Discontinuities!$E$4:$E$9664,"=LC")
-SUMIFS(Discontinuities!$D$4:$D$9664,Discontinuities!$A$4:$A$9664,A187,Discontinuities!$C$4:$C$9664,"&gt;="&amp;C187,Discontinuities!$C$4:$C$9664,"&lt;"&amp;D187,Discontinuities!$E$4:$E$9664,"=FLT")</f>
        <v>0</v>
      </c>
      <c r="AA187" s="12"/>
      <c r="AB187" s="43">
        <f>IFERROR(ROUND((Data_Geotech[[#This Row],[Fault (m)]]+Data_Geotech[[#This Row],[Broken Core (m)]]+Data_Geotech[[#This Row],[Lost Core (m)]])*30,0),0)</f>
        <v>0</v>
      </c>
      <c r="AC187" s="44">
        <f>IF(Data_Geotech[[#This Row],[Added fractures 
(BC, FLT, LC)]]+Data_Geotech[[#This Row],[Fracture per interval]]=0,99,1/((Data_Geotech[[#This Row],[Fracture per interval]]+Data_Geotech[[#This Row],[Added fractures 
(BC, FLT, LC)]])/Data_Geotech[[#This Row],[Run (m)]]))</f>
        <v>99</v>
      </c>
      <c r="AD187" s="155" t="str" cm="1">
        <f t="array" ref="AD187">IFERROR(_xlfn.XLOOKUP(1,(A187=PLT!$A$4:$A$8886)*(Geotech!C187&lt;=PLT!$F$4:$F$8886)*(Geotech!D187&gt;=PLT!$F$4:$F$8886)*("Valid"=PLT!$P$4:$P$8886),PLT!$V$4:$V$8886),"")</f>
        <v/>
      </c>
      <c r="AE187" s="156" t="str" cm="1">
        <f t="array" ref="AE187">IFERROR(_xlfn.XLOOKUP(1,(A187=PLT!$A$4:$A$8886)*(Geotech!C187&lt;=PLT!$F$4:$F$8886)*(Geotech!D187&gt;=PLT!$F$4:$F$8886)*(PLT!$V$4:$V$8886&lt;&gt;AD187)*("Valid"=PLT!$P$4:$P$7190),PLT!$V$4:$V$8886),"")</f>
        <v/>
      </c>
      <c r="AF187" s="156" t="str" cm="1">
        <f t="array" ref="AF187">IFERROR(_xlfn.XLOOKUP(1,(A187=PLT!$A$4:$A$8886)*(Geotech!C187&lt;=PLT!$F$4:$F$8886)*(Geotech!D187&gt;=PLT!$F$4:$F$8886)*(PLT!$V$4:$V$8886&lt;&gt;AD187)*(PLT!$V$4:$V$8886&lt;&gt;AE187)*("Valid"=PLT!$P$4:$P$7190),PLT!$V$4:$V$8886),"")</f>
        <v/>
      </c>
      <c r="AG187" s="44" t="str">
        <f>IFERROR(IF(AVERAGE(AD187:AF187)&gt;References!$BO$23,References!$BP$23,
IF(AVERAGE(AD187:AF187)&gt;References!$BO$22,References!$BP$22,
IF(AVERAGE(AD187:AF187)&gt;References!$BO$21,References!$BP$21,
IF(AVERAGE(AD187:AF187)&gt;References!$BO$20,References!$BP$20,
IF(AVERAGE(AD187:AF187)&gt;References!$BO$19,References!$BP$19,
IF(AVERAGE(AD187:AF187)&gt;References!$BO$18,References!$BP$18,
0)))))),"")</f>
        <v/>
      </c>
      <c r="AH187" s="43" t="e">
        <f>IF(Data_Geotech[[#This Row],[Is50]]="",VLOOKUP(Data_Geotech[[#This Row],[Field Intact Rock Strength]],Table_RMR76_Strength[],2,FALSE),Data_Geotech[[#This Row],[Is50]])</f>
        <v>#N/A</v>
      </c>
      <c r="AI187" s="43" t="e">
        <f>IF(Data_Geotech[[#This Row],[RQD (%)]]&lt;=25,3,IF(Data_Geotech[[#This Row],[RQD (%)]]&lt;=50,8,IF(Data_Geotech[[#This Row],[RQD (%)]]&lt;=75,13,IF(Data_Geotech[[#This Row],[RQD (%)]]&lt;=90,17,20))))</f>
        <v>#DIV/0!</v>
      </c>
      <c r="AJ187" s="43">
        <f>IF(Data_Geotech[[#This Row],[Joint spacing (m)]]&lt;=0.05,5,IF(Data_Geotech[[#This Row],[Joint spacing (m)]]&lt;=0.3,10,IF(Data_Geotech[[#This Row],[Joint spacing (m)]]&lt;=1,20,IF(Data_Geotech[[#This Row],[Joint spacing (m)]]&lt;=3,25,30))))</f>
        <v>30</v>
      </c>
      <c r="AK18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87" s="6">
        <v>10</v>
      </c>
      <c r="AM187" s="117" t="str">
        <f>IF(Data_Geotech[[#This Row],[FIRS Code]]="R",IFERROR(SUM(Data_Geotech[[#This Row],[RMR76 - Strength rating]:[RMR76 - Ground water rating]]),""),"")</f>
        <v/>
      </c>
      <c r="AN187" s="39" t="e">
        <f>IF(Data_Geotech[[#This Row],[FIRS Code]]="R",(2*Data_Geotech[[#This Row],[RMR76 - Joint condition rating]])+(IF(Data_Geotech[[#This Row],[RQD (%)]]&gt;80,80/2,Data_Geotech[[#This Row],[RQD (%)]]/2)),"")</f>
        <v>#DIV/0!</v>
      </c>
      <c r="AO187" s="43" t="e">
        <f>LEFT(Data_Geotech[[#This Row],[Joint Set Rating]],FIND("-",Data_Geotech[[#This Row],[Joint Set Rating]],1)-2)</f>
        <v>#VALUE!</v>
      </c>
      <c r="AP18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87" s="5">
        <f t="shared" si="0"/>
        <v>1</v>
      </c>
      <c r="AR187" s="49" t="str">
        <f>IF(Data_Geotech[[#This Row],[FIRS Code]]="R",IFERROR((IF(Data_Geotech[[#This Row],[RQD (%)]]&lt;10,10,Data_Geotech[[#This Row],[RQD (%)]])/Data_Geotech[[#This Row],[Jn rating]])*Data_Geotech[[#This Row],[Jr/Ja]],""),"")</f>
        <v/>
      </c>
      <c r="AS187" s="45" t="str">
        <f>IF(Data_Geotech[[#This Row],[FIRS Code]]="R",IFERROR((IF(Data_Geotech[[#This Row],[RQD (%)]]&lt;10,10,Data_Geotech[[#This Row],[RQD (%)]])/Data_Geotech[[#This Row],[Jn rating]])*Data_Geotech[[#This Row],[Jr/Ja]]*Data_Geotech[[#This Row],[Jw/SRF]],""),"")</f>
        <v/>
      </c>
      <c r="AT187" s="12"/>
      <c r="AU187" s="13" t="e">
        <f>100-Data_Geotech[[#This Row],[RQD (%)]]</f>
        <v>#DIV/0!</v>
      </c>
      <c r="AV187" s="13" t="e">
        <f>100-Data_Geotech[[#This Row],[TCR (%)]]</f>
        <v>#DIV/0!</v>
      </c>
      <c r="AW187" s="62" t="e">
        <f>(Data_Geotech[[#This Row],[Fracture per interval]]+Data_Geotech[[#This Row],[Added fractures 
(BC, FLT, LC)]])/Data_Geotech[[#This Row],[TCR (m)]]</f>
        <v>#DIV/0!</v>
      </c>
      <c r="AX187" s="6" t="s">
        <v>109</v>
      </c>
      <c r="AY187" s="63" t="e">
        <f>7-MID(Data_Geotech[[#This Row],[Field Intact Rock Strength]],2,1)</f>
        <v>#VALUE!</v>
      </c>
      <c r="AZ187" s="63" t="e">
        <f>VLOOKUP(Data_Geotech[[#This Row],[Field Intact Rock Strength]],Table_FieldStrength[],2,FALSE)</f>
        <v>#N/A</v>
      </c>
      <c r="BA187" s="63" t="e">
        <f>VLOOKUP(Data_Geotech[[#This Row],[Field Intact Rock Strength]],Table_FieldStrength[],3,FALSE)</f>
        <v>#N/A</v>
      </c>
      <c r="BB187" s="63" t="e">
        <f>VLOOKUP(Data_Geotech[[#This Row],[Field Intact Rock Strength]],Table_FieldStrength[],4,FALSE)</f>
        <v>#N/A</v>
      </c>
      <c r="BC187" s="63" t="e">
        <f>100-Data_Geotech[[#This Row],[RMR76]]</f>
        <v>#VALUE!</v>
      </c>
      <c r="BD187" s="63" t="e">
        <f>LEFT(Data_Geotech[[#This Row],[Weathering/Alteration]],FIND("-",Data_Geotech[[#This Row],[Weathering/Alteration]])-2)</f>
        <v>#VALUE!</v>
      </c>
    </row>
    <row r="188" spans="1:56" hidden="1" x14ac:dyDescent="0.25">
      <c r="B188" s="16" t="e">
        <f>VLOOKUP(Data_Geotech[[#This Row],[Hole ID]],Data_Log[],2,FALSE)</f>
        <v>#N/A</v>
      </c>
      <c r="C188" s="5"/>
      <c r="D188" s="5"/>
      <c r="E188" s="5">
        <f>(Data_Geotech[[#This Row],[To (m)]]-Data_Geotech[[#This Row],[From (m)]])/2+Data_Geotech[[#This Row],[From (m)]]</f>
        <v>0</v>
      </c>
      <c r="F188" s="13">
        <f>Data_Geotech[[#This Row],[To (m)]]-Data_Geotech[[#This Row],[From (m)]]</f>
        <v>0</v>
      </c>
      <c r="G188" s="5"/>
      <c r="H188" s="61" t="e">
        <f>Data_Geotech[[#This Row],[TCR (m)]]/Data_Geotech[[#This Row],[Run (m)]]*100</f>
        <v>#DIV/0!</v>
      </c>
      <c r="I188" s="151"/>
      <c r="J188" s="151"/>
      <c r="K188" s="5"/>
      <c r="L188" s="61" t="e">
        <f>Data_Geotech[[#This Row],[RQD (m)]]/Data_Geotech[[#This Row],[Run Reel (m)]]*100</f>
        <v>#DIV/0!</v>
      </c>
      <c r="P188" s="115"/>
      <c r="Q188" s="5"/>
      <c r="R188" s="5"/>
      <c r="S188" s="5"/>
      <c r="T188" s="5"/>
      <c r="U188" s="5"/>
      <c r="V188" s="6"/>
      <c r="W188" s="92">
        <f>SUMIFS(Discontinuities!$D$4:$D$9664,Discontinuities!$A$4:$A$9664,A188,Discontinuities!$C$4:$C$9664,"&gt;="&amp;C188,Discontinuities!$C$4:$C$9664,"&lt;"&amp;D188)
-SUMIFS(Discontinuities!$D$4:$D$9664,Discontinuities!$A$4:$A$9664,A188,Discontinuities!$C$4:$C$9664,"&gt;="&amp;C188,Discontinuities!$C$4:$C$9664,"&lt;"&amp;D188,Discontinuities!$E$4:$E$9664,"=BC")
-SUMIFS(Discontinuities!$D$4:$D$9664,Discontinuities!$A$4:$A$9664,A188,Discontinuities!$C$4:$C$9664,"&gt;="&amp;C188,Discontinuities!$C$4:$C$9664,"&lt;"&amp;D188,Discontinuities!$E$4:$E$9664,"=LC")
-SUMIFS(Discontinuities!$D$4:$D$9664,Discontinuities!$A$4:$A$9664,A188,Discontinuities!$C$4:$C$9664,"&gt;="&amp;C188,Discontinuities!$C$4:$C$9664,"&lt;"&amp;D188,Discontinuities!$E$4:$E$9664,"=FLT")</f>
        <v>0</v>
      </c>
      <c r="AA188" s="12"/>
      <c r="AB188" s="43">
        <f>IFERROR(ROUND((Data_Geotech[[#This Row],[Fault (m)]]+Data_Geotech[[#This Row],[Broken Core (m)]]+Data_Geotech[[#This Row],[Lost Core (m)]])*30,0),0)</f>
        <v>0</v>
      </c>
      <c r="AC188" s="44">
        <f>IF(Data_Geotech[[#This Row],[Added fractures 
(BC, FLT, LC)]]+Data_Geotech[[#This Row],[Fracture per interval]]=0,99,1/((Data_Geotech[[#This Row],[Fracture per interval]]+Data_Geotech[[#This Row],[Added fractures 
(BC, FLT, LC)]])/Data_Geotech[[#This Row],[Run (m)]]))</f>
        <v>99</v>
      </c>
      <c r="AD188" s="155" t="str" cm="1">
        <f t="array" ref="AD188">IFERROR(_xlfn.XLOOKUP(1,(A188=PLT!$A$4:$A$8886)*(Geotech!C188&lt;=PLT!$F$4:$F$8886)*(Geotech!D188&gt;=PLT!$F$4:$F$8886)*("Valid"=PLT!$P$4:$P$8886),PLT!$V$4:$V$8886),"")</f>
        <v/>
      </c>
      <c r="AE188" s="156" t="str" cm="1">
        <f t="array" ref="AE188">IFERROR(_xlfn.XLOOKUP(1,(A188=PLT!$A$4:$A$8886)*(Geotech!C188&lt;=PLT!$F$4:$F$8886)*(Geotech!D188&gt;=PLT!$F$4:$F$8886)*(PLT!$V$4:$V$8886&lt;&gt;AD188)*("Valid"=PLT!$P$4:$P$7190),PLT!$V$4:$V$8886),"")</f>
        <v/>
      </c>
      <c r="AF188" s="156" t="str" cm="1">
        <f t="array" ref="AF188">IFERROR(_xlfn.XLOOKUP(1,(A188=PLT!$A$4:$A$8886)*(Geotech!C188&lt;=PLT!$F$4:$F$8886)*(Geotech!D188&gt;=PLT!$F$4:$F$8886)*(PLT!$V$4:$V$8886&lt;&gt;AD188)*(PLT!$V$4:$V$8886&lt;&gt;AE188)*("Valid"=PLT!$P$4:$P$7190),PLT!$V$4:$V$8886),"")</f>
        <v/>
      </c>
      <c r="AG188" s="44" t="str">
        <f>IFERROR(IF(AVERAGE(AD188:AF188)&gt;References!$BO$23,References!$BP$23,
IF(AVERAGE(AD188:AF188)&gt;References!$BO$22,References!$BP$22,
IF(AVERAGE(AD188:AF188)&gt;References!$BO$21,References!$BP$21,
IF(AVERAGE(AD188:AF188)&gt;References!$BO$20,References!$BP$20,
IF(AVERAGE(AD188:AF188)&gt;References!$BO$19,References!$BP$19,
IF(AVERAGE(AD188:AF188)&gt;References!$BO$18,References!$BP$18,
0)))))),"")</f>
        <v/>
      </c>
      <c r="AH188" s="43" t="e">
        <f>IF(Data_Geotech[[#This Row],[Is50]]="",VLOOKUP(Data_Geotech[[#This Row],[Field Intact Rock Strength]],Table_RMR76_Strength[],2,FALSE),Data_Geotech[[#This Row],[Is50]])</f>
        <v>#N/A</v>
      </c>
      <c r="AI188" s="43" t="e">
        <f>IF(Data_Geotech[[#This Row],[RQD (%)]]&lt;=25,3,IF(Data_Geotech[[#This Row],[RQD (%)]]&lt;=50,8,IF(Data_Geotech[[#This Row],[RQD (%)]]&lt;=75,13,IF(Data_Geotech[[#This Row],[RQD (%)]]&lt;=90,17,20))))</f>
        <v>#DIV/0!</v>
      </c>
      <c r="AJ188" s="43">
        <f>IF(Data_Geotech[[#This Row],[Joint spacing (m)]]&lt;=0.05,5,IF(Data_Geotech[[#This Row],[Joint spacing (m)]]&lt;=0.3,10,IF(Data_Geotech[[#This Row],[Joint spacing (m)]]&lt;=1,20,IF(Data_Geotech[[#This Row],[Joint spacing (m)]]&lt;=3,25,30))))</f>
        <v>30</v>
      </c>
      <c r="AK18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88" s="6">
        <v>10</v>
      </c>
      <c r="AM188" s="117" t="str">
        <f>IF(Data_Geotech[[#This Row],[FIRS Code]]="R",IFERROR(SUM(Data_Geotech[[#This Row],[RMR76 - Strength rating]:[RMR76 - Ground water rating]]),""),"")</f>
        <v/>
      </c>
      <c r="AN188" s="39" t="e">
        <f>IF(Data_Geotech[[#This Row],[FIRS Code]]="R",(2*Data_Geotech[[#This Row],[RMR76 - Joint condition rating]])+(IF(Data_Geotech[[#This Row],[RQD (%)]]&gt;80,80/2,Data_Geotech[[#This Row],[RQD (%)]]/2)),"")</f>
        <v>#DIV/0!</v>
      </c>
      <c r="AO188" s="43" t="e">
        <f>LEFT(Data_Geotech[[#This Row],[Joint Set Rating]],FIND("-",Data_Geotech[[#This Row],[Joint Set Rating]],1)-2)</f>
        <v>#VALUE!</v>
      </c>
      <c r="AP18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88" s="5">
        <f t="shared" si="0"/>
        <v>1</v>
      </c>
      <c r="AR188" s="49" t="str">
        <f>IF(Data_Geotech[[#This Row],[FIRS Code]]="R",IFERROR((IF(Data_Geotech[[#This Row],[RQD (%)]]&lt;10,10,Data_Geotech[[#This Row],[RQD (%)]])/Data_Geotech[[#This Row],[Jn rating]])*Data_Geotech[[#This Row],[Jr/Ja]],""),"")</f>
        <v/>
      </c>
      <c r="AS188" s="45" t="str">
        <f>IF(Data_Geotech[[#This Row],[FIRS Code]]="R",IFERROR((IF(Data_Geotech[[#This Row],[RQD (%)]]&lt;10,10,Data_Geotech[[#This Row],[RQD (%)]])/Data_Geotech[[#This Row],[Jn rating]])*Data_Geotech[[#This Row],[Jr/Ja]]*Data_Geotech[[#This Row],[Jw/SRF]],""),"")</f>
        <v/>
      </c>
      <c r="AT188" s="12"/>
      <c r="AU188" s="13" t="e">
        <f>100-Data_Geotech[[#This Row],[RQD (%)]]</f>
        <v>#DIV/0!</v>
      </c>
      <c r="AV188" s="13" t="e">
        <f>100-Data_Geotech[[#This Row],[TCR (%)]]</f>
        <v>#DIV/0!</v>
      </c>
      <c r="AW188" s="62" t="e">
        <f>(Data_Geotech[[#This Row],[Fracture per interval]]+Data_Geotech[[#This Row],[Added fractures 
(BC, FLT, LC)]])/Data_Geotech[[#This Row],[TCR (m)]]</f>
        <v>#DIV/0!</v>
      </c>
      <c r="AX188" s="6" t="s">
        <v>109</v>
      </c>
      <c r="AY188" s="63" t="e">
        <f>7-MID(Data_Geotech[[#This Row],[Field Intact Rock Strength]],2,1)</f>
        <v>#VALUE!</v>
      </c>
      <c r="AZ188" s="63" t="e">
        <f>VLOOKUP(Data_Geotech[[#This Row],[Field Intact Rock Strength]],Table_FieldStrength[],2,FALSE)</f>
        <v>#N/A</v>
      </c>
      <c r="BA188" s="63" t="e">
        <f>VLOOKUP(Data_Geotech[[#This Row],[Field Intact Rock Strength]],Table_FieldStrength[],3,FALSE)</f>
        <v>#N/A</v>
      </c>
      <c r="BB188" s="63" t="e">
        <f>VLOOKUP(Data_Geotech[[#This Row],[Field Intact Rock Strength]],Table_FieldStrength[],4,FALSE)</f>
        <v>#N/A</v>
      </c>
      <c r="BC188" s="63" t="e">
        <f>100-Data_Geotech[[#This Row],[RMR76]]</f>
        <v>#VALUE!</v>
      </c>
      <c r="BD188" s="63" t="e">
        <f>LEFT(Data_Geotech[[#This Row],[Weathering/Alteration]],FIND("-",Data_Geotech[[#This Row],[Weathering/Alteration]])-2)</f>
        <v>#VALUE!</v>
      </c>
    </row>
    <row r="189" spans="1:56" hidden="1" x14ac:dyDescent="0.25">
      <c r="B189" s="16" t="e">
        <f>VLOOKUP(Data_Geotech[[#This Row],[Hole ID]],Data_Log[],2,FALSE)</f>
        <v>#N/A</v>
      </c>
      <c r="C189" s="5"/>
      <c r="D189" s="5"/>
      <c r="E189" s="5">
        <f>(Data_Geotech[[#This Row],[To (m)]]-Data_Geotech[[#This Row],[From (m)]])/2+Data_Geotech[[#This Row],[From (m)]]</f>
        <v>0</v>
      </c>
      <c r="F189" s="13">
        <f>Data_Geotech[[#This Row],[To (m)]]-Data_Geotech[[#This Row],[From (m)]]</f>
        <v>0</v>
      </c>
      <c r="G189" s="5"/>
      <c r="H189" s="61" t="e">
        <f>Data_Geotech[[#This Row],[TCR (m)]]/Data_Geotech[[#This Row],[Run (m)]]*100</f>
        <v>#DIV/0!</v>
      </c>
      <c r="I189" s="151"/>
      <c r="J189" s="151"/>
      <c r="K189" s="5"/>
      <c r="L189" s="61" t="e">
        <f>Data_Geotech[[#This Row],[RQD (m)]]/Data_Geotech[[#This Row],[Run Reel (m)]]*100</f>
        <v>#DIV/0!</v>
      </c>
      <c r="P189" s="115"/>
      <c r="Q189" s="5"/>
      <c r="R189" s="5"/>
      <c r="S189" s="5"/>
      <c r="T189" s="5"/>
      <c r="U189" s="5"/>
      <c r="V189" s="6"/>
      <c r="W189" s="92">
        <f>SUMIFS(Discontinuities!$D$4:$D$9664,Discontinuities!$A$4:$A$9664,A189,Discontinuities!$C$4:$C$9664,"&gt;="&amp;C189,Discontinuities!$C$4:$C$9664,"&lt;"&amp;D189)
-SUMIFS(Discontinuities!$D$4:$D$9664,Discontinuities!$A$4:$A$9664,A189,Discontinuities!$C$4:$C$9664,"&gt;="&amp;C189,Discontinuities!$C$4:$C$9664,"&lt;"&amp;D189,Discontinuities!$E$4:$E$9664,"=BC")
-SUMIFS(Discontinuities!$D$4:$D$9664,Discontinuities!$A$4:$A$9664,A189,Discontinuities!$C$4:$C$9664,"&gt;="&amp;C189,Discontinuities!$C$4:$C$9664,"&lt;"&amp;D189,Discontinuities!$E$4:$E$9664,"=LC")
-SUMIFS(Discontinuities!$D$4:$D$9664,Discontinuities!$A$4:$A$9664,A189,Discontinuities!$C$4:$C$9664,"&gt;="&amp;C189,Discontinuities!$C$4:$C$9664,"&lt;"&amp;D189,Discontinuities!$E$4:$E$9664,"=FLT")</f>
        <v>0</v>
      </c>
      <c r="AA189" s="12"/>
      <c r="AB189" s="43">
        <f>IFERROR(ROUND((Data_Geotech[[#This Row],[Fault (m)]]+Data_Geotech[[#This Row],[Broken Core (m)]]+Data_Geotech[[#This Row],[Lost Core (m)]])*30,0),0)</f>
        <v>0</v>
      </c>
      <c r="AC189" s="44">
        <f>IF(Data_Geotech[[#This Row],[Added fractures 
(BC, FLT, LC)]]+Data_Geotech[[#This Row],[Fracture per interval]]=0,99,1/((Data_Geotech[[#This Row],[Fracture per interval]]+Data_Geotech[[#This Row],[Added fractures 
(BC, FLT, LC)]])/Data_Geotech[[#This Row],[Run (m)]]))</f>
        <v>99</v>
      </c>
      <c r="AD189" s="155" t="str" cm="1">
        <f t="array" ref="AD189">IFERROR(_xlfn.XLOOKUP(1,(A189=PLT!$A$4:$A$8886)*(Geotech!C189&lt;=PLT!$F$4:$F$8886)*(Geotech!D189&gt;=PLT!$F$4:$F$8886)*("Valid"=PLT!$P$4:$P$8886),PLT!$V$4:$V$8886),"")</f>
        <v/>
      </c>
      <c r="AE189" s="156" t="str" cm="1">
        <f t="array" ref="AE189">IFERROR(_xlfn.XLOOKUP(1,(A189=PLT!$A$4:$A$8886)*(Geotech!C189&lt;=PLT!$F$4:$F$8886)*(Geotech!D189&gt;=PLT!$F$4:$F$8886)*(PLT!$V$4:$V$8886&lt;&gt;AD189)*("Valid"=PLT!$P$4:$P$7190),PLT!$V$4:$V$8886),"")</f>
        <v/>
      </c>
      <c r="AF189" s="156" t="str" cm="1">
        <f t="array" ref="AF189">IFERROR(_xlfn.XLOOKUP(1,(A189=PLT!$A$4:$A$8886)*(Geotech!C189&lt;=PLT!$F$4:$F$8886)*(Geotech!D189&gt;=PLT!$F$4:$F$8886)*(PLT!$V$4:$V$8886&lt;&gt;AD189)*(PLT!$V$4:$V$8886&lt;&gt;AE189)*("Valid"=PLT!$P$4:$P$7190),PLT!$V$4:$V$8886),"")</f>
        <v/>
      </c>
      <c r="AG189" s="44" t="str">
        <f>IFERROR(IF(AVERAGE(AD189:AF189)&gt;References!$BO$23,References!$BP$23,
IF(AVERAGE(AD189:AF189)&gt;References!$BO$22,References!$BP$22,
IF(AVERAGE(AD189:AF189)&gt;References!$BO$21,References!$BP$21,
IF(AVERAGE(AD189:AF189)&gt;References!$BO$20,References!$BP$20,
IF(AVERAGE(AD189:AF189)&gt;References!$BO$19,References!$BP$19,
IF(AVERAGE(AD189:AF189)&gt;References!$BO$18,References!$BP$18,
0)))))),"")</f>
        <v/>
      </c>
      <c r="AH189" s="43" t="e">
        <f>IF(Data_Geotech[[#This Row],[Is50]]="",VLOOKUP(Data_Geotech[[#This Row],[Field Intact Rock Strength]],Table_RMR76_Strength[],2,FALSE),Data_Geotech[[#This Row],[Is50]])</f>
        <v>#N/A</v>
      </c>
      <c r="AI189" s="43" t="e">
        <f>IF(Data_Geotech[[#This Row],[RQD (%)]]&lt;=25,3,IF(Data_Geotech[[#This Row],[RQD (%)]]&lt;=50,8,IF(Data_Geotech[[#This Row],[RQD (%)]]&lt;=75,13,IF(Data_Geotech[[#This Row],[RQD (%)]]&lt;=90,17,20))))</f>
        <v>#DIV/0!</v>
      </c>
      <c r="AJ189" s="43">
        <f>IF(Data_Geotech[[#This Row],[Joint spacing (m)]]&lt;=0.05,5,IF(Data_Geotech[[#This Row],[Joint spacing (m)]]&lt;=0.3,10,IF(Data_Geotech[[#This Row],[Joint spacing (m)]]&lt;=1,20,IF(Data_Geotech[[#This Row],[Joint spacing (m)]]&lt;=3,25,30))))</f>
        <v>30</v>
      </c>
      <c r="AK18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89" s="6">
        <v>10</v>
      </c>
      <c r="AM189" s="117" t="str">
        <f>IF(Data_Geotech[[#This Row],[FIRS Code]]="R",IFERROR(SUM(Data_Geotech[[#This Row],[RMR76 - Strength rating]:[RMR76 - Ground water rating]]),""),"")</f>
        <v/>
      </c>
      <c r="AN189" s="39" t="e">
        <f>IF(Data_Geotech[[#This Row],[FIRS Code]]="R",(2*Data_Geotech[[#This Row],[RMR76 - Joint condition rating]])+(IF(Data_Geotech[[#This Row],[RQD (%)]]&gt;80,80/2,Data_Geotech[[#This Row],[RQD (%)]]/2)),"")</f>
        <v>#DIV/0!</v>
      </c>
      <c r="AO189" s="43" t="e">
        <f>LEFT(Data_Geotech[[#This Row],[Joint Set Rating]],FIND("-",Data_Geotech[[#This Row],[Joint Set Rating]],1)-2)</f>
        <v>#VALUE!</v>
      </c>
      <c r="AP18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89" s="5">
        <f t="shared" si="0"/>
        <v>1</v>
      </c>
      <c r="AR189" s="49" t="str">
        <f>IF(Data_Geotech[[#This Row],[FIRS Code]]="R",IFERROR((IF(Data_Geotech[[#This Row],[RQD (%)]]&lt;10,10,Data_Geotech[[#This Row],[RQD (%)]])/Data_Geotech[[#This Row],[Jn rating]])*Data_Geotech[[#This Row],[Jr/Ja]],""),"")</f>
        <v/>
      </c>
      <c r="AS189" s="45" t="str">
        <f>IF(Data_Geotech[[#This Row],[FIRS Code]]="R",IFERROR((IF(Data_Geotech[[#This Row],[RQD (%)]]&lt;10,10,Data_Geotech[[#This Row],[RQD (%)]])/Data_Geotech[[#This Row],[Jn rating]])*Data_Geotech[[#This Row],[Jr/Ja]]*Data_Geotech[[#This Row],[Jw/SRF]],""),"")</f>
        <v/>
      </c>
      <c r="AT189" s="12"/>
      <c r="AU189" s="13" t="e">
        <f>100-Data_Geotech[[#This Row],[RQD (%)]]</f>
        <v>#DIV/0!</v>
      </c>
      <c r="AV189" s="13" t="e">
        <f>100-Data_Geotech[[#This Row],[TCR (%)]]</f>
        <v>#DIV/0!</v>
      </c>
      <c r="AW189" s="62" t="e">
        <f>(Data_Geotech[[#This Row],[Fracture per interval]]+Data_Geotech[[#This Row],[Added fractures 
(BC, FLT, LC)]])/Data_Geotech[[#This Row],[TCR (m)]]</f>
        <v>#DIV/0!</v>
      </c>
      <c r="AX189" s="6" t="s">
        <v>109</v>
      </c>
      <c r="AY189" s="63" t="e">
        <f>7-MID(Data_Geotech[[#This Row],[Field Intact Rock Strength]],2,1)</f>
        <v>#VALUE!</v>
      </c>
      <c r="AZ189" s="63" t="e">
        <f>VLOOKUP(Data_Geotech[[#This Row],[Field Intact Rock Strength]],Table_FieldStrength[],2,FALSE)</f>
        <v>#N/A</v>
      </c>
      <c r="BA189" s="63" t="e">
        <f>VLOOKUP(Data_Geotech[[#This Row],[Field Intact Rock Strength]],Table_FieldStrength[],3,FALSE)</f>
        <v>#N/A</v>
      </c>
      <c r="BB189" s="63" t="e">
        <f>VLOOKUP(Data_Geotech[[#This Row],[Field Intact Rock Strength]],Table_FieldStrength[],4,FALSE)</f>
        <v>#N/A</v>
      </c>
      <c r="BC189" s="63" t="e">
        <f>100-Data_Geotech[[#This Row],[RMR76]]</f>
        <v>#VALUE!</v>
      </c>
      <c r="BD189" s="63" t="e">
        <f>LEFT(Data_Geotech[[#This Row],[Weathering/Alteration]],FIND("-",Data_Geotech[[#This Row],[Weathering/Alteration]])-2)</f>
        <v>#VALUE!</v>
      </c>
    </row>
    <row r="190" spans="1:56" hidden="1" x14ac:dyDescent="0.25">
      <c r="B190" s="16" t="e">
        <f>VLOOKUP(Data_Geotech[[#This Row],[Hole ID]],Data_Log[],2,FALSE)</f>
        <v>#N/A</v>
      </c>
      <c r="C190" s="5"/>
      <c r="D190" s="5"/>
      <c r="E190" s="5">
        <f>(Data_Geotech[[#This Row],[To (m)]]-Data_Geotech[[#This Row],[From (m)]])/2+Data_Geotech[[#This Row],[From (m)]]</f>
        <v>0</v>
      </c>
      <c r="F190" s="13">
        <f>Data_Geotech[[#This Row],[To (m)]]-Data_Geotech[[#This Row],[From (m)]]</f>
        <v>0</v>
      </c>
      <c r="G190" s="5"/>
      <c r="H190" s="61" t="e">
        <f>Data_Geotech[[#This Row],[TCR (m)]]/Data_Geotech[[#This Row],[Run (m)]]*100</f>
        <v>#DIV/0!</v>
      </c>
      <c r="I190" s="151"/>
      <c r="J190" s="151"/>
      <c r="K190" s="5"/>
      <c r="L190" s="61" t="e">
        <f>Data_Geotech[[#This Row],[RQD (m)]]/Data_Geotech[[#This Row],[Run Reel (m)]]*100</f>
        <v>#DIV/0!</v>
      </c>
      <c r="P190" s="115"/>
      <c r="Q190" s="5"/>
      <c r="R190" s="5"/>
      <c r="S190" s="5"/>
      <c r="T190" s="5"/>
      <c r="U190" s="5"/>
      <c r="V190" s="6"/>
      <c r="W190" s="92">
        <f>SUMIFS(Discontinuities!$D$4:$D$9664,Discontinuities!$A$4:$A$9664,A190,Discontinuities!$C$4:$C$9664,"&gt;="&amp;C190,Discontinuities!$C$4:$C$9664,"&lt;"&amp;D190)
-SUMIFS(Discontinuities!$D$4:$D$9664,Discontinuities!$A$4:$A$9664,A190,Discontinuities!$C$4:$C$9664,"&gt;="&amp;C190,Discontinuities!$C$4:$C$9664,"&lt;"&amp;D190,Discontinuities!$E$4:$E$9664,"=BC")
-SUMIFS(Discontinuities!$D$4:$D$9664,Discontinuities!$A$4:$A$9664,A190,Discontinuities!$C$4:$C$9664,"&gt;="&amp;C190,Discontinuities!$C$4:$C$9664,"&lt;"&amp;D190,Discontinuities!$E$4:$E$9664,"=LC")
-SUMIFS(Discontinuities!$D$4:$D$9664,Discontinuities!$A$4:$A$9664,A190,Discontinuities!$C$4:$C$9664,"&gt;="&amp;C190,Discontinuities!$C$4:$C$9664,"&lt;"&amp;D190,Discontinuities!$E$4:$E$9664,"=FLT")</f>
        <v>0</v>
      </c>
      <c r="AA190" s="12"/>
      <c r="AB190" s="43">
        <f>IFERROR(ROUND((Data_Geotech[[#This Row],[Fault (m)]]+Data_Geotech[[#This Row],[Broken Core (m)]]+Data_Geotech[[#This Row],[Lost Core (m)]])*30,0),0)</f>
        <v>0</v>
      </c>
      <c r="AC190" s="44">
        <f>IF(Data_Geotech[[#This Row],[Added fractures 
(BC, FLT, LC)]]+Data_Geotech[[#This Row],[Fracture per interval]]=0,99,1/((Data_Geotech[[#This Row],[Fracture per interval]]+Data_Geotech[[#This Row],[Added fractures 
(BC, FLT, LC)]])/Data_Geotech[[#This Row],[Run (m)]]))</f>
        <v>99</v>
      </c>
      <c r="AD190" s="155" t="str" cm="1">
        <f t="array" ref="AD190">IFERROR(_xlfn.XLOOKUP(1,(A190=PLT!$A$4:$A$8886)*(Geotech!C190&lt;=PLT!$F$4:$F$8886)*(Geotech!D190&gt;=PLT!$F$4:$F$8886)*("Valid"=PLT!$P$4:$P$8886),PLT!$V$4:$V$8886),"")</f>
        <v/>
      </c>
      <c r="AE190" s="156" t="str" cm="1">
        <f t="array" ref="AE190">IFERROR(_xlfn.XLOOKUP(1,(A190=PLT!$A$4:$A$8886)*(Geotech!C190&lt;=PLT!$F$4:$F$8886)*(Geotech!D190&gt;=PLT!$F$4:$F$8886)*(PLT!$V$4:$V$8886&lt;&gt;AD190)*("Valid"=PLT!$P$4:$P$7190),PLT!$V$4:$V$8886),"")</f>
        <v/>
      </c>
      <c r="AF190" s="156" t="str" cm="1">
        <f t="array" ref="AF190">IFERROR(_xlfn.XLOOKUP(1,(A190=PLT!$A$4:$A$8886)*(Geotech!C190&lt;=PLT!$F$4:$F$8886)*(Geotech!D190&gt;=PLT!$F$4:$F$8886)*(PLT!$V$4:$V$8886&lt;&gt;AD190)*(PLT!$V$4:$V$8886&lt;&gt;AE190)*("Valid"=PLT!$P$4:$P$7190),PLT!$V$4:$V$8886),"")</f>
        <v/>
      </c>
      <c r="AG190" s="44" t="str">
        <f>IFERROR(IF(AVERAGE(AD190:AF190)&gt;References!$BO$23,References!$BP$23,
IF(AVERAGE(AD190:AF190)&gt;References!$BO$22,References!$BP$22,
IF(AVERAGE(AD190:AF190)&gt;References!$BO$21,References!$BP$21,
IF(AVERAGE(AD190:AF190)&gt;References!$BO$20,References!$BP$20,
IF(AVERAGE(AD190:AF190)&gt;References!$BO$19,References!$BP$19,
IF(AVERAGE(AD190:AF190)&gt;References!$BO$18,References!$BP$18,
0)))))),"")</f>
        <v/>
      </c>
      <c r="AH190" s="43" t="e">
        <f>IF(Data_Geotech[[#This Row],[Is50]]="",VLOOKUP(Data_Geotech[[#This Row],[Field Intact Rock Strength]],Table_RMR76_Strength[],2,FALSE),Data_Geotech[[#This Row],[Is50]])</f>
        <v>#N/A</v>
      </c>
      <c r="AI190" s="43" t="e">
        <f>IF(Data_Geotech[[#This Row],[RQD (%)]]&lt;=25,3,IF(Data_Geotech[[#This Row],[RQD (%)]]&lt;=50,8,IF(Data_Geotech[[#This Row],[RQD (%)]]&lt;=75,13,IF(Data_Geotech[[#This Row],[RQD (%)]]&lt;=90,17,20))))</f>
        <v>#DIV/0!</v>
      </c>
      <c r="AJ190" s="43">
        <f>IF(Data_Geotech[[#This Row],[Joint spacing (m)]]&lt;=0.05,5,IF(Data_Geotech[[#This Row],[Joint spacing (m)]]&lt;=0.3,10,IF(Data_Geotech[[#This Row],[Joint spacing (m)]]&lt;=1,20,IF(Data_Geotech[[#This Row],[Joint spacing (m)]]&lt;=3,25,30))))</f>
        <v>30</v>
      </c>
      <c r="AK19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0" s="6">
        <v>10</v>
      </c>
      <c r="AM190" s="117" t="str">
        <f>IF(Data_Geotech[[#This Row],[FIRS Code]]="R",IFERROR(SUM(Data_Geotech[[#This Row],[RMR76 - Strength rating]:[RMR76 - Ground water rating]]),""),"")</f>
        <v/>
      </c>
      <c r="AN190" s="39" t="e">
        <f>IF(Data_Geotech[[#This Row],[FIRS Code]]="R",(2*Data_Geotech[[#This Row],[RMR76 - Joint condition rating]])+(IF(Data_Geotech[[#This Row],[RQD (%)]]&gt;80,80/2,Data_Geotech[[#This Row],[RQD (%)]]/2)),"")</f>
        <v>#DIV/0!</v>
      </c>
      <c r="AO190" s="43" t="e">
        <f>LEFT(Data_Geotech[[#This Row],[Joint Set Rating]],FIND("-",Data_Geotech[[#This Row],[Joint Set Rating]],1)-2)</f>
        <v>#VALUE!</v>
      </c>
      <c r="AP19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0" s="5">
        <f t="shared" si="0"/>
        <v>1</v>
      </c>
      <c r="AR190" s="49" t="str">
        <f>IF(Data_Geotech[[#This Row],[FIRS Code]]="R",IFERROR((IF(Data_Geotech[[#This Row],[RQD (%)]]&lt;10,10,Data_Geotech[[#This Row],[RQD (%)]])/Data_Geotech[[#This Row],[Jn rating]])*Data_Geotech[[#This Row],[Jr/Ja]],""),"")</f>
        <v/>
      </c>
      <c r="AS190" s="45" t="str">
        <f>IF(Data_Geotech[[#This Row],[FIRS Code]]="R",IFERROR((IF(Data_Geotech[[#This Row],[RQD (%)]]&lt;10,10,Data_Geotech[[#This Row],[RQD (%)]])/Data_Geotech[[#This Row],[Jn rating]])*Data_Geotech[[#This Row],[Jr/Ja]]*Data_Geotech[[#This Row],[Jw/SRF]],""),"")</f>
        <v/>
      </c>
      <c r="AT190" s="12"/>
      <c r="AU190" s="13" t="e">
        <f>100-Data_Geotech[[#This Row],[RQD (%)]]</f>
        <v>#DIV/0!</v>
      </c>
      <c r="AV190" s="13" t="e">
        <f>100-Data_Geotech[[#This Row],[TCR (%)]]</f>
        <v>#DIV/0!</v>
      </c>
      <c r="AW190" s="62" t="e">
        <f>(Data_Geotech[[#This Row],[Fracture per interval]]+Data_Geotech[[#This Row],[Added fractures 
(BC, FLT, LC)]])/Data_Geotech[[#This Row],[TCR (m)]]</f>
        <v>#DIV/0!</v>
      </c>
      <c r="AX190" s="6" t="s">
        <v>109</v>
      </c>
      <c r="AY190" s="63" t="e">
        <f>7-MID(Data_Geotech[[#This Row],[Field Intact Rock Strength]],2,1)</f>
        <v>#VALUE!</v>
      </c>
      <c r="AZ190" s="63" t="e">
        <f>VLOOKUP(Data_Geotech[[#This Row],[Field Intact Rock Strength]],Table_FieldStrength[],2,FALSE)</f>
        <v>#N/A</v>
      </c>
      <c r="BA190" s="63" t="e">
        <f>VLOOKUP(Data_Geotech[[#This Row],[Field Intact Rock Strength]],Table_FieldStrength[],3,FALSE)</f>
        <v>#N/A</v>
      </c>
      <c r="BB190" s="63" t="e">
        <f>VLOOKUP(Data_Geotech[[#This Row],[Field Intact Rock Strength]],Table_FieldStrength[],4,FALSE)</f>
        <v>#N/A</v>
      </c>
      <c r="BC190" s="63" t="e">
        <f>100-Data_Geotech[[#This Row],[RMR76]]</f>
        <v>#VALUE!</v>
      </c>
      <c r="BD190" s="63" t="e">
        <f>LEFT(Data_Geotech[[#This Row],[Weathering/Alteration]],FIND("-",Data_Geotech[[#This Row],[Weathering/Alteration]])-2)</f>
        <v>#VALUE!</v>
      </c>
    </row>
    <row r="191" spans="1:56" hidden="1" x14ac:dyDescent="0.25">
      <c r="B191" s="16" t="e">
        <f>VLOOKUP(Data_Geotech[[#This Row],[Hole ID]],Data_Log[],2,FALSE)</f>
        <v>#N/A</v>
      </c>
      <c r="C191" s="5"/>
      <c r="D191" s="5"/>
      <c r="E191" s="5">
        <f>(Data_Geotech[[#This Row],[To (m)]]-Data_Geotech[[#This Row],[From (m)]])/2+Data_Geotech[[#This Row],[From (m)]]</f>
        <v>0</v>
      </c>
      <c r="F191" s="13">
        <f>Data_Geotech[[#This Row],[To (m)]]-Data_Geotech[[#This Row],[From (m)]]</f>
        <v>0</v>
      </c>
      <c r="G191" s="5"/>
      <c r="H191" s="61" t="e">
        <f>Data_Geotech[[#This Row],[TCR (m)]]/Data_Geotech[[#This Row],[Run (m)]]*100</f>
        <v>#DIV/0!</v>
      </c>
      <c r="I191" s="151"/>
      <c r="J191" s="151"/>
      <c r="K191" s="5"/>
      <c r="L191" s="61" t="e">
        <f>Data_Geotech[[#This Row],[RQD (m)]]/Data_Geotech[[#This Row],[Run Reel (m)]]*100</f>
        <v>#DIV/0!</v>
      </c>
      <c r="P191" s="115"/>
      <c r="Q191" s="5"/>
      <c r="R191" s="5"/>
      <c r="S191" s="5"/>
      <c r="T191" s="5"/>
      <c r="U191" s="5"/>
      <c r="V191" s="6"/>
      <c r="W191" s="92">
        <f>SUMIFS(Discontinuities!$D$4:$D$9664,Discontinuities!$A$4:$A$9664,A191,Discontinuities!$C$4:$C$9664,"&gt;="&amp;C191,Discontinuities!$C$4:$C$9664,"&lt;"&amp;D191)
-SUMIFS(Discontinuities!$D$4:$D$9664,Discontinuities!$A$4:$A$9664,A191,Discontinuities!$C$4:$C$9664,"&gt;="&amp;C191,Discontinuities!$C$4:$C$9664,"&lt;"&amp;D191,Discontinuities!$E$4:$E$9664,"=BC")
-SUMIFS(Discontinuities!$D$4:$D$9664,Discontinuities!$A$4:$A$9664,A191,Discontinuities!$C$4:$C$9664,"&gt;="&amp;C191,Discontinuities!$C$4:$C$9664,"&lt;"&amp;D191,Discontinuities!$E$4:$E$9664,"=LC")
-SUMIFS(Discontinuities!$D$4:$D$9664,Discontinuities!$A$4:$A$9664,A191,Discontinuities!$C$4:$C$9664,"&gt;="&amp;C191,Discontinuities!$C$4:$C$9664,"&lt;"&amp;D191,Discontinuities!$E$4:$E$9664,"=FLT")</f>
        <v>0</v>
      </c>
      <c r="AA191" s="12"/>
      <c r="AB191" s="43">
        <f>IFERROR(ROUND((Data_Geotech[[#This Row],[Fault (m)]]+Data_Geotech[[#This Row],[Broken Core (m)]]+Data_Geotech[[#This Row],[Lost Core (m)]])*30,0),0)</f>
        <v>0</v>
      </c>
      <c r="AC191" s="44">
        <f>IF(Data_Geotech[[#This Row],[Added fractures 
(BC, FLT, LC)]]+Data_Geotech[[#This Row],[Fracture per interval]]=0,99,1/((Data_Geotech[[#This Row],[Fracture per interval]]+Data_Geotech[[#This Row],[Added fractures 
(BC, FLT, LC)]])/Data_Geotech[[#This Row],[Run (m)]]))</f>
        <v>99</v>
      </c>
      <c r="AD191" s="155" t="str" cm="1">
        <f t="array" ref="AD191">IFERROR(_xlfn.XLOOKUP(1,(A191=PLT!$A$4:$A$8886)*(Geotech!C191&lt;=PLT!$F$4:$F$8886)*(Geotech!D191&gt;=PLT!$F$4:$F$8886)*("Valid"=PLT!$P$4:$P$8886),PLT!$V$4:$V$8886),"")</f>
        <v/>
      </c>
      <c r="AE191" s="156" t="str" cm="1">
        <f t="array" ref="AE191">IFERROR(_xlfn.XLOOKUP(1,(A191=PLT!$A$4:$A$8886)*(Geotech!C191&lt;=PLT!$F$4:$F$8886)*(Geotech!D191&gt;=PLT!$F$4:$F$8886)*(PLT!$V$4:$V$8886&lt;&gt;AD191)*("Valid"=PLT!$P$4:$P$7190),PLT!$V$4:$V$8886),"")</f>
        <v/>
      </c>
      <c r="AF191" s="156" t="str" cm="1">
        <f t="array" ref="AF191">IFERROR(_xlfn.XLOOKUP(1,(A191=PLT!$A$4:$A$8886)*(Geotech!C191&lt;=PLT!$F$4:$F$8886)*(Geotech!D191&gt;=PLT!$F$4:$F$8886)*(PLT!$V$4:$V$8886&lt;&gt;AD191)*(PLT!$V$4:$V$8886&lt;&gt;AE191)*("Valid"=PLT!$P$4:$P$7190),PLT!$V$4:$V$8886),"")</f>
        <v/>
      </c>
      <c r="AG191" s="44" t="str">
        <f>IFERROR(IF(AVERAGE(AD191:AF191)&gt;References!$BO$23,References!$BP$23,
IF(AVERAGE(AD191:AF191)&gt;References!$BO$22,References!$BP$22,
IF(AVERAGE(AD191:AF191)&gt;References!$BO$21,References!$BP$21,
IF(AVERAGE(AD191:AF191)&gt;References!$BO$20,References!$BP$20,
IF(AVERAGE(AD191:AF191)&gt;References!$BO$19,References!$BP$19,
IF(AVERAGE(AD191:AF191)&gt;References!$BO$18,References!$BP$18,
0)))))),"")</f>
        <v/>
      </c>
      <c r="AH191" s="43" t="e">
        <f>IF(Data_Geotech[[#This Row],[Is50]]="",VLOOKUP(Data_Geotech[[#This Row],[Field Intact Rock Strength]],Table_RMR76_Strength[],2,FALSE),Data_Geotech[[#This Row],[Is50]])</f>
        <v>#N/A</v>
      </c>
      <c r="AI191" s="43" t="e">
        <f>IF(Data_Geotech[[#This Row],[RQD (%)]]&lt;=25,3,IF(Data_Geotech[[#This Row],[RQD (%)]]&lt;=50,8,IF(Data_Geotech[[#This Row],[RQD (%)]]&lt;=75,13,IF(Data_Geotech[[#This Row],[RQD (%)]]&lt;=90,17,20))))</f>
        <v>#DIV/0!</v>
      </c>
      <c r="AJ191" s="43">
        <f>IF(Data_Geotech[[#This Row],[Joint spacing (m)]]&lt;=0.05,5,IF(Data_Geotech[[#This Row],[Joint spacing (m)]]&lt;=0.3,10,IF(Data_Geotech[[#This Row],[Joint spacing (m)]]&lt;=1,20,IF(Data_Geotech[[#This Row],[Joint spacing (m)]]&lt;=3,25,30))))</f>
        <v>30</v>
      </c>
      <c r="AK19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1" s="6">
        <v>10</v>
      </c>
      <c r="AM191" s="117" t="str">
        <f>IF(Data_Geotech[[#This Row],[FIRS Code]]="R",IFERROR(SUM(Data_Geotech[[#This Row],[RMR76 - Strength rating]:[RMR76 - Ground water rating]]),""),"")</f>
        <v/>
      </c>
      <c r="AN191" s="39" t="e">
        <f>IF(Data_Geotech[[#This Row],[FIRS Code]]="R",(2*Data_Geotech[[#This Row],[RMR76 - Joint condition rating]])+(IF(Data_Geotech[[#This Row],[RQD (%)]]&gt;80,80/2,Data_Geotech[[#This Row],[RQD (%)]]/2)),"")</f>
        <v>#DIV/0!</v>
      </c>
      <c r="AO191" s="43" t="e">
        <f>LEFT(Data_Geotech[[#This Row],[Joint Set Rating]],FIND("-",Data_Geotech[[#This Row],[Joint Set Rating]],1)-2)</f>
        <v>#VALUE!</v>
      </c>
      <c r="AP19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1" s="5">
        <f t="shared" si="0"/>
        <v>1</v>
      </c>
      <c r="AR191" s="49" t="str">
        <f>IF(Data_Geotech[[#This Row],[FIRS Code]]="R",IFERROR((IF(Data_Geotech[[#This Row],[RQD (%)]]&lt;10,10,Data_Geotech[[#This Row],[RQD (%)]])/Data_Geotech[[#This Row],[Jn rating]])*Data_Geotech[[#This Row],[Jr/Ja]],""),"")</f>
        <v/>
      </c>
      <c r="AS191" s="45" t="str">
        <f>IF(Data_Geotech[[#This Row],[FIRS Code]]="R",IFERROR((IF(Data_Geotech[[#This Row],[RQD (%)]]&lt;10,10,Data_Geotech[[#This Row],[RQD (%)]])/Data_Geotech[[#This Row],[Jn rating]])*Data_Geotech[[#This Row],[Jr/Ja]]*Data_Geotech[[#This Row],[Jw/SRF]],""),"")</f>
        <v/>
      </c>
      <c r="AT191" s="12"/>
      <c r="AU191" s="13" t="e">
        <f>100-Data_Geotech[[#This Row],[RQD (%)]]</f>
        <v>#DIV/0!</v>
      </c>
      <c r="AV191" s="13" t="e">
        <f>100-Data_Geotech[[#This Row],[TCR (%)]]</f>
        <v>#DIV/0!</v>
      </c>
      <c r="AW191" s="62" t="e">
        <f>(Data_Geotech[[#This Row],[Fracture per interval]]+Data_Geotech[[#This Row],[Added fractures 
(BC, FLT, LC)]])/Data_Geotech[[#This Row],[TCR (m)]]</f>
        <v>#DIV/0!</v>
      </c>
      <c r="AX191" s="6" t="s">
        <v>109</v>
      </c>
      <c r="AY191" s="63" t="e">
        <f>7-MID(Data_Geotech[[#This Row],[Field Intact Rock Strength]],2,1)</f>
        <v>#VALUE!</v>
      </c>
      <c r="AZ191" s="63" t="e">
        <f>VLOOKUP(Data_Geotech[[#This Row],[Field Intact Rock Strength]],Table_FieldStrength[],2,FALSE)</f>
        <v>#N/A</v>
      </c>
      <c r="BA191" s="63" t="e">
        <f>VLOOKUP(Data_Geotech[[#This Row],[Field Intact Rock Strength]],Table_FieldStrength[],3,FALSE)</f>
        <v>#N/A</v>
      </c>
      <c r="BB191" s="63" t="e">
        <f>VLOOKUP(Data_Geotech[[#This Row],[Field Intact Rock Strength]],Table_FieldStrength[],4,FALSE)</f>
        <v>#N/A</v>
      </c>
      <c r="BC191" s="63" t="e">
        <f>100-Data_Geotech[[#This Row],[RMR76]]</f>
        <v>#VALUE!</v>
      </c>
      <c r="BD191" s="63" t="e">
        <f>LEFT(Data_Geotech[[#This Row],[Weathering/Alteration]],FIND("-",Data_Geotech[[#This Row],[Weathering/Alteration]])-2)</f>
        <v>#VALUE!</v>
      </c>
    </row>
    <row r="192" spans="1:56" hidden="1" x14ac:dyDescent="0.25">
      <c r="B192" s="16" t="e">
        <f>VLOOKUP(Data_Geotech[[#This Row],[Hole ID]],Data_Log[],2,FALSE)</f>
        <v>#N/A</v>
      </c>
      <c r="C192" s="5"/>
      <c r="D192" s="5"/>
      <c r="E192" s="5">
        <f>(Data_Geotech[[#This Row],[To (m)]]-Data_Geotech[[#This Row],[From (m)]])/2+Data_Geotech[[#This Row],[From (m)]]</f>
        <v>0</v>
      </c>
      <c r="F192" s="13">
        <f>Data_Geotech[[#This Row],[To (m)]]-Data_Geotech[[#This Row],[From (m)]]</f>
        <v>0</v>
      </c>
      <c r="G192" s="5"/>
      <c r="H192" s="61" t="e">
        <f>Data_Geotech[[#This Row],[TCR (m)]]/Data_Geotech[[#This Row],[Run (m)]]*100</f>
        <v>#DIV/0!</v>
      </c>
      <c r="I192" s="151"/>
      <c r="J192" s="151"/>
      <c r="K192" s="5"/>
      <c r="L192" s="61" t="e">
        <f>Data_Geotech[[#This Row],[RQD (m)]]/Data_Geotech[[#This Row],[Run Reel (m)]]*100</f>
        <v>#DIV/0!</v>
      </c>
      <c r="P192" s="115"/>
      <c r="Q192" s="5"/>
      <c r="R192" s="5"/>
      <c r="S192" s="5"/>
      <c r="T192" s="5"/>
      <c r="U192" s="5"/>
      <c r="V192" s="6"/>
      <c r="W192" s="92">
        <f>SUMIFS(Discontinuities!$D$4:$D$9664,Discontinuities!$A$4:$A$9664,A192,Discontinuities!$C$4:$C$9664,"&gt;="&amp;C192,Discontinuities!$C$4:$C$9664,"&lt;"&amp;D192)
-SUMIFS(Discontinuities!$D$4:$D$9664,Discontinuities!$A$4:$A$9664,A192,Discontinuities!$C$4:$C$9664,"&gt;="&amp;C192,Discontinuities!$C$4:$C$9664,"&lt;"&amp;D192,Discontinuities!$E$4:$E$9664,"=BC")
-SUMIFS(Discontinuities!$D$4:$D$9664,Discontinuities!$A$4:$A$9664,A192,Discontinuities!$C$4:$C$9664,"&gt;="&amp;C192,Discontinuities!$C$4:$C$9664,"&lt;"&amp;D192,Discontinuities!$E$4:$E$9664,"=LC")
-SUMIFS(Discontinuities!$D$4:$D$9664,Discontinuities!$A$4:$A$9664,A192,Discontinuities!$C$4:$C$9664,"&gt;="&amp;C192,Discontinuities!$C$4:$C$9664,"&lt;"&amp;D192,Discontinuities!$E$4:$E$9664,"=FLT")</f>
        <v>0</v>
      </c>
      <c r="AA192" s="12"/>
      <c r="AB192" s="43">
        <f>IFERROR(ROUND((Data_Geotech[[#This Row],[Fault (m)]]+Data_Geotech[[#This Row],[Broken Core (m)]]+Data_Geotech[[#This Row],[Lost Core (m)]])*30,0),0)</f>
        <v>0</v>
      </c>
      <c r="AC192" s="44">
        <f>IF(Data_Geotech[[#This Row],[Added fractures 
(BC, FLT, LC)]]+Data_Geotech[[#This Row],[Fracture per interval]]=0,99,1/((Data_Geotech[[#This Row],[Fracture per interval]]+Data_Geotech[[#This Row],[Added fractures 
(BC, FLT, LC)]])/Data_Geotech[[#This Row],[Run (m)]]))</f>
        <v>99</v>
      </c>
      <c r="AD192" s="155" t="str" cm="1">
        <f t="array" ref="AD192">IFERROR(_xlfn.XLOOKUP(1,(A192=PLT!$A$4:$A$8886)*(Geotech!C192&lt;=PLT!$F$4:$F$8886)*(Geotech!D192&gt;=PLT!$F$4:$F$8886)*("Valid"=PLT!$P$4:$P$8886),PLT!$V$4:$V$8886),"")</f>
        <v/>
      </c>
      <c r="AE192" s="156" t="str" cm="1">
        <f t="array" ref="AE192">IFERROR(_xlfn.XLOOKUP(1,(A192=PLT!$A$4:$A$8886)*(Geotech!C192&lt;=PLT!$F$4:$F$8886)*(Geotech!D192&gt;=PLT!$F$4:$F$8886)*(PLT!$V$4:$V$8886&lt;&gt;AD192)*("Valid"=PLT!$P$4:$P$7190),PLT!$V$4:$V$8886),"")</f>
        <v/>
      </c>
      <c r="AF192" s="156" t="str" cm="1">
        <f t="array" ref="AF192">IFERROR(_xlfn.XLOOKUP(1,(A192=PLT!$A$4:$A$8886)*(Geotech!C192&lt;=PLT!$F$4:$F$8886)*(Geotech!D192&gt;=PLT!$F$4:$F$8886)*(PLT!$V$4:$V$8886&lt;&gt;AD192)*(PLT!$V$4:$V$8886&lt;&gt;AE192)*("Valid"=PLT!$P$4:$P$7190),PLT!$V$4:$V$8886),"")</f>
        <v/>
      </c>
      <c r="AG192" s="44" t="str">
        <f>IFERROR(IF(AVERAGE(AD192:AF192)&gt;References!$BO$23,References!$BP$23,
IF(AVERAGE(AD192:AF192)&gt;References!$BO$22,References!$BP$22,
IF(AVERAGE(AD192:AF192)&gt;References!$BO$21,References!$BP$21,
IF(AVERAGE(AD192:AF192)&gt;References!$BO$20,References!$BP$20,
IF(AVERAGE(AD192:AF192)&gt;References!$BO$19,References!$BP$19,
IF(AVERAGE(AD192:AF192)&gt;References!$BO$18,References!$BP$18,
0)))))),"")</f>
        <v/>
      </c>
      <c r="AH192" s="43" t="e">
        <f>IF(Data_Geotech[[#This Row],[Is50]]="",VLOOKUP(Data_Geotech[[#This Row],[Field Intact Rock Strength]],Table_RMR76_Strength[],2,FALSE),Data_Geotech[[#This Row],[Is50]])</f>
        <v>#N/A</v>
      </c>
      <c r="AI192" s="43" t="e">
        <f>IF(Data_Geotech[[#This Row],[RQD (%)]]&lt;=25,3,IF(Data_Geotech[[#This Row],[RQD (%)]]&lt;=50,8,IF(Data_Geotech[[#This Row],[RQD (%)]]&lt;=75,13,IF(Data_Geotech[[#This Row],[RQD (%)]]&lt;=90,17,20))))</f>
        <v>#DIV/0!</v>
      </c>
      <c r="AJ192" s="43">
        <f>IF(Data_Geotech[[#This Row],[Joint spacing (m)]]&lt;=0.05,5,IF(Data_Geotech[[#This Row],[Joint spacing (m)]]&lt;=0.3,10,IF(Data_Geotech[[#This Row],[Joint spacing (m)]]&lt;=1,20,IF(Data_Geotech[[#This Row],[Joint spacing (m)]]&lt;=3,25,30))))</f>
        <v>30</v>
      </c>
      <c r="AK19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2" s="6">
        <v>10</v>
      </c>
      <c r="AM192" s="117" t="str">
        <f>IF(Data_Geotech[[#This Row],[FIRS Code]]="R",IFERROR(SUM(Data_Geotech[[#This Row],[RMR76 - Strength rating]:[RMR76 - Ground water rating]]),""),"")</f>
        <v/>
      </c>
      <c r="AN192" s="39" t="e">
        <f>IF(Data_Geotech[[#This Row],[FIRS Code]]="R",(2*Data_Geotech[[#This Row],[RMR76 - Joint condition rating]])+(IF(Data_Geotech[[#This Row],[RQD (%)]]&gt;80,80/2,Data_Geotech[[#This Row],[RQD (%)]]/2)),"")</f>
        <v>#DIV/0!</v>
      </c>
      <c r="AO192" s="43" t="e">
        <f>LEFT(Data_Geotech[[#This Row],[Joint Set Rating]],FIND("-",Data_Geotech[[#This Row],[Joint Set Rating]],1)-2)</f>
        <v>#VALUE!</v>
      </c>
      <c r="AP19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2" s="5">
        <f t="shared" si="0"/>
        <v>1</v>
      </c>
      <c r="AR192" s="49" t="str">
        <f>IF(Data_Geotech[[#This Row],[FIRS Code]]="R",IFERROR((IF(Data_Geotech[[#This Row],[RQD (%)]]&lt;10,10,Data_Geotech[[#This Row],[RQD (%)]])/Data_Geotech[[#This Row],[Jn rating]])*Data_Geotech[[#This Row],[Jr/Ja]],""),"")</f>
        <v/>
      </c>
      <c r="AS192" s="45" t="str">
        <f>IF(Data_Geotech[[#This Row],[FIRS Code]]="R",IFERROR((IF(Data_Geotech[[#This Row],[RQD (%)]]&lt;10,10,Data_Geotech[[#This Row],[RQD (%)]])/Data_Geotech[[#This Row],[Jn rating]])*Data_Geotech[[#This Row],[Jr/Ja]]*Data_Geotech[[#This Row],[Jw/SRF]],""),"")</f>
        <v/>
      </c>
      <c r="AT192" s="12"/>
      <c r="AU192" s="13" t="e">
        <f>100-Data_Geotech[[#This Row],[RQD (%)]]</f>
        <v>#DIV/0!</v>
      </c>
      <c r="AV192" s="13" t="e">
        <f>100-Data_Geotech[[#This Row],[TCR (%)]]</f>
        <v>#DIV/0!</v>
      </c>
      <c r="AW192" s="62" t="e">
        <f>(Data_Geotech[[#This Row],[Fracture per interval]]+Data_Geotech[[#This Row],[Added fractures 
(BC, FLT, LC)]])/Data_Geotech[[#This Row],[TCR (m)]]</f>
        <v>#DIV/0!</v>
      </c>
      <c r="AX192" s="6" t="s">
        <v>109</v>
      </c>
      <c r="AY192" s="63" t="e">
        <f>7-MID(Data_Geotech[[#This Row],[Field Intact Rock Strength]],2,1)</f>
        <v>#VALUE!</v>
      </c>
      <c r="AZ192" s="63" t="e">
        <f>VLOOKUP(Data_Geotech[[#This Row],[Field Intact Rock Strength]],Table_FieldStrength[],2,FALSE)</f>
        <v>#N/A</v>
      </c>
      <c r="BA192" s="63" t="e">
        <f>VLOOKUP(Data_Geotech[[#This Row],[Field Intact Rock Strength]],Table_FieldStrength[],3,FALSE)</f>
        <v>#N/A</v>
      </c>
      <c r="BB192" s="63" t="e">
        <f>VLOOKUP(Data_Geotech[[#This Row],[Field Intact Rock Strength]],Table_FieldStrength[],4,FALSE)</f>
        <v>#N/A</v>
      </c>
      <c r="BC192" s="63" t="e">
        <f>100-Data_Geotech[[#This Row],[RMR76]]</f>
        <v>#VALUE!</v>
      </c>
      <c r="BD192" s="63" t="e">
        <f>LEFT(Data_Geotech[[#This Row],[Weathering/Alteration]],FIND("-",Data_Geotech[[#This Row],[Weathering/Alteration]])-2)</f>
        <v>#VALUE!</v>
      </c>
    </row>
    <row r="193" spans="2:56" hidden="1" x14ac:dyDescent="0.25">
      <c r="B193" s="16" t="e">
        <f>VLOOKUP(Data_Geotech[[#This Row],[Hole ID]],Data_Log[],2,FALSE)</f>
        <v>#N/A</v>
      </c>
      <c r="C193" s="5"/>
      <c r="D193" s="5"/>
      <c r="E193" s="5">
        <f>(Data_Geotech[[#This Row],[To (m)]]-Data_Geotech[[#This Row],[From (m)]])/2+Data_Geotech[[#This Row],[From (m)]]</f>
        <v>0</v>
      </c>
      <c r="F193" s="13">
        <f>Data_Geotech[[#This Row],[To (m)]]-Data_Geotech[[#This Row],[From (m)]]</f>
        <v>0</v>
      </c>
      <c r="G193" s="5"/>
      <c r="H193" s="61" t="e">
        <f>Data_Geotech[[#This Row],[TCR (m)]]/Data_Geotech[[#This Row],[Run (m)]]*100</f>
        <v>#DIV/0!</v>
      </c>
      <c r="I193" s="151"/>
      <c r="J193" s="151"/>
      <c r="K193" s="5"/>
      <c r="L193" s="61" t="e">
        <f>Data_Geotech[[#This Row],[RQD (m)]]/Data_Geotech[[#This Row],[Run Reel (m)]]*100</f>
        <v>#DIV/0!</v>
      </c>
      <c r="P193" s="115"/>
      <c r="Q193" s="5"/>
      <c r="R193" s="5"/>
      <c r="S193" s="5"/>
      <c r="T193" s="5"/>
      <c r="U193" s="5"/>
      <c r="V193" s="6"/>
      <c r="W193" s="92">
        <f>SUMIFS(Discontinuities!$D$4:$D$9664,Discontinuities!$A$4:$A$9664,A193,Discontinuities!$C$4:$C$9664,"&gt;="&amp;C193,Discontinuities!$C$4:$C$9664,"&lt;"&amp;D193)
-SUMIFS(Discontinuities!$D$4:$D$9664,Discontinuities!$A$4:$A$9664,A193,Discontinuities!$C$4:$C$9664,"&gt;="&amp;C193,Discontinuities!$C$4:$C$9664,"&lt;"&amp;D193,Discontinuities!$E$4:$E$9664,"=BC")
-SUMIFS(Discontinuities!$D$4:$D$9664,Discontinuities!$A$4:$A$9664,A193,Discontinuities!$C$4:$C$9664,"&gt;="&amp;C193,Discontinuities!$C$4:$C$9664,"&lt;"&amp;D193,Discontinuities!$E$4:$E$9664,"=LC")
-SUMIFS(Discontinuities!$D$4:$D$9664,Discontinuities!$A$4:$A$9664,A193,Discontinuities!$C$4:$C$9664,"&gt;="&amp;C193,Discontinuities!$C$4:$C$9664,"&lt;"&amp;D193,Discontinuities!$E$4:$E$9664,"=FLT")</f>
        <v>0</v>
      </c>
      <c r="AA193" s="12"/>
      <c r="AB193" s="43">
        <f>IFERROR(ROUND((Data_Geotech[[#This Row],[Fault (m)]]+Data_Geotech[[#This Row],[Broken Core (m)]]+Data_Geotech[[#This Row],[Lost Core (m)]])*30,0),0)</f>
        <v>0</v>
      </c>
      <c r="AC193" s="44">
        <f>IF(Data_Geotech[[#This Row],[Added fractures 
(BC, FLT, LC)]]+Data_Geotech[[#This Row],[Fracture per interval]]=0,99,1/((Data_Geotech[[#This Row],[Fracture per interval]]+Data_Geotech[[#This Row],[Added fractures 
(BC, FLT, LC)]])/Data_Geotech[[#This Row],[Run (m)]]))</f>
        <v>99</v>
      </c>
      <c r="AD193" s="155" t="str" cm="1">
        <f t="array" ref="AD193">IFERROR(_xlfn.XLOOKUP(1,(A193=PLT!$A$4:$A$8886)*(Geotech!C193&lt;=PLT!$F$4:$F$8886)*(Geotech!D193&gt;=PLT!$F$4:$F$8886)*("Valid"=PLT!$P$4:$P$8886),PLT!$V$4:$V$8886),"")</f>
        <v/>
      </c>
      <c r="AE193" s="156" t="str" cm="1">
        <f t="array" ref="AE193">IFERROR(_xlfn.XLOOKUP(1,(A193=PLT!$A$4:$A$8886)*(Geotech!C193&lt;=PLT!$F$4:$F$8886)*(Geotech!D193&gt;=PLT!$F$4:$F$8886)*(PLT!$V$4:$V$8886&lt;&gt;AD193)*("Valid"=PLT!$P$4:$P$7190),PLT!$V$4:$V$8886),"")</f>
        <v/>
      </c>
      <c r="AF193" s="156" t="str" cm="1">
        <f t="array" ref="AF193">IFERROR(_xlfn.XLOOKUP(1,(A193=PLT!$A$4:$A$8886)*(Geotech!C193&lt;=PLT!$F$4:$F$8886)*(Geotech!D193&gt;=PLT!$F$4:$F$8886)*(PLT!$V$4:$V$8886&lt;&gt;AD193)*(PLT!$V$4:$V$8886&lt;&gt;AE193)*("Valid"=PLT!$P$4:$P$7190),PLT!$V$4:$V$8886),"")</f>
        <v/>
      </c>
      <c r="AG193" s="44" t="str">
        <f>IFERROR(IF(AVERAGE(AD193:AF193)&gt;References!$BO$23,References!$BP$23,
IF(AVERAGE(AD193:AF193)&gt;References!$BO$22,References!$BP$22,
IF(AVERAGE(AD193:AF193)&gt;References!$BO$21,References!$BP$21,
IF(AVERAGE(AD193:AF193)&gt;References!$BO$20,References!$BP$20,
IF(AVERAGE(AD193:AF193)&gt;References!$BO$19,References!$BP$19,
IF(AVERAGE(AD193:AF193)&gt;References!$BO$18,References!$BP$18,
0)))))),"")</f>
        <v/>
      </c>
      <c r="AH193" s="43" t="e">
        <f>IF(Data_Geotech[[#This Row],[Is50]]="",VLOOKUP(Data_Geotech[[#This Row],[Field Intact Rock Strength]],Table_RMR76_Strength[],2,FALSE),Data_Geotech[[#This Row],[Is50]])</f>
        <v>#N/A</v>
      </c>
      <c r="AI193" s="43" t="e">
        <f>IF(Data_Geotech[[#This Row],[RQD (%)]]&lt;=25,3,IF(Data_Geotech[[#This Row],[RQD (%)]]&lt;=50,8,IF(Data_Geotech[[#This Row],[RQD (%)]]&lt;=75,13,IF(Data_Geotech[[#This Row],[RQD (%)]]&lt;=90,17,20))))</f>
        <v>#DIV/0!</v>
      </c>
      <c r="AJ193" s="43">
        <f>IF(Data_Geotech[[#This Row],[Joint spacing (m)]]&lt;=0.05,5,IF(Data_Geotech[[#This Row],[Joint spacing (m)]]&lt;=0.3,10,IF(Data_Geotech[[#This Row],[Joint spacing (m)]]&lt;=1,20,IF(Data_Geotech[[#This Row],[Joint spacing (m)]]&lt;=3,25,30))))</f>
        <v>30</v>
      </c>
      <c r="AK19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3" s="6">
        <v>10</v>
      </c>
      <c r="AM193" s="117" t="str">
        <f>IF(Data_Geotech[[#This Row],[FIRS Code]]="R",IFERROR(SUM(Data_Geotech[[#This Row],[RMR76 - Strength rating]:[RMR76 - Ground water rating]]),""),"")</f>
        <v/>
      </c>
      <c r="AN193" s="39" t="e">
        <f>IF(Data_Geotech[[#This Row],[FIRS Code]]="R",(2*Data_Geotech[[#This Row],[RMR76 - Joint condition rating]])+(IF(Data_Geotech[[#This Row],[RQD (%)]]&gt;80,80/2,Data_Geotech[[#This Row],[RQD (%)]]/2)),"")</f>
        <v>#DIV/0!</v>
      </c>
      <c r="AO193" s="43" t="e">
        <f>LEFT(Data_Geotech[[#This Row],[Joint Set Rating]],FIND("-",Data_Geotech[[#This Row],[Joint Set Rating]],1)-2)</f>
        <v>#VALUE!</v>
      </c>
      <c r="AP19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3" s="5">
        <f t="shared" si="0"/>
        <v>1</v>
      </c>
      <c r="AR193" s="49" t="str">
        <f>IF(Data_Geotech[[#This Row],[FIRS Code]]="R",IFERROR((IF(Data_Geotech[[#This Row],[RQD (%)]]&lt;10,10,Data_Geotech[[#This Row],[RQD (%)]])/Data_Geotech[[#This Row],[Jn rating]])*Data_Geotech[[#This Row],[Jr/Ja]],""),"")</f>
        <v/>
      </c>
      <c r="AS193" s="45" t="str">
        <f>IF(Data_Geotech[[#This Row],[FIRS Code]]="R",IFERROR((IF(Data_Geotech[[#This Row],[RQD (%)]]&lt;10,10,Data_Geotech[[#This Row],[RQD (%)]])/Data_Geotech[[#This Row],[Jn rating]])*Data_Geotech[[#This Row],[Jr/Ja]]*Data_Geotech[[#This Row],[Jw/SRF]],""),"")</f>
        <v/>
      </c>
      <c r="AT193" s="12"/>
      <c r="AU193" s="13" t="e">
        <f>100-Data_Geotech[[#This Row],[RQD (%)]]</f>
        <v>#DIV/0!</v>
      </c>
      <c r="AV193" s="13" t="e">
        <f>100-Data_Geotech[[#This Row],[TCR (%)]]</f>
        <v>#DIV/0!</v>
      </c>
      <c r="AW193" s="62" t="e">
        <f>(Data_Geotech[[#This Row],[Fracture per interval]]+Data_Geotech[[#This Row],[Added fractures 
(BC, FLT, LC)]])/Data_Geotech[[#This Row],[TCR (m)]]</f>
        <v>#DIV/0!</v>
      </c>
      <c r="AX193" s="6" t="s">
        <v>109</v>
      </c>
      <c r="AY193" s="63" t="e">
        <f>7-MID(Data_Geotech[[#This Row],[Field Intact Rock Strength]],2,1)</f>
        <v>#VALUE!</v>
      </c>
      <c r="AZ193" s="63" t="e">
        <f>VLOOKUP(Data_Geotech[[#This Row],[Field Intact Rock Strength]],Table_FieldStrength[],2,FALSE)</f>
        <v>#N/A</v>
      </c>
      <c r="BA193" s="63" t="e">
        <f>VLOOKUP(Data_Geotech[[#This Row],[Field Intact Rock Strength]],Table_FieldStrength[],3,FALSE)</f>
        <v>#N/A</v>
      </c>
      <c r="BB193" s="63" t="e">
        <f>VLOOKUP(Data_Geotech[[#This Row],[Field Intact Rock Strength]],Table_FieldStrength[],4,FALSE)</f>
        <v>#N/A</v>
      </c>
      <c r="BC193" s="63" t="e">
        <f>100-Data_Geotech[[#This Row],[RMR76]]</f>
        <v>#VALUE!</v>
      </c>
      <c r="BD193" s="63" t="e">
        <f>LEFT(Data_Geotech[[#This Row],[Weathering/Alteration]],FIND("-",Data_Geotech[[#This Row],[Weathering/Alteration]])-2)</f>
        <v>#VALUE!</v>
      </c>
    </row>
    <row r="194" spans="2:56" hidden="1" x14ac:dyDescent="0.25">
      <c r="B194" s="16" t="e">
        <f>VLOOKUP(Data_Geotech[[#This Row],[Hole ID]],Data_Log[],2,FALSE)</f>
        <v>#N/A</v>
      </c>
      <c r="C194" s="5"/>
      <c r="D194" s="5"/>
      <c r="E194" s="5">
        <f>(Data_Geotech[[#This Row],[To (m)]]-Data_Geotech[[#This Row],[From (m)]])/2+Data_Geotech[[#This Row],[From (m)]]</f>
        <v>0</v>
      </c>
      <c r="F194" s="13">
        <f>Data_Geotech[[#This Row],[To (m)]]-Data_Geotech[[#This Row],[From (m)]]</f>
        <v>0</v>
      </c>
      <c r="G194" s="5"/>
      <c r="H194" s="61" t="e">
        <f>Data_Geotech[[#This Row],[TCR (m)]]/Data_Geotech[[#This Row],[Run (m)]]*100</f>
        <v>#DIV/0!</v>
      </c>
      <c r="I194" s="151"/>
      <c r="J194" s="151"/>
      <c r="K194" s="5"/>
      <c r="L194" s="61" t="e">
        <f>Data_Geotech[[#This Row],[RQD (m)]]/Data_Geotech[[#This Row],[Run Reel (m)]]*100</f>
        <v>#DIV/0!</v>
      </c>
      <c r="P194" s="115"/>
      <c r="Q194" s="5"/>
      <c r="R194" s="5"/>
      <c r="S194" s="5"/>
      <c r="T194" s="5"/>
      <c r="U194" s="5"/>
      <c r="V194" s="6"/>
      <c r="W194" s="92">
        <f>SUMIFS(Discontinuities!$D$4:$D$9664,Discontinuities!$A$4:$A$9664,A194,Discontinuities!$C$4:$C$9664,"&gt;="&amp;C194,Discontinuities!$C$4:$C$9664,"&lt;"&amp;D194)
-SUMIFS(Discontinuities!$D$4:$D$9664,Discontinuities!$A$4:$A$9664,A194,Discontinuities!$C$4:$C$9664,"&gt;="&amp;C194,Discontinuities!$C$4:$C$9664,"&lt;"&amp;D194,Discontinuities!$E$4:$E$9664,"=BC")
-SUMIFS(Discontinuities!$D$4:$D$9664,Discontinuities!$A$4:$A$9664,A194,Discontinuities!$C$4:$C$9664,"&gt;="&amp;C194,Discontinuities!$C$4:$C$9664,"&lt;"&amp;D194,Discontinuities!$E$4:$E$9664,"=LC")
-SUMIFS(Discontinuities!$D$4:$D$9664,Discontinuities!$A$4:$A$9664,A194,Discontinuities!$C$4:$C$9664,"&gt;="&amp;C194,Discontinuities!$C$4:$C$9664,"&lt;"&amp;D194,Discontinuities!$E$4:$E$9664,"=FLT")</f>
        <v>0</v>
      </c>
      <c r="AA194" s="12"/>
      <c r="AB194" s="43">
        <f>IFERROR(ROUND((Data_Geotech[[#This Row],[Fault (m)]]+Data_Geotech[[#This Row],[Broken Core (m)]]+Data_Geotech[[#This Row],[Lost Core (m)]])*30,0),0)</f>
        <v>0</v>
      </c>
      <c r="AC194" s="44">
        <f>IF(Data_Geotech[[#This Row],[Added fractures 
(BC, FLT, LC)]]+Data_Geotech[[#This Row],[Fracture per interval]]=0,99,1/((Data_Geotech[[#This Row],[Fracture per interval]]+Data_Geotech[[#This Row],[Added fractures 
(BC, FLT, LC)]])/Data_Geotech[[#This Row],[Run (m)]]))</f>
        <v>99</v>
      </c>
      <c r="AD194" s="155" t="str" cm="1">
        <f t="array" ref="AD194">IFERROR(_xlfn.XLOOKUP(1,(A194=PLT!$A$4:$A$8886)*(Geotech!C194&lt;=PLT!$F$4:$F$8886)*(Geotech!D194&gt;=PLT!$F$4:$F$8886)*("Valid"=PLT!$P$4:$P$8886),PLT!$V$4:$V$8886),"")</f>
        <v/>
      </c>
      <c r="AE194" s="156" t="str" cm="1">
        <f t="array" ref="AE194">IFERROR(_xlfn.XLOOKUP(1,(A194=PLT!$A$4:$A$8886)*(Geotech!C194&lt;=PLT!$F$4:$F$8886)*(Geotech!D194&gt;=PLT!$F$4:$F$8886)*(PLT!$V$4:$V$8886&lt;&gt;AD194)*("Valid"=PLT!$P$4:$P$7190),PLT!$V$4:$V$8886),"")</f>
        <v/>
      </c>
      <c r="AF194" s="156" t="str" cm="1">
        <f t="array" ref="AF194">IFERROR(_xlfn.XLOOKUP(1,(A194=PLT!$A$4:$A$8886)*(Geotech!C194&lt;=PLT!$F$4:$F$8886)*(Geotech!D194&gt;=PLT!$F$4:$F$8886)*(PLT!$V$4:$V$8886&lt;&gt;AD194)*(PLT!$V$4:$V$8886&lt;&gt;AE194)*("Valid"=PLT!$P$4:$P$7190),PLT!$V$4:$V$8886),"")</f>
        <v/>
      </c>
      <c r="AG194" s="44" t="str">
        <f>IFERROR(IF(AVERAGE(AD194:AF194)&gt;References!$BO$23,References!$BP$23,
IF(AVERAGE(AD194:AF194)&gt;References!$BO$22,References!$BP$22,
IF(AVERAGE(AD194:AF194)&gt;References!$BO$21,References!$BP$21,
IF(AVERAGE(AD194:AF194)&gt;References!$BO$20,References!$BP$20,
IF(AVERAGE(AD194:AF194)&gt;References!$BO$19,References!$BP$19,
IF(AVERAGE(AD194:AF194)&gt;References!$BO$18,References!$BP$18,
0)))))),"")</f>
        <v/>
      </c>
      <c r="AH194" s="43" t="e">
        <f>IF(Data_Geotech[[#This Row],[Is50]]="",VLOOKUP(Data_Geotech[[#This Row],[Field Intact Rock Strength]],Table_RMR76_Strength[],2,FALSE),Data_Geotech[[#This Row],[Is50]])</f>
        <v>#N/A</v>
      </c>
      <c r="AI194" s="43" t="e">
        <f>IF(Data_Geotech[[#This Row],[RQD (%)]]&lt;=25,3,IF(Data_Geotech[[#This Row],[RQD (%)]]&lt;=50,8,IF(Data_Geotech[[#This Row],[RQD (%)]]&lt;=75,13,IF(Data_Geotech[[#This Row],[RQD (%)]]&lt;=90,17,20))))</f>
        <v>#DIV/0!</v>
      </c>
      <c r="AJ194" s="43">
        <f>IF(Data_Geotech[[#This Row],[Joint spacing (m)]]&lt;=0.05,5,IF(Data_Geotech[[#This Row],[Joint spacing (m)]]&lt;=0.3,10,IF(Data_Geotech[[#This Row],[Joint spacing (m)]]&lt;=1,20,IF(Data_Geotech[[#This Row],[Joint spacing (m)]]&lt;=3,25,30))))</f>
        <v>30</v>
      </c>
      <c r="AK19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4" s="6">
        <v>10</v>
      </c>
      <c r="AM194" s="117" t="str">
        <f>IF(Data_Geotech[[#This Row],[FIRS Code]]="R",IFERROR(SUM(Data_Geotech[[#This Row],[RMR76 - Strength rating]:[RMR76 - Ground water rating]]),""),"")</f>
        <v/>
      </c>
      <c r="AN194" s="39" t="e">
        <f>IF(Data_Geotech[[#This Row],[FIRS Code]]="R",(2*Data_Geotech[[#This Row],[RMR76 - Joint condition rating]])+(IF(Data_Geotech[[#This Row],[RQD (%)]]&gt;80,80/2,Data_Geotech[[#This Row],[RQD (%)]]/2)),"")</f>
        <v>#DIV/0!</v>
      </c>
      <c r="AO194" s="43" t="e">
        <f>LEFT(Data_Geotech[[#This Row],[Joint Set Rating]],FIND("-",Data_Geotech[[#This Row],[Joint Set Rating]],1)-2)</f>
        <v>#VALUE!</v>
      </c>
      <c r="AP19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4" s="5">
        <f t="shared" si="0"/>
        <v>1</v>
      </c>
      <c r="AR194" s="49" t="str">
        <f>IF(Data_Geotech[[#This Row],[FIRS Code]]="R",IFERROR((IF(Data_Geotech[[#This Row],[RQD (%)]]&lt;10,10,Data_Geotech[[#This Row],[RQD (%)]])/Data_Geotech[[#This Row],[Jn rating]])*Data_Geotech[[#This Row],[Jr/Ja]],""),"")</f>
        <v/>
      </c>
      <c r="AS194" s="45" t="str">
        <f>IF(Data_Geotech[[#This Row],[FIRS Code]]="R",IFERROR((IF(Data_Geotech[[#This Row],[RQD (%)]]&lt;10,10,Data_Geotech[[#This Row],[RQD (%)]])/Data_Geotech[[#This Row],[Jn rating]])*Data_Geotech[[#This Row],[Jr/Ja]]*Data_Geotech[[#This Row],[Jw/SRF]],""),"")</f>
        <v/>
      </c>
      <c r="AT194" s="12"/>
      <c r="AU194" s="13" t="e">
        <f>100-Data_Geotech[[#This Row],[RQD (%)]]</f>
        <v>#DIV/0!</v>
      </c>
      <c r="AV194" s="13" t="e">
        <f>100-Data_Geotech[[#This Row],[TCR (%)]]</f>
        <v>#DIV/0!</v>
      </c>
      <c r="AW194" s="62" t="e">
        <f>(Data_Geotech[[#This Row],[Fracture per interval]]+Data_Geotech[[#This Row],[Added fractures 
(BC, FLT, LC)]])/Data_Geotech[[#This Row],[TCR (m)]]</f>
        <v>#DIV/0!</v>
      </c>
      <c r="AX194" s="6" t="s">
        <v>109</v>
      </c>
      <c r="AY194" s="63" t="e">
        <f>7-MID(Data_Geotech[[#This Row],[Field Intact Rock Strength]],2,1)</f>
        <v>#VALUE!</v>
      </c>
      <c r="AZ194" s="63" t="e">
        <f>VLOOKUP(Data_Geotech[[#This Row],[Field Intact Rock Strength]],Table_FieldStrength[],2,FALSE)</f>
        <v>#N/A</v>
      </c>
      <c r="BA194" s="63" t="e">
        <f>VLOOKUP(Data_Geotech[[#This Row],[Field Intact Rock Strength]],Table_FieldStrength[],3,FALSE)</f>
        <v>#N/A</v>
      </c>
      <c r="BB194" s="63" t="e">
        <f>VLOOKUP(Data_Geotech[[#This Row],[Field Intact Rock Strength]],Table_FieldStrength[],4,FALSE)</f>
        <v>#N/A</v>
      </c>
      <c r="BC194" s="63" t="e">
        <f>100-Data_Geotech[[#This Row],[RMR76]]</f>
        <v>#VALUE!</v>
      </c>
      <c r="BD194" s="63" t="e">
        <f>LEFT(Data_Geotech[[#This Row],[Weathering/Alteration]],FIND("-",Data_Geotech[[#This Row],[Weathering/Alteration]])-2)</f>
        <v>#VALUE!</v>
      </c>
    </row>
    <row r="195" spans="2:56" hidden="1" x14ac:dyDescent="0.25">
      <c r="B195" s="16" t="e">
        <f>VLOOKUP(Data_Geotech[[#This Row],[Hole ID]],Data_Log[],2,FALSE)</f>
        <v>#N/A</v>
      </c>
      <c r="C195" s="5"/>
      <c r="D195" s="5"/>
      <c r="E195" s="5">
        <f>(Data_Geotech[[#This Row],[To (m)]]-Data_Geotech[[#This Row],[From (m)]])/2+Data_Geotech[[#This Row],[From (m)]]</f>
        <v>0</v>
      </c>
      <c r="F195" s="13">
        <f>Data_Geotech[[#This Row],[To (m)]]-Data_Geotech[[#This Row],[From (m)]]</f>
        <v>0</v>
      </c>
      <c r="G195" s="5"/>
      <c r="H195" s="61" t="e">
        <f>Data_Geotech[[#This Row],[TCR (m)]]/Data_Geotech[[#This Row],[Run (m)]]*100</f>
        <v>#DIV/0!</v>
      </c>
      <c r="I195" s="151"/>
      <c r="J195" s="151"/>
      <c r="K195" s="5"/>
      <c r="L195" s="61" t="e">
        <f>Data_Geotech[[#This Row],[RQD (m)]]/Data_Geotech[[#This Row],[Run Reel (m)]]*100</f>
        <v>#DIV/0!</v>
      </c>
      <c r="P195" s="115"/>
      <c r="Q195" s="5"/>
      <c r="R195" s="5"/>
      <c r="S195" s="5"/>
      <c r="T195" s="5"/>
      <c r="U195" s="5"/>
      <c r="V195" s="6"/>
      <c r="W195" s="92">
        <f>SUMIFS(Discontinuities!$D$4:$D$9664,Discontinuities!$A$4:$A$9664,A195,Discontinuities!$C$4:$C$9664,"&gt;="&amp;C195,Discontinuities!$C$4:$C$9664,"&lt;"&amp;D195)
-SUMIFS(Discontinuities!$D$4:$D$9664,Discontinuities!$A$4:$A$9664,A195,Discontinuities!$C$4:$C$9664,"&gt;="&amp;C195,Discontinuities!$C$4:$C$9664,"&lt;"&amp;D195,Discontinuities!$E$4:$E$9664,"=BC")
-SUMIFS(Discontinuities!$D$4:$D$9664,Discontinuities!$A$4:$A$9664,A195,Discontinuities!$C$4:$C$9664,"&gt;="&amp;C195,Discontinuities!$C$4:$C$9664,"&lt;"&amp;D195,Discontinuities!$E$4:$E$9664,"=LC")
-SUMIFS(Discontinuities!$D$4:$D$9664,Discontinuities!$A$4:$A$9664,A195,Discontinuities!$C$4:$C$9664,"&gt;="&amp;C195,Discontinuities!$C$4:$C$9664,"&lt;"&amp;D195,Discontinuities!$E$4:$E$9664,"=FLT")</f>
        <v>0</v>
      </c>
      <c r="AA195" s="12"/>
      <c r="AB195" s="43">
        <f>IFERROR(ROUND((Data_Geotech[[#This Row],[Fault (m)]]+Data_Geotech[[#This Row],[Broken Core (m)]]+Data_Geotech[[#This Row],[Lost Core (m)]])*30,0),0)</f>
        <v>0</v>
      </c>
      <c r="AC195" s="44">
        <f>IF(Data_Geotech[[#This Row],[Added fractures 
(BC, FLT, LC)]]+Data_Geotech[[#This Row],[Fracture per interval]]=0,99,1/((Data_Geotech[[#This Row],[Fracture per interval]]+Data_Geotech[[#This Row],[Added fractures 
(BC, FLT, LC)]])/Data_Geotech[[#This Row],[Run (m)]]))</f>
        <v>99</v>
      </c>
      <c r="AD195" s="155" t="str" cm="1">
        <f t="array" ref="AD195">IFERROR(_xlfn.XLOOKUP(1,(A195=PLT!$A$4:$A$8886)*(Geotech!C195&lt;=PLT!$F$4:$F$8886)*(Geotech!D195&gt;=PLT!$F$4:$F$8886)*("Valid"=PLT!$P$4:$P$8886),PLT!$V$4:$V$8886),"")</f>
        <v/>
      </c>
      <c r="AE195" s="156" t="str" cm="1">
        <f t="array" ref="AE195">IFERROR(_xlfn.XLOOKUP(1,(A195=PLT!$A$4:$A$8886)*(Geotech!C195&lt;=PLT!$F$4:$F$8886)*(Geotech!D195&gt;=PLT!$F$4:$F$8886)*(PLT!$V$4:$V$8886&lt;&gt;AD195)*("Valid"=PLT!$P$4:$P$7190),PLT!$V$4:$V$8886),"")</f>
        <v/>
      </c>
      <c r="AF195" s="156" t="str" cm="1">
        <f t="array" ref="AF195">IFERROR(_xlfn.XLOOKUP(1,(A195=PLT!$A$4:$A$8886)*(Geotech!C195&lt;=PLT!$F$4:$F$8886)*(Geotech!D195&gt;=PLT!$F$4:$F$8886)*(PLT!$V$4:$V$8886&lt;&gt;AD195)*(PLT!$V$4:$V$8886&lt;&gt;AE195)*("Valid"=PLT!$P$4:$P$7190),PLT!$V$4:$V$8886),"")</f>
        <v/>
      </c>
      <c r="AG195" s="44" t="str">
        <f>IFERROR(IF(AVERAGE(AD195:AF195)&gt;References!$BO$23,References!$BP$23,
IF(AVERAGE(AD195:AF195)&gt;References!$BO$22,References!$BP$22,
IF(AVERAGE(AD195:AF195)&gt;References!$BO$21,References!$BP$21,
IF(AVERAGE(AD195:AF195)&gt;References!$BO$20,References!$BP$20,
IF(AVERAGE(AD195:AF195)&gt;References!$BO$19,References!$BP$19,
IF(AVERAGE(AD195:AF195)&gt;References!$BO$18,References!$BP$18,
0)))))),"")</f>
        <v/>
      </c>
      <c r="AH195" s="43" t="e">
        <f>IF(Data_Geotech[[#This Row],[Is50]]="",VLOOKUP(Data_Geotech[[#This Row],[Field Intact Rock Strength]],Table_RMR76_Strength[],2,FALSE),Data_Geotech[[#This Row],[Is50]])</f>
        <v>#N/A</v>
      </c>
      <c r="AI195" s="43" t="e">
        <f>IF(Data_Geotech[[#This Row],[RQD (%)]]&lt;=25,3,IF(Data_Geotech[[#This Row],[RQD (%)]]&lt;=50,8,IF(Data_Geotech[[#This Row],[RQD (%)]]&lt;=75,13,IF(Data_Geotech[[#This Row],[RQD (%)]]&lt;=90,17,20))))</f>
        <v>#DIV/0!</v>
      </c>
      <c r="AJ195" s="43">
        <f>IF(Data_Geotech[[#This Row],[Joint spacing (m)]]&lt;=0.05,5,IF(Data_Geotech[[#This Row],[Joint spacing (m)]]&lt;=0.3,10,IF(Data_Geotech[[#This Row],[Joint spacing (m)]]&lt;=1,20,IF(Data_Geotech[[#This Row],[Joint spacing (m)]]&lt;=3,25,30))))</f>
        <v>30</v>
      </c>
      <c r="AK19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5" s="6">
        <v>10</v>
      </c>
      <c r="AM195" s="117" t="str">
        <f>IF(Data_Geotech[[#This Row],[FIRS Code]]="R",IFERROR(SUM(Data_Geotech[[#This Row],[RMR76 - Strength rating]:[RMR76 - Ground water rating]]),""),"")</f>
        <v/>
      </c>
      <c r="AN195" s="39" t="e">
        <f>IF(Data_Geotech[[#This Row],[FIRS Code]]="R",(2*Data_Geotech[[#This Row],[RMR76 - Joint condition rating]])+(IF(Data_Geotech[[#This Row],[RQD (%)]]&gt;80,80/2,Data_Geotech[[#This Row],[RQD (%)]]/2)),"")</f>
        <v>#DIV/0!</v>
      </c>
      <c r="AO195" s="43" t="e">
        <f>LEFT(Data_Geotech[[#This Row],[Joint Set Rating]],FIND("-",Data_Geotech[[#This Row],[Joint Set Rating]],1)-2)</f>
        <v>#VALUE!</v>
      </c>
      <c r="AP19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5" s="5">
        <f t="shared" si="0"/>
        <v>1</v>
      </c>
      <c r="AR195" s="49" t="str">
        <f>IF(Data_Geotech[[#This Row],[FIRS Code]]="R",IFERROR((IF(Data_Geotech[[#This Row],[RQD (%)]]&lt;10,10,Data_Geotech[[#This Row],[RQD (%)]])/Data_Geotech[[#This Row],[Jn rating]])*Data_Geotech[[#This Row],[Jr/Ja]],""),"")</f>
        <v/>
      </c>
      <c r="AS195" s="45" t="str">
        <f>IF(Data_Geotech[[#This Row],[FIRS Code]]="R",IFERROR((IF(Data_Geotech[[#This Row],[RQD (%)]]&lt;10,10,Data_Geotech[[#This Row],[RQD (%)]])/Data_Geotech[[#This Row],[Jn rating]])*Data_Geotech[[#This Row],[Jr/Ja]]*Data_Geotech[[#This Row],[Jw/SRF]],""),"")</f>
        <v/>
      </c>
      <c r="AT195" s="12"/>
      <c r="AU195" s="13" t="e">
        <f>100-Data_Geotech[[#This Row],[RQD (%)]]</f>
        <v>#DIV/0!</v>
      </c>
      <c r="AV195" s="13" t="e">
        <f>100-Data_Geotech[[#This Row],[TCR (%)]]</f>
        <v>#DIV/0!</v>
      </c>
      <c r="AW195" s="62" t="e">
        <f>(Data_Geotech[[#This Row],[Fracture per interval]]+Data_Geotech[[#This Row],[Added fractures 
(BC, FLT, LC)]])/Data_Geotech[[#This Row],[TCR (m)]]</f>
        <v>#DIV/0!</v>
      </c>
      <c r="AX195" s="6" t="s">
        <v>109</v>
      </c>
      <c r="AY195" s="63" t="e">
        <f>7-MID(Data_Geotech[[#This Row],[Field Intact Rock Strength]],2,1)</f>
        <v>#VALUE!</v>
      </c>
      <c r="AZ195" s="63" t="e">
        <f>VLOOKUP(Data_Geotech[[#This Row],[Field Intact Rock Strength]],Table_FieldStrength[],2,FALSE)</f>
        <v>#N/A</v>
      </c>
      <c r="BA195" s="63" t="e">
        <f>VLOOKUP(Data_Geotech[[#This Row],[Field Intact Rock Strength]],Table_FieldStrength[],3,FALSE)</f>
        <v>#N/A</v>
      </c>
      <c r="BB195" s="63" t="e">
        <f>VLOOKUP(Data_Geotech[[#This Row],[Field Intact Rock Strength]],Table_FieldStrength[],4,FALSE)</f>
        <v>#N/A</v>
      </c>
      <c r="BC195" s="63" t="e">
        <f>100-Data_Geotech[[#This Row],[RMR76]]</f>
        <v>#VALUE!</v>
      </c>
      <c r="BD195" s="63" t="e">
        <f>LEFT(Data_Geotech[[#This Row],[Weathering/Alteration]],FIND("-",Data_Geotech[[#This Row],[Weathering/Alteration]])-2)</f>
        <v>#VALUE!</v>
      </c>
    </row>
    <row r="196" spans="2:56" hidden="1" x14ac:dyDescent="0.25">
      <c r="B196" s="16" t="e">
        <f>VLOOKUP(Data_Geotech[[#This Row],[Hole ID]],Data_Log[],2,FALSE)</f>
        <v>#N/A</v>
      </c>
      <c r="C196" s="5"/>
      <c r="D196" s="5"/>
      <c r="E196" s="5">
        <f>(Data_Geotech[[#This Row],[To (m)]]-Data_Geotech[[#This Row],[From (m)]])/2+Data_Geotech[[#This Row],[From (m)]]</f>
        <v>0</v>
      </c>
      <c r="F196" s="13">
        <f>Data_Geotech[[#This Row],[To (m)]]-Data_Geotech[[#This Row],[From (m)]]</f>
        <v>0</v>
      </c>
      <c r="G196" s="5"/>
      <c r="H196" s="61" t="e">
        <f>Data_Geotech[[#This Row],[TCR (m)]]/Data_Geotech[[#This Row],[Run (m)]]*100</f>
        <v>#DIV/0!</v>
      </c>
      <c r="I196" s="151"/>
      <c r="J196" s="151"/>
      <c r="K196" s="5"/>
      <c r="L196" s="61" t="e">
        <f>Data_Geotech[[#This Row],[RQD (m)]]/Data_Geotech[[#This Row],[Run Reel (m)]]*100</f>
        <v>#DIV/0!</v>
      </c>
      <c r="P196" s="115"/>
      <c r="Q196" s="5"/>
      <c r="R196" s="5"/>
      <c r="S196" s="5"/>
      <c r="T196" s="5"/>
      <c r="U196" s="5"/>
      <c r="V196" s="6"/>
      <c r="W196" s="92">
        <f>SUMIFS(Discontinuities!$D$4:$D$9664,Discontinuities!$A$4:$A$9664,A196,Discontinuities!$C$4:$C$9664,"&gt;="&amp;C196,Discontinuities!$C$4:$C$9664,"&lt;"&amp;D196)
-SUMIFS(Discontinuities!$D$4:$D$9664,Discontinuities!$A$4:$A$9664,A196,Discontinuities!$C$4:$C$9664,"&gt;="&amp;C196,Discontinuities!$C$4:$C$9664,"&lt;"&amp;D196,Discontinuities!$E$4:$E$9664,"=BC")
-SUMIFS(Discontinuities!$D$4:$D$9664,Discontinuities!$A$4:$A$9664,A196,Discontinuities!$C$4:$C$9664,"&gt;="&amp;C196,Discontinuities!$C$4:$C$9664,"&lt;"&amp;D196,Discontinuities!$E$4:$E$9664,"=LC")
-SUMIFS(Discontinuities!$D$4:$D$9664,Discontinuities!$A$4:$A$9664,A196,Discontinuities!$C$4:$C$9664,"&gt;="&amp;C196,Discontinuities!$C$4:$C$9664,"&lt;"&amp;D196,Discontinuities!$E$4:$E$9664,"=FLT")</f>
        <v>0</v>
      </c>
      <c r="AA196" s="12"/>
      <c r="AB196" s="43">
        <f>IFERROR(ROUND((Data_Geotech[[#This Row],[Fault (m)]]+Data_Geotech[[#This Row],[Broken Core (m)]]+Data_Geotech[[#This Row],[Lost Core (m)]])*30,0),0)</f>
        <v>0</v>
      </c>
      <c r="AC196" s="44">
        <f>IF(Data_Geotech[[#This Row],[Added fractures 
(BC, FLT, LC)]]+Data_Geotech[[#This Row],[Fracture per interval]]=0,99,1/((Data_Geotech[[#This Row],[Fracture per interval]]+Data_Geotech[[#This Row],[Added fractures 
(BC, FLT, LC)]])/Data_Geotech[[#This Row],[Run (m)]]))</f>
        <v>99</v>
      </c>
      <c r="AD196" s="155" t="str" cm="1">
        <f t="array" ref="AD196">IFERROR(_xlfn.XLOOKUP(1,(A196=PLT!$A$4:$A$8886)*(Geotech!C196&lt;=PLT!$F$4:$F$8886)*(Geotech!D196&gt;=PLT!$F$4:$F$8886)*("Valid"=PLT!$P$4:$P$8886),PLT!$V$4:$V$8886),"")</f>
        <v/>
      </c>
      <c r="AE196" s="156" t="str" cm="1">
        <f t="array" ref="AE196">IFERROR(_xlfn.XLOOKUP(1,(A196=PLT!$A$4:$A$8886)*(Geotech!C196&lt;=PLT!$F$4:$F$8886)*(Geotech!D196&gt;=PLT!$F$4:$F$8886)*(PLT!$V$4:$V$8886&lt;&gt;AD196)*("Valid"=PLT!$P$4:$P$7190),PLT!$V$4:$V$8886),"")</f>
        <v/>
      </c>
      <c r="AF196" s="156" t="str" cm="1">
        <f t="array" ref="AF196">IFERROR(_xlfn.XLOOKUP(1,(A196=PLT!$A$4:$A$8886)*(Geotech!C196&lt;=PLT!$F$4:$F$8886)*(Geotech!D196&gt;=PLT!$F$4:$F$8886)*(PLT!$V$4:$V$8886&lt;&gt;AD196)*(PLT!$V$4:$V$8886&lt;&gt;AE196)*("Valid"=PLT!$P$4:$P$7190),PLT!$V$4:$V$8886),"")</f>
        <v/>
      </c>
      <c r="AG196" s="44" t="str">
        <f>IFERROR(IF(AVERAGE(AD196:AF196)&gt;References!$BO$23,References!$BP$23,
IF(AVERAGE(AD196:AF196)&gt;References!$BO$22,References!$BP$22,
IF(AVERAGE(AD196:AF196)&gt;References!$BO$21,References!$BP$21,
IF(AVERAGE(AD196:AF196)&gt;References!$BO$20,References!$BP$20,
IF(AVERAGE(AD196:AF196)&gt;References!$BO$19,References!$BP$19,
IF(AVERAGE(AD196:AF196)&gt;References!$BO$18,References!$BP$18,
0)))))),"")</f>
        <v/>
      </c>
      <c r="AH196" s="43" t="e">
        <f>IF(Data_Geotech[[#This Row],[Is50]]="",VLOOKUP(Data_Geotech[[#This Row],[Field Intact Rock Strength]],Table_RMR76_Strength[],2,FALSE),Data_Geotech[[#This Row],[Is50]])</f>
        <v>#N/A</v>
      </c>
      <c r="AI196" s="43" t="e">
        <f>IF(Data_Geotech[[#This Row],[RQD (%)]]&lt;=25,3,IF(Data_Geotech[[#This Row],[RQD (%)]]&lt;=50,8,IF(Data_Geotech[[#This Row],[RQD (%)]]&lt;=75,13,IF(Data_Geotech[[#This Row],[RQD (%)]]&lt;=90,17,20))))</f>
        <v>#DIV/0!</v>
      </c>
      <c r="AJ196" s="43">
        <f>IF(Data_Geotech[[#This Row],[Joint spacing (m)]]&lt;=0.05,5,IF(Data_Geotech[[#This Row],[Joint spacing (m)]]&lt;=0.3,10,IF(Data_Geotech[[#This Row],[Joint spacing (m)]]&lt;=1,20,IF(Data_Geotech[[#This Row],[Joint spacing (m)]]&lt;=3,25,30))))</f>
        <v>30</v>
      </c>
      <c r="AK19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6" s="6">
        <v>10</v>
      </c>
      <c r="AM196" s="117" t="str">
        <f>IF(Data_Geotech[[#This Row],[FIRS Code]]="R",IFERROR(SUM(Data_Geotech[[#This Row],[RMR76 - Strength rating]:[RMR76 - Ground water rating]]),""),"")</f>
        <v/>
      </c>
      <c r="AN196" s="39" t="e">
        <f>IF(Data_Geotech[[#This Row],[FIRS Code]]="R",(2*Data_Geotech[[#This Row],[RMR76 - Joint condition rating]])+(IF(Data_Geotech[[#This Row],[RQD (%)]]&gt;80,80/2,Data_Geotech[[#This Row],[RQD (%)]]/2)),"")</f>
        <v>#DIV/0!</v>
      </c>
      <c r="AO196" s="43" t="e">
        <f>LEFT(Data_Geotech[[#This Row],[Joint Set Rating]],FIND("-",Data_Geotech[[#This Row],[Joint Set Rating]],1)-2)</f>
        <v>#VALUE!</v>
      </c>
      <c r="AP19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6" s="5">
        <f t="shared" si="0"/>
        <v>1</v>
      </c>
      <c r="AR196" s="49" t="str">
        <f>IF(Data_Geotech[[#This Row],[FIRS Code]]="R",IFERROR((IF(Data_Geotech[[#This Row],[RQD (%)]]&lt;10,10,Data_Geotech[[#This Row],[RQD (%)]])/Data_Geotech[[#This Row],[Jn rating]])*Data_Geotech[[#This Row],[Jr/Ja]],""),"")</f>
        <v/>
      </c>
      <c r="AS196" s="45" t="str">
        <f>IF(Data_Geotech[[#This Row],[FIRS Code]]="R",IFERROR((IF(Data_Geotech[[#This Row],[RQD (%)]]&lt;10,10,Data_Geotech[[#This Row],[RQD (%)]])/Data_Geotech[[#This Row],[Jn rating]])*Data_Geotech[[#This Row],[Jr/Ja]]*Data_Geotech[[#This Row],[Jw/SRF]],""),"")</f>
        <v/>
      </c>
      <c r="AT196" s="12"/>
      <c r="AU196" s="13" t="e">
        <f>100-Data_Geotech[[#This Row],[RQD (%)]]</f>
        <v>#DIV/0!</v>
      </c>
      <c r="AV196" s="13" t="e">
        <f>100-Data_Geotech[[#This Row],[TCR (%)]]</f>
        <v>#DIV/0!</v>
      </c>
      <c r="AW196" s="62" t="e">
        <f>(Data_Geotech[[#This Row],[Fracture per interval]]+Data_Geotech[[#This Row],[Added fractures 
(BC, FLT, LC)]])/Data_Geotech[[#This Row],[TCR (m)]]</f>
        <v>#DIV/0!</v>
      </c>
      <c r="AX196" s="6" t="s">
        <v>109</v>
      </c>
      <c r="AY196" s="63" t="e">
        <f>7-MID(Data_Geotech[[#This Row],[Field Intact Rock Strength]],2,1)</f>
        <v>#VALUE!</v>
      </c>
      <c r="AZ196" s="63" t="e">
        <f>VLOOKUP(Data_Geotech[[#This Row],[Field Intact Rock Strength]],Table_FieldStrength[],2,FALSE)</f>
        <v>#N/A</v>
      </c>
      <c r="BA196" s="63" t="e">
        <f>VLOOKUP(Data_Geotech[[#This Row],[Field Intact Rock Strength]],Table_FieldStrength[],3,FALSE)</f>
        <v>#N/A</v>
      </c>
      <c r="BB196" s="63" t="e">
        <f>VLOOKUP(Data_Geotech[[#This Row],[Field Intact Rock Strength]],Table_FieldStrength[],4,FALSE)</f>
        <v>#N/A</v>
      </c>
      <c r="BC196" s="63" t="e">
        <f>100-Data_Geotech[[#This Row],[RMR76]]</f>
        <v>#VALUE!</v>
      </c>
      <c r="BD196" s="63" t="e">
        <f>LEFT(Data_Geotech[[#This Row],[Weathering/Alteration]],FIND("-",Data_Geotech[[#This Row],[Weathering/Alteration]])-2)</f>
        <v>#VALUE!</v>
      </c>
    </row>
    <row r="197" spans="2:56" hidden="1" x14ac:dyDescent="0.25">
      <c r="B197" s="16" t="e">
        <f>VLOOKUP(Data_Geotech[[#This Row],[Hole ID]],Data_Log[],2,FALSE)</f>
        <v>#N/A</v>
      </c>
      <c r="C197" s="5"/>
      <c r="D197" s="5"/>
      <c r="E197" s="5">
        <f>(Data_Geotech[[#This Row],[To (m)]]-Data_Geotech[[#This Row],[From (m)]])/2+Data_Geotech[[#This Row],[From (m)]]</f>
        <v>0</v>
      </c>
      <c r="F197" s="13">
        <f>Data_Geotech[[#This Row],[To (m)]]-Data_Geotech[[#This Row],[From (m)]]</f>
        <v>0</v>
      </c>
      <c r="G197" s="5"/>
      <c r="H197" s="61" t="e">
        <f>Data_Geotech[[#This Row],[TCR (m)]]/Data_Geotech[[#This Row],[Run (m)]]*100</f>
        <v>#DIV/0!</v>
      </c>
      <c r="I197" s="151"/>
      <c r="J197" s="151"/>
      <c r="K197" s="5"/>
      <c r="L197" s="61" t="e">
        <f>Data_Geotech[[#This Row],[RQD (m)]]/Data_Geotech[[#This Row],[Run Reel (m)]]*100</f>
        <v>#DIV/0!</v>
      </c>
      <c r="P197" s="115"/>
      <c r="Q197" s="5"/>
      <c r="R197" s="5"/>
      <c r="S197" s="5"/>
      <c r="T197" s="5"/>
      <c r="U197" s="5"/>
      <c r="V197" s="6"/>
      <c r="W197" s="92">
        <f>SUMIFS(Discontinuities!$D$4:$D$9664,Discontinuities!$A$4:$A$9664,A197,Discontinuities!$C$4:$C$9664,"&gt;="&amp;C197,Discontinuities!$C$4:$C$9664,"&lt;"&amp;D197)
-SUMIFS(Discontinuities!$D$4:$D$9664,Discontinuities!$A$4:$A$9664,A197,Discontinuities!$C$4:$C$9664,"&gt;="&amp;C197,Discontinuities!$C$4:$C$9664,"&lt;"&amp;D197,Discontinuities!$E$4:$E$9664,"=BC")
-SUMIFS(Discontinuities!$D$4:$D$9664,Discontinuities!$A$4:$A$9664,A197,Discontinuities!$C$4:$C$9664,"&gt;="&amp;C197,Discontinuities!$C$4:$C$9664,"&lt;"&amp;D197,Discontinuities!$E$4:$E$9664,"=LC")
-SUMIFS(Discontinuities!$D$4:$D$9664,Discontinuities!$A$4:$A$9664,A197,Discontinuities!$C$4:$C$9664,"&gt;="&amp;C197,Discontinuities!$C$4:$C$9664,"&lt;"&amp;D197,Discontinuities!$E$4:$E$9664,"=FLT")</f>
        <v>0</v>
      </c>
      <c r="AA197" s="12"/>
      <c r="AB197" s="43">
        <f>IFERROR(ROUND((Data_Geotech[[#This Row],[Fault (m)]]+Data_Geotech[[#This Row],[Broken Core (m)]]+Data_Geotech[[#This Row],[Lost Core (m)]])*30,0),0)</f>
        <v>0</v>
      </c>
      <c r="AC197" s="44">
        <f>IF(Data_Geotech[[#This Row],[Added fractures 
(BC, FLT, LC)]]+Data_Geotech[[#This Row],[Fracture per interval]]=0,99,1/((Data_Geotech[[#This Row],[Fracture per interval]]+Data_Geotech[[#This Row],[Added fractures 
(BC, FLT, LC)]])/Data_Geotech[[#This Row],[Run (m)]]))</f>
        <v>99</v>
      </c>
      <c r="AD197" s="155" t="str" cm="1">
        <f t="array" ref="AD197">IFERROR(_xlfn.XLOOKUP(1,(A197=PLT!$A$4:$A$8886)*(Geotech!C197&lt;=PLT!$F$4:$F$8886)*(Geotech!D197&gt;=PLT!$F$4:$F$8886)*("Valid"=PLT!$P$4:$P$8886),PLT!$V$4:$V$8886),"")</f>
        <v/>
      </c>
      <c r="AE197" s="156" t="str" cm="1">
        <f t="array" ref="AE197">IFERROR(_xlfn.XLOOKUP(1,(A197=PLT!$A$4:$A$8886)*(Geotech!C197&lt;=PLT!$F$4:$F$8886)*(Geotech!D197&gt;=PLT!$F$4:$F$8886)*(PLT!$V$4:$V$8886&lt;&gt;AD197)*("Valid"=PLT!$P$4:$P$7190),PLT!$V$4:$V$8886),"")</f>
        <v/>
      </c>
      <c r="AF197" s="156" t="str" cm="1">
        <f t="array" ref="AF197">IFERROR(_xlfn.XLOOKUP(1,(A197=PLT!$A$4:$A$8886)*(Geotech!C197&lt;=PLT!$F$4:$F$8886)*(Geotech!D197&gt;=PLT!$F$4:$F$8886)*(PLT!$V$4:$V$8886&lt;&gt;AD197)*(PLT!$V$4:$V$8886&lt;&gt;AE197)*("Valid"=PLT!$P$4:$P$7190),PLT!$V$4:$V$8886),"")</f>
        <v/>
      </c>
      <c r="AG197" s="44" t="str">
        <f>IFERROR(IF(AVERAGE(AD197:AF197)&gt;References!$BO$23,References!$BP$23,
IF(AVERAGE(AD197:AF197)&gt;References!$BO$22,References!$BP$22,
IF(AVERAGE(AD197:AF197)&gt;References!$BO$21,References!$BP$21,
IF(AVERAGE(AD197:AF197)&gt;References!$BO$20,References!$BP$20,
IF(AVERAGE(AD197:AF197)&gt;References!$BO$19,References!$BP$19,
IF(AVERAGE(AD197:AF197)&gt;References!$BO$18,References!$BP$18,
0)))))),"")</f>
        <v/>
      </c>
      <c r="AH197" s="43" t="e">
        <f>IF(Data_Geotech[[#This Row],[Is50]]="",VLOOKUP(Data_Geotech[[#This Row],[Field Intact Rock Strength]],Table_RMR76_Strength[],2,FALSE),Data_Geotech[[#This Row],[Is50]])</f>
        <v>#N/A</v>
      </c>
      <c r="AI197" s="43" t="e">
        <f>IF(Data_Geotech[[#This Row],[RQD (%)]]&lt;=25,3,IF(Data_Geotech[[#This Row],[RQD (%)]]&lt;=50,8,IF(Data_Geotech[[#This Row],[RQD (%)]]&lt;=75,13,IF(Data_Geotech[[#This Row],[RQD (%)]]&lt;=90,17,20))))</f>
        <v>#DIV/0!</v>
      </c>
      <c r="AJ197" s="43">
        <f>IF(Data_Geotech[[#This Row],[Joint spacing (m)]]&lt;=0.05,5,IF(Data_Geotech[[#This Row],[Joint spacing (m)]]&lt;=0.3,10,IF(Data_Geotech[[#This Row],[Joint spacing (m)]]&lt;=1,20,IF(Data_Geotech[[#This Row],[Joint spacing (m)]]&lt;=3,25,30))))</f>
        <v>30</v>
      </c>
      <c r="AK19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7" s="6">
        <v>10</v>
      </c>
      <c r="AM197" s="117" t="str">
        <f>IF(Data_Geotech[[#This Row],[FIRS Code]]="R",IFERROR(SUM(Data_Geotech[[#This Row],[RMR76 - Strength rating]:[RMR76 - Ground water rating]]),""),"")</f>
        <v/>
      </c>
      <c r="AN197" s="39" t="e">
        <f>IF(Data_Geotech[[#This Row],[FIRS Code]]="R",(2*Data_Geotech[[#This Row],[RMR76 - Joint condition rating]])+(IF(Data_Geotech[[#This Row],[RQD (%)]]&gt;80,80/2,Data_Geotech[[#This Row],[RQD (%)]]/2)),"")</f>
        <v>#DIV/0!</v>
      </c>
      <c r="AO197" s="43" t="e">
        <f>LEFT(Data_Geotech[[#This Row],[Joint Set Rating]],FIND("-",Data_Geotech[[#This Row],[Joint Set Rating]],1)-2)</f>
        <v>#VALUE!</v>
      </c>
      <c r="AP19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7" s="5">
        <f t="shared" si="0"/>
        <v>1</v>
      </c>
      <c r="AR197" s="49" t="str">
        <f>IF(Data_Geotech[[#This Row],[FIRS Code]]="R",IFERROR((IF(Data_Geotech[[#This Row],[RQD (%)]]&lt;10,10,Data_Geotech[[#This Row],[RQD (%)]])/Data_Geotech[[#This Row],[Jn rating]])*Data_Geotech[[#This Row],[Jr/Ja]],""),"")</f>
        <v/>
      </c>
      <c r="AS197" s="45" t="str">
        <f>IF(Data_Geotech[[#This Row],[FIRS Code]]="R",IFERROR((IF(Data_Geotech[[#This Row],[RQD (%)]]&lt;10,10,Data_Geotech[[#This Row],[RQD (%)]])/Data_Geotech[[#This Row],[Jn rating]])*Data_Geotech[[#This Row],[Jr/Ja]]*Data_Geotech[[#This Row],[Jw/SRF]],""),"")</f>
        <v/>
      </c>
      <c r="AT197" s="12"/>
      <c r="AU197" s="13" t="e">
        <f>100-Data_Geotech[[#This Row],[RQD (%)]]</f>
        <v>#DIV/0!</v>
      </c>
      <c r="AV197" s="13" t="e">
        <f>100-Data_Geotech[[#This Row],[TCR (%)]]</f>
        <v>#DIV/0!</v>
      </c>
      <c r="AW197" s="62" t="e">
        <f>(Data_Geotech[[#This Row],[Fracture per interval]]+Data_Geotech[[#This Row],[Added fractures 
(BC, FLT, LC)]])/Data_Geotech[[#This Row],[TCR (m)]]</f>
        <v>#DIV/0!</v>
      </c>
      <c r="AX197" s="6" t="s">
        <v>109</v>
      </c>
      <c r="AY197" s="63" t="e">
        <f>7-MID(Data_Geotech[[#This Row],[Field Intact Rock Strength]],2,1)</f>
        <v>#VALUE!</v>
      </c>
      <c r="AZ197" s="63" t="e">
        <f>VLOOKUP(Data_Geotech[[#This Row],[Field Intact Rock Strength]],Table_FieldStrength[],2,FALSE)</f>
        <v>#N/A</v>
      </c>
      <c r="BA197" s="63" t="e">
        <f>VLOOKUP(Data_Geotech[[#This Row],[Field Intact Rock Strength]],Table_FieldStrength[],3,FALSE)</f>
        <v>#N/A</v>
      </c>
      <c r="BB197" s="63" t="e">
        <f>VLOOKUP(Data_Geotech[[#This Row],[Field Intact Rock Strength]],Table_FieldStrength[],4,FALSE)</f>
        <v>#N/A</v>
      </c>
      <c r="BC197" s="63" t="e">
        <f>100-Data_Geotech[[#This Row],[RMR76]]</f>
        <v>#VALUE!</v>
      </c>
      <c r="BD197" s="63" t="e">
        <f>LEFT(Data_Geotech[[#This Row],[Weathering/Alteration]],FIND("-",Data_Geotech[[#This Row],[Weathering/Alteration]])-2)</f>
        <v>#VALUE!</v>
      </c>
    </row>
    <row r="198" spans="2:56" hidden="1" x14ac:dyDescent="0.25">
      <c r="B198" s="16" t="e">
        <f>VLOOKUP(Data_Geotech[[#This Row],[Hole ID]],Data_Log[],2,FALSE)</f>
        <v>#N/A</v>
      </c>
      <c r="C198" s="5"/>
      <c r="D198" s="5"/>
      <c r="E198" s="5">
        <f>(Data_Geotech[[#This Row],[To (m)]]-Data_Geotech[[#This Row],[From (m)]])/2+Data_Geotech[[#This Row],[From (m)]]</f>
        <v>0</v>
      </c>
      <c r="F198" s="13">
        <f>Data_Geotech[[#This Row],[To (m)]]-Data_Geotech[[#This Row],[From (m)]]</f>
        <v>0</v>
      </c>
      <c r="G198" s="5"/>
      <c r="H198" s="61" t="e">
        <f>Data_Geotech[[#This Row],[TCR (m)]]/Data_Geotech[[#This Row],[Run (m)]]*100</f>
        <v>#DIV/0!</v>
      </c>
      <c r="I198" s="151"/>
      <c r="J198" s="151"/>
      <c r="K198" s="5"/>
      <c r="L198" s="61" t="e">
        <f>Data_Geotech[[#This Row],[RQD (m)]]/Data_Geotech[[#This Row],[Run Reel (m)]]*100</f>
        <v>#DIV/0!</v>
      </c>
      <c r="P198" s="115"/>
      <c r="Q198" s="5"/>
      <c r="R198" s="5"/>
      <c r="S198" s="5"/>
      <c r="T198" s="5"/>
      <c r="U198" s="5"/>
      <c r="V198" s="6"/>
      <c r="W198" s="92">
        <f>SUMIFS(Discontinuities!$D$4:$D$9664,Discontinuities!$A$4:$A$9664,A198,Discontinuities!$C$4:$C$9664,"&gt;="&amp;C198,Discontinuities!$C$4:$C$9664,"&lt;"&amp;D198)
-SUMIFS(Discontinuities!$D$4:$D$9664,Discontinuities!$A$4:$A$9664,A198,Discontinuities!$C$4:$C$9664,"&gt;="&amp;C198,Discontinuities!$C$4:$C$9664,"&lt;"&amp;D198,Discontinuities!$E$4:$E$9664,"=BC")
-SUMIFS(Discontinuities!$D$4:$D$9664,Discontinuities!$A$4:$A$9664,A198,Discontinuities!$C$4:$C$9664,"&gt;="&amp;C198,Discontinuities!$C$4:$C$9664,"&lt;"&amp;D198,Discontinuities!$E$4:$E$9664,"=LC")
-SUMIFS(Discontinuities!$D$4:$D$9664,Discontinuities!$A$4:$A$9664,A198,Discontinuities!$C$4:$C$9664,"&gt;="&amp;C198,Discontinuities!$C$4:$C$9664,"&lt;"&amp;D198,Discontinuities!$E$4:$E$9664,"=FLT")</f>
        <v>0</v>
      </c>
      <c r="AA198" s="12"/>
      <c r="AB198" s="43">
        <f>IFERROR(ROUND((Data_Geotech[[#This Row],[Fault (m)]]+Data_Geotech[[#This Row],[Broken Core (m)]]+Data_Geotech[[#This Row],[Lost Core (m)]])*30,0),0)</f>
        <v>0</v>
      </c>
      <c r="AC198" s="44">
        <f>IF(Data_Geotech[[#This Row],[Added fractures 
(BC, FLT, LC)]]+Data_Geotech[[#This Row],[Fracture per interval]]=0,99,1/((Data_Geotech[[#This Row],[Fracture per interval]]+Data_Geotech[[#This Row],[Added fractures 
(BC, FLT, LC)]])/Data_Geotech[[#This Row],[Run (m)]]))</f>
        <v>99</v>
      </c>
      <c r="AD198" s="155" t="str" cm="1">
        <f t="array" ref="AD198">IFERROR(_xlfn.XLOOKUP(1,(A198=PLT!$A$4:$A$8886)*(Geotech!C198&lt;=PLT!$F$4:$F$8886)*(Geotech!D198&gt;=PLT!$F$4:$F$8886)*("Valid"=PLT!$P$4:$P$8886),PLT!$V$4:$V$8886),"")</f>
        <v/>
      </c>
      <c r="AE198" s="156" t="str" cm="1">
        <f t="array" ref="AE198">IFERROR(_xlfn.XLOOKUP(1,(A198=PLT!$A$4:$A$8886)*(Geotech!C198&lt;=PLT!$F$4:$F$8886)*(Geotech!D198&gt;=PLT!$F$4:$F$8886)*(PLT!$V$4:$V$8886&lt;&gt;AD198)*("Valid"=PLT!$P$4:$P$7190),PLT!$V$4:$V$8886),"")</f>
        <v/>
      </c>
      <c r="AF198" s="156" t="str" cm="1">
        <f t="array" ref="AF198">IFERROR(_xlfn.XLOOKUP(1,(A198=PLT!$A$4:$A$8886)*(Geotech!C198&lt;=PLT!$F$4:$F$8886)*(Geotech!D198&gt;=PLT!$F$4:$F$8886)*(PLT!$V$4:$V$8886&lt;&gt;AD198)*(PLT!$V$4:$V$8886&lt;&gt;AE198)*("Valid"=PLT!$P$4:$P$7190),PLT!$V$4:$V$8886),"")</f>
        <v/>
      </c>
      <c r="AG198" s="44" t="str">
        <f>IFERROR(IF(AVERAGE(AD198:AF198)&gt;References!$BO$23,References!$BP$23,
IF(AVERAGE(AD198:AF198)&gt;References!$BO$22,References!$BP$22,
IF(AVERAGE(AD198:AF198)&gt;References!$BO$21,References!$BP$21,
IF(AVERAGE(AD198:AF198)&gt;References!$BO$20,References!$BP$20,
IF(AVERAGE(AD198:AF198)&gt;References!$BO$19,References!$BP$19,
IF(AVERAGE(AD198:AF198)&gt;References!$BO$18,References!$BP$18,
0)))))),"")</f>
        <v/>
      </c>
      <c r="AH198" s="43" t="e">
        <f>IF(Data_Geotech[[#This Row],[Is50]]="",VLOOKUP(Data_Geotech[[#This Row],[Field Intact Rock Strength]],Table_RMR76_Strength[],2,FALSE),Data_Geotech[[#This Row],[Is50]])</f>
        <v>#N/A</v>
      </c>
      <c r="AI198" s="43" t="e">
        <f>IF(Data_Geotech[[#This Row],[RQD (%)]]&lt;=25,3,IF(Data_Geotech[[#This Row],[RQD (%)]]&lt;=50,8,IF(Data_Geotech[[#This Row],[RQD (%)]]&lt;=75,13,IF(Data_Geotech[[#This Row],[RQD (%)]]&lt;=90,17,20))))</f>
        <v>#DIV/0!</v>
      </c>
      <c r="AJ198" s="43">
        <f>IF(Data_Geotech[[#This Row],[Joint spacing (m)]]&lt;=0.05,5,IF(Data_Geotech[[#This Row],[Joint spacing (m)]]&lt;=0.3,10,IF(Data_Geotech[[#This Row],[Joint spacing (m)]]&lt;=1,20,IF(Data_Geotech[[#This Row],[Joint spacing (m)]]&lt;=3,25,30))))</f>
        <v>30</v>
      </c>
      <c r="AK19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8" s="6">
        <v>10</v>
      </c>
      <c r="AM198" s="117" t="str">
        <f>IF(Data_Geotech[[#This Row],[FIRS Code]]="R",IFERROR(SUM(Data_Geotech[[#This Row],[RMR76 - Strength rating]:[RMR76 - Ground water rating]]),""),"")</f>
        <v/>
      </c>
      <c r="AN198" s="39" t="e">
        <f>IF(Data_Geotech[[#This Row],[FIRS Code]]="R",(2*Data_Geotech[[#This Row],[RMR76 - Joint condition rating]])+(IF(Data_Geotech[[#This Row],[RQD (%)]]&gt;80,80/2,Data_Geotech[[#This Row],[RQD (%)]]/2)),"")</f>
        <v>#DIV/0!</v>
      </c>
      <c r="AO198" s="43" t="e">
        <f>LEFT(Data_Geotech[[#This Row],[Joint Set Rating]],FIND("-",Data_Geotech[[#This Row],[Joint Set Rating]],1)-2)</f>
        <v>#VALUE!</v>
      </c>
      <c r="AP19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8" s="5">
        <f t="shared" si="0"/>
        <v>1</v>
      </c>
      <c r="AR198" s="49" t="str">
        <f>IF(Data_Geotech[[#This Row],[FIRS Code]]="R",IFERROR((IF(Data_Geotech[[#This Row],[RQD (%)]]&lt;10,10,Data_Geotech[[#This Row],[RQD (%)]])/Data_Geotech[[#This Row],[Jn rating]])*Data_Geotech[[#This Row],[Jr/Ja]],""),"")</f>
        <v/>
      </c>
      <c r="AS198" s="45" t="str">
        <f>IF(Data_Geotech[[#This Row],[FIRS Code]]="R",IFERROR((IF(Data_Geotech[[#This Row],[RQD (%)]]&lt;10,10,Data_Geotech[[#This Row],[RQD (%)]])/Data_Geotech[[#This Row],[Jn rating]])*Data_Geotech[[#This Row],[Jr/Ja]]*Data_Geotech[[#This Row],[Jw/SRF]],""),"")</f>
        <v/>
      </c>
      <c r="AT198" s="12"/>
      <c r="AU198" s="13" t="e">
        <f>100-Data_Geotech[[#This Row],[RQD (%)]]</f>
        <v>#DIV/0!</v>
      </c>
      <c r="AV198" s="13" t="e">
        <f>100-Data_Geotech[[#This Row],[TCR (%)]]</f>
        <v>#DIV/0!</v>
      </c>
      <c r="AW198" s="62" t="e">
        <f>(Data_Geotech[[#This Row],[Fracture per interval]]+Data_Geotech[[#This Row],[Added fractures 
(BC, FLT, LC)]])/Data_Geotech[[#This Row],[TCR (m)]]</f>
        <v>#DIV/0!</v>
      </c>
      <c r="AX198" s="6" t="s">
        <v>109</v>
      </c>
      <c r="AY198" s="63" t="e">
        <f>7-MID(Data_Geotech[[#This Row],[Field Intact Rock Strength]],2,1)</f>
        <v>#VALUE!</v>
      </c>
      <c r="AZ198" s="63" t="e">
        <f>VLOOKUP(Data_Geotech[[#This Row],[Field Intact Rock Strength]],Table_FieldStrength[],2,FALSE)</f>
        <v>#N/A</v>
      </c>
      <c r="BA198" s="63" t="e">
        <f>VLOOKUP(Data_Geotech[[#This Row],[Field Intact Rock Strength]],Table_FieldStrength[],3,FALSE)</f>
        <v>#N/A</v>
      </c>
      <c r="BB198" s="63" t="e">
        <f>VLOOKUP(Data_Geotech[[#This Row],[Field Intact Rock Strength]],Table_FieldStrength[],4,FALSE)</f>
        <v>#N/A</v>
      </c>
      <c r="BC198" s="63" t="e">
        <f>100-Data_Geotech[[#This Row],[RMR76]]</f>
        <v>#VALUE!</v>
      </c>
      <c r="BD198" s="63" t="e">
        <f>LEFT(Data_Geotech[[#This Row],[Weathering/Alteration]],FIND("-",Data_Geotech[[#This Row],[Weathering/Alteration]])-2)</f>
        <v>#VALUE!</v>
      </c>
    </row>
    <row r="199" spans="2:56" hidden="1" x14ac:dyDescent="0.25">
      <c r="B199" s="16" t="e">
        <f>VLOOKUP(Data_Geotech[[#This Row],[Hole ID]],Data_Log[],2,FALSE)</f>
        <v>#N/A</v>
      </c>
      <c r="C199" s="5"/>
      <c r="D199" s="5"/>
      <c r="E199" s="5">
        <f>(Data_Geotech[[#This Row],[To (m)]]-Data_Geotech[[#This Row],[From (m)]])/2+Data_Geotech[[#This Row],[From (m)]]</f>
        <v>0</v>
      </c>
      <c r="F199" s="13">
        <f>Data_Geotech[[#This Row],[To (m)]]-Data_Geotech[[#This Row],[From (m)]]</f>
        <v>0</v>
      </c>
      <c r="G199" s="5"/>
      <c r="H199" s="61" t="e">
        <f>Data_Geotech[[#This Row],[TCR (m)]]/Data_Geotech[[#This Row],[Run (m)]]*100</f>
        <v>#DIV/0!</v>
      </c>
      <c r="I199" s="151"/>
      <c r="J199" s="151"/>
      <c r="K199" s="5"/>
      <c r="L199" s="61" t="e">
        <f>Data_Geotech[[#This Row],[RQD (m)]]/Data_Geotech[[#This Row],[Run Reel (m)]]*100</f>
        <v>#DIV/0!</v>
      </c>
      <c r="P199" s="115"/>
      <c r="Q199" s="5"/>
      <c r="R199" s="5"/>
      <c r="S199" s="5"/>
      <c r="T199" s="5"/>
      <c r="U199" s="5"/>
      <c r="V199" s="6"/>
      <c r="W199" s="92">
        <f>SUMIFS(Discontinuities!$D$4:$D$9664,Discontinuities!$A$4:$A$9664,A199,Discontinuities!$C$4:$C$9664,"&gt;="&amp;C199,Discontinuities!$C$4:$C$9664,"&lt;"&amp;D199)
-SUMIFS(Discontinuities!$D$4:$D$9664,Discontinuities!$A$4:$A$9664,A199,Discontinuities!$C$4:$C$9664,"&gt;="&amp;C199,Discontinuities!$C$4:$C$9664,"&lt;"&amp;D199,Discontinuities!$E$4:$E$9664,"=BC")
-SUMIFS(Discontinuities!$D$4:$D$9664,Discontinuities!$A$4:$A$9664,A199,Discontinuities!$C$4:$C$9664,"&gt;="&amp;C199,Discontinuities!$C$4:$C$9664,"&lt;"&amp;D199,Discontinuities!$E$4:$E$9664,"=LC")
-SUMIFS(Discontinuities!$D$4:$D$9664,Discontinuities!$A$4:$A$9664,A199,Discontinuities!$C$4:$C$9664,"&gt;="&amp;C199,Discontinuities!$C$4:$C$9664,"&lt;"&amp;D199,Discontinuities!$E$4:$E$9664,"=FLT")</f>
        <v>0</v>
      </c>
      <c r="AA199" s="12"/>
      <c r="AB199" s="43">
        <f>IFERROR(ROUND((Data_Geotech[[#This Row],[Fault (m)]]+Data_Geotech[[#This Row],[Broken Core (m)]]+Data_Geotech[[#This Row],[Lost Core (m)]])*30,0),0)</f>
        <v>0</v>
      </c>
      <c r="AC199" s="44">
        <f>IF(Data_Geotech[[#This Row],[Added fractures 
(BC, FLT, LC)]]+Data_Geotech[[#This Row],[Fracture per interval]]=0,99,1/((Data_Geotech[[#This Row],[Fracture per interval]]+Data_Geotech[[#This Row],[Added fractures 
(BC, FLT, LC)]])/Data_Geotech[[#This Row],[Run (m)]]))</f>
        <v>99</v>
      </c>
      <c r="AD199" s="155" t="str" cm="1">
        <f t="array" ref="AD199">IFERROR(_xlfn.XLOOKUP(1,(A199=PLT!$A$4:$A$8886)*(Geotech!C199&lt;=PLT!$F$4:$F$8886)*(Geotech!D199&gt;=PLT!$F$4:$F$8886)*("Valid"=PLT!$P$4:$P$8886),PLT!$V$4:$V$8886),"")</f>
        <v/>
      </c>
      <c r="AE199" s="156" t="str" cm="1">
        <f t="array" ref="AE199">IFERROR(_xlfn.XLOOKUP(1,(A199=PLT!$A$4:$A$8886)*(Geotech!C199&lt;=PLT!$F$4:$F$8886)*(Geotech!D199&gt;=PLT!$F$4:$F$8886)*(PLT!$V$4:$V$8886&lt;&gt;AD199)*("Valid"=PLT!$P$4:$P$7190),PLT!$V$4:$V$8886),"")</f>
        <v/>
      </c>
      <c r="AF199" s="156" t="str" cm="1">
        <f t="array" ref="AF199">IFERROR(_xlfn.XLOOKUP(1,(A199=PLT!$A$4:$A$8886)*(Geotech!C199&lt;=PLT!$F$4:$F$8886)*(Geotech!D199&gt;=PLT!$F$4:$F$8886)*(PLT!$V$4:$V$8886&lt;&gt;AD199)*(PLT!$V$4:$V$8886&lt;&gt;AE199)*("Valid"=PLT!$P$4:$P$7190),PLT!$V$4:$V$8886),"")</f>
        <v/>
      </c>
      <c r="AG199" s="44" t="str">
        <f>IFERROR(IF(AVERAGE(AD199:AF199)&gt;References!$BO$23,References!$BP$23,
IF(AVERAGE(AD199:AF199)&gt;References!$BO$22,References!$BP$22,
IF(AVERAGE(AD199:AF199)&gt;References!$BO$21,References!$BP$21,
IF(AVERAGE(AD199:AF199)&gt;References!$BO$20,References!$BP$20,
IF(AVERAGE(AD199:AF199)&gt;References!$BO$19,References!$BP$19,
IF(AVERAGE(AD199:AF199)&gt;References!$BO$18,References!$BP$18,
0)))))),"")</f>
        <v/>
      </c>
      <c r="AH199" s="43" t="e">
        <f>IF(Data_Geotech[[#This Row],[Is50]]="",VLOOKUP(Data_Geotech[[#This Row],[Field Intact Rock Strength]],Table_RMR76_Strength[],2,FALSE),Data_Geotech[[#This Row],[Is50]])</f>
        <v>#N/A</v>
      </c>
      <c r="AI199" s="43" t="e">
        <f>IF(Data_Geotech[[#This Row],[RQD (%)]]&lt;=25,3,IF(Data_Geotech[[#This Row],[RQD (%)]]&lt;=50,8,IF(Data_Geotech[[#This Row],[RQD (%)]]&lt;=75,13,IF(Data_Geotech[[#This Row],[RQD (%)]]&lt;=90,17,20))))</f>
        <v>#DIV/0!</v>
      </c>
      <c r="AJ199" s="43">
        <f>IF(Data_Geotech[[#This Row],[Joint spacing (m)]]&lt;=0.05,5,IF(Data_Geotech[[#This Row],[Joint spacing (m)]]&lt;=0.3,10,IF(Data_Geotech[[#This Row],[Joint spacing (m)]]&lt;=1,20,IF(Data_Geotech[[#This Row],[Joint spacing (m)]]&lt;=3,25,30))))</f>
        <v>30</v>
      </c>
      <c r="AK19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199" s="6">
        <v>10</v>
      </c>
      <c r="AM199" s="117" t="str">
        <f>IF(Data_Geotech[[#This Row],[FIRS Code]]="R",IFERROR(SUM(Data_Geotech[[#This Row],[RMR76 - Strength rating]:[RMR76 - Ground water rating]]),""),"")</f>
        <v/>
      </c>
      <c r="AN199" s="39" t="e">
        <f>IF(Data_Geotech[[#This Row],[FIRS Code]]="R",(2*Data_Geotech[[#This Row],[RMR76 - Joint condition rating]])+(IF(Data_Geotech[[#This Row],[RQD (%)]]&gt;80,80/2,Data_Geotech[[#This Row],[RQD (%)]]/2)),"")</f>
        <v>#DIV/0!</v>
      </c>
      <c r="AO199" s="43" t="e">
        <f>LEFT(Data_Geotech[[#This Row],[Joint Set Rating]],FIND("-",Data_Geotech[[#This Row],[Joint Set Rating]],1)-2)</f>
        <v>#VALUE!</v>
      </c>
      <c r="AP19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199" s="5">
        <f t="shared" si="0"/>
        <v>1</v>
      </c>
      <c r="AR199" s="49" t="str">
        <f>IF(Data_Geotech[[#This Row],[FIRS Code]]="R",IFERROR((IF(Data_Geotech[[#This Row],[RQD (%)]]&lt;10,10,Data_Geotech[[#This Row],[RQD (%)]])/Data_Geotech[[#This Row],[Jn rating]])*Data_Geotech[[#This Row],[Jr/Ja]],""),"")</f>
        <v/>
      </c>
      <c r="AS199" s="45" t="str">
        <f>IF(Data_Geotech[[#This Row],[FIRS Code]]="R",IFERROR((IF(Data_Geotech[[#This Row],[RQD (%)]]&lt;10,10,Data_Geotech[[#This Row],[RQD (%)]])/Data_Geotech[[#This Row],[Jn rating]])*Data_Geotech[[#This Row],[Jr/Ja]]*Data_Geotech[[#This Row],[Jw/SRF]],""),"")</f>
        <v/>
      </c>
      <c r="AT199" s="12"/>
      <c r="AU199" s="13" t="e">
        <f>100-Data_Geotech[[#This Row],[RQD (%)]]</f>
        <v>#DIV/0!</v>
      </c>
      <c r="AV199" s="13" t="e">
        <f>100-Data_Geotech[[#This Row],[TCR (%)]]</f>
        <v>#DIV/0!</v>
      </c>
      <c r="AW199" s="62" t="e">
        <f>(Data_Geotech[[#This Row],[Fracture per interval]]+Data_Geotech[[#This Row],[Added fractures 
(BC, FLT, LC)]])/Data_Geotech[[#This Row],[TCR (m)]]</f>
        <v>#DIV/0!</v>
      </c>
      <c r="AX199" s="6" t="s">
        <v>109</v>
      </c>
      <c r="AY199" s="63" t="e">
        <f>7-MID(Data_Geotech[[#This Row],[Field Intact Rock Strength]],2,1)</f>
        <v>#VALUE!</v>
      </c>
      <c r="AZ199" s="63" t="e">
        <f>VLOOKUP(Data_Geotech[[#This Row],[Field Intact Rock Strength]],Table_FieldStrength[],2,FALSE)</f>
        <v>#N/A</v>
      </c>
      <c r="BA199" s="63" t="e">
        <f>VLOOKUP(Data_Geotech[[#This Row],[Field Intact Rock Strength]],Table_FieldStrength[],3,FALSE)</f>
        <v>#N/A</v>
      </c>
      <c r="BB199" s="63" t="e">
        <f>VLOOKUP(Data_Geotech[[#This Row],[Field Intact Rock Strength]],Table_FieldStrength[],4,FALSE)</f>
        <v>#N/A</v>
      </c>
      <c r="BC199" s="63" t="e">
        <f>100-Data_Geotech[[#This Row],[RMR76]]</f>
        <v>#VALUE!</v>
      </c>
      <c r="BD199" s="63" t="e">
        <f>LEFT(Data_Geotech[[#This Row],[Weathering/Alteration]],FIND("-",Data_Geotech[[#This Row],[Weathering/Alteration]])-2)</f>
        <v>#VALUE!</v>
      </c>
    </row>
    <row r="200" spans="2:56" hidden="1" x14ac:dyDescent="0.25">
      <c r="B200" s="16" t="e">
        <f>VLOOKUP(Data_Geotech[[#This Row],[Hole ID]],Data_Log[],2,FALSE)</f>
        <v>#N/A</v>
      </c>
      <c r="C200" s="5"/>
      <c r="D200" s="5"/>
      <c r="E200" s="5">
        <f>(Data_Geotech[[#This Row],[To (m)]]-Data_Geotech[[#This Row],[From (m)]])/2+Data_Geotech[[#This Row],[From (m)]]</f>
        <v>0</v>
      </c>
      <c r="F200" s="13">
        <f>Data_Geotech[[#This Row],[To (m)]]-Data_Geotech[[#This Row],[From (m)]]</f>
        <v>0</v>
      </c>
      <c r="G200" s="5"/>
      <c r="H200" s="61" t="e">
        <f>Data_Geotech[[#This Row],[TCR (m)]]/Data_Geotech[[#This Row],[Run (m)]]*100</f>
        <v>#DIV/0!</v>
      </c>
      <c r="I200" s="151"/>
      <c r="J200" s="151"/>
      <c r="K200" s="5"/>
      <c r="L200" s="61" t="e">
        <f>Data_Geotech[[#This Row],[RQD (m)]]/Data_Geotech[[#This Row],[Run Reel (m)]]*100</f>
        <v>#DIV/0!</v>
      </c>
      <c r="P200" s="115"/>
      <c r="Q200" s="5"/>
      <c r="R200" s="5"/>
      <c r="S200" s="5"/>
      <c r="T200" s="5"/>
      <c r="U200" s="5"/>
      <c r="V200" s="6"/>
      <c r="W200" s="92">
        <f>SUMIFS(Discontinuities!$D$4:$D$9664,Discontinuities!$A$4:$A$9664,A200,Discontinuities!$C$4:$C$9664,"&gt;="&amp;C200,Discontinuities!$C$4:$C$9664,"&lt;"&amp;D200)
-SUMIFS(Discontinuities!$D$4:$D$9664,Discontinuities!$A$4:$A$9664,A200,Discontinuities!$C$4:$C$9664,"&gt;="&amp;C200,Discontinuities!$C$4:$C$9664,"&lt;"&amp;D200,Discontinuities!$E$4:$E$9664,"=BC")
-SUMIFS(Discontinuities!$D$4:$D$9664,Discontinuities!$A$4:$A$9664,A200,Discontinuities!$C$4:$C$9664,"&gt;="&amp;C200,Discontinuities!$C$4:$C$9664,"&lt;"&amp;D200,Discontinuities!$E$4:$E$9664,"=LC")
-SUMIFS(Discontinuities!$D$4:$D$9664,Discontinuities!$A$4:$A$9664,A200,Discontinuities!$C$4:$C$9664,"&gt;="&amp;C200,Discontinuities!$C$4:$C$9664,"&lt;"&amp;D200,Discontinuities!$E$4:$E$9664,"=FLT")</f>
        <v>0</v>
      </c>
      <c r="AA200" s="12"/>
      <c r="AB200" s="43">
        <f>IFERROR(ROUND((Data_Geotech[[#This Row],[Fault (m)]]+Data_Geotech[[#This Row],[Broken Core (m)]]+Data_Geotech[[#This Row],[Lost Core (m)]])*30,0),0)</f>
        <v>0</v>
      </c>
      <c r="AC200" s="44">
        <f>IF(Data_Geotech[[#This Row],[Added fractures 
(BC, FLT, LC)]]+Data_Geotech[[#This Row],[Fracture per interval]]=0,99,1/((Data_Geotech[[#This Row],[Fracture per interval]]+Data_Geotech[[#This Row],[Added fractures 
(BC, FLT, LC)]])/Data_Geotech[[#This Row],[Run (m)]]))</f>
        <v>99</v>
      </c>
      <c r="AD200" s="155" t="str" cm="1">
        <f t="array" ref="AD200">IFERROR(_xlfn.XLOOKUP(1,(A200=PLT!$A$4:$A$8886)*(Geotech!C200&lt;=PLT!$F$4:$F$8886)*(Geotech!D200&gt;=PLT!$F$4:$F$8886)*("Valid"=PLT!$P$4:$P$8886),PLT!$V$4:$V$8886),"")</f>
        <v/>
      </c>
      <c r="AE200" s="156" t="str" cm="1">
        <f t="array" ref="AE200">IFERROR(_xlfn.XLOOKUP(1,(A200=PLT!$A$4:$A$8886)*(Geotech!C200&lt;=PLT!$F$4:$F$8886)*(Geotech!D200&gt;=PLT!$F$4:$F$8886)*(PLT!$V$4:$V$8886&lt;&gt;AD200)*("Valid"=PLT!$P$4:$P$7190),PLT!$V$4:$V$8886),"")</f>
        <v/>
      </c>
      <c r="AF200" s="156" t="str" cm="1">
        <f t="array" ref="AF200">IFERROR(_xlfn.XLOOKUP(1,(A200=PLT!$A$4:$A$8886)*(Geotech!C200&lt;=PLT!$F$4:$F$8886)*(Geotech!D200&gt;=PLT!$F$4:$F$8886)*(PLT!$V$4:$V$8886&lt;&gt;AD200)*(PLT!$V$4:$V$8886&lt;&gt;AE200)*("Valid"=PLT!$P$4:$P$7190),PLT!$V$4:$V$8886),"")</f>
        <v/>
      </c>
      <c r="AG200" s="44" t="str">
        <f>IFERROR(IF(AVERAGE(AD200:AF200)&gt;References!$BO$23,References!$BP$23,
IF(AVERAGE(AD200:AF200)&gt;References!$BO$22,References!$BP$22,
IF(AVERAGE(AD200:AF200)&gt;References!$BO$21,References!$BP$21,
IF(AVERAGE(AD200:AF200)&gt;References!$BO$20,References!$BP$20,
IF(AVERAGE(AD200:AF200)&gt;References!$BO$19,References!$BP$19,
IF(AVERAGE(AD200:AF200)&gt;References!$BO$18,References!$BP$18,
0)))))),"")</f>
        <v/>
      </c>
      <c r="AH200" s="43" t="e">
        <f>IF(Data_Geotech[[#This Row],[Is50]]="",VLOOKUP(Data_Geotech[[#This Row],[Field Intact Rock Strength]],Table_RMR76_Strength[],2,FALSE),Data_Geotech[[#This Row],[Is50]])</f>
        <v>#N/A</v>
      </c>
      <c r="AI200" s="43" t="e">
        <f>IF(Data_Geotech[[#This Row],[RQD (%)]]&lt;=25,3,IF(Data_Geotech[[#This Row],[RQD (%)]]&lt;=50,8,IF(Data_Geotech[[#This Row],[RQD (%)]]&lt;=75,13,IF(Data_Geotech[[#This Row],[RQD (%)]]&lt;=90,17,20))))</f>
        <v>#DIV/0!</v>
      </c>
      <c r="AJ200" s="43">
        <f>IF(Data_Geotech[[#This Row],[Joint spacing (m)]]&lt;=0.05,5,IF(Data_Geotech[[#This Row],[Joint spacing (m)]]&lt;=0.3,10,IF(Data_Geotech[[#This Row],[Joint spacing (m)]]&lt;=1,20,IF(Data_Geotech[[#This Row],[Joint spacing (m)]]&lt;=3,25,30))))</f>
        <v>30</v>
      </c>
      <c r="AK20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0" s="6">
        <v>10</v>
      </c>
      <c r="AM200" s="117" t="str">
        <f>IF(Data_Geotech[[#This Row],[FIRS Code]]="R",IFERROR(SUM(Data_Geotech[[#This Row],[RMR76 - Strength rating]:[RMR76 - Ground water rating]]),""),"")</f>
        <v/>
      </c>
      <c r="AN200" s="39" t="e">
        <f>IF(Data_Geotech[[#This Row],[FIRS Code]]="R",(2*Data_Geotech[[#This Row],[RMR76 - Joint condition rating]])+(IF(Data_Geotech[[#This Row],[RQD (%)]]&gt;80,80/2,Data_Geotech[[#This Row],[RQD (%)]]/2)),"")</f>
        <v>#DIV/0!</v>
      </c>
      <c r="AO200" s="43" t="e">
        <f>LEFT(Data_Geotech[[#This Row],[Joint Set Rating]],FIND("-",Data_Geotech[[#This Row],[Joint Set Rating]],1)-2)</f>
        <v>#VALUE!</v>
      </c>
      <c r="AP20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0" s="5">
        <f t="shared" si="0"/>
        <v>1</v>
      </c>
      <c r="AR200" s="49" t="str">
        <f>IF(Data_Geotech[[#This Row],[FIRS Code]]="R",IFERROR((IF(Data_Geotech[[#This Row],[RQD (%)]]&lt;10,10,Data_Geotech[[#This Row],[RQD (%)]])/Data_Geotech[[#This Row],[Jn rating]])*Data_Geotech[[#This Row],[Jr/Ja]],""),"")</f>
        <v/>
      </c>
      <c r="AS200" s="45" t="str">
        <f>IF(Data_Geotech[[#This Row],[FIRS Code]]="R",IFERROR((IF(Data_Geotech[[#This Row],[RQD (%)]]&lt;10,10,Data_Geotech[[#This Row],[RQD (%)]])/Data_Geotech[[#This Row],[Jn rating]])*Data_Geotech[[#This Row],[Jr/Ja]]*Data_Geotech[[#This Row],[Jw/SRF]],""),"")</f>
        <v/>
      </c>
      <c r="AT200" s="12"/>
      <c r="AU200" s="13" t="e">
        <f>100-Data_Geotech[[#This Row],[RQD (%)]]</f>
        <v>#DIV/0!</v>
      </c>
      <c r="AV200" s="13" t="e">
        <f>100-Data_Geotech[[#This Row],[TCR (%)]]</f>
        <v>#DIV/0!</v>
      </c>
      <c r="AW200" s="62" t="e">
        <f>(Data_Geotech[[#This Row],[Fracture per interval]]+Data_Geotech[[#This Row],[Added fractures 
(BC, FLT, LC)]])/Data_Geotech[[#This Row],[TCR (m)]]</f>
        <v>#DIV/0!</v>
      </c>
      <c r="AX200" s="6" t="s">
        <v>109</v>
      </c>
      <c r="AY200" s="63" t="e">
        <f>7-MID(Data_Geotech[[#This Row],[Field Intact Rock Strength]],2,1)</f>
        <v>#VALUE!</v>
      </c>
      <c r="AZ200" s="63" t="e">
        <f>VLOOKUP(Data_Geotech[[#This Row],[Field Intact Rock Strength]],Table_FieldStrength[],2,FALSE)</f>
        <v>#N/A</v>
      </c>
      <c r="BA200" s="63" t="e">
        <f>VLOOKUP(Data_Geotech[[#This Row],[Field Intact Rock Strength]],Table_FieldStrength[],3,FALSE)</f>
        <v>#N/A</v>
      </c>
      <c r="BB200" s="63" t="e">
        <f>VLOOKUP(Data_Geotech[[#This Row],[Field Intact Rock Strength]],Table_FieldStrength[],4,FALSE)</f>
        <v>#N/A</v>
      </c>
      <c r="BC200" s="63" t="e">
        <f>100-Data_Geotech[[#This Row],[RMR76]]</f>
        <v>#VALUE!</v>
      </c>
      <c r="BD200" s="63" t="e">
        <f>LEFT(Data_Geotech[[#This Row],[Weathering/Alteration]],FIND("-",Data_Geotech[[#This Row],[Weathering/Alteration]])-2)</f>
        <v>#VALUE!</v>
      </c>
    </row>
    <row r="201" spans="2:56" hidden="1" x14ac:dyDescent="0.25">
      <c r="B201" s="16" t="e">
        <f>VLOOKUP(Data_Geotech[[#This Row],[Hole ID]],Data_Log[],2,FALSE)</f>
        <v>#N/A</v>
      </c>
      <c r="C201" s="5"/>
      <c r="D201" s="5"/>
      <c r="E201" s="5">
        <f>(Data_Geotech[[#This Row],[To (m)]]-Data_Geotech[[#This Row],[From (m)]])/2+Data_Geotech[[#This Row],[From (m)]]</f>
        <v>0</v>
      </c>
      <c r="F201" s="13">
        <f>Data_Geotech[[#This Row],[To (m)]]-Data_Geotech[[#This Row],[From (m)]]</f>
        <v>0</v>
      </c>
      <c r="G201" s="5"/>
      <c r="H201" s="61" t="e">
        <f>Data_Geotech[[#This Row],[TCR (m)]]/Data_Geotech[[#This Row],[Run (m)]]*100</f>
        <v>#DIV/0!</v>
      </c>
      <c r="I201" s="151"/>
      <c r="J201" s="151"/>
      <c r="K201" s="5"/>
      <c r="L201" s="61" t="e">
        <f>Data_Geotech[[#This Row],[RQD (m)]]/Data_Geotech[[#This Row],[Run Reel (m)]]*100</f>
        <v>#DIV/0!</v>
      </c>
      <c r="P201" s="115"/>
      <c r="Q201" s="5"/>
      <c r="R201" s="5"/>
      <c r="S201" s="5"/>
      <c r="T201" s="5"/>
      <c r="U201" s="5"/>
      <c r="V201" s="6"/>
      <c r="W201" s="92">
        <f>SUMIFS(Discontinuities!$D$4:$D$9664,Discontinuities!$A$4:$A$9664,A201,Discontinuities!$C$4:$C$9664,"&gt;="&amp;C201,Discontinuities!$C$4:$C$9664,"&lt;"&amp;D201)
-SUMIFS(Discontinuities!$D$4:$D$9664,Discontinuities!$A$4:$A$9664,A201,Discontinuities!$C$4:$C$9664,"&gt;="&amp;C201,Discontinuities!$C$4:$C$9664,"&lt;"&amp;D201,Discontinuities!$E$4:$E$9664,"=BC")
-SUMIFS(Discontinuities!$D$4:$D$9664,Discontinuities!$A$4:$A$9664,A201,Discontinuities!$C$4:$C$9664,"&gt;="&amp;C201,Discontinuities!$C$4:$C$9664,"&lt;"&amp;D201,Discontinuities!$E$4:$E$9664,"=LC")
-SUMIFS(Discontinuities!$D$4:$D$9664,Discontinuities!$A$4:$A$9664,A201,Discontinuities!$C$4:$C$9664,"&gt;="&amp;C201,Discontinuities!$C$4:$C$9664,"&lt;"&amp;D201,Discontinuities!$E$4:$E$9664,"=FLT")</f>
        <v>0</v>
      </c>
      <c r="AA201" s="12"/>
      <c r="AB201" s="43">
        <f>IFERROR(ROUND((Data_Geotech[[#This Row],[Fault (m)]]+Data_Geotech[[#This Row],[Broken Core (m)]]+Data_Geotech[[#This Row],[Lost Core (m)]])*30,0),0)</f>
        <v>0</v>
      </c>
      <c r="AC201" s="44">
        <f>IF(Data_Geotech[[#This Row],[Added fractures 
(BC, FLT, LC)]]+Data_Geotech[[#This Row],[Fracture per interval]]=0,99,1/((Data_Geotech[[#This Row],[Fracture per interval]]+Data_Geotech[[#This Row],[Added fractures 
(BC, FLT, LC)]])/Data_Geotech[[#This Row],[Run (m)]]))</f>
        <v>99</v>
      </c>
      <c r="AD201" s="155" t="str" cm="1">
        <f t="array" ref="AD201">IFERROR(_xlfn.XLOOKUP(1,(A201=PLT!$A$4:$A$8886)*(Geotech!C201&lt;=PLT!$F$4:$F$8886)*(Geotech!D201&gt;=PLT!$F$4:$F$8886)*("Valid"=PLT!$P$4:$P$8886),PLT!$V$4:$V$8886),"")</f>
        <v/>
      </c>
      <c r="AE201" s="156" t="str" cm="1">
        <f t="array" ref="AE201">IFERROR(_xlfn.XLOOKUP(1,(A201=PLT!$A$4:$A$8886)*(Geotech!C201&lt;=PLT!$F$4:$F$8886)*(Geotech!D201&gt;=PLT!$F$4:$F$8886)*(PLT!$V$4:$V$8886&lt;&gt;AD201)*("Valid"=PLT!$P$4:$P$7190),PLT!$V$4:$V$8886),"")</f>
        <v/>
      </c>
      <c r="AF201" s="156" t="str" cm="1">
        <f t="array" ref="AF201">IFERROR(_xlfn.XLOOKUP(1,(A201=PLT!$A$4:$A$8886)*(Geotech!C201&lt;=PLT!$F$4:$F$8886)*(Geotech!D201&gt;=PLT!$F$4:$F$8886)*(PLT!$V$4:$V$8886&lt;&gt;AD201)*(PLT!$V$4:$V$8886&lt;&gt;AE201)*("Valid"=PLT!$P$4:$P$7190),PLT!$V$4:$V$8886),"")</f>
        <v/>
      </c>
      <c r="AG201" s="44" t="str">
        <f>IFERROR(IF(AVERAGE(AD201:AF201)&gt;References!$BO$23,References!$BP$23,
IF(AVERAGE(AD201:AF201)&gt;References!$BO$22,References!$BP$22,
IF(AVERAGE(AD201:AF201)&gt;References!$BO$21,References!$BP$21,
IF(AVERAGE(AD201:AF201)&gt;References!$BO$20,References!$BP$20,
IF(AVERAGE(AD201:AF201)&gt;References!$BO$19,References!$BP$19,
IF(AVERAGE(AD201:AF201)&gt;References!$BO$18,References!$BP$18,
0)))))),"")</f>
        <v/>
      </c>
      <c r="AH201" s="43" t="e">
        <f>IF(Data_Geotech[[#This Row],[Is50]]="",VLOOKUP(Data_Geotech[[#This Row],[Field Intact Rock Strength]],Table_RMR76_Strength[],2,FALSE),Data_Geotech[[#This Row],[Is50]])</f>
        <v>#N/A</v>
      </c>
      <c r="AI201" s="43" t="e">
        <f>IF(Data_Geotech[[#This Row],[RQD (%)]]&lt;=25,3,IF(Data_Geotech[[#This Row],[RQD (%)]]&lt;=50,8,IF(Data_Geotech[[#This Row],[RQD (%)]]&lt;=75,13,IF(Data_Geotech[[#This Row],[RQD (%)]]&lt;=90,17,20))))</f>
        <v>#DIV/0!</v>
      </c>
      <c r="AJ201" s="43">
        <f>IF(Data_Geotech[[#This Row],[Joint spacing (m)]]&lt;=0.05,5,IF(Data_Geotech[[#This Row],[Joint spacing (m)]]&lt;=0.3,10,IF(Data_Geotech[[#This Row],[Joint spacing (m)]]&lt;=1,20,IF(Data_Geotech[[#This Row],[Joint spacing (m)]]&lt;=3,25,30))))</f>
        <v>30</v>
      </c>
      <c r="AK20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1" s="6">
        <v>10</v>
      </c>
      <c r="AM201" s="117" t="str">
        <f>IF(Data_Geotech[[#This Row],[FIRS Code]]="R",IFERROR(SUM(Data_Geotech[[#This Row],[RMR76 - Strength rating]:[RMR76 - Ground water rating]]),""),"")</f>
        <v/>
      </c>
      <c r="AN201" s="39" t="e">
        <f>IF(Data_Geotech[[#This Row],[FIRS Code]]="R",(2*Data_Geotech[[#This Row],[RMR76 - Joint condition rating]])+(IF(Data_Geotech[[#This Row],[RQD (%)]]&gt;80,80/2,Data_Geotech[[#This Row],[RQD (%)]]/2)),"")</f>
        <v>#DIV/0!</v>
      </c>
      <c r="AO201" s="43" t="e">
        <f>LEFT(Data_Geotech[[#This Row],[Joint Set Rating]],FIND("-",Data_Geotech[[#This Row],[Joint Set Rating]],1)-2)</f>
        <v>#VALUE!</v>
      </c>
      <c r="AP20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1" s="5">
        <f t="shared" si="0"/>
        <v>1</v>
      </c>
      <c r="AR201" s="49" t="str">
        <f>IF(Data_Geotech[[#This Row],[FIRS Code]]="R",IFERROR((IF(Data_Geotech[[#This Row],[RQD (%)]]&lt;10,10,Data_Geotech[[#This Row],[RQD (%)]])/Data_Geotech[[#This Row],[Jn rating]])*Data_Geotech[[#This Row],[Jr/Ja]],""),"")</f>
        <v/>
      </c>
      <c r="AS201" s="45" t="str">
        <f>IF(Data_Geotech[[#This Row],[FIRS Code]]="R",IFERROR((IF(Data_Geotech[[#This Row],[RQD (%)]]&lt;10,10,Data_Geotech[[#This Row],[RQD (%)]])/Data_Geotech[[#This Row],[Jn rating]])*Data_Geotech[[#This Row],[Jr/Ja]]*Data_Geotech[[#This Row],[Jw/SRF]],""),"")</f>
        <v/>
      </c>
      <c r="AT201" s="12"/>
      <c r="AU201" s="13" t="e">
        <f>100-Data_Geotech[[#This Row],[RQD (%)]]</f>
        <v>#DIV/0!</v>
      </c>
      <c r="AV201" s="13" t="e">
        <f>100-Data_Geotech[[#This Row],[TCR (%)]]</f>
        <v>#DIV/0!</v>
      </c>
      <c r="AW201" s="62" t="e">
        <f>(Data_Geotech[[#This Row],[Fracture per interval]]+Data_Geotech[[#This Row],[Added fractures 
(BC, FLT, LC)]])/Data_Geotech[[#This Row],[TCR (m)]]</f>
        <v>#DIV/0!</v>
      </c>
      <c r="AX201" s="6" t="s">
        <v>109</v>
      </c>
      <c r="AY201" s="63" t="e">
        <f>7-MID(Data_Geotech[[#This Row],[Field Intact Rock Strength]],2,1)</f>
        <v>#VALUE!</v>
      </c>
      <c r="AZ201" s="63" t="e">
        <f>VLOOKUP(Data_Geotech[[#This Row],[Field Intact Rock Strength]],Table_FieldStrength[],2,FALSE)</f>
        <v>#N/A</v>
      </c>
      <c r="BA201" s="63" t="e">
        <f>VLOOKUP(Data_Geotech[[#This Row],[Field Intact Rock Strength]],Table_FieldStrength[],3,FALSE)</f>
        <v>#N/A</v>
      </c>
      <c r="BB201" s="63" t="e">
        <f>VLOOKUP(Data_Geotech[[#This Row],[Field Intact Rock Strength]],Table_FieldStrength[],4,FALSE)</f>
        <v>#N/A</v>
      </c>
      <c r="BC201" s="63" t="e">
        <f>100-Data_Geotech[[#This Row],[RMR76]]</f>
        <v>#VALUE!</v>
      </c>
      <c r="BD201" s="63" t="e">
        <f>LEFT(Data_Geotech[[#This Row],[Weathering/Alteration]],FIND("-",Data_Geotech[[#This Row],[Weathering/Alteration]])-2)</f>
        <v>#VALUE!</v>
      </c>
    </row>
    <row r="202" spans="2:56" hidden="1" x14ac:dyDescent="0.25">
      <c r="B202" s="16" t="e">
        <f>VLOOKUP(Data_Geotech[[#This Row],[Hole ID]],Data_Log[],2,FALSE)</f>
        <v>#N/A</v>
      </c>
      <c r="C202" s="5"/>
      <c r="D202" s="5"/>
      <c r="E202" s="5">
        <f>(Data_Geotech[[#This Row],[To (m)]]-Data_Geotech[[#This Row],[From (m)]])/2+Data_Geotech[[#This Row],[From (m)]]</f>
        <v>0</v>
      </c>
      <c r="F202" s="13">
        <f>Data_Geotech[[#This Row],[To (m)]]-Data_Geotech[[#This Row],[From (m)]]</f>
        <v>0</v>
      </c>
      <c r="G202" s="5"/>
      <c r="H202" s="61" t="e">
        <f>Data_Geotech[[#This Row],[TCR (m)]]/Data_Geotech[[#This Row],[Run (m)]]*100</f>
        <v>#DIV/0!</v>
      </c>
      <c r="I202" s="151"/>
      <c r="J202" s="151"/>
      <c r="K202" s="5"/>
      <c r="L202" s="61" t="e">
        <f>Data_Geotech[[#This Row],[RQD (m)]]/Data_Geotech[[#This Row],[Run Reel (m)]]*100</f>
        <v>#DIV/0!</v>
      </c>
      <c r="P202" s="115"/>
      <c r="Q202" s="5"/>
      <c r="R202" s="5"/>
      <c r="S202" s="5"/>
      <c r="T202" s="5"/>
      <c r="U202" s="5"/>
      <c r="V202" s="6"/>
      <c r="W202" s="92">
        <f>SUMIFS(Discontinuities!$D$4:$D$9664,Discontinuities!$A$4:$A$9664,A202,Discontinuities!$C$4:$C$9664,"&gt;="&amp;C202,Discontinuities!$C$4:$C$9664,"&lt;"&amp;D202)
-SUMIFS(Discontinuities!$D$4:$D$9664,Discontinuities!$A$4:$A$9664,A202,Discontinuities!$C$4:$C$9664,"&gt;="&amp;C202,Discontinuities!$C$4:$C$9664,"&lt;"&amp;D202,Discontinuities!$E$4:$E$9664,"=BC")
-SUMIFS(Discontinuities!$D$4:$D$9664,Discontinuities!$A$4:$A$9664,A202,Discontinuities!$C$4:$C$9664,"&gt;="&amp;C202,Discontinuities!$C$4:$C$9664,"&lt;"&amp;D202,Discontinuities!$E$4:$E$9664,"=LC")
-SUMIFS(Discontinuities!$D$4:$D$9664,Discontinuities!$A$4:$A$9664,A202,Discontinuities!$C$4:$C$9664,"&gt;="&amp;C202,Discontinuities!$C$4:$C$9664,"&lt;"&amp;D202,Discontinuities!$E$4:$E$9664,"=FLT")</f>
        <v>0</v>
      </c>
      <c r="AA202" s="12"/>
      <c r="AB202" s="43">
        <f>IFERROR(ROUND((Data_Geotech[[#This Row],[Fault (m)]]+Data_Geotech[[#This Row],[Broken Core (m)]]+Data_Geotech[[#This Row],[Lost Core (m)]])*30,0),0)</f>
        <v>0</v>
      </c>
      <c r="AC202" s="44">
        <f>IF(Data_Geotech[[#This Row],[Added fractures 
(BC, FLT, LC)]]+Data_Geotech[[#This Row],[Fracture per interval]]=0,99,1/((Data_Geotech[[#This Row],[Fracture per interval]]+Data_Geotech[[#This Row],[Added fractures 
(BC, FLT, LC)]])/Data_Geotech[[#This Row],[Run (m)]]))</f>
        <v>99</v>
      </c>
      <c r="AD202" s="155" t="str" cm="1">
        <f t="array" ref="AD202">IFERROR(_xlfn.XLOOKUP(1,(A202=PLT!$A$4:$A$8886)*(Geotech!C202&lt;=PLT!$F$4:$F$8886)*(Geotech!D202&gt;=PLT!$F$4:$F$8886)*("Valid"=PLT!$P$4:$P$8886),PLT!$V$4:$V$8886),"")</f>
        <v/>
      </c>
      <c r="AE202" s="156" t="str" cm="1">
        <f t="array" ref="AE202">IFERROR(_xlfn.XLOOKUP(1,(A202=PLT!$A$4:$A$8886)*(Geotech!C202&lt;=PLT!$F$4:$F$8886)*(Geotech!D202&gt;=PLT!$F$4:$F$8886)*(PLT!$V$4:$V$8886&lt;&gt;AD202)*("Valid"=PLT!$P$4:$P$7190),PLT!$V$4:$V$8886),"")</f>
        <v/>
      </c>
      <c r="AF202" s="156" t="str" cm="1">
        <f t="array" ref="AF202">IFERROR(_xlfn.XLOOKUP(1,(A202=PLT!$A$4:$A$8886)*(Geotech!C202&lt;=PLT!$F$4:$F$8886)*(Geotech!D202&gt;=PLT!$F$4:$F$8886)*(PLT!$V$4:$V$8886&lt;&gt;AD202)*(PLT!$V$4:$V$8886&lt;&gt;AE202)*("Valid"=PLT!$P$4:$P$7190),PLT!$V$4:$V$8886),"")</f>
        <v/>
      </c>
      <c r="AG202" s="44" t="str">
        <f>IFERROR(IF(AVERAGE(AD202:AF202)&gt;References!$BO$23,References!$BP$23,
IF(AVERAGE(AD202:AF202)&gt;References!$BO$22,References!$BP$22,
IF(AVERAGE(AD202:AF202)&gt;References!$BO$21,References!$BP$21,
IF(AVERAGE(AD202:AF202)&gt;References!$BO$20,References!$BP$20,
IF(AVERAGE(AD202:AF202)&gt;References!$BO$19,References!$BP$19,
IF(AVERAGE(AD202:AF202)&gt;References!$BO$18,References!$BP$18,
0)))))),"")</f>
        <v/>
      </c>
      <c r="AH202" s="43" t="e">
        <f>IF(Data_Geotech[[#This Row],[Is50]]="",VLOOKUP(Data_Geotech[[#This Row],[Field Intact Rock Strength]],Table_RMR76_Strength[],2,FALSE),Data_Geotech[[#This Row],[Is50]])</f>
        <v>#N/A</v>
      </c>
      <c r="AI202" s="43" t="e">
        <f>IF(Data_Geotech[[#This Row],[RQD (%)]]&lt;=25,3,IF(Data_Geotech[[#This Row],[RQD (%)]]&lt;=50,8,IF(Data_Geotech[[#This Row],[RQD (%)]]&lt;=75,13,IF(Data_Geotech[[#This Row],[RQD (%)]]&lt;=90,17,20))))</f>
        <v>#DIV/0!</v>
      </c>
      <c r="AJ202" s="43">
        <f>IF(Data_Geotech[[#This Row],[Joint spacing (m)]]&lt;=0.05,5,IF(Data_Geotech[[#This Row],[Joint spacing (m)]]&lt;=0.3,10,IF(Data_Geotech[[#This Row],[Joint spacing (m)]]&lt;=1,20,IF(Data_Geotech[[#This Row],[Joint spacing (m)]]&lt;=3,25,30))))</f>
        <v>30</v>
      </c>
      <c r="AK20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2" s="6">
        <v>10</v>
      </c>
      <c r="AM202" s="117" t="str">
        <f>IF(Data_Geotech[[#This Row],[FIRS Code]]="R",IFERROR(SUM(Data_Geotech[[#This Row],[RMR76 - Strength rating]:[RMR76 - Ground water rating]]),""),"")</f>
        <v/>
      </c>
      <c r="AN202" s="39" t="e">
        <f>IF(Data_Geotech[[#This Row],[FIRS Code]]="R",(2*Data_Geotech[[#This Row],[RMR76 - Joint condition rating]])+(IF(Data_Geotech[[#This Row],[RQD (%)]]&gt;80,80/2,Data_Geotech[[#This Row],[RQD (%)]]/2)),"")</f>
        <v>#DIV/0!</v>
      </c>
      <c r="AO202" s="43" t="e">
        <f>LEFT(Data_Geotech[[#This Row],[Joint Set Rating]],FIND("-",Data_Geotech[[#This Row],[Joint Set Rating]],1)-2)</f>
        <v>#VALUE!</v>
      </c>
      <c r="AP20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2" s="5">
        <f t="shared" si="0"/>
        <v>1</v>
      </c>
      <c r="AR202" s="49" t="str">
        <f>IF(Data_Geotech[[#This Row],[FIRS Code]]="R",IFERROR((IF(Data_Geotech[[#This Row],[RQD (%)]]&lt;10,10,Data_Geotech[[#This Row],[RQD (%)]])/Data_Geotech[[#This Row],[Jn rating]])*Data_Geotech[[#This Row],[Jr/Ja]],""),"")</f>
        <v/>
      </c>
      <c r="AS202" s="45" t="str">
        <f>IF(Data_Geotech[[#This Row],[FIRS Code]]="R",IFERROR((IF(Data_Geotech[[#This Row],[RQD (%)]]&lt;10,10,Data_Geotech[[#This Row],[RQD (%)]])/Data_Geotech[[#This Row],[Jn rating]])*Data_Geotech[[#This Row],[Jr/Ja]]*Data_Geotech[[#This Row],[Jw/SRF]],""),"")</f>
        <v/>
      </c>
      <c r="AT202" s="12"/>
      <c r="AU202" s="13" t="e">
        <f>100-Data_Geotech[[#This Row],[RQD (%)]]</f>
        <v>#DIV/0!</v>
      </c>
      <c r="AV202" s="13" t="e">
        <f>100-Data_Geotech[[#This Row],[TCR (%)]]</f>
        <v>#DIV/0!</v>
      </c>
      <c r="AW202" s="62" t="e">
        <f>(Data_Geotech[[#This Row],[Fracture per interval]]+Data_Geotech[[#This Row],[Added fractures 
(BC, FLT, LC)]])/Data_Geotech[[#This Row],[TCR (m)]]</f>
        <v>#DIV/0!</v>
      </c>
      <c r="AX202" s="6" t="s">
        <v>109</v>
      </c>
      <c r="AY202" s="63" t="e">
        <f>7-MID(Data_Geotech[[#This Row],[Field Intact Rock Strength]],2,1)</f>
        <v>#VALUE!</v>
      </c>
      <c r="AZ202" s="63" t="e">
        <f>VLOOKUP(Data_Geotech[[#This Row],[Field Intact Rock Strength]],Table_FieldStrength[],2,FALSE)</f>
        <v>#N/A</v>
      </c>
      <c r="BA202" s="63" t="e">
        <f>VLOOKUP(Data_Geotech[[#This Row],[Field Intact Rock Strength]],Table_FieldStrength[],3,FALSE)</f>
        <v>#N/A</v>
      </c>
      <c r="BB202" s="63" t="e">
        <f>VLOOKUP(Data_Geotech[[#This Row],[Field Intact Rock Strength]],Table_FieldStrength[],4,FALSE)</f>
        <v>#N/A</v>
      </c>
      <c r="BC202" s="63" t="e">
        <f>100-Data_Geotech[[#This Row],[RMR76]]</f>
        <v>#VALUE!</v>
      </c>
      <c r="BD202" s="63" t="e">
        <f>LEFT(Data_Geotech[[#This Row],[Weathering/Alteration]],FIND("-",Data_Geotech[[#This Row],[Weathering/Alteration]])-2)</f>
        <v>#VALUE!</v>
      </c>
    </row>
    <row r="203" spans="2:56" hidden="1" x14ac:dyDescent="0.25">
      <c r="B203" s="16" t="e">
        <f>VLOOKUP(Data_Geotech[[#This Row],[Hole ID]],Data_Log[],2,FALSE)</f>
        <v>#N/A</v>
      </c>
      <c r="C203" s="5"/>
      <c r="D203" s="5"/>
      <c r="E203" s="5">
        <f>(Data_Geotech[[#This Row],[To (m)]]-Data_Geotech[[#This Row],[From (m)]])/2+Data_Geotech[[#This Row],[From (m)]]</f>
        <v>0</v>
      </c>
      <c r="F203" s="13">
        <f>Data_Geotech[[#This Row],[To (m)]]-Data_Geotech[[#This Row],[From (m)]]</f>
        <v>0</v>
      </c>
      <c r="G203" s="5"/>
      <c r="H203" s="61" t="e">
        <f>Data_Geotech[[#This Row],[TCR (m)]]/Data_Geotech[[#This Row],[Run (m)]]*100</f>
        <v>#DIV/0!</v>
      </c>
      <c r="I203" s="151"/>
      <c r="J203" s="151"/>
      <c r="K203" s="5"/>
      <c r="L203" s="61" t="e">
        <f>Data_Geotech[[#This Row],[RQD (m)]]/Data_Geotech[[#This Row],[Run Reel (m)]]*100</f>
        <v>#DIV/0!</v>
      </c>
      <c r="P203" s="115"/>
      <c r="Q203" s="5"/>
      <c r="R203" s="5"/>
      <c r="S203" s="5"/>
      <c r="T203" s="5"/>
      <c r="U203" s="5"/>
      <c r="V203" s="6"/>
      <c r="W203" s="92">
        <f>SUMIFS(Discontinuities!$D$4:$D$9664,Discontinuities!$A$4:$A$9664,A203,Discontinuities!$C$4:$C$9664,"&gt;="&amp;C203,Discontinuities!$C$4:$C$9664,"&lt;"&amp;D203)
-SUMIFS(Discontinuities!$D$4:$D$9664,Discontinuities!$A$4:$A$9664,A203,Discontinuities!$C$4:$C$9664,"&gt;="&amp;C203,Discontinuities!$C$4:$C$9664,"&lt;"&amp;D203,Discontinuities!$E$4:$E$9664,"=BC")
-SUMIFS(Discontinuities!$D$4:$D$9664,Discontinuities!$A$4:$A$9664,A203,Discontinuities!$C$4:$C$9664,"&gt;="&amp;C203,Discontinuities!$C$4:$C$9664,"&lt;"&amp;D203,Discontinuities!$E$4:$E$9664,"=LC")
-SUMIFS(Discontinuities!$D$4:$D$9664,Discontinuities!$A$4:$A$9664,A203,Discontinuities!$C$4:$C$9664,"&gt;="&amp;C203,Discontinuities!$C$4:$C$9664,"&lt;"&amp;D203,Discontinuities!$E$4:$E$9664,"=FLT")</f>
        <v>0</v>
      </c>
      <c r="AA203" s="12"/>
      <c r="AB203" s="43">
        <f>IFERROR(ROUND((Data_Geotech[[#This Row],[Fault (m)]]+Data_Geotech[[#This Row],[Broken Core (m)]]+Data_Geotech[[#This Row],[Lost Core (m)]])*30,0),0)</f>
        <v>0</v>
      </c>
      <c r="AC203" s="44">
        <f>IF(Data_Geotech[[#This Row],[Added fractures 
(BC, FLT, LC)]]+Data_Geotech[[#This Row],[Fracture per interval]]=0,99,1/((Data_Geotech[[#This Row],[Fracture per interval]]+Data_Geotech[[#This Row],[Added fractures 
(BC, FLT, LC)]])/Data_Geotech[[#This Row],[Run (m)]]))</f>
        <v>99</v>
      </c>
      <c r="AD203" s="155" t="str" cm="1">
        <f t="array" ref="AD203">IFERROR(_xlfn.XLOOKUP(1,(A203=PLT!$A$4:$A$8886)*(Geotech!C203&lt;=PLT!$F$4:$F$8886)*(Geotech!D203&gt;=PLT!$F$4:$F$8886)*("Valid"=PLT!$P$4:$P$8886),PLT!$V$4:$V$8886),"")</f>
        <v/>
      </c>
      <c r="AE203" s="156" t="str" cm="1">
        <f t="array" ref="AE203">IFERROR(_xlfn.XLOOKUP(1,(A203=PLT!$A$4:$A$8886)*(Geotech!C203&lt;=PLT!$F$4:$F$8886)*(Geotech!D203&gt;=PLT!$F$4:$F$8886)*(PLT!$V$4:$V$8886&lt;&gt;AD203)*("Valid"=PLT!$P$4:$P$7190),PLT!$V$4:$V$8886),"")</f>
        <v/>
      </c>
      <c r="AF203" s="156" t="str" cm="1">
        <f t="array" ref="AF203">IFERROR(_xlfn.XLOOKUP(1,(A203=PLT!$A$4:$A$8886)*(Geotech!C203&lt;=PLT!$F$4:$F$8886)*(Geotech!D203&gt;=PLT!$F$4:$F$8886)*(PLT!$V$4:$V$8886&lt;&gt;AD203)*(PLT!$V$4:$V$8886&lt;&gt;AE203)*("Valid"=PLT!$P$4:$P$7190),PLT!$V$4:$V$8886),"")</f>
        <v/>
      </c>
      <c r="AG203" s="44" t="str">
        <f>IFERROR(IF(AVERAGE(AD203:AF203)&gt;References!$BO$23,References!$BP$23,
IF(AVERAGE(AD203:AF203)&gt;References!$BO$22,References!$BP$22,
IF(AVERAGE(AD203:AF203)&gt;References!$BO$21,References!$BP$21,
IF(AVERAGE(AD203:AF203)&gt;References!$BO$20,References!$BP$20,
IF(AVERAGE(AD203:AF203)&gt;References!$BO$19,References!$BP$19,
IF(AVERAGE(AD203:AF203)&gt;References!$BO$18,References!$BP$18,
0)))))),"")</f>
        <v/>
      </c>
      <c r="AH203" s="43" t="e">
        <f>IF(Data_Geotech[[#This Row],[Is50]]="",VLOOKUP(Data_Geotech[[#This Row],[Field Intact Rock Strength]],Table_RMR76_Strength[],2,FALSE),Data_Geotech[[#This Row],[Is50]])</f>
        <v>#N/A</v>
      </c>
      <c r="AI203" s="43" t="e">
        <f>IF(Data_Geotech[[#This Row],[RQD (%)]]&lt;=25,3,IF(Data_Geotech[[#This Row],[RQD (%)]]&lt;=50,8,IF(Data_Geotech[[#This Row],[RQD (%)]]&lt;=75,13,IF(Data_Geotech[[#This Row],[RQD (%)]]&lt;=90,17,20))))</f>
        <v>#DIV/0!</v>
      </c>
      <c r="AJ203" s="43">
        <f>IF(Data_Geotech[[#This Row],[Joint spacing (m)]]&lt;=0.05,5,IF(Data_Geotech[[#This Row],[Joint spacing (m)]]&lt;=0.3,10,IF(Data_Geotech[[#This Row],[Joint spacing (m)]]&lt;=1,20,IF(Data_Geotech[[#This Row],[Joint spacing (m)]]&lt;=3,25,30))))</f>
        <v>30</v>
      </c>
      <c r="AK20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3" s="6">
        <v>10</v>
      </c>
      <c r="AM203" s="117" t="str">
        <f>IF(Data_Geotech[[#This Row],[FIRS Code]]="R",IFERROR(SUM(Data_Geotech[[#This Row],[RMR76 - Strength rating]:[RMR76 - Ground water rating]]),""),"")</f>
        <v/>
      </c>
      <c r="AN203" s="39" t="e">
        <f>IF(Data_Geotech[[#This Row],[FIRS Code]]="R",(2*Data_Geotech[[#This Row],[RMR76 - Joint condition rating]])+(IF(Data_Geotech[[#This Row],[RQD (%)]]&gt;80,80/2,Data_Geotech[[#This Row],[RQD (%)]]/2)),"")</f>
        <v>#DIV/0!</v>
      </c>
      <c r="AO203" s="43" t="e">
        <f>LEFT(Data_Geotech[[#This Row],[Joint Set Rating]],FIND("-",Data_Geotech[[#This Row],[Joint Set Rating]],1)-2)</f>
        <v>#VALUE!</v>
      </c>
      <c r="AP20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3" s="5">
        <f t="shared" si="0"/>
        <v>1</v>
      </c>
      <c r="AR203" s="49" t="str">
        <f>IF(Data_Geotech[[#This Row],[FIRS Code]]="R",IFERROR((IF(Data_Geotech[[#This Row],[RQD (%)]]&lt;10,10,Data_Geotech[[#This Row],[RQD (%)]])/Data_Geotech[[#This Row],[Jn rating]])*Data_Geotech[[#This Row],[Jr/Ja]],""),"")</f>
        <v/>
      </c>
      <c r="AS203" s="45" t="str">
        <f>IF(Data_Geotech[[#This Row],[FIRS Code]]="R",IFERROR((IF(Data_Geotech[[#This Row],[RQD (%)]]&lt;10,10,Data_Geotech[[#This Row],[RQD (%)]])/Data_Geotech[[#This Row],[Jn rating]])*Data_Geotech[[#This Row],[Jr/Ja]]*Data_Geotech[[#This Row],[Jw/SRF]],""),"")</f>
        <v/>
      </c>
      <c r="AT203" s="12"/>
      <c r="AU203" s="13" t="e">
        <f>100-Data_Geotech[[#This Row],[RQD (%)]]</f>
        <v>#DIV/0!</v>
      </c>
      <c r="AV203" s="13" t="e">
        <f>100-Data_Geotech[[#This Row],[TCR (%)]]</f>
        <v>#DIV/0!</v>
      </c>
      <c r="AW203" s="62" t="e">
        <f>(Data_Geotech[[#This Row],[Fracture per interval]]+Data_Geotech[[#This Row],[Added fractures 
(BC, FLT, LC)]])/Data_Geotech[[#This Row],[TCR (m)]]</f>
        <v>#DIV/0!</v>
      </c>
      <c r="AX203" s="6" t="s">
        <v>109</v>
      </c>
      <c r="AY203" s="63" t="e">
        <f>7-MID(Data_Geotech[[#This Row],[Field Intact Rock Strength]],2,1)</f>
        <v>#VALUE!</v>
      </c>
      <c r="AZ203" s="63" t="e">
        <f>VLOOKUP(Data_Geotech[[#This Row],[Field Intact Rock Strength]],Table_FieldStrength[],2,FALSE)</f>
        <v>#N/A</v>
      </c>
      <c r="BA203" s="63" t="e">
        <f>VLOOKUP(Data_Geotech[[#This Row],[Field Intact Rock Strength]],Table_FieldStrength[],3,FALSE)</f>
        <v>#N/A</v>
      </c>
      <c r="BB203" s="63" t="e">
        <f>VLOOKUP(Data_Geotech[[#This Row],[Field Intact Rock Strength]],Table_FieldStrength[],4,FALSE)</f>
        <v>#N/A</v>
      </c>
      <c r="BC203" s="63" t="e">
        <f>100-Data_Geotech[[#This Row],[RMR76]]</f>
        <v>#VALUE!</v>
      </c>
      <c r="BD203" s="63" t="e">
        <f>LEFT(Data_Geotech[[#This Row],[Weathering/Alteration]],FIND("-",Data_Geotech[[#This Row],[Weathering/Alteration]])-2)</f>
        <v>#VALUE!</v>
      </c>
    </row>
    <row r="204" spans="2:56" hidden="1" x14ac:dyDescent="0.25">
      <c r="B204" s="16" t="e">
        <f>VLOOKUP(Data_Geotech[[#This Row],[Hole ID]],Data_Log[],2,FALSE)</f>
        <v>#N/A</v>
      </c>
      <c r="C204" s="5"/>
      <c r="D204" s="5"/>
      <c r="E204" s="5">
        <f>(Data_Geotech[[#This Row],[To (m)]]-Data_Geotech[[#This Row],[From (m)]])/2+Data_Geotech[[#This Row],[From (m)]]</f>
        <v>0</v>
      </c>
      <c r="F204" s="13">
        <f>Data_Geotech[[#This Row],[To (m)]]-Data_Geotech[[#This Row],[From (m)]]</f>
        <v>0</v>
      </c>
      <c r="G204" s="5"/>
      <c r="H204" s="61" t="e">
        <f>Data_Geotech[[#This Row],[TCR (m)]]/Data_Geotech[[#This Row],[Run (m)]]*100</f>
        <v>#DIV/0!</v>
      </c>
      <c r="I204" s="151"/>
      <c r="J204" s="151"/>
      <c r="K204" s="5"/>
      <c r="L204" s="61" t="e">
        <f>Data_Geotech[[#This Row],[RQD (m)]]/Data_Geotech[[#This Row],[Run Reel (m)]]*100</f>
        <v>#DIV/0!</v>
      </c>
      <c r="P204" s="115"/>
      <c r="Q204" s="5"/>
      <c r="R204" s="5"/>
      <c r="S204" s="5"/>
      <c r="T204" s="5"/>
      <c r="U204" s="5"/>
      <c r="V204" s="6"/>
      <c r="W204" s="92">
        <f>SUMIFS(Discontinuities!$D$4:$D$9664,Discontinuities!$A$4:$A$9664,A204,Discontinuities!$C$4:$C$9664,"&gt;="&amp;C204,Discontinuities!$C$4:$C$9664,"&lt;"&amp;D204)
-SUMIFS(Discontinuities!$D$4:$D$9664,Discontinuities!$A$4:$A$9664,A204,Discontinuities!$C$4:$C$9664,"&gt;="&amp;C204,Discontinuities!$C$4:$C$9664,"&lt;"&amp;D204,Discontinuities!$E$4:$E$9664,"=BC")
-SUMIFS(Discontinuities!$D$4:$D$9664,Discontinuities!$A$4:$A$9664,A204,Discontinuities!$C$4:$C$9664,"&gt;="&amp;C204,Discontinuities!$C$4:$C$9664,"&lt;"&amp;D204,Discontinuities!$E$4:$E$9664,"=LC")
-SUMIFS(Discontinuities!$D$4:$D$9664,Discontinuities!$A$4:$A$9664,A204,Discontinuities!$C$4:$C$9664,"&gt;="&amp;C204,Discontinuities!$C$4:$C$9664,"&lt;"&amp;D204,Discontinuities!$E$4:$E$9664,"=FLT")</f>
        <v>0</v>
      </c>
      <c r="AA204" s="12"/>
      <c r="AB204" s="43">
        <f>IFERROR(ROUND((Data_Geotech[[#This Row],[Fault (m)]]+Data_Geotech[[#This Row],[Broken Core (m)]]+Data_Geotech[[#This Row],[Lost Core (m)]])*30,0),0)</f>
        <v>0</v>
      </c>
      <c r="AC204" s="44">
        <f>IF(Data_Geotech[[#This Row],[Added fractures 
(BC, FLT, LC)]]+Data_Geotech[[#This Row],[Fracture per interval]]=0,99,1/((Data_Geotech[[#This Row],[Fracture per interval]]+Data_Geotech[[#This Row],[Added fractures 
(BC, FLT, LC)]])/Data_Geotech[[#This Row],[Run (m)]]))</f>
        <v>99</v>
      </c>
      <c r="AD204" s="155" t="str" cm="1">
        <f t="array" ref="AD204">IFERROR(_xlfn.XLOOKUP(1,(A204=PLT!$A$4:$A$8886)*(Geotech!C204&lt;=PLT!$F$4:$F$8886)*(Geotech!D204&gt;=PLT!$F$4:$F$8886)*("Valid"=PLT!$P$4:$P$8886),PLT!$V$4:$V$8886),"")</f>
        <v/>
      </c>
      <c r="AE204" s="156" t="str" cm="1">
        <f t="array" ref="AE204">IFERROR(_xlfn.XLOOKUP(1,(A204=PLT!$A$4:$A$8886)*(Geotech!C204&lt;=PLT!$F$4:$F$8886)*(Geotech!D204&gt;=PLT!$F$4:$F$8886)*(PLT!$V$4:$V$8886&lt;&gt;AD204)*("Valid"=PLT!$P$4:$P$7190),PLT!$V$4:$V$8886),"")</f>
        <v/>
      </c>
      <c r="AF204" s="156" t="str" cm="1">
        <f t="array" ref="AF204">IFERROR(_xlfn.XLOOKUP(1,(A204=PLT!$A$4:$A$8886)*(Geotech!C204&lt;=PLT!$F$4:$F$8886)*(Geotech!D204&gt;=PLT!$F$4:$F$8886)*(PLT!$V$4:$V$8886&lt;&gt;AD204)*(PLT!$V$4:$V$8886&lt;&gt;AE204)*("Valid"=PLT!$P$4:$P$7190),PLT!$V$4:$V$8886),"")</f>
        <v/>
      </c>
      <c r="AG204" s="44" t="str">
        <f>IFERROR(IF(AVERAGE(AD204:AF204)&gt;References!$BO$23,References!$BP$23,
IF(AVERAGE(AD204:AF204)&gt;References!$BO$22,References!$BP$22,
IF(AVERAGE(AD204:AF204)&gt;References!$BO$21,References!$BP$21,
IF(AVERAGE(AD204:AF204)&gt;References!$BO$20,References!$BP$20,
IF(AVERAGE(AD204:AF204)&gt;References!$BO$19,References!$BP$19,
IF(AVERAGE(AD204:AF204)&gt;References!$BO$18,References!$BP$18,
0)))))),"")</f>
        <v/>
      </c>
      <c r="AH204" s="43" t="e">
        <f>IF(Data_Geotech[[#This Row],[Is50]]="",VLOOKUP(Data_Geotech[[#This Row],[Field Intact Rock Strength]],Table_RMR76_Strength[],2,FALSE),Data_Geotech[[#This Row],[Is50]])</f>
        <v>#N/A</v>
      </c>
      <c r="AI204" s="43" t="e">
        <f>IF(Data_Geotech[[#This Row],[RQD (%)]]&lt;=25,3,IF(Data_Geotech[[#This Row],[RQD (%)]]&lt;=50,8,IF(Data_Geotech[[#This Row],[RQD (%)]]&lt;=75,13,IF(Data_Geotech[[#This Row],[RQD (%)]]&lt;=90,17,20))))</f>
        <v>#DIV/0!</v>
      </c>
      <c r="AJ204" s="43">
        <f>IF(Data_Geotech[[#This Row],[Joint spacing (m)]]&lt;=0.05,5,IF(Data_Geotech[[#This Row],[Joint spacing (m)]]&lt;=0.3,10,IF(Data_Geotech[[#This Row],[Joint spacing (m)]]&lt;=1,20,IF(Data_Geotech[[#This Row],[Joint spacing (m)]]&lt;=3,25,30))))</f>
        <v>30</v>
      </c>
      <c r="AK20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4" s="6">
        <v>10</v>
      </c>
      <c r="AM204" s="117" t="str">
        <f>IF(Data_Geotech[[#This Row],[FIRS Code]]="R",IFERROR(SUM(Data_Geotech[[#This Row],[RMR76 - Strength rating]:[RMR76 - Ground water rating]]),""),"")</f>
        <v/>
      </c>
      <c r="AN204" s="39" t="e">
        <f>IF(Data_Geotech[[#This Row],[FIRS Code]]="R",(2*Data_Geotech[[#This Row],[RMR76 - Joint condition rating]])+(IF(Data_Geotech[[#This Row],[RQD (%)]]&gt;80,80/2,Data_Geotech[[#This Row],[RQD (%)]]/2)),"")</f>
        <v>#DIV/0!</v>
      </c>
      <c r="AO204" s="43" t="e">
        <f>LEFT(Data_Geotech[[#This Row],[Joint Set Rating]],FIND("-",Data_Geotech[[#This Row],[Joint Set Rating]],1)-2)</f>
        <v>#VALUE!</v>
      </c>
      <c r="AP20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4" s="5">
        <f t="shared" si="0"/>
        <v>1</v>
      </c>
      <c r="AR204" s="49" t="str">
        <f>IF(Data_Geotech[[#This Row],[FIRS Code]]="R",IFERROR((IF(Data_Geotech[[#This Row],[RQD (%)]]&lt;10,10,Data_Geotech[[#This Row],[RQD (%)]])/Data_Geotech[[#This Row],[Jn rating]])*Data_Geotech[[#This Row],[Jr/Ja]],""),"")</f>
        <v/>
      </c>
      <c r="AS204" s="45" t="str">
        <f>IF(Data_Geotech[[#This Row],[FIRS Code]]="R",IFERROR((IF(Data_Geotech[[#This Row],[RQD (%)]]&lt;10,10,Data_Geotech[[#This Row],[RQD (%)]])/Data_Geotech[[#This Row],[Jn rating]])*Data_Geotech[[#This Row],[Jr/Ja]]*Data_Geotech[[#This Row],[Jw/SRF]],""),"")</f>
        <v/>
      </c>
      <c r="AT204" s="12"/>
      <c r="AU204" s="13" t="e">
        <f>100-Data_Geotech[[#This Row],[RQD (%)]]</f>
        <v>#DIV/0!</v>
      </c>
      <c r="AV204" s="13" t="e">
        <f>100-Data_Geotech[[#This Row],[TCR (%)]]</f>
        <v>#DIV/0!</v>
      </c>
      <c r="AW204" s="62" t="e">
        <f>(Data_Geotech[[#This Row],[Fracture per interval]]+Data_Geotech[[#This Row],[Added fractures 
(BC, FLT, LC)]])/Data_Geotech[[#This Row],[TCR (m)]]</f>
        <v>#DIV/0!</v>
      </c>
      <c r="AX204" s="6" t="s">
        <v>109</v>
      </c>
      <c r="AY204" s="63" t="e">
        <f>7-MID(Data_Geotech[[#This Row],[Field Intact Rock Strength]],2,1)</f>
        <v>#VALUE!</v>
      </c>
      <c r="AZ204" s="63" t="e">
        <f>VLOOKUP(Data_Geotech[[#This Row],[Field Intact Rock Strength]],Table_FieldStrength[],2,FALSE)</f>
        <v>#N/A</v>
      </c>
      <c r="BA204" s="63" t="e">
        <f>VLOOKUP(Data_Geotech[[#This Row],[Field Intact Rock Strength]],Table_FieldStrength[],3,FALSE)</f>
        <v>#N/A</v>
      </c>
      <c r="BB204" s="63" t="e">
        <f>VLOOKUP(Data_Geotech[[#This Row],[Field Intact Rock Strength]],Table_FieldStrength[],4,FALSE)</f>
        <v>#N/A</v>
      </c>
      <c r="BC204" s="63" t="e">
        <f>100-Data_Geotech[[#This Row],[RMR76]]</f>
        <v>#VALUE!</v>
      </c>
      <c r="BD204" s="63" t="e">
        <f>LEFT(Data_Geotech[[#This Row],[Weathering/Alteration]],FIND("-",Data_Geotech[[#This Row],[Weathering/Alteration]])-2)</f>
        <v>#VALUE!</v>
      </c>
    </row>
    <row r="205" spans="2:56" hidden="1" x14ac:dyDescent="0.25">
      <c r="B205" s="16" t="e">
        <f>VLOOKUP(Data_Geotech[[#This Row],[Hole ID]],Data_Log[],2,FALSE)</f>
        <v>#N/A</v>
      </c>
      <c r="C205" s="5"/>
      <c r="D205" s="5"/>
      <c r="E205" s="5">
        <f>(Data_Geotech[[#This Row],[To (m)]]-Data_Geotech[[#This Row],[From (m)]])/2+Data_Geotech[[#This Row],[From (m)]]</f>
        <v>0</v>
      </c>
      <c r="F205" s="13">
        <f>Data_Geotech[[#This Row],[To (m)]]-Data_Geotech[[#This Row],[From (m)]]</f>
        <v>0</v>
      </c>
      <c r="G205" s="5"/>
      <c r="H205" s="61" t="e">
        <f>Data_Geotech[[#This Row],[TCR (m)]]/Data_Geotech[[#This Row],[Run (m)]]*100</f>
        <v>#DIV/0!</v>
      </c>
      <c r="I205" s="151"/>
      <c r="J205" s="151"/>
      <c r="K205" s="5"/>
      <c r="L205" s="61" t="e">
        <f>Data_Geotech[[#This Row],[RQD (m)]]/Data_Geotech[[#This Row],[Run Reel (m)]]*100</f>
        <v>#DIV/0!</v>
      </c>
      <c r="P205" s="115"/>
      <c r="Q205" s="5"/>
      <c r="R205" s="5"/>
      <c r="S205" s="5"/>
      <c r="T205" s="5"/>
      <c r="U205" s="5"/>
      <c r="V205" s="6"/>
      <c r="W205" s="92">
        <f>SUMIFS(Discontinuities!$D$4:$D$9664,Discontinuities!$A$4:$A$9664,A205,Discontinuities!$C$4:$C$9664,"&gt;="&amp;C205,Discontinuities!$C$4:$C$9664,"&lt;"&amp;D205)
-SUMIFS(Discontinuities!$D$4:$D$9664,Discontinuities!$A$4:$A$9664,A205,Discontinuities!$C$4:$C$9664,"&gt;="&amp;C205,Discontinuities!$C$4:$C$9664,"&lt;"&amp;D205,Discontinuities!$E$4:$E$9664,"=BC")
-SUMIFS(Discontinuities!$D$4:$D$9664,Discontinuities!$A$4:$A$9664,A205,Discontinuities!$C$4:$C$9664,"&gt;="&amp;C205,Discontinuities!$C$4:$C$9664,"&lt;"&amp;D205,Discontinuities!$E$4:$E$9664,"=LC")
-SUMIFS(Discontinuities!$D$4:$D$9664,Discontinuities!$A$4:$A$9664,A205,Discontinuities!$C$4:$C$9664,"&gt;="&amp;C205,Discontinuities!$C$4:$C$9664,"&lt;"&amp;D205,Discontinuities!$E$4:$E$9664,"=FLT")</f>
        <v>0</v>
      </c>
      <c r="AA205" s="12"/>
      <c r="AB205" s="43">
        <f>IFERROR(ROUND((Data_Geotech[[#This Row],[Fault (m)]]+Data_Geotech[[#This Row],[Broken Core (m)]]+Data_Geotech[[#This Row],[Lost Core (m)]])*30,0),0)</f>
        <v>0</v>
      </c>
      <c r="AC205" s="44">
        <f>IF(Data_Geotech[[#This Row],[Added fractures 
(BC, FLT, LC)]]+Data_Geotech[[#This Row],[Fracture per interval]]=0,99,1/((Data_Geotech[[#This Row],[Fracture per interval]]+Data_Geotech[[#This Row],[Added fractures 
(BC, FLT, LC)]])/Data_Geotech[[#This Row],[Run (m)]]))</f>
        <v>99</v>
      </c>
      <c r="AD205" s="155" t="str" cm="1">
        <f t="array" ref="AD205">IFERROR(_xlfn.XLOOKUP(1,(A205=PLT!$A$4:$A$8886)*(Geotech!C205&lt;=PLT!$F$4:$F$8886)*(Geotech!D205&gt;=PLT!$F$4:$F$8886)*("Valid"=PLT!$P$4:$P$8886),PLT!$V$4:$V$8886),"")</f>
        <v/>
      </c>
      <c r="AE205" s="156" t="str" cm="1">
        <f t="array" ref="AE205">IFERROR(_xlfn.XLOOKUP(1,(A205=PLT!$A$4:$A$8886)*(Geotech!C205&lt;=PLT!$F$4:$F$8886)*(Geotech!D205&gt;=PLT!$F$4:$F$8886)*(PLT!$V$4:$V$8886&lt;&gt;AD205)*("Valid"=PLT!$P$4:$P$7190),PLT!$V$4:$V$8886),"")</f>
        <v/>
      </c>
      <c r="AF205" s="156" t="str" cm="1">
        <f t="array" ref="AF205">IFERROR(_xlfn.XLOOKUP(1,(A205=PLT!$A$4:$A$8886)*(Geotech!C205&lt;=PLT!$F$4:$F$8886)*(Geotech!D205&gt;=PLT!$F$4:$F$8886)*(PLT!$V$4:$V$8886&lt;&gt;AD205)*(PLT!$V$4:$V$8886&lt;&gt;AE205)*("Valid"=PLT!$P$4:$P$7190),PLT!$V$4:$V$8886),"")</f>
        <v/>
      </c>
      <c r="AG205" s="44" t="str">
        <f>IFERROR(IF(AVERAGE(AD205:AF205)&gt;References!$BO$23,References!$BP$23,
IF(AVERAGE(AD205:AF205)&gt;References!$BO$22,References!$BP$22,
IF(AVERAGE(AD205:AF205)&gt;References!$BO$21,References!$BP$21,
IF(AVERAGE(AD205:AF205)&gt;References!$BO$20,References!$BP$20,
IF(AVERAGE(AD205:AF205)&gt;References!$BO$19,References!$BP$19,
IF(AVERAGE(AD205:AF205)&gt;References!$BO$18,References!$BP$18,
0)))))),"")</f>
        <v/>
      </c>
      <c r="AH205" s="43" t="e">
        <f>IF(Data_Geotech[[#This Row],[Is50]]="",VLOOKUP(Data_Geotech[[#This Row],[Field Intact Rock Strength]],Table_RMR76_Strength[],2,FALSE),Data_Geotech[[#This Row],[Is50]])</f>
        <v>#N/A</v>
      </c>
      <c r="AI205" s="43" t="e">
        <f>IF(Data_Geotech[[#This Row],[RQD (%)]]&lt;=25,3,IF(Data_Geotech[[#This Row],[RQD (%)]]&lt;=50,8,IF(Data_Geotech[[#This Row],[RQD (%)]]&lt;=75,13,IF(Data_Geotech[[#This Row],[RQD (%)]]&lt;=90,17,20))))</f>
        <v>#DIV/0!</v>
      </c>
      <c r="AJ205" s="43">
        <f>IF(Data_Geotech[[#This Row],[Joint spacing (m)]]&lt;=0.05,5,IF(Data_Geotech[[#This Row],[Joint spacing (m)]]&lt;=0.3,10,IF(Data_Geotech[[#This Row],[Joint spacing (m)]]&lt;=1,20,IF(Data_Geotech[[#This Row],[Joint spacing (m)]]&lt;=3,25,30))))</f>
        <v>30</v>
      </c>
      <c r="AK20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5" s="6">
        <v>10</v>
      </c>
      <c r="AM205" s="117" t="str">
        <f>IF(Data_Geotech[[#This Row],[FIRS Code]]="R",IFERROR(SUM(Data_Geotech[[#This Row],[RMR76 - Strength rating]:[RMR76 - Ground water rating]]),""),"")</f>
        <v/>
      </c>
      <c r="AN205" s="39" t="e">
        <f>IF(Data_Geotech[[#This Row],[FIRS Code]]="R",(2*Data_Geotech[[#This Row],[RMR76 - Joint condition rating]])+(IF(Data_Geotech[[#This Row],[RQD (%)]]&gt;80,80/2,Data_Geotech[[#This Row],[RQD (%)]]/2)),"")</f>
        <v>#DIV/0!</v>
      </c>
      <c r="AO205" s="43" t="e">
        <f>LEFT(Data_Geotech[[#This Row],[Joint Set Rating]],FIND("-",Data_Geotech[[#This Row],[Joint Set Rating]],1)-2)</f>
        <v>#VALUE!</v>
      </c>
      <c r="AP20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5" s="5">
        <f t="shared" si="0"/>
        <v>1</v>
      </c>
      <c r="AR205" s="49" t="str">
        <f>IF(Data_Geotech[[#This Row],[FIRS Code]]="R",IFERROR((IF(Data_Geotech[[#This Row],[RQD (%)]]&lt;10,10,Data_Geotech[[#This Row],[RQD (%)]])/Data_Geotech[[#This Row],[Jn rating]])*Data_Geotech[[#This Row],[Jr/Ja]],""),"")</f>
        <v/>
      </c>
      <c r="AS205" s="45" t="str">
        <f>IF(Data_Geotech[[#This Row],[FIRS Code]]="R",IFERROR((IF(Data_Geotech[[#This Row],[RQD (%)]]&lt;10,10,Data_Geotech[[#This Row],[RQD (%)]])/Data_Geotech[[#This Row],[Jn rating]])*Data_Geotech[[#This Row],[Jr/Ja]]*Data_Geotech[[#This Row],[Jw/SRF]],""),"")</f>
        <v/>
      </c>
      <c r="AT205" s="12"/>
      <c r="AU205" s="13" t="e">
        <f>100-Data_Geotech[[#This Row],[RQD (%)]]</f>
        <v>#DIV/0!</v>
      </c>
      <c r="AV205" s="13" t="e">
        <f>100-Data_Geotech[[#This Row],[TCR (%)]]</f>
        <v>#DIV/0!</v>
      </c>
      <c r="AW205" s="62" t="e">
        <f>(Data_Geotech[[#This Row],[Fracture per interval]]+Data_Geotech[[#This Row],[Added fractures 
(BC, FLT, LC)]])/Data_Geotech[[#This Row],[TCR (m)]]</f>
        <v>#DIV/0!</v>
      </c>
      <c r="AX205" s="6" t="s">
        <v>109</v>
      </c>
      <c r="AY205" s="63" t="e">
        <f>7-MID(Data_Geotech[[#This Row],[Field Intact Rock Strength]],2,1)</f>
        <v>#VALUE!</v>
      </c>
      <c r="AZ205" s="63" t="e">
        <f>VLOOKUP(Data_Geotech[[#This Row],[Field Intact Rock Strength]],Table_FieldStrength[],2,FALSE)</f>
        <v>#N/A</v>
      </c>
      <c r="BA205" s="63" t="e">
        <f>VLOOKUP(Data_Geotech[[#This Row],[Field Intact Rock Strength]],Table_FieldStrength[],3,FALSE)</f>
        <v>#N/A</v>
      </c>
      <c r="BB205" s="63" t="e">
        <f>VLOOKUP(Data_Geotech[[#This Row],[Field Intact Rock Strength]],Table_FieldStrength[],4,FALSE)</f>
        <v>#N/A</v>
      </c>
      <c r="BC205" s="63" t="e">
        <f>100-Data_Geotech[[#This Row],[RMR76]]</f>
        <v>#VALUE!</v>
      </c>
      <c r="BD205" s="63" t="e">
        <f>LEFT(Data_Geotech[[#This Row],[Weathering/Alteration]],FIND("-",Data_Geotech[[#This Row],[Weathering/Alteration]])-2)</f>
        <v>#VALUE!</v>
      </c>
    </row>
    <row r="206" spans="2:56" hidden="1" x14ac:dyDescent="0.25">
      <c r="B206" s="16" t="e">
        <f>VLOOKUP(Data_Geotech[[#This Row],[Hole ID]],Data_Log[],2,FALSE)</f>
        <v>#N/A</v>
      </c>
      <c r="C206" s="5"/>
      <c r="D206" s="5"/>
      <c r="E206" s="5">
        <f>(Data_Geotech[[#This Row],[To (m)]]-Data_Geotech[[#This Row],[From (m)]])/2+Data_Geotech[[#This Row],[From (m)]]</f>
        <v>0</v>
      </c>
      <c r="F206" s="13">
        <f>Data_Geotech[[#This Row],[To (m)]]-Data_Geotech[[#This Row],[From (m)]]</f>
        <v>0</v>
      </c>
      <c r="G206" s="5"/>
      <c r="H206" s="61" t="e">
        <f>Data_Geotech[[#This Row],[TCR (m)]]/Data_Geotech[[#This Row],[Run (m)]]*100</f>
        <v>#DIV/0!</v>
      </c>
      <c r="I206" s="151"/>
      <c r="J206" s="151"/>
      <c r="K206" s="5"/>
      <c r="L206" s="61" t="e">
        <f>Data_Geotech[[#This Row],[RQD (m)]]/Data_Geotech[[#This Row],[Run Reel (m)]]*100</f>
        <v>#DIV/0!</v>
      </c>
      <c r="P206" s="115"/>
      <c r="Q206" s="5"/>
      <c r="R206" s="5"/>
      <c r="S206" s="5"/>
      <c r="T206" s="5"/>
      <c r="U206" s="5"/>
      <c r="V206" s="6"/>
      <c r="W206" s="92">
        <f>SUMIFS(Discontinuities!$D$4:$D$9664,Discontinuities!$A$4:$A$9664,A206,Discontinuities!$C$4:$C$9664,"&gt;="&amp;C206,Discontinuities!$C$4:$C$9664,"&lt;"&amp;D206)
-SUMIFS(Discontinuities!$D$4:$D$9664,Discontinuities!$A$4:$A$9664,A206,Discontinuities!$C$4:$C$9664,"&gt;="&amp;C206,Discontinuities!$C$4:$C$9664,"&lt;"&amp;D206,Discontinuities!$E$4:$E$9664,"=BC")
-SUMIFS(Discontinuities!$D$4:$D$9664,Discontinuities!$A$4:$A$9664,A206,Discontinuities!$C$4:$C$9664,"&gt;="&amp;C206,Discontinuities!$C$4:$C$9664,"&lt;"&amp;D206,Discontinuities!$E$4:$E$9664,"=LC")
-SUMIFS(Discontinuities!$D$4:$D$9664,Discontinuities!$A$4:$A$9664,A206,Discontinuities!$C$4:$C$9664,"&gt;="&amp;C206,Discontinuities!$C$4:$C$9664,"&lt;"&amp;D206,Discontinuities!$E$4:$E$9664,"=FLT")</f>
        <v>0</v>
      </c>
      <c r="AA206" s="12"/>
      <c r="AB206" s="43">
        <f>IFERROR(ROUND((Data_Geotech[[#This Row],[Fault (m)]]+Data_Geotech[[#This Row],[Broken Core (m)]]+Data_Geotech[[#This Row],[Lost Core (m)]])*30,0),0)</f>
        <v>0</v>
      </c>
      <c r="AC206" s="44">
        <f>IF(Data_Geotech[[#This Row],[Added fractures 
(BC, FLT, LC)]]+Data_Geotech[[#This Row],[Fracture per interval]]=0,99,1/((Data_Geotech[[#This Row],[Fracture per interval]]+Data_Geotech[[#This Row],[Added fractures 
(BC, FLT, LC)]])/Data_Geotech[[#This Row],[Run (m)]]))</f>
        <v>99</v>
      </c>
      <c r="AD206" s="155" t="str" cm="1">
        <f t="array" ref="AD206">IFERROR(_xlfn.XLOOKUP(1,(A206=PLT!$A$4:$A$8886)*(Geotech!C206&lt;=PLT!$F$4:$F$8886)*(Geotech!D206&gt;=PLT!$F$4:$F$8886)*("Valid"=PLT!$P$4:$P$8886),PLT!$V$4:$V$8886),"")</f>
        <v/>
      </c>
      <c r="AE206" s="156" t="str" cm="1">
        <f t="array" ref="AE206">IFERROR(_xlfn.XLOOKUP(1,(A206=PLT!$A$4:$A$8886)*(Geotech!C206&lt;=PLT!$F$4:$F$8886)*(Geotech!D206&gt;=PLT!$F$4:$F$8886)*(PLT!$V$4:$V$8886&lt;&gt;AD206)*("Valid"=PLT!$P$4:$P$7190),PLT!$V$4:$V$8886),"")</f>
        <v/>
      </c>
      <c r="AF206" s="156" t="str" cm="1">
        <f t="array" ref="AF206">IFERROR(_xlfn.XLOOKUP(1,(A206=PLT!$A$4:$A$8886)*(Geotech!C206&lt;=PLT!$F$4:$F$8886)*(Geotech!D206&gt;=PLT!$F$4:$F$8886)*(PLT!$V$4:$V$8886&lt;&gt;AD206)*(PLT!$V$4:$V$8886&lt;&gt;AE206)*("Valid"=PLT!$P$4:$P$7190),PLT!$V$4:$V$8886),"")</f>
        <v/>
      </c>
      <c r="AG206" s="44" t="str">
        <f>IFERROR(IF(AVERAGE(AD206:AF206)&gt;References!$BO$23,References!$BP$23,
IF(AVERAGE(AD206:AF206)&gt;References!$BO$22,References!$BP$22,
IF(AVERAGE(AD206:AF206)&gt;References!$BO$21,References!$BP$21,
IF(AVERAGE(AD206:AF206)&gt;References!$BO$20,References!$BP$20,
IF(AVERAGE(AD206:AF206)&gt;References!$BO$19,References!$BP$19,
IF(AVERAGE(AD206:AF206)&gt;References!$BO$18,References!$BP$18,
0)))))),"")</f>
        <v/>
      </c>
      <c r="AH206" s="43" t="e">
        <f>IF(Data_Geotech[[#This Row],[Is50]]="",VLOOKUP(Data_Geotech[[#This Row],[Field Intact Rock Strength]],Table_RMR76_Strength[],2,FALSE),Data_Geotech[[#This Row],[Is50]])</f>
        <v>#N/A</v>
      </c>
      <c r="AI206" s="43" t="e">
        <f>IF(Data_Geotech[[#This Row],[RQD (%)]]&lt;=25,3,IF(Data_Geotech[[#This Row],[RQD (%)]]&lt;=50,8,IF(Data_Geotech[[#This Row],[RQD (%)]]&lt;=75,13,IF(Data_Geotech[[#This Row],[RQD (%)]]&lt;=90,17,20))))</f>
        <v>#DIV/0!</v>
      </c>
      <c r="AJ206" s="43">
        <f>IF(Data_Geotech[[#This Row],[Joint spacing (m)]]&lt;=0.05,5,IF(Data_Geotech[[#This Row],[Joint spacing (m)]]&lt;=0.3,10,IF(Data_Geotech[[#This Row],[Joint spacing (m)]]&lt;=1,20,IF(Data_Geotech[[#This Row],[Joint spacing (m)]]&lt;=3,25,30))))</f>
        <v>30</v>
      </c>
      <c r="AK20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6" s="6">
        <v>10</v>
      </c>
      <c r="AM206" s="117" t="str">
        <f>IF(Data_Geotech[[#This Row],[FIRS Code]]="R",IFERROR(SUM(Data_Geotech[[#This Row],[RMR76 - Strength rating]:[RMR76 - Ground water rating]]),""),"")</f>
        <v/>
      </c>
      <c r="AN206" s="39" t="e">
        <f>IF(Data_Geotech[[#This Row],[FIRS Code]]="R",(2*Data_Geotech[[#This Row],[RMR76 - Joint condition rating]])+(IF(Data_Geotech[[#This Row],[RQD (%)]]&gt;80,80/2,Data_Geotech[[#This Row],[RQD (%)]]/2)),"")</f>
        <v>#DIV/0!</v>
      </c>
      <c r="AO206" s="43" t="e">
        <f>LEFT(Data_Geotech[[#This Row],[Joint Set Rating]],FIND("-",Data_Geotech[[#This Row],[Joint Set Rating]],1)-2)</f>
        <v>#VALUE!</v>
      </c>
      <c r="AP20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6" s="5">
        <f t="shared" si="0"/>
        <v>1</v>
      </c>
      <c r="AR206" s="49" t="str">
        <f>IF(Data_Geotech[[#This Row],[FIRS Code]]="R",IFERROR((IF(Data_Geotech[[#This Row],[RQD (%)]]&lt;10,10,Data_Geotech[[#This Row],[RQD (%)]])/Data_Geotech[[#This Row],[Jn rating]])*Data_Geotech[[#This Row],[Jr/Ja]],""),"")</f>
        <v/>
      </c>
      <c r="AS206" s="45" t="str">
        <f>IF(Data_Geotech[[#This Row],[FIRS Code]]="R",IFERROR((IF(Data_Geotech[[#This Row],[RQD (%)]]&lt;10,10,Data_Geotech[[#This Row],[RQD (%)]])/Data_Geotech[[#This Row],[Jn rating]])*Data_Geotech[[#This Row],[Jr/Ja]]*Data_Geotech[[#This Row],[Jw/SRF]],""),"")</f>
        <v/>
      </c>
      <c r="AT206" s="12"/>
      <c r="AU206" s="13" t="e">
        <f>100-Data_Geotech[[#This Row],[RQD (%)]]</f>
        <v>#DIV/0!</v>
      </c>
      <c r="AV206" s="13" t="e">
        <f>100-Data_Geotech[[#This Row],[TCR (%)]]</f>
        <v>#DIV/0!</v>
      </c>
      <c r="AW206" s="62" t="e">
        <f>(Data_Geotech[[#This Row],[Fracture per interval]]+Data_Geotech[[#This Row],[Added fractures 
(BC, FLT, LC)]])/Data_Geotech[[#This Row],[TCR (m)]]</f>
        <v>#DIV/0!</v>
      </c>
      <c r="AX206" s="6" t="s">
        <v>109</v>
      </c>
      <c r="AY206" s="63" t="e">
        <f>7-MID(Data_Geotech[[#This Row],[Field Intact Rock Strength]],2,1)</f>
        <v>#VALUE!</v>
      </c>
      <c r="AZ206" s="63" t="e">
        <f>VLOOKUP(Data_Geotech[[#This Row],[Field Intact Rock Strength]],Table_FieldStrength[],2,FALSE)</f>
        <v>#N/A</v>
      </c>
      <c r="BA206" s="63" t="e">
        <f>VLOOKUP(Data_Geotech[[#This Row],[Field Intact Rock Strength]],Table_FieldStrength[],3,FALSE)</f>
        <v>#N/A</v>
      </c>
      <c r="BB206" s="63" t="e">
        <f>VLOOKUP(Data_Geotech[[#This Row],[Field Intact Rock Strength]],Table_FieldStrength[],4,FALSE)</f>
        <v>#N/A</v>
      </c>
      <c r="BC206" s="63" t="e">
        <f>100-Data_Geotech[[#This Row],[RMR76]]</f>
        <v>#VALUE!</v>
      </c>
      <c r="BD206" s="63" t="e">
        <f>LEFT(Data_Geotech[[#This Row],[Weathering/Alteration]],FIND("-",Data_Geotech[[#This Row],[Weathering/Alteration]])-2)</f>
        <v>#VALUE!</v>
      </c>
    </row>
    <row r="207" spans="2:56" hidden="1" x14ac:dyDescent="0.25">
      <c r="B207" s="16" t="e">
        <f>VLOOKUP(Data_Geotech[[#This Row],[Hole ID]],Data_Log[],2,FALSE)</f>
        <v>#N/A</v>
      </c>
      <c r="C207" s="5"/>
      <c r="D207" s="5"/>
      <c r="E207" s="5">
        <f>(Data_Geotech[[#This Row],[To (m)]]-Data_Geotech[[#This Row],[From (m)]])/2+Data_Geotech[[#This Row],[From (m)]]</f>
        <v>0</v>
      </c>
      <c r="F207" s="13">
        <f>Data_Geotech[[#This Row],[To (m)]]-Data_Geotech[[#This Row],[From (m)]]</f>
        <v>0</v>
      </c>
      <c r="G207" s="5"/>
      <c r="H207" s="61" t="e">
        <f>Data_Geotech[[#This Row],[TCR (m)]]/Data_Geotech[[#This Row],[Run (m)]]*100</f>
        <v>#DIV/0!</v>
      </c>
      <c r="I207" s="151"/>
      <c r="J207" s="151"/>
      <c r="K207" s="5"/>
      <c r="L207" s="61" t="e">
        <f>Data_Geotech[[#This Row],[RQD (m)]]/Data_Geotech[[#This Row],[Run Reel (m)]]*100</f>
        <v>#DIV/0!</v>
      </c>
      <c r="P207" s="115"/>
      <c r="Q207" s="5"/>
      <c r="R207" s="5"/>
      <c r="S207" s="5"/>
      <c r="T207" s="5"/>
      <c r="U207" s="5"/>
      <c r="V207" s="6"/>
      <c r="W207" s="92">
        <f>SUMIFS(Discontinuities!$D$4:$D$9664,Discontinuities!$A$4:$A$9664,A207,Discontinuities!$C$4:$C$9664,"&gt;="&amp;C207,Discontinuities!$C$4:$C$9664,"&lt;"&amp;D207)
-SUMIFS(Discontinuities!$D$4:$D$9664,Discontinuities!$A$4:$A$9664,A207,Discontinuities!$C$4:$C$9664,"&gt;="&amp;C207,Discontinuities!$C$4:$C$9664,"&lt;"&amp;D207,Discontinuities!$E$4:$E$9664,"=BC")
-SUMIFS(Discontinuities!$D$4:$D$9664,Discontinuities!$A$4:$A$9664,A207,Discontinuities!$C$4:$C$9664,"&gt;="&amp;C207,Discontinuities!$C$4:$C$9664,"&lt;"&amp;D207,Discontinuities!$E$4:$E$9664,"=LC")
-SUMIFS(Discontinuities!$D$4:$D$9664,Discontinuities!$A$4:$A$9664,A207,Discontinuities!$C$4:$C$9664,"&gt;="&amp;C207,Discontinuities!$C$4:$C$9664,"&lt;"&amp;D207,Discontinuities!$E$4:$E$9664,"=FLT")</f>
        <v>0</v>
      </c>
      <c r="AA207" s="12"/>
      <c r="AB207" s="43">
        <f>IFERROR(ROUND((Data_Geotech[[#This Row],[Fault (m)]]+Data_Geotech[[#This Row],[Broken Core (m)]]+Data_Geotech[[#This Row],[Lost Core (m)]])*30,0),0)</f>
        <v>0</v>
      </c>
      <c r="AC207" s="44">
        <f>IF(Data_Geotech[[#This Row],[Added fractures 
(BC, FLT, LC)]]+Data_Geotech[[#This Row],[Fracture per interval]]=0,99,1/((Data_Geotech[[#This Row],[Fracture per interval]]+Data_Geotech[[#This Row],[Added fractures 
(BC, FLT, LC)]])/Data_Geotech[[#This Row],[Run (m)]]))</f>
        <v>99</v>
      </c>
      <c r="AD207" s="155" t="str" cm="1">
        <f t="array" ref="AD207">IFERROR(_xlfn.XLOOKUP(1,(A207=PLT!$A$4:$A$8886)*(Geotech!C207&lt;=PLT!$F$4:$F$8886)*(Geotech!D207&gt;=PLT!$F$4:$F$8886)*("Valid"=PLT!$P$4:$P$8886),PLT!$V$4:$V$8886),"")</f>
        <v/>
      </c>
      <c r="AE207" s="156" t="str" cm="1">
        <f t="array" ref="AE207">IFERROR(_xlfn.XLOOKUP(1,(A207=PLT!$A$4:$A$8886)*(Geotech!C207&lt;=PLT!$F$4:$F$8886)*(Geotech!D207&gt;=PLT!$F$4:$F$8886)*(PLT!$V$4:$V$8886&lt;&gt;AD207)*("Valid"=PLT!$P$4:$P$7190),PLT!$V$4:$V$8886),"")</f>
        <v/>
      </c>
      <c r="AF207" s="156" t="str" cm="1">
        <f t="array" ref="AF207">IFERROR(_xlfn.XLOOKUP(1,(A207=PLT!$A$4:$A$8886)*(Geotech!C207&lt;=PLT!$F$4:$F$8886)*(Geotech!D207&gt;=PLT!$F$4:$F$8886)*(PLT!$V$4:$V$8886&lt;&gt;AD207)*(PLT!$V$4:$V$8886&lt;&gt;AE207)*("Valid"=PLT!$P$4:$P$7190),PLT!$V$4:$V$8886),"")</f>
        <v/>
      </c>
      <c r="AG207" s="44" t="str">
        <f>IFERROR(IF(AVERAGE(AD207:AF207)&gt;References!$BO$23,References!$BP$23,
IF(AVERAGE(AD207:AF207)&gt;References!$BO$22,References!$BP$22,
IF(AVERAGE(AD207:AF207)&gt;References!$BO$21,References!$BP$21,
IF(AVERAGE(AD207:AF207)&gt;References!$BO$20,References!$BP$20,
IF(AVERAGE(AD207:AF207)&gt;References!$BO$19,References!$BP$19,
IF(AVERAGE(AD207:AF207)&gt;References!$BO$18,References!$BP$18,
0)))))),"")</f>
        <v/>
      </c>
      <c r="AH207" s="43" t="e">
        <f>IF(Data_Geotech[[#This Row],[Is50]]="",VLOOKUP(Data_Geotech[[#This Row],[Field Intact Rock Strength]],Table_RMR76_Strength[],2,FALSE),Data_Geotech[[#This Row],[Is50]])</f>
        <v>#N/A</v>
      </c>
      <c r="AI207" s="43" t="e">
        <f>IF(Data_Geotech[[#This Row],[RQD (%)]]&lt;=25,3,IF(Data_Geotech[[#This Row],[RQD (%)]]&lt;=50,8,IF(Data_Geotech[[#This Row],[RQD (%)]]&lt;=75,13,IF(Data_Geotech[[#This Row],[RQD (%)]]&lt;=90,17,20))))</f>
        <v>#DIV/0!</v>
      </c>
      <c r="AJ207" s="43">
        <f>IF(Data_Geotech[[#This Row],[Joint spacing (m)]]&lt;=0.05,5,IF(Data_Geotech[[#This Row],[Joint spacing (m)]]&lt;=0.3,10,IF(Data_Geotech[[#This Row],[Joint spacing (m)]]&lt;=1,20,IF(Data_Geotech[[#This Row],[Joint spacing (m)]]&lt;=3,25,30))))</f>
        <v>30</v>
      </c>
      <c r="AK20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7" s="6">
        <v>10</v>
      </c>
      <c r="AM207" s="117" t="str">
        <f>IF(Data_Geotech[[#This Row],[FIRS Code]]="R",IFERROR(SUM(Data_Geotech[[#This Row],[RMR76 - Strength rating]:[RMR76 - Ground water rating]]),""),"")</f>
        <v/>
      </c>
      <c r="AN207" s="39" t="e">
        <f>IF(Data_Geotech[[#This Row],[FIRS Code]]="R",(2*Data_Geotech[[#This Row],[RMR76 - Joint condition rating]])+(IF(Data_Geotech[[#This Row],[RQD (%)]]&gt;80,80/2,Data_Geotech[[#This Row],[RQD (%)]]/2)),"")</f>
        <v>#DIV/0!</v>
      </c>
      <c r="AO207" s="43" t="e">
        <f>LEFT(Data_Geotech[[#This Row],[Joint Set Rating]],FIND("-",Data_Geotech[[#This Row],[Joint Set Rating]],1)-2)</f>
        <v>#VALUE!</v>
      </c>
      <c r="AP20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7" s="5">
        <f t="shared" si="0"/>
        <v>1</v>
      </c>
      <c r="AR207" s="49" t="str">
        <f>IF(Data_Geotech[[#This Row],[FIRS Code]]="R",IFERROR((IF(Data_Geotech[[#This Row],[RQD (%)]]&lt;10,10,Data_Geotech[[#This Row],[RQD (%)]])/Data_Geotech[[#This Row],[Jn rating]])*Data_Geotech[[#This Row],[Jr/Ja]],""),"")</f>
        <v/>
      </c>
      <c r="AS207" s="45" t="str">
        <f>IF(Data_Geotech[[#This Row],[FIRS Code]]="R",IFERROR((IF(Data_Geotech[[#This Row],[RQD (%)]]&lt;10,10,Data_Geotech[[#This Row],[RQD (%)]])/Data_Geotech[[#This Row],[Jn rating]])*Data_Geotech[[#This Row],[Jr/Ja]]*Data_Geotech[[#This Row],[Jw/SRF]],""),"")</f>
        <v/>
      </c>
      <c r="AT207" s="12"/>
      <c r="AU207" s="13" t="e">
        <f>100-Data_Geotech[[#This Row],[RQD (%)]]</f>
        <v>#DIV/0!</v>
      </c>
      <c r="AV207" s="13" t="e">
        <f>100-Data_Geotech[[#This Row],[TCR (%)]]</f>
        <v>#DIV/0!</v>
      </c>
      <c r="AW207" s="62" t="e">
        <f>(Data_Geotech[[#This Row],[Fracture per interval]]+Data_Geotech[[#This Row],[Added fractures 
(BC, FLT, LC)]])/Data_Geotech[[#This Row],[TCR (m)]]</f>
        <v>#DIV/0!</v>
      </c>
      <c r="AX207" s="6" t="s">
        <v>109</v>
      </c>
      <c r="AY207" s="63" t="e">
        <f>7-MID(Data_Geotech[[#This Row],[Field Intact Rock Strength]],2,1)</f>
        <v>#VALUE!</v>
      </c>
      <c r="AZ207" s="63" t="e">
        <f>VLOOKUP(Data_Geotech[[#This Row],[Field Intact Rock Strength]],Table_FieldStrength[],2,FALSE)</f>
        <v>#N/A</v>
      </c>
      <c r="BA207" s="63" t="e">
        <f>VLOOKUP(Data_Geotech[[#This Row],[Field Intact Rock Strength]],Table_FieldStrength[],3,FALSE)</f>
        <v>#N/A</v>
      </c>
      <c r="BB207" s="63" t="e">
        <f>VLOOKUP(Data_Geotech[[#This Row],[Field Intact Rock Strength]],Table_FieldStrength[],4,FALSE)</f>
        <v>#N/A</v>
      </c>
      <c r="BC207" s="63" t="e">
        <f>100-Data_Geotech[[#This Row],[RMR76]]</f>
        <v>#VALUE!</v>
      </c>
      <c r="BD207" s="63" t="e">
        <f>LEFT(Data_Geotech[[#This Row],[Weathering/Alteration]],FIND("-",Data_Geotech[[#This Row],[Weathering/Alteration]])-2)</f>
        <v>#VALUE!</v>
      </c>
    </row>
    <row r="208" spans="2:56" hidden="1" x14ac:dyDescent="0.25">
      <c r="B208" s="16" t="e">
        <f>VLOOKUP(Data_Geotech[[#This Row],[Hole ID]],Data_Log[],2,FALSE)</f>
        <v>#N/A</v>
      </c>
      <c r="C208" s="5"/>
      <c r="D208" s="5"/>
      <c r="E208" s="5">
        <f>(Data_Geotech[[#This Row],[To (m)]]-Data_Geotech[[#This Row],[From (m)]])/2+Data_Geotech[[#This Row],[From (m)]]</f>
        <v>0</v>
      </c>
      <c r="F208" s="13">
        <f>Data_Geotech[[#This Row],[To (m)]]-Data_Geotech[[#This Row],[From (m)]]</f>
        <v>0</v>
      </c>
      <c r="G208" s="5"/>
      <c r="H208" s="61" t="e">
        <f>Data_Geotech[[#This Row],[TCR (m)]]/Data_Geotech[[#This Row],[Run (m)]]*100</f>
        <v>#DIV/0!</v>
      </c>
      <c r="I208" s="151"/>
      <c r="J208" s="151"/>
      <c r="K208" s="5"/>
      <c r="L208" s="61" t="e">
        <f>Data_Geotech[[#This Row],[RQD (m)]]/Data_Geotech[[#This Row],[Run Reel (m)]]*100</f>
        <v>#DIV/0!</v>
      </c>
      <c r="P208" s="115"/>
      <c r="Q208" s="5"/>
      <c r="R208" s="5"/>
      <c r="S208" s="5"/>
      <c r="T208" s="5"/>
      <c r="U208" s="5"/>
      <c r="V208" s="6"/>
      <c r="W208" s="92">
        <f>SUMIFS(Discontinuities!$D$4:$D$9664,Discontinuities!$A$4:$A$9664,A208,Discontinuities!$C$4:$C$9664,"&gt;="&amp;C208,Discontinuities!$C$4:$C$9664,"&lt;"&amp;D208)
-SUMIFS(Discontinuities!$D$4:$D$9664,Discontinuities!$A$4:$A$9664,A208,Discontinuities!$C$4:$C$9664,"&gt;="&amp;C208,Discontinuities!$C$4:$C$9664,"&lt;"&amp;D208,Discontinuities!$E$4:$E$9664,"=BC")
-SUMIFS(Discontinuities!$D$4:$D$9664,Discontinuities!$A$4:$A$9664,A208,Discontinuities!$C$4:$C$9664,"&gt;="&amp;C208,Discontinuities!$C$4:$C$9664,"&lt;"&amp;D208,Discontinuities!$E$4:$E$9664,"=LC")
-SUMIFS(Discontinuities!$D$4:$D$9664,Discontinuities!$A$4:$A$9664,A208,Discontinuities!$C$4:$C$9664,"&gt;="&amp;C208,Discontinuities!$C$4:$C$9664,"&lt;"&amp;D208,Discontinuities!$E$4:$E$9664,"=FLT")</f>
        <v>0</v>
      </c>
      <c r="AA208" s="12"/>
      <c r="AB208" s="43">
        <f>IFERROR(ROUND((Data_Geotech[[#This Row],[Fault (m)]]+Data_Geotech[[#This Row],[Broken Core (m)]]+Data_Geotech[[#This Row],[Lost Core (m)]])*30,0),0)</f>
        <v>0</v>
      </c>
      <c r="AC208" s="44">
        <f>IF(Data_Geotech[[#This Row],[Added fractures 
(BC, FLT, LC)]]+Data_Geotech[[#This Row],[Fracture per interval]]=0,99,1/((Data_Geotech[[#This Row],[Fracture per interval]]+Data_Geotech[[#This Row],[Added fractures 
(BC, FLT, LC)]])/Data_Geotech[[#This Row],[Run (m)]]))</f>
        <v>99</v>
      </c>
      <c r="AD208" s="155" t="str" cm="1">
        <f t="array" ref="AD208">IFERROR(_xlfn.XLOOKUP(1,(A208=PLT!$A$4:$A$8886)*(Geotech!C208&lt;=PLT!$F$4:$F$8886)*(Geotech!D208&gt;=PLT!$F$4:$F$8886)*("Valid"=PLT!$P$4:$P$8886),PLT!$V$4:$V$8886),"")</f>
        <v/>
      </c>
      <c r="AE208" s="156" t="str" cm="1">
        <f t="array" ref="AE208">IFERROR(_xlfn.XLOOKUP(1,(A208=PLT!$A$4:$A$8886)*(Geotech!C208&lt;=PLT!$F$4:$F$8886)*(Geotech!D208&gt;=PLT!$F$4:$F$8886)*(PLT!$V$4:$V$8886&lt;&gt;AD208)*("Valid"=PLT!$P$4:$P$7190),PLT!$V$4:$V$8886),"")</f>
        <v/>
      </c>
      <c r="AF208" s="156" t="str" cm="1">
        <f t="array" ref="AF208">IFERROR(_xlfn.XLOOKUP(1,(A208=PLT!$A$4:$A$8886)*(Geotech!C208&lt;=PLT!$F$4:$F$8886)*(Geotech!D208&gt;=PLT!$F$4:$F$8886)*(PLT!$V$4:$V$8886&lt;&gt;AD208)*(PLT!$V$4:$V$8886&lt;&gt;AE208)*("Valid"=PLT!$P$4:$P$7190),PLT!$V$4:$V$8886),"")</f>
        <v/>
      </c>
      <c r="AG208" s="44" t="str">
        <f>IFERROR(IF(AVERAGE(AD208:AF208)&gt;References!$BO$23,References!$BP$23,
IF(AVERAGE(AD208:AF208)&gt;References!$BO$22,References!$BP$22,
IF(AVERAGE(AD208:AF208)&gt;References!$BO$21,References!$BP$21,
IF(AVERAGE(AD208:AF208)&gt;References!$BO$20,References!$BP$20,
IF(AVERAGE(AD208:AF208)&gt;References!$BO$19,References!$BP$19,
IF(AVERAGE(AD208:AF208)&gt;References!$BO$18,References!$BP$18,
0)))))),"")</f>
        <v/>
      </c>
      <c r="AH208" s="43" t="e">
        <f>IF(Data_Geotech[[#This Row],[Is50]]="",VLOOKUP(Data_Geotech[[#This Row],[Field Intact Rock Strength]],Table_RMR76_Strength[],2,FALSE),Data_Geotech[[#This Row],[Is50]])</f>
        <v>#N/A</v>
      </c>
      <c r="AI208" s="43" t="e">
        <f>IF(Data_Geotech[[#This Row],[RQD (%)]]&lt;=25,3,IF(Data_Geotech[[#This Row],[RQD (%)]]&lt;=50,8,IF(Data_Geotech[[#This Row],[RQD (%)]]&lt;=75,13,IF(Data_Geotech[[#This Row],[RQD (%)]]&lt;=90,17,20))))</f>
        <v>#DIV/0!</v>
      </c>
      <c r="AJ208" s="43">
        <f>IF(Data_Geotech[[#This Row],[Joint spacing (m)]]&lt;=0.05,5,IF(Data_Geotech[[#This Row],[Joint spacing (m)]]&lt;=0.3,10,IF(Data_Geotech[[#This Row],[Joint spacing (m)]]&lt;=1,20,IF(Data_Geotech[[#This Row],[Joint spacing (m)]]&lt;=3,25,30))))</f>
        <v>30</v>
      </c>
      <c r="AK20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8" s="6">
        <v>10</v>
      </c>
      <c r="AM208" s="117" t="str">
        <f>IF(Data_Geotech[[#This Row],[FIRS Code]]="R",IFERROR(SUM(Data_Geotech[[#This Row],[RMR76 - Strength rating]:[RMR76 - Ground water rating]]),""),"")</f>
        <v/>
      </c>
      <c r="AN208" s="39" t="e">
        <f>IF(Data_Geotech[[#This Row],[FIRS Code]]="R",(2*Data_Geotech[[#This Row],[RMR76 - Joint condition rating]])+(IF(Data_Geotech[[#This Row],[RQD (%)]]&gt;80,80/2,Data_Geotech[[#This Row],[RQD (%)]]/2)),"")</f>
        <v>#DIV/0!</v>
      </c>
      <c r="AO208" s="43" t="e">
        <f>LEFT(Data_Geotech[[#This Row],[Joint Set Rating]],FIND("-",Data_Geotech[[#This Row],[Joint Set Rating]],1)-2)</f>
        <v>#VALUE!</v>
      </c>
      <c r="AP20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8" s="5">
        <f t="shared" si="0"/>
        <v>1</v>
      </c>
      <c r="AR208" s="49" t="str">
        <f>IF(Data_Geotech[[#This Row],[FIRS Code]]="R",IFERROR((IF(Data_Geotech[[#This Row],[RQD (%)]]&lt;10,10,Data_Geotech[[#This Row],[RQD (%)]])/Data_Geotech[[#This Row],[Jn rating]])*Data_Geotech[[#This Row],[Jr/Ja]],""),"")</f>
        <v/>
      </c>
      <c r="AS208" s="45" t="str">
        <f>IF(Data_Geotech[[#This Row],[FIRS Code]]="R",IFERROR((IF(Data_Geotech[[#This Row],[RQD (%)]]&lt;10,10,Data_Geotech[[#This Row],[RQD (%)]])/Data_Geotech[[#This Row],[Jn rating]])*Data_Geotech[[#This Row],[Jr/Ja]]*Data_Geotech[[#This Row],[Jw/SRF]],""),"")</f>
        <v/>
      </c>
      <c r="AT208" s="12"/>
      <c r="AU208" s="13" t="e">
        <f>100-Data_Geotech[[#This Row],[RQD (%)]]</f>
        <v>#DIV/0!</v>
      </c>
      <c r="AV208" s="13" t="e">
        <f>100-Data_Geotech[[#This Row],[TCR (%)]]</f>
        <v>#DIV/0!</v>
      </c>
      <c r="AW208" s="62" t="e">
        <f>(Data_Geotech[[#This Row],[Fracture per interval]]+Data_Geotech[[#This Row],[Added fractures 
(BC, FLT, LC)]])/Data_Geotech[[#This Row],[TCR (m)]]</f>
        <v>#DIV/0!</v>
      </c>
      <c r="AX208" s="6" t="s">
        <v>109</v>
      </c>
      <c r="AY208" s="63" t="e">
        <f>7-MID(Data_Geotech[[#This Row],[Field Intact Rock Strength]],2,1)</f>
        <v>#VALUE!</v>
      </c>
      <c r="AZ208" s="63" t="e">
        <f>VLOOKUP(Data_Geotech[[#This Row],[Field Intact Rock Strength]],Table_FieldStrength[],2,FALSE)</f>
        <v>#N/A</v>
      </c>
      <c r="BA208" s="63" t="e">
        <f>VLOOKUP(Data_Geotech[[#This Row],[Field Intact Rock Strength]],Table_FieldStrength[],3,FALSE)</f>
        <v>#N/A</v>
      </c>
      <c r="BB208" s="63" t="e">
        <f>VLOOKUP(Data_Geotech[[#This Row],[Field Intact Rock Strength]],Table_FieldStrength[],4,FALSE)</f>
        <v>#N/A</v>
      </c>
      <c r="BC208" s="63" t="e">
        <f>100-Data_Geotech[[#This Row],[RMR76]]</f>
        <v>#VALUE!</v>
      </c>
      <c r="BD208" s="63" t="e">
        <f>LEFT(Data_Geotech[[#This Row],[Weathering/Alteration]],FIND("-",Data_Geotech[[#This Row],[Weathering/Alteration]])-2)</f>
        <v>#VALUE!</v>
      </c>
    </row>
    <row r="209" spans="2:56" hidden="1" x14ac:dyDescent="0.25">
      <c r="B209" s="16" t="e">
        <f>VLOOKUP(Data_Geotech[[#This Row],[Hole ID]],Data_Log[],2,FALSE)</f>
        <v>#N/A</v>
      </c>
      <c r="C209" s="5"/>
      <c r="D209" s="5"/>
      <c r="E209" s="5">
        <f>(Data_Geotech[[#This Row],[To (m)]]-Data_Geotech[[#This Row],[From (m)]])/2+Data_Geotech[[#This Row],[From (m)]]</f>
        <v>0</v>
      </c>
      <c r="F209" s="13">
        <f>Data_Geotech[[#This Row],[To (m)]]-Data_Geotech[[#This Row],[From (m)]]</f>
        <v>0</v>
      </c>
      <c r="G209" s="5"/>
      <c r="H209" s="61" t="e">
        <f>Data_Geotech[[#This Row],[TCR (m)]]/Data_Geotech[[#This Row],[Run (m)]]*100</f>
        <v>#DIV/0!</v>
      </c>
      <c r="I209" s="151"/>
      <c r="J209" s="151"/>
      <c r="K209" s="5"/>
      <c r="L209" s="61" t="e">
        <f>Data_Geotech[[#This Row],[RQD (m)]]/Data_Geotech[[#This Row],[Run Reel (m)]]*100</f>
        <v>#DIV/0!</v>
      </c>
      <c r="P209" s="115"/>
      <c r="Q209" s="5"/>
      <c r="R209" s="5"/>
      <c r="S209" s="5"/>
      <c r="T209" s="5"/>
      <c r="U209" s="5"/>
      <c r="V209" s="6"/>
      <c r="W209" s="92">
        <f>SUMIFS(Discontinuities!$D$4:$D$9664,Discontinuities!$A$4:$A$9664,A209,Discontinuities!$C$4:$C$9664,"&gt;="&amp;C209,Discontinuities!$C$4:$C$9664,"&lt;"&amp;D209)
-SUMIFS(Discontinuities!$D$4:$D$9664,Discontinuities!$A$4:$A$9664,A209,Discontinuities!$C$4:$C$9664,"&gt;="&amp;C209,Discontinuities!$C$4:$C$9664,"&lt;"&amp;D209,Discontinuities!$E$4:$E$9664,"=BC")
-SUMIFS(Discontinuities!$D$4:$D$9664,Discontinuities!$A$4:$A$9664,A209,Discontinuities!$C$4:$C$9664,"&gt;="&amp;C209,Discontinuities!$C$4:$C$9664,"&lt;"&amp;D209,Discontinuities!$E$4:$E$9664,"=LC")
-SUMIFS(Discontinuities!$D$4:$D$9664,Discontinuities!$A$4:$A$9664,A209,Discontinuities!$C$4:$C$9664,"&gt;="&amp;C209,Discontinuities!$C$4:$C$9664,"&lt;"&amp;D209,Discontinuities!$E$4:$E$9664,"=FLT")</f>
        <v>0</v>
      </c>
      <c r="AA209" s="12"/>
      <c r="AB209" s="43">
        <f>IFERROR(ROUND((Data_Geotech[[#This Row],[Fault (m)]]+Data_Geotech[[#This Row],[Broken Core (m)]]+Data_Geotech[[#This Row],[Lost Core (m)]])*30,0),0)</f>
        <v>0</v>
      </c>
      <c r="AC209" s="44">
        <f>IF(Data_Geotech[[#This Row],[Added fractures 
(BC, FLT, LC)]]+Data_Geotech[[#This Row],[Fracture per interval]]=0,99,1/((Data_Geotech[[#This Row],[Fracture per interval]]+Data_Geotech[[#This Row],[Added fractures 
(BC, FLT, LC)]])/Data_Geotech[[#This Row],[Run (m)]]))</f>
        <v>99</v>
      </c>
      <c r="AD209" s="155" t="str" cm="1">
        <f t="array" ref="AD209">IFERROR(_xlfn.XLOOKUP(1,(A209=PLT!$A$4:$A$8886)*(Geotech!C209&lt;=PLT!$F$4:$F$8886)*(Geotech!D209&gt;=PLT!$F$4:$F$8886)*("Valid"=PLT!$P$4:$P$8886),PLT!$V$4:$V$8886),"")</f>
        <v/>
      </c>
      <c r="AE209" s="156" t="str" cm="1">
        <f t="array" ref="AE209">IFERROR(_xlfn.XLOOKUP(1,(A209=PLT!$A$4:$A$8886)*(Geotech!C209&lt;=PLT!$F$4:$F$8886)*(Geotech!D209&gt;=PLT!$F$4:$F$8886)*(PLT!$V$4:$V$8886&lt;&gt;AD209)*("Valid"=PLT!$P$4:$P$7190),PLT!$V$4:$V$8886),"")</f>
        <v/>
      </c>
      <c r="AF209" s="156" t="str" cm="1">
        <f t="array" ref="AF209">IFERROR(_xlfn.XLOOKUP(1,(A209=PLT!$A$4:$A$8886)*(Geotech!C209&lt;=PLT!$F$4:$F$8886)*(Geotech!D209&gt;=PLT!$F$4:$F$8886)*(PLT!$V$4:$V$8886&lt;&gt;AD209)*(PLT!$V$4:$V$8886&lt;&gt;AE209)*("Valid"=PLT!$P$4:$P$7190),PLT!$V$4:$V$8886),"")</f>
        <v/>
      </c>
      <c r="AG209" s="44" t="str">
        <f>IFERROR(IF(AVERAGE(AD209:AF209)&gt;References!$BO$23,References!$BP$23,
IF(AVERAGE(AD209:AF209)&gt;References!$BO$22,References!$BP$22,
IF(AVERAGE(AD209:AF209)&gt;References!$BO$21,References!$BP$21,
IF(AVERAGE(AD209:AF209)&gt;References!$BO$20,References!$BP$20,
IF(AVERAGE(AD209:AF209)&gt;References!$BO$19,References!$BP$19,
IF(AVERAGE(AD209:AF209)&gt;References!$BO$18,References!$BP$18,
0)))))),"")</f>
        <v/>
      </c>
      <c r="AH209" s="43" t="e">
        <f>IF(Data_Geotech[[#This Row],[Is50]]="",VLOOKUP(Data_Geotech[[#This Row],[Field Intact Rock Strength]],Table_RMR76_Strength[],2,FALSE),Data_Geotech[[#This Row],[Is50]])</f>
        <v>#N/A</v>
      </c>
      <c r="AI209" s="43" t="e">
        <f>IF(Data_Geotech[[#This Row],[RQD (%)]]&lt;=25,3,IF(Data_Geotech[[#This Row],[RQD (%)]]&lt;=50,8,IF(Data_Geotech[[#This Row],[RQD (%)]]&lt;=75,13,IF(Data_Geotech[[#This Row],[RQD (%)]]&lt;=90,17,20))))</f>
        <v>#DIV/0!</v>
      </c>
      <c r="AJ209" s="43">
        <f>IF(Data_Geotech[[#This Row],[Joint spacing (m)]]&lt;=0.05,5,IF(Data_Geotech[[#This Row],[Joint spacing (m)]]&lt;=0.3,10,IF(Data_Geotech[[#This Row],[Joint spacing (m)]]&lt;=1,20,IF(Data_Geotech[[#This Row],[Joint spacing (m)]]&lt;=3,25,30))))</f>
        <v>30</v>
      </c>
      <c r="AK20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09" s="6">
        <v>10</v>
      </c>
      <c r="AM209" s="117" t="str">
        <f>IF(Data_Geotech[[#This Row],[FIRS Code]]="R",IFERROR(SUM(Data_Geotech[[#This Row],[RMR76 - Strength rating]:[RMR76 - Ground water rating]]),""),"")</f>
        <v/>
      </c>
      <c r="AN209" s="39" t="e">
        <f>IF(Data_Geotech[[#This Row],[FIRS Code]]="R",(2*Data_Geotech[[#This Row],[RMR76 - Joint condition rating]])+(IF(Data_Geotech[[#This Row],[RQD (%)]]&gt;80,80/2,Data_Geotech[[#This Row],[RQD (%)]]/2)),"")</f>
        <v>#DIV/0!</v>
      </c>
      <c r="AO209" s="43" t="e">
        <f>LEFT(Data_Geotech[[#This Row],[Joint Set Rating]],FIND("-",Data_Geotech[[#This Row],[Joint Set Rating]],1)-2)</f>
        <v>#VALUE!</v>
      </c>
      <c r="AP20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09" s="5">
        <f t="shared" si="0"/>
        <v>1</v>
      </c>
      <c r="AR209" s="49" t="str">
        <f>IF(Data_Geotech[[#This Row],[FIRS Code]]="R",IFERROR((IF(Data_Geotech[[#This Row],[RQD (%)]]&lt;10,10,Data_Geotech[[#This Row],[RQD (%)]])/Data_Geotech[[#This Row],[Jn rating]])*Data_Geotech[[#This Row],[Jr/Ja]],""),"")</f>
        <v/>
      </c>
      <c r="AS209" s="45" t="str">
        <f>IF(Data_Geotech[[#This Row],[FIRS Code]]="R",IFERROR((IF(Data_Geotech[[#This Row],[RQD (%)]]&lt;10,10,Data_Geotech[[#This Row],[RQD (%)]])/Data_Geotech[[#This Row],[Jn rating]])*Data_Geotech[[#This Row],[Jr/Ja]]*Data_Geotech[[#This Row],[Jw/SRF]],""),"")</f>
        <v/>
      </c>
      <c r="AT209" s="12"/>
      <c r="AU209" s="13" t="e">
        <f>100-Data_Geotech[[#This Row],[RQD (%)]]</f>
        <v>#DIV/0!</v>
      </c>
      <c r="AV209" s="13" t="e">
        <f>100-Data_Geotech[[#This Row],[TCR (%)]]</f>
        <v>#DIV/0!</v>
      </c>
      <c r="AW209" s="62" t="e">
        <f>(Data_Geotech[[#This Row],[Fracture per interval]]+Data_Geotech[[#This Row],[Added fractures 
(BC, FLT, LC)]])/Data_Geotech[[#This Row],[TCR (m)]]</f>
        <v>#DIV/0!</v>
      </c>
      <c r="AX209" s="6" t="s">
        <v>109</v>
      </c>
      <c r="AY209" s="63" t="e">
        <f>7-MID(Data_Geotech[[#This Row],[Field Intact Rock Strength]],2,1)</f>
        <v>#VALUE!</v>
      </c>
      <c r="AZ209" s="63" t="e">
        <f>VLOOKUP(Data_Geotech[[#This Row],[Field Intact Rock Strength]],Table_FieldStrength[],2,FALSE)</f>
        <v>#N/A</v>
      </c>
      <c r="BA209" s="63" t="e">
        <f>VLOOKUP(Data_Geotech[[#This Row],[Field Intact Rock Strength]],Table_FieldStrength[],3,FALSE)</f>
        <v>#N/A</v>
      </c>
      <c r="BB209" s="63" t="e">
        <f>VLOOKUP(Data_Geotech[[#This Row],[Field Intact Rock Strength]],Table_FieldStrength[],4,FALSE)</f>
        <v>#N/A</v>
      </c>
      <c r="BC209" s="63" t="e">
        <f>100-Data_Geotech[[#This Row],[RMR76]]</f>
        <v>#VALUE!</v>
      </c>
      <c r="BD209" s="63" t="e">
        <f>LEFT(Data_Geotech[[#This Row],[Weathering/Alteration]],FIND("-",Data_Geotech[[#This Row],[Weathering/Alteration]])-2)</f>
        <v>#VALUE!</v>
      </c>
    </row>
    <row r="210" spans="2:56" hidden="1" x14ac:dyDescent="0.25">
      <c r="B210" s="16" t="e">
        <f>VLOOKUP(Data_Geotech[[#This Row],[Hole ID]],Data_Log[],2,FALSE)</f>
        <v>#N/A</v>
      </c>
      <c r="C210" s="5"/>
      <c r="D210" s="5"/>
      <c r="E210" s="5">
        <f>(Data_Geotech[[#This Row],[To (m)]]-Data_Geotech[[#This Row],[From (m)]])/2+Data_Geotech[[#This Row],[From (m)]]</f>
        <v>0</v>
      </c>
      <c r="F210" s="13">
        <f>Data_Geotech[[#This Row],[To (m)]]-Data_Geotech[[#This Row],[From (m)]]</f>
        <v>0</v>
      </c>
      <c r="G210" s="5"/>
      <c r="H210" s="61" t="e">
        <f>Data_Geotech[[#This Row],[TCR (m)]]/Data_Geotech[[#This Row],[Run (m)]]*100</f>
        <v>#DIV/0!</v>
      </c>
      <c r="I210" s="151"/>
      <c r="J210" s="151"/>
      <c r="K210" s="5"/>
      <c r="L210" s="61" t="e">
        <f>Data_Geotech[[#This Row],[RQD (m)]]/Data_Geotech[[#This Row],[Run Reel (m)]]*100</f>
        <v>#DIV/0!</v>
      </c>
      <c r="P210" s="115"/>
      <c r="Q210" s="5"/>
      <c r="R210" s="5"/>
      <c r="S210" s="5"/>
      <c r="T210" s="5"/>
      <c r="U210" s="5"/>
      <c r="V210" s="6"/>
      <c r="W210" s="92">
        <f>SUMIFS(Discontinuities!$D$4:$D$9664,Discontinuities!$A$4:$A$9664,A210,Discontinuities!$C$4:$C$9664,"&gt;="&amp;C210,Discontinuities!$C$4:$C$9664,"&lt;"&amp;D210)
-SUMIFS(Discontinuities!$D$4:$D$9664,Discontinuities!$A$4:$A$9664,A210,Discontinuities!$C$4:$C$9664,"&gt;="&amp;C210,Discontinuities!$C$4:$C$9664,"&lt;"&amp;D210,Discontinuities!$E$4:$E$9664,"=BC")
-SUMIFS(Discontinuities!$D$4:$D$9664,Discontinuities!$A$4:$A$9664,A210,Discontinuities!$C$4:$C$9664,"&gt;="&amp;C210,Discontinuities!$C$4:$C$9664,"&lt;"&amp;D210,Discontinuities!$E$4:$E$9664,"=LC")
-SUMIFS(Discontinuities!$D$4:$D$9664,Discontinuities!$A$4:$A$9664,A210,Discontinuities!$C$4:$C$9664,"&gt;="&amp;C210,Discontinuities!$C$4:$C$9664,"&lt;"&amp;D210,Discontinuities!$E$4:$E$9664,"=FLT")</f>
        <v>0</v>
      </c>
      <c r="AA210" s="12"/>
      <c r="AB210" s="43">
        <f>IFERROR(ROUND((Data_Geotech[[#This Row],[Fault (m)]]+Data_Geotech[[#This Row],[Broken Core (m)]]+Data_Geotech[[#This Row],[Lost Core (m)]])*30,0),0)</f>
        <v>0</v>
      </c>
      <c r="AC210" s="44">
        <f>IF(Data_Geotech[[#This Row],[Added fractures 
(BC, FLT, LC)]]+Data_Geotech[[#This Row],[Fracture per interval]]=0,99,1/((Data_Geotech[[#This Row],[Fracture per interval]]+Data_Geotech[[#This Row],[Added fractures 
(BC, FLT, LC)]])/Data_Geotech[[#This Row],[Run (m)]]))</f>
        <v>99</v>
      </c>
      <c r="AD210" s="155" t="str" cm="1">
        <f t="array" ref="AD210">IFERROR(_xlfn.XLOOKUP(1,(A210=PLT!$A$4:$A$8886)*(Geotech!C210&lt;=PLT!$F$4:$F$8886)*(Geotech!D210&gt;=PLT!$F$4:$F$8886)*("Valid"=PLT!$P$4:$P$8886),PLT!$V$4:$V$8886),"")</f>
        <v/>
      </c>
      <c r="AE210" s="156" t="str" cm="1">
        <f t="array" ref="AE210">IFERROR(_xlfn.XLOOKUP(1,(A210=PLT!$A$4:$A$8886)*(Geotech!C210&lt;=PLT!$F$4:$F$8886)*(Geotech!D210&gt;=PLT!$F$4:$F$8886)*(PLT!$V$4:$V$8886&lt;&gt;AD210)*("Valid"=PLT!$P$4:$P$7190),PLT!$V$4:$V$8886),"")</f>
        <v/>
      </c>
      <c r="AF210" s="156" t="str" cm="1">
        <f t="array" ref="AF210">IFERROR(_xlfn.XLOOKUP(1,(A210=PLT!$A$4:$A$8886)*(Geotech!C210&lt;=PLT!$F$4:$F$8886)*(Geotech!D210&gt;=PLT!$F$4:$F$8886)*(PLT!$V$4:$V$8886&lt;&gt;AD210)*(PLT!$V$4:$V$8886&lt;&gt;AE210)*("Valid"=PLT!$P$4:$P$7190),PLT!$V$4:$V$8886),"")</f>
        <v/>
      </c>
      <c r="AG210" s="44" t="str">
        <f>IFERROR(IF(AVERAGE(AD210:AF210)&gt;References!$BO$23,References!$BP$23,
IF(AVERAGE(AD210:AF210)&gt;References!$BO$22,References!$BP$22,
IF(AVERAGE(AD210:AF210)&gt;References!$BO$21,References!$BP$21,
IF(AVERAGE(AD210:AF210)&gt;References!$BO$20,References!$BP$20,
IF(AVERAGE(AD210:AF210)&gt;References!$BO$19,References!$BP$19,
IF(AVERAGE(AD210:AF210)&gt;References!$BO$18,References!$BP$18,
0)))))),"")</f>
        <v/>
      </c>
      <c r="AH210" s="43" t="e">
        <f>IF(Data_Geotech[[#This Row],[Is50]]="",VLOOKUP(Data_Geotech[[#This Row],[Field Intact Rock Strength]],Table_RMR76_Strength[],2,FALSE),Data_Geotech[[#This Row],[Is50]])</f>
        <v>#N/A</v>
      </c>
      <c r="AI210" s="43" t="e">
        <f>IF(Data_Geotech[[#This Row],[RQD (%)]]&lt;=25,3,IF(Data_Geotech[[#This Row],[RQD (%)]]&lt;=50,8,IF(Data_Geotech[[#This Row],[RQD (%)]]&lt;=75,13,IF(Data_Geotech[[#This Row],[RQD (%)]]&lt;=90,17,20))))</f>
        <v>#DIV/0!</v>
      </c>
      <c r="AJ210" s="43">
        <f>IF(Data_Geotech[[#This Row],[Joint spacing (m)]]&lt;=0.05,5,IF(Data_Geotech[[#This Row],[Joint spacing (m)]]&lt;=0.3,10,IF(Data_Geotech[[#This Row],[Joint spacing (m)]]&lt;=1,20,IF(Data_Geotech[[#This Row],[Joint spacing (m)]]&lt;=3,25,30))))</f>
        <v>30</v>
      </c>
      <c r="AK2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0" s="6">
        <v>10</v>
      </c>
      <c r="AM210" s="117" t="str">
        <f>IF(Data_Geotech[[#This Row],[FIRS Code]]="R",IFERROR(SUM(Data_Geotech[[#This Row],[RMR76 - Strength rating]:[RMR76 - Ground water rating]]),""),"")</f>
        <v/>
      </c>
      <c r="AN210" s="39" t="e">
        <f>IF(Data_Geotech[[#This Row],[FIRS Code]]="R",(2*Data_Geotech[[#This Row],[RMR76 - Joint condition rating]])+(IF(Data_Geotech[[#This Row],[RQD (%)]]&gt;80,80/2,Data_Geotech[[#This Row],[RQD (%)]]/2)),"")</f>
        <v>#DIV/0!</v>
      </c>
      <c r="AO210" s="43" t="e">
        <f>LEFT(Data_Geotech[[#This Row],[Joint Set Rating]],FIND("-",Data_Geotech[[#This Row],[Joint Set Rating]],1)-2)</f>
        <v>#VALUE!</v>
      </c>
      <c r="AP2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0" s="5">
        <f t="shared" si="0"/>
        <v>1</v>
      </c>
      <c r="AR210" s="49" t="str">
        <f>IF(Data_Geotech[[#This Row],[FIRS Code]]="R",IFERROR((IF(Data_Geotech[[#This Row],[RQD (%)]]&lt;10,10,Data_Geotech[[#This Row],[RQD (%)]])/Data_Geotech[[#This Row],[Jn rating]])*Data_Geotech[[#This Row],[Jr/Ja]],""),"")</f>
        <v/>
      </c>
      <c r="AS210" s="45" t="str">
        <f>IF(Data_Geotech[[#This Row],[FIRS Code]]="R",IFERROR((IF(Data_Geotech[[#This Row],[RQD (%)]]&lt;10,10,Data_Geotech[[#This Row],[RQD (%)]])/Data_Geotech[[#This Row],[Jn rating]])*Data_Geotech[[#This Row],[Jr/Ja]]*Data_Geotech[[#This Row],[Jw/SRF]],""),"")</f>
        <v/>
      </c>
      <c r="AT210" s="12"/>
      <c r="AU210" s="13" t="e">
        <f>100-Data_Geotech[[#This Row],[RQD (%)]]</f>
        <v>#DIV/0!</v>
      </c>
      <c r="AV210" s="13" t="e">
        <f>100-Data_Geotech[[#This Row],[TCR (%)]]</f>
        <v>#DIV/0!</v>
      </c>
      <c r="AW210" s="62" t="e">
        <f>(Data_Geotech[[#This Row],[Fracture per interval]]+Data_Geotech[[#This Row],[Added fractures 
(BC, FLT, LC)]])/Data_Geotech[[#This Row],[TCR (m)]]</f>
        <v>#DIV/0!</v>
      </c>
      <c r="AX210" s="6" t="s">
        <v>109</v>
      </c>
      <c r="AY210" s="63" t="e">
        <f>7-MID(Data_Geotech[[#This Row],[Field Intact Rock Strength]],2,1)</f>
        <v>#VALUE!</v>
      </c>
      <c r="AZ210" s="63" t="e">
        <f>VLOOKUP(Data_Geotech[[#This Row],[Field Intact Rock Strength]],Table_FieldStrength[],2,FALSE)</f>
        <v>#N/A</v>
      </c>
      <c r="BA210" s="63" t="e">
        <f>VLOOKUP(Data_Geotech[[#This Row],[Field Intact Rock Strength]],Table_FieldStrength[],3,FALSE)</f>
        <v>#N/A</v>
      </c>
      <c r="BB210" s="63" t="e">
        <f>VLOOKUP(Data_Geotech[[#This Row],[Field Intact Rock Strength]],Table_FieldStrength[],4,FALSE)</f>
        <v>#N/A</v>
      </c>
      <c r="BC210" s="63" t="e">
        <f>100-Data_Geotech[[#This Row],[RMR76]]</f>
        <v>#VALUE!</v>
      </c>
      <c r="BD210" s="63" t="e">
        <f>LEFT(Data_Geotech[[#This Row],[Weathering/Alteration]],FIND("-",Data_Geotech[[#This Row],[Weathering/Alteration]])-2)</f>
        <v>#VALUE!</v>
      </c>
    </row>
    <row r="211" spans="2:56" hidden="1" x14ac:dyDescent="0.25">
      <c r="B211" s="16" t="e">
        <f>VLOOKUP(Data_Geotech[[#This Row],[Hole ID]],Data_Log[],2,FALSE)</f>
        <v>#N/A</v>
      </c>
      <c r="C211" s="5"/>
      <c r="D211" s="5"/>
      <c r="E211" s="5">
        <f>(Data_Geotech[[#This Row],[To (m)]]-Data_Geotech[[#This Row],[From (m)]])/2+Data_Geotech[[#This Row],[From (m)]]</f>
        <v>0</v>
      </c>
      <c r="F211" s="13">
        <f>Data_Geotech[[#This Row],[To (m)]]-Data_Geotech[[#This Row],[From (m)]]</f>
        <v>0</v>
      </c>
      <c r="G211" s="5"/>
      <c r="H211" s="61" t="e">
        <f>Data_Geotech[[#This Row],[TCR (m)]]/Data_Geotech[[#This Row],[Run (m)]]*100</f>
        <v>#DIV/0!</v>
      </c>
      <c r="I211" s="151"/>
      <c r="J211" s="151"/>
      <c r="K211" s="5"/>
      <c r="L211" s="61" t="e">
        <f>Data_Geotech[[#This Row],[RQD (m)]]/Data_Geotech[[#This Row],[Run Reel (m)]]*100</f>
        <v>#DIV/0!</v>
      </c>
      <c r="P211" s="115"/>
      <c r="Q211" s="5"/>
      <c r="R211" s="5"/>
      <c r="S211" s="5"/>
      <c r="T211" s="5"/>
      <c r="U211" s="5"/>
      <c r="V211" s="6"/>
      <c r="W211" s="92">
        <f>SUMIFS(Discontinuities!$D$4:$D$9664,Discontinuities!$A$4:$A$9664,A211,Discontinuities!$C$4:$C$9664,"&gt;="&amp;C211,Discontinuities!$C$4:$C$9664,"&lt;"&amp;D211)
-SUMIFS(Discontinuities!$D$4:$D$9664,Discontinuities!$A$4:$A$9664,A211,Discontinuities!$C$4:$C$9664,"&gt;="&amp;C211,Discontinuities!$C$4:$C$9664,"&lt;"&amp;D211,Discontinuities!$E$4:$E$9664,"=BC")
-SUMIFS(Discontinuities!$D$4:$D$9664,Discontinuities!$A$4:$A$9664,A211,Discontinuities!$C$4:$C$9664,"&gt;="&amp;C211,Discontinuities!$C$4:$C$9664,"&lt;"&amp;D211,Discontinuities!$E$4:$E$9664,"=LC")
-SUMIFS(Discontinuities!$D$4:$D$9664,Discontinuities!$A$4:$A$9664,A211,Discontinuities!$C$4:$C$9664,"&gt;="&amp;C211,Discontinuities!$C$4:$C$9664,"&lt;"&amp;D211,Discontinuities!$E$4:$E$9664,"=FLT")</f>
        <v>0</v>
      </c>
      <c r="AA211" s="12"/>
      <c r="AB211" s="43">
        <f>IFERROR(ROUND((Data_Geotech[[#This Row],[Fault (m)]]+Data_Geotech[[#This Row],[Broken Core (m)]]+Data_Geotech[[#This Row],[Lost Core (m)]])*30,0),0)</f>
        <v>0</v>
      </c>
      <c r="AC211" s="44">
        <f>IF(Data_Geotech[[#This Row],[Added fractures 
(BC, FLT, LC)]]+Data_Geotech[[#This Row],[Fracture per interval]]=0,99,1/((Data_Geotech[[#This Row],[Fracture per interval]]+Data_Geotech[[#This Row],[Added fractures 
(BC, FLT, LC)]])/Data_Geotech[[#This Row],[Run (m)]]))</f>
        <v>99</v>
      </c>
      <c r="AD211" s="155" t="str" cm="1">
        <f t="array" ref="AD211">IFERROR(_xlfn.XLOOKUP(1,(A211=PLT!$A$4:$A$8886)*(Geotech!C211&lt;=PLT!$F$4:$F$8886)*(Geotech!D211&gt;=PLT!$F$4:$F$8886)*("Valid"=PLT!$P$4:$P$8886),PLT!$V$4:$V$8886),"")</f>
        <v/>
      </c>
      <c r="AE211" s="156" t="str" cm="1">
        <f t="array" ref="AE211">IFERROR(_xlfn.XLOOKUP(1,(A211=PLT!$A$4:$A$8886)*(Geotech!C211&lt;=PLT!$F$4:$F$8886)*(Geotech!D211&gt;=PLT!$F$4:$F$8886)*(PLT!$V$4:$V$8886&lt;&gt;AD211)*("Valid"=PLT!$P$4:$P$7190),PLT!$V$4:$V$8886),"")</f>
        <v/>
      </c>
      <c r="AF211" s="156" t="str" cm="1">
        <f t="array" ref="AF211">IFERROR(_xlfn.XLOOKUP(1,(A211=PLT!$A$4:$A$8886)*(Geotech!C211&lt;=PLT!$F$4:$F$8886)*(Geotech!D211&gt;=PLT!$F$4:$F$8886)*(PLT!$V$4:$V$8886&lt;&gt;AD211)*(PLT!$V$4:$V$8886&lt;&gt;AE211)*("Valid"=PLT!$P$4:$P$7190),PLT!$V$4:$V$8886),"")</f>
        <v/>
      </c>
      <c r="AG211" s="44" t="str">
        <f>IFERROR(IF(AVERAGE(AD211:AF211)&gt;References!$BO$23,References!$BP$23,
IF(AVERAGE(AD211:AF211)&gt;References!$BO$22,References!$BP$22,
IF(AVERAGE(AD211:AF211)&gt;References!$BO$21,References!$BP$21,
IF(AVERAGE(AD211:AF211)&gt;References!$BO$20,References!$BP$20,
IF(AVERAGE(AD211:AF211)&gt;References!$BO$19,References!$BP$19,
IF(AVERAGE(AD211:AF211)&gt;References!$BO$18,References!$BP$18,
0)))))),"")</f>
        <v/>
      </c>
      <c r="AH211" s="43" t="e">
        <f>IF(Data_Geotech[[#This Row],[Is50]]="",VLOOKUP(Data_Geotech[[#This Row],[Field Intact Rock Strength]],Table_RMR76_Strength[],2,FALSE),Data_Geotech[[#This Row],[Is50]])</f>
        <v>#N/A</v>
      </c>
      <c r="AI211" s="43" t="e">
        <f>IF(Data_Geotech[[#This Row],[RQD (%)]]&lt;=25,3,IF(Data_Geotech[[#This Row],[RQD (%)]]&lt;=50,8,IF(Data_Geotech[[#This Row],[RQD (%)]]&lt;=75,13,IF(Data_Geotech[[#This Row],[RQD (%)]]&lt;=90,17,20))))</f>
        <v>#DIV/0!</v>
      </c>
      <c r="AJ211" s="43">
        <f>IF(Data_Geotech[[#This Row],[Joint spacing (m)]]&lt;=0.05,5,IF(Data_Geotech[[#This Row],[Joint spacing (m)]]&lt;=0.3,10,IF(Data_Geotech[[#This Row],[Joint spacing (m)]]&lt;=1,20,IF(Data_Geotech[[#This Row],[Joint spacing (m)]]&lt;=3,25,30))))</f>
        <v>30</v>
      </c>
      <c r="AK2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1" s="6">
        <v>10</v>
      </c>
      <c r="AM211" s="117" t="str">
        <f>IF(Data_Geotech[[#This Row],[FIRS Code]]="R",IFERROR(SUM(Data_Geotech[[#This Row],[RMR76 - Strength rating]:[RMR76 - Ground water rating]]),""),"")</f>
        <v/>
      </c>
      <c r="AN211" s="39" t="e">
        <f>IF(Data_Geotech[[#This Row],[FIRS Code]]="R",(2*Data_Geotech[[#This Row],[RMR76 - Joint condition rating]])+(IF(Data_Geotech[[#This Row],[RQD (%)]]&gt;80,80/2,Data_Geotech[[#This Row],[RQD (%)]]/2)),"")</f>
        <v>#DIV/0!</v>
      </c>
      <c r="AO211" s="43" t="e">
        <f>LEFT(Data_Geotech[[#This Row],[Joint Set Rating]],FIND("-",Data_Geotech[[#This Row],[Joint Set Rating]],1)-2)</f>
        <v>#VALUE!</v>
      </c>
      <c r="AP2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1" s="5">
        <f t="shared" si="0"/>
        <v>1</v>
      </c>
      <c r="AR211" s="49" t="str">
        <f>IF(Data_Geotech[[#This Row],[FIRS Code]]="R",IFERROR((IF(Data_Geotech[[#This Row],[RQD (%)]]&lt;10,10,Data_Geotech[[#This Row],[RQD (%)]])/Data_Geotech[[#This Row],[Jn rating]])*Data_Geotech[[#This Row],[Jr/Ja]],""),"")</f>
        <v/>
      </c>
      <c r="AS211" s="45" t="str">
        <f>IF(Data_Geotech[[#This Row],[FIRS Code]]="R",IFERROR((IF(Data_Geotech[[#This Row],[RQD (%)]]&lt;10,10,Data_Geotech[[#This Row],[RQD (%)]])/Data_Geotech[[#This Row],[Jn rating]])*Data_Geotech[[#This Row],[Jr/Ja]]*Data_Geotech[[#This Row],[Jw/SRF]],""),"")</f>
        <v/>
      </c>
      <c r="AT211" s="12"/>
      <c r="AU211" s="13" t="e">
        <f>100-Data_Geotech[[#This Row],[RQD (%)]]</f>
        <v>#DIV/0!</v>
      </c>
      <c r="AV211" s="13" t="e">
        <f>100-Data_Geotech[[#This Row],[TCR (%)]]</f>
        <v>#DIV/0!</v>
      </c>
      <c r="AW211" s="62" t="e">
        <f>(Data_Geotech[[#This Row],[Fracture per interval]]+Data_Geotech[[#This Row],[Added fractures 
(BC, FLT, LC)]])/Data_Geotech[[#This Row],[TCR (m)]]</f>
        <v>#DIV/0!</v>
      </c>
      <c r="AX211" s="6" t="s">
        <v>109</v>
      </c>
      <c r="AY211" s="63" t="e">
        <f>7-MID(Data_Geotech[[#This Row],[Field Intact Rock Strength]],2,1)</f>
        <v>#VALUE!</v>
      </c>
      <c r="AZ211" s="63" t="e">
        <f>VLOOKUP(Data_Geotech[[#This Row],[Field Intact Rock Strength]],Table_FieldStrength[],2,FALSE)</f>
        <v>#N/A</v>
      </c>
      <c r="BA211" s="63" t="e">
        <f>VLOOKUP(Data_Geotech[[#This Row],[Field Intact Rock Strength]],Table_FieldStrength[],3,FALSE)</f>
        <v>#N/A</v>
      </c>
      <c r="BB211" s="63" t="e">
        <f>VLOOKUP(Data_Geotech[[#This Row],[Field Intact Rock Strength]],Table_FieldStrength[],4,FALSE)</f>
        <v>#N/A</v>
      </c>
      <c r="BC211" s="63" t="e">
        <f>100-Data_Geotech[[#This Row],[RMR76]]</f>
        <v>#VALUE!</v>
      </c>
      <c r="BD211" s="63" t="e">
        <f>LEFT(Data_Geotech[[#This Row],[Weathering/Alteration]],FIND("-",Data_Geotech[[#This Row],[Weathering/Alteration]])-2)</f>
        <v>#VALUE!</v>
      </c>
    </row>
    <row r="212" spans="2:56" hidden="1" x14ac:dyDescent="0.25">
      <c r="B212" s="16" t="e">
        <f>VLOOKUP(Data_Geotech[[#This Row],[Hole ID]],Data_Log[],2,FALSE)</f>
        <v>#N/A</v>
      </c>
      <c r="C212" s="5"/>
      <c r="D212" s="5"/>
      <c r="E212" s="5">
        <f>(Data_Geotech[[#This Row],[To (m)]]-Data_Geotech[[#This Row],[From (m)]])/2+Data_Geotech[[#This Row],[From (m)]]</f>
        <v>0</v>
      </c>
      <c r="F212" s="13">
        <f>Data_Geotech[[#This Row],[To (m)]]-Data_Geotech[[#This Row],[From (m)]]</f>
        <v>0</v>
      </c>
      <c r="G212" s="5"/>
      <c r="H212" s="61" t="e">
        <f>Data_Geotech[[#This Row],[TCR (m)]]/Data_Geotech[[#This Row],[Run (m)]]*100</f>
        <v>#DIV/0!</v>
      </c>
      <c r="I212" s="151"/>
      <c r="J212" s="151"/>
      <c r="K212" s="5"/>
      <c r="L212" s="61" t="e">
        <f>Data_Geotech[[#This Row],[RQD (m)]]/Data_Geotech[[#This Row],[Run Reel (m)]]*100</f>
        <v>#DIV/0!</v>
      </c>
      <c r="P212" s="115"/>
      <c r="Q212" s="5"/>
      <c r="R212" s="5"/>
      <c r="S212" s="5"/>
      <c r="T212" s="5"/>
      <c r="U212" s="5"/>
      <c r="V212" s="6"/>
      <c r="W212" s="92">
        <f>SUMIFS(Discontinuities!$D$4:$D$9664,Discontinuities!$A$4:$A$9664,A212,Discontinuities!$C$4:$C$9664,"&gt;="&amp;C212,Discontinuities!$C$4:$C$9664,"&lt;"&amp;D212)
-SUMIFS(Discontinuities!$D$4:$D$9664,Discontinuities!$A$4:$A$9664,A212,Discontinuities!$C$4:$C$9664,"&gt;="&amp;C212,Discontinuities!$C$4:$C$9664,"&lt;"&amp;D212,Discontinuities!$E$4:$E$9664,"=BC")
-SUMIFS(Discontinuities!$D$4:$D$9664,Discontinuities!$A$4:$A$9664,A212,Discontinuities!$C$4:$C$9664,"&gt;="&amp;C212,Discontinuities!$C$4:$C$9664,"&lt;"&amp;D212,Discontinuities!$E$4:$E$9664,"=LC")
-SUMIFS(Discontinuities!$D$4:$D$9664,Discontinuities!$A$4:$A$9664,A212,Discontinuities!$C$4:$C$9664,"&gt;="&amp;C212,Discontinuities!$C$4:$C$9664,"&lt;"&amp;D212,Discontinuities!$E$4:$E$9664,"=FLT")</f>
        <v>0</v>
      </c>
      <c r="AA212" s="12"/>
      <c r="AB212" s="43">
        <f>IFERROR(ROUND((Data_Geotech[[#This Row],[Fault (m)]]+Data_Geotech[[#This Row],[Broken Core (m)]]+Data_Geotech[[#This Row],[Lost Core (m)]])*30,0),0)</f>
        <v>0</v>
      </c>
      <c r="AC212" s="44">
        <f>IF(Data_Geotech[[#This Row],[Added fractures 
(BC, FLT, LC)]]+Data_Geotech[[#This Row],[Fracture per interval]]=0,99,1/((Data_Geotech[[#This Row],[Fracture per interval]]+Data_Geotech[[#This Row],[Added fractures 
(BC, FLT, LC)]])/Data_Geotech[[#This Row],[Run (m)]]))</f>
        <v>99</v>
      </c>
      <c r="AD212" s="155" t="str" cm="1">
        <f t="array" ref="AD212">IFERROR(_xlfn.XLOOKUP(1,(A212=PLT!$A$4:$A$8886)*(Geotech!C212&lt;=PLT!$F$4:$F$8886)*(Geotech!D212&gt;=PLT!$F$4:$F$8886)*("Valid"=PLT!$P$4:$P$8886),PLT!$V$4:$V$8886),"")</f>
        <v/>
      </c>
      <c r="AE212" s="156" t="str" cm="1">
        <f t="array" ref="AE212">IFERROR(_xlfn.XLOOKUP(1,(A212=PLT!$A$4:$A$8886)*(Geotech!C212&lt;=PLT!$F$4:$F$8886)*(Geotech!D212&gt;=PLT!$F$4:$F$8886)*(PLT!$V$4:$V$8886&lt;&gt;AD212)*("Valid"=PLT!$P$4:$P$7190),PLT!$V$4:$V$8886),"")</f>
        <v/>
      </c>
      <c r="AF212" s="156" t="str" cm="1">
        <f t="array" ref="AF212">IFERROR(_xlfn.XLOOKUP(1,(A212=PLT!$A$4:$A$8886)*(Geotech!C212&lt;=PLT!$F$4:$F$8886)*(Geotech!D212&gt;=PLT!$F$4:$F$8886)*(PLT!$V$4:$V$8886&lt;&gt;AD212)*(PLT!$V$4:$V$8886&lt;&gt;AE212)*("Valid"=PLT!$P$4:$P$7190),PLT!$V$4:$V$8886),"")</f>
        <v/>
      </c>
      <c r="AG212" s="44" t="str">
        <f>IFERROR(IF(AVERAGE(AD212:AF212)&gt;References!$BO$23,References!$BP$23,
IF(AVERAGE(AD212:AF212)&gt;References!$BO$22,References!$BP$22,
IF(AVERAGE(AD212:AF212)&gt;References!$BO$21,References!$BP$21,
IF(AVERAGE(AD212:AF212)&gt;References!$BO$20,References!$BP$20,
IF(AVERAGE(AD212:AF212)&gt;References!$BO$19,References!$BP$19,
IF(AVERAGE(AD212:AF212)&gt;References!$BO$18,References!$BP$18,
0)))))),"")</f>
        <v/>
      </c>
      <c r="AH212" s="43" t="e">
        <f>IF(Data_Geotech[[#This Row],[Is50]]="",VLOOKUP(Data_Geotech[[#This Row],[Field Intact Rock Strength]],Table_RMR76_Strength[],2,FALSE),Data_Geotech[[#This Row],[Is50]])</f>
        <v>#N/A</v>
      </c>
      <c r="AI212" s="43" t="e">
        <f>IF(Data_Geotech[[#This Row],[RQD (%)]]&lt;=25,3,IF(Data_Geotech[[#This Row],[RQD (%)]]&lt;=50,8,IF(Data_Geotech[[#This Row],[RQD (%)]]&lt;=75,13,IF(Data_Geotech[[#This Row],[RQD (%)]]&lt;=90,17,20))))</f>
        <v>#DIV/0!</v>
      </c>
      <c r="AJ212" s="43">
        <f>IF(Data_Geotech[[#This Row],[Joint spacing (m)]]&lt;=0.05,5,IF(Data_Geotech[[#This Row],[Joint spacing (m)]]&lt;=0.3,10,IF(Data_Geotech[[#This Row],[Joint spacing (m)]]&lt;=1,20,IF(Data_Geotech[[#This Row],[Joint spacing (m)]]&lt;=3,25,30))))</f>
        <v>30</v>
      </c>
      <c r="AK2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2" s="6">
        <v>10</v>
      </c>
      <c r="AM212" s="117" t="str">
        <f>IF(Data_Geotech[[#This Row],[FIRS Code]]="R",IFERROR(SUM(Data_Geotech[[#This Row],[RMR76 - Strength rating]:[RMR76 - Ground water rating]]),""),"")</f>
        <v/>
      </c>
      <c r="AN212" s="39" t="e">
        <f>IF(Data_Geotech[[#This Row],[FIRS Code]]="R",(2*Data_Geotech[[#This Row],[RMR76 - Joint condition rating]])+(IF(Data_Geotech[[#This Row],[RQD (%)]]&gt;80,80/2,Data_Geotech[[#This Row],[RQD (%)]]/2)),"")</f>
        <v>#DIV/0!</v>
      </c>
      <c r="AO212" s="43" t="e">
        <f>LEFT(Data_Geotech[[#This Row],[Joint Set Rating]],FIND("-",Data_Geotech[[#This Row],[Joint Set Rating]],1)-2)</f>
        <v>#VALUE!</v>
      </c>
      <c r="AP2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2" s="5">
        <f t="shared" si="0"/>
        <v>1</v>
      </c>
      <c r="AR212" s="49" t="str">
        <f>IF(Data_Geotech[[#This Row],[FIRS Code]]="R",IFERROR((IF(Data_Geotech[[#This Row],[RQD (%)]]&lt;10,10,Data_Geotech[[#This Row],[RQD (%)]])/Data_Geotech[[#This Row],[Jn rating]])*Data_Geotech[[#This Row],[Jr/Ja]],""),"")</f>
        <v/>
      </c>
      <c r="AS212" s="45" t="str">
        <f>IF(Data_Geotech[[#This Row],[FIRS Code]]="R",IFERROR((IF(Data_Geotech[[#This Row],[RQD (%)]]&lt;10,10,Data_Geotech[[#This Row],[RQD (%)]])/Data_Geotech[[#This Row],[Jn rating]])*Data_Geotech[[#This Row],[Jr/Ja]]*Data_Geotech[[#This Row],[Jw/SRF]],""),"")</f>
        <v/>
      </c>
      <c r="AT212" s="12"/>
      <c r="AU212" s="13" t="e">
        <f>100-Data_Geotech[[#This Row],[RQD (%)]]</f>
        <v>#DIV/0!</v>
      </c>
      <c r="AV212" s="13" t="e">
        <f>100-Data_Geotech[[#This Row],[TCR (%)]]</f>
        <v>#DIV/0!</v>
      </c>
      <c r="AW212" s="62" t="e">
        <f>(Data_Geotech[[#This Row],[Fracture per interval]]+Data_Geotech[[#This Row],[Added fractures 
(BC, FLT, LC)]])/Data_Geotech[[#This Row],[TCR (m)]]</f>
        <v>#DIV/0!</v>
      </c>
      <c r="AX212" s="6" t="s">
        <v>109</v>
      </c>
      <c r="AY212" s="63" t="e">
        <f>7-MID(Data_Geotech[[#This Row],[Field Intact Rock Strength]],2,1)</f>
        <v>#VALUE!</v>
      </c>
      <c r="AZ212" s="63" t="e">
        <f>VLOOKUP(Data_Geotech[[#This Row],[Field Intact Rock Strength]],Table_FieldStrength[],2,FALSE)</f>
        <v>#N/A</v>
      </c>
      <c r="BA212" s="63" t="e">
        <f>VLOOKUP(Data_Geotech[[#This Row],[Field Intact Rock Strength]],Table_FieldStrength[],3,FALSE)</f>
        <v>#N/A</v>
      </c>
      <c r="BB212" s="63" t="e">
        <f>VLOOKUP(Data_Geotech[[#This Row],[Field Intact Rock Strength]],Table_FieldStrength[],4,FALSE)</f>
        <v>#N/A</v>
      </c>
      <c r="BC212" s="63" t="e">
        <f>100-Data_Geotech[[#This Row],[RMR76]]</f>
        <v>#VALUE!</v>
      </c>
      <c r="BD212" s="63" t="e">
        <f>LEFT(Data_Geotech[[#This Row],[Weathering/Alteration]],FIND("-",Data_Geotech[[#This Row],[Weathering/Alteration]])-2)</f>
        <v>#VALUE!</v>
      </c>
    </row>
    <row r="213" spans="2:56" hidden="1" x14ac:dyDescent="0.25">
      <c r="B213" s="16" t="e">
        <f>VLOOKUP(Data_Geotech[[#This Row],[Hole ID]],Data_Log[],2,FALSE)</f>
        <v>#N/A</v>
      </c>
      <c r="C213" s="5"/>
      <c r="D213" s="5"/>
      <c r="E213" s="5">
        <f>(Data_Geotech[[#This Row],[To (m)]]-Data_Geotech[[#This Row],[From (m)]])/2+Data_Geotech[[#This Row],[From (m)]]</f>
        <v>0</v>
      </c>
      <c r="F213" s="13">
        <f>Data_Geotech[[#This Row],[To (m)]]-Data_Geotech[[#This Row],[From (m)]]</f>
        <v>0</v>
      </c>
      <c r="G213" s="5"/>
      <c r="H213" s="61" t="e">
        <f>Data_Geotech[[#This Row],[TCR (m)]]/Data_Geotech[[#This Row],[Run (m)]]*100</f>
        <v>#DIV/0!</v>
      </c>
      <c r="I213" s="151"/>
      <c r="J213" s="151"/>
      <c r="K213" s="5"/>
      <c r="L213" s="61" t="e">
        <f>Data_Geotech[[#This Row],[RQD (m)]]/Data_Geotech[[#This Row],[Run Reel (m)]]*100</f>
        <v>#DIV/0!</v>
      </c>
      <c r="P213" s="115"/>
      <c r="Q213" s="5"/>
      <c r="R213" s="5"/>
      <c r="S213" s="5"/>
      <c r="T213" s="5"/>
      <c r="U213" s="5"/>
      <c r="V213" s="6"/>
      <c r="W213" s="92">
        <f>SUMIFS(Discontinuities!$D$4:$D$9664,Discontinuities!$A$4:$A$9664,A213,Discontinuities!$C$4:$C$9664,"&gt;="&amp;C213,Discontinuities!$C$4:$C$9664,"&lt;"&amp;D213)
-SUMIFS(Discontinuities!$D$4:$D$9664,Discontinuities!$A$4:$A$9664,A213,Discontinuities!$C$4:$C$9664,"&gt;="&amp;C213,Discontinuities!$C$4:$C$9664,"&lt;"&amp;D213,Discontinuities!$E$4:$E$9664,"=BC")
-SUMIFS(Discontinuities!$D$4:$D$9664,Discontinuities!$A$4:$A$9664,A213,Discontinuities!$C$4:$C$9664,"&gt;="&amp;C213,Discontinuities!$C$4:$C$9664,"&lt;"&amp;D213,Discontinuities!$E$4:$E$9664,"=LC")
-SUMIFS(Discontinuities!$D$4:$D$9664,Discontinuities!$A$4:$A$9664,A213,Discontinuities!$C$4:$C$9664,"&gt;="&amp;C213,Discontinuities!$C$4:$C$9664,"&lt;"&amp;D213,Discontinuities!$E$4:$E$9664,"=FLT")</f>
        <v>0</v>
      </c>
      <c r="AA213" s="12"/>
      <c r="AB213" s="43">
        <f>IFERROR(ROUND((Data_Geotech[[#This Row],[Fault (m)]]+Data_Geotech[[#This Row],[Broken Core (m)]]+Data_Geotech[[#This Row],[Lost Core (m)]])*30,0),0)</f>
        <v>0</v>
      </c>
      <c r="AC213" s="44">
        <f>IF(Data_Geotech[[#This Row],[Added fractures 
(BC, FLT, LC)]]+Data_Geotech[[#This Row],[Fracture per interval]]=0,99,1/((Data_Geotech[[#This Row],[Fracture per interval]]+Data_Geotech[[#This Row],[Added fractures 
(BC, FLT, LC)]])/Data_Geotech[[#This Row],[Run (m)]]))</f>
        <v>99</v>
      </c>
      <c r="AD213" s="155" t="str" cm="1">
        <f t="array" ref="AD213">IFERROR(_xlfn.XLOOKUP(1,(A213=PLT!$A$4:$A$8886)*(Geotech!C213&lt;=PLT!$F$4:$F$8886)*(Geotech!D213&gt;=PLT!$F$4:$F$8886)*("Valid"=PLT!$P$4:$P$8886),PLT!$V$4:$V$8886),"")</f>
        <v/>
      </c>
      <c r="AE213" s="156" t="str" cm="1">
        <f t="array" ref="AE213">IFERROR(_xlfn.XLOOKUP(1,(A213=PLT!$A$4:$A$8886)*(Geotech!C213&lt;=PLT!$F$4:$F$8886)*(Geotech!D213&gt;=PLT!$F$4:$F$8886)*(PLT!$V$4:$V$8886&lt;&gt;AD213)*("Valid"=PLT!$P$4:$P$7190),PLT!$V$4:$V$8886),"")</f>
        <v/>
      </c>
      <c r="AF213" s="156" t="str" cm="1">
        <f t="array" ref="AF213">IFERROR(_xlfn.XLOOKUP(1,(A213=PLT!$A$4:$A$8886)*(Geotech!C213&lt;=PLT!$F$4:$F$8886)*(Geotech!D213&gt;=PLT!$F$4:$F$8886)*(PLT!$V$4:$V$8886&lt;&gt;AD213)*(PLT!$V$4:$V$8886&lt;&gt;AE213)*("Valid"=PLT!$P$4:$P$7190),PLT!$V$4:$V$8886),"")</f>
        <v/>
      </c>
      <c r="AG213" s="44" t="str">
        <f>IFERROR(IF(AVERAGE(AD213:AF213)&gt;References!$BO$23,References!$BP$23,
IF(AVERAGE(AD213:AF213)&gt;References!$BO$22,References!$BP$22,
IF(AVERAGE(AD213:AF213)&gt;References!$BO$21,References!$BP$21,
IF(AVERAGE(AD213:AF213)&gt;References!$BO$20,References!$BP$20,
IF(AVERAGE(AD213:AF213)&gt;References!$BO$19,References!$BP$19,
IF(AVERAGE(AD213:AF213)&gt;References!$BO$18,References!$BP$18,
0)))))),"")</f>
        <v/>
      </c>
      <c r="AH213" s="43" t="e">
        <f>IF(Data_Geotech[[#This Row],[Is50]]="",VLOOKUP(Data_Geotech[[#This Row],[Field Intact Rock Strength]],Table_RMR76_Strength[],2,FALSE),Data_Geotech[[#This Row],[Is50]])</f>
        <v>#N/A</v>
      </c>
      <c r="AI213" s="43" t="e">
        <f>IF(Data_Geotech[[#This Row],[RQD (%)]]&lt;=25,3,IF(Data_Geotech[[#This Row],[RQD (%)]]&lt;=50,8,IF(Data_Geotech[[#This Row],[RQD (%)]]&lt;=75,13,IF(Data_Geotech[[#This Row],[RQD (%)]]&lt;=90,17,20))))</f>
        <v>#DIV/0!</v>
      </c>
      <c r="AJ213" s="43">
        <f>IF(Data_Geotech[[#This Row],[Joint spacing (m)]]&lt;=0.05,5,IF(Data_Geotech[[#This Row],[Joint spacing (m)]]&lt;=0.3,10,IF(Data_Geotech[[#This Row],[Joint spacing (m)]]&lt;=1,20,IF(Data_Geotech[[#This Row],[Joint spacing (m)]]&lt;=3,25,30))))</f>
        <v>30</v>
      </c>
      <c r="AK21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3" s="6">
        <v>10</v>
      </c>
      <c r="AM213" s="117" t="str">
        <f>IF(Data_Geotech[[#This Row],[FIRS Code]]="R",IFERROR(SUM(Data_Geotech[[#This Row],[RMR76 - Strength rating]:[RMR76 - Ground water rating]]),""),"")</f>
        <v/>
      </c>
      <c r="AN213" s="39" t="e">
        <f>IF(Data_Geotech[[#This Row],[FIRS Code]]="R",(2*Data_Geotech[[#This Row],[RMR76 - Joint condition rating]])+(IF(Data_Geotech[[#This Row],[RQD (%)]]&gt;80,80/2,Data_Geotech[[#This Row],[RQD (%)]]/2)),"")</f>
        <v>#DIV/0!</v>
      </c>
      <c r="AO213" s="43" t="e">
        <f>LEFT(Data_Geotech[[#This Row],[Joint Set Rating]],FIND("-",Data_Geotech[[#This Row],[Joint Set Rating]],1)-2)</f>
        <v>#VALUE!</v>
      </c>
      <c r="AP21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3" s="5">
        <f t="shared" si="0"/>
        <v>1</v>
      </c>
      <c r="AR213" s="49" t="str">
        <f>IF(Data_Geotech[[#This Row],[FIRS Code]]="R",IFERROR((IF(Data_Geotech[[#This Row],[RQD (%)]]&lt;10,10,Data_Geotech[[#This Row],[RQD (%)]])/Data_Geotech[[#This Row],[Jn rating]])*Data_Geotech[[#This Row],[Jr/Ja]],""),"")</f>
        <v/>
      </c>
      <c r="AS213" s="45" t="str">
        <f>IF(Data_Geotech[[#This Row],[FIRS Code]]="R",IFERROR((IF(Data_Geotech[[#This Row],[RQD (%)]]&lt;10,10,Data_Geotech[[#This Row],[RQD (%)]])/Data_Geotech[[#This Row],[Jn rating]])*Data_Geotech[[#This Row],[Jr/Ja]]*Data_Geotech[[#This Row],[Jw/SRF]],""),"")</f>
        <v/>
      </c>
      <c r="AT213" s="12"/>
      <c r="AU213" s="13" t="e">
        <f>100-Data_Geotech[[#This Row],[RQD (%)]]</f>
        <v>#DIV/0!</v>
      </c>
      <c r="AV213" s="13" t="e">
        <f>100-Data_Geotech[[#This Row],[TCR (%)]]</f>
        <v>#DIV/0!</v>
      </c>
      <c r="AW213" s="62" t="e">
        <f>(Data_Geotech[[#This Row],[Fracture per interval]]+Data_Geotech[[#This Row],[Added fractures 
(BC, FLT, LC)]])/Data_Geotech[[#This Row],[TCR (m)]]</f>
        <v>#DIV/0!</v>
      </c>
      <c r="AX213" s="6" t="s">
        <v>109</v>
      </c>
      <c r="AY213" s="63" t="e">
        <f>7-MID(Data_Geotech[[#This Row],[Field Intact Rock Strength]],2,1)</f>
        <v>#VALUE!</v>
      </c>
      <c r="AZ213" s="63" t="e">
        <f>VLOOKUP(Data_Geotech[[#This Row],[Field Intact Rock Strength]],Table_FieldStrength[],2,FALSE)</f>
        <v>#N/A</v>
      </c>
      <c r="BA213" s="63" t="e">
        <f>VLOOKUP(Data_Geotech[[#This Row],[Field Intact Rock Strength]],Table_FieldStrength[],3,FALSE)</f>
        <v>#N/A</v>
      </c>
      <c r="BB213" s="63" t="e">
        <f>VLOOKUP(Data_Geotech[[#This Row],[Field Intact Rock Strength]],Table_FieldStrength[],4,FALSE)</f>
        <v>#N/A</v>
      </c>
      <c r="BC213" s="63" t="e">
        <f>100-Data_Geotech[[#This Row],[RMR76]]</f>
        <v>#VALUE!</v>
      </c>
      <c r="BD213" s="63" t="e">
        <f>LEFT(Data_Geotech[[#This Row],[Weathering/Alteration]],FIND("-",Data_Geotech[[#This Row],[Weathering/Alteration]])-2)</f>
        <v>#VALUE!</v>
      </c>
    </row>
    <row r="214" spans="2:56" hidden="1" x14ac:dyDescent="0.25">
      <c r="B214" s="16" t="e">
        <f>VLOOKUP(Data_Geotech[[#This Row],[Hole ID]],Data_Log[],2,FALSE)</f>
        <v>#N/A</v>
      </c>
      <c r="C214" s="5"/>
      <c r="D214" s="5"/>
      <c r="E214" s="5">
        <f>(Data_Geotech[[#This Row],[To (m)]]-Data_Geotech[[#This Row],[From (m)]])/2+Data_Geotech[[#This Row],[From (m)]]</f>
        <v>0</v>
      </c>
      <c r="F214" s="13">
        <f>Data_Geotech[[#This Row],[To (m)]]-Data_Geotech[[#This Row],[From (m)]]</f>
        <v>0</v>
      </c>
      <c r="G214" s="5"/>
      <c r="H214" s="61" t="e">
        <f>Data_Geotech[[#This Row],[TCR (m)]]/Data_Geotech[[#This Row],[Run (m)]]*100</f>
        <v>#DIV/0!</v>
      </c>
      <c r="I214" s="151"/>
      <c r="J214" s="151"/>
      <c r="K214" s="5"/>
      <c r="L214" s="61" t="e">
        <f>Data_Geotech[[#This Row],[RQD (m)]]/Data_Geotech[[#This Row],[Run Reel (m)]]*100</f>
        <v>#DIV/0!</v>
      </c>
      <c r="P214" s="115"/>
      <c r="Q214" s="5"/>
      <c r="R214" s="5"/>
      <c r="S214" s="5"/>
      <c r="T214" s="5"/>
      <c r="U214" s="5"/>
      <c r="V214" s="6"/>
      <c r="W214" s="92">
        <f>SUMIFS(Discontinuities!$D$4:$D$9664,Discontinuities!$A$4:$A$9664,A214,Discontinuities!$C$4:$C$9664,"&gt;="&amp;C214,Discontinuities!$C$4:$C$9664,"&lt;"&amp;D214)
-SUMIFS(Discontinuities!$D$4:$D$9664,Discontinuities!$A$4:$A$9664,A214,Discontinuities!$C$4:$C$9664,"&gt;="&amp;C214,Discontinuities!$C$4:$C$9664,"&lt;"&amp;D214,Discontinuities!$E$4:$E$9664,"=BC")
-SUMIFS(Discontinuities!$D$4:$D$9664,Discontinuities!$A$4:$A$9664,A214,Discontinuities!$C$4:$C$9664,"&gt;="&amp;C214,Discontinuities!$C$4:$C$9664,"&lt;"&amp;D214,Discontinuities!$E$4:$E$9664,"=LC")
-SUMIFS(Discontinuities!$D$4:$D$9664,Discontinuities!$A$4:$A$9664,A214,Discontinuities!$C$4:$C$9664,"&gt;="&amp;C214,Discontinuities!$C$4:$C$9664,"&lt;"&amp;D214,Discontinuities!$E$4:$E$9664,"=FLT")</f>
        <v>0</v>
      </c>
      <c r="AA214" s="12"/>
      <c r="AB214" s="43">
        <f>IFERROR(ROUND((Data_Geotech[[#This Row],[Fault (m)]]+Data_Geotech[[#This Row],[Broken Core (m)]]+Data_Geotech[[#This Row],[Lost Core (m)]])*30,0),0)</f>
        <v>0</v>
      </c>
      <c r="AC214" s="44">
        <f>IF(Data_Geotech[[#This Row],[Added fractures 
(BC, FLT, LC)]]+Data_Geotech[[#This Row],[Fracture per interval]]=0,99,1/((Data_Geotech[[#This Row],[Fracture per interval]]+Data_Geotech[[#This Row],[Added fractures 
(BC, FLT, LC)]])/Data_Geotech[[#This Row],[Run (m)]]))</f>
        <v>99</v>
      </c>
      <c r="AD214" s="155" t="str" cm="1">
        <f t="array" ref="AD214">IFERROR(_xlfn.XLOOKUP(1,(A214=PLT!$A$4:$A$8886)*(Geotech!C214&lt;=PLT!$F$4:$F$8886)*(Geotech!D214&gt;=PLT!$F$4:$F$8886)*("Valid"=PLT!$P$4:$P$8886),PLT!$V$4:$V$8886),"")</f>
        <v/>
      </c>
      <c r="AE214" s="156" t="str" cm="1">
        <f t="array" ref="AE214">IFERROR(_xlfn.XLOOKUP(1,(A214=PLT!$A$4:$A$8886)*(Geotech!C214&lt;=PLT!$F$4:$F$8886)*(Geotech!D214&gt;=PLT!$F$4:$F$8886)*(PLT!$V$4:$V$8886&lt;&gt;AD214)*("Valid"=PLT!$P$4:$P$7190),PLT!$V$4:$V$8886),"")</f>
        <v/>
      </c>
      <c r="AF214" s="156" t="str" cm="1">
        <f t="array" ref="AF214">IFERROR(_xlfn.XLOOKUP(1,(A214=PLT!$A$4:$A$8886)*(Geotech!C214&lt;=PLT!$F$4:$F$8886)*(Geotech!D214&gt;=PLT!$F$4:$F$8886)*(PLT!$V$4:$V$8886&lt;&gt;AD214)*(PLT!$V$4:$V$8886&lt;&gt;AE214)*("Valid"=PLT!$P$4:$P$7190),PLT!$V$4:$V$8886),"")</f>
        <v/>
      </c>
      <c r="AG214" s="44" t="str">
        <f>IFERROR(IF(AVERAGE(AD214:AF214)&gt;References!$BO$23,References!$BP$23,
IF(AVERAGE(AD214:AF214)&gt;References!$BO$22,References!$BP$22,
IF(AVERAGE(AD214:AF214)&gt;References!$BO$21,References!$BP$21,
IF(AVERAGE(AD214:AF214)&gt;References!$BO$20,References!$BP$20,
IF(AVERAGE(AD214:AF214)&gt;References!$BO$19,References!$BP$19,
IF(AVERAGE(AD214:AF214)&gt;References!$BO$18,References!$BP$18,
0)))))),"")</f>
        <v/>
      </c>
      <c r="AH214" s="43" t="e">
        <f>IF(Data_Geotech[[#This Row],[Is50]]="",VLOOKUP(Data_Geotech[[#This Row],[Field Intact Rock Strength]],Table_RMR76_Strength[],2,FALSE),Data_Geotech[[#This Row],[Is50]])</f>
        <v>#N/A</v>
      </c>
      <c r="AI214" s="43" t="e">
        <f>IF(Data_Geotech[[#This Row],[RQD (%)]]&lt;=25,3,IF(Data_Geotech[[#This Row],[RQD (%)]]&lt;=50,8,IF(Data_Geotech[[#This Row],[RQD (%)]]&lt;=75,13,IF(Data_Geotech[[#This Row],[RQD (%)]]&lt;=90,17,20))))</f>
        <v>#DIV/0!</v>
      </c>
      <c r="AJ214" s="43">
        <f>IF(Data_Geotech[[#This Row],[Joint spacing (m)]]&lt;=0.05,5,IF(Data_Geotech[[#This Row],[Joint spacing (m)]]&lt;=0.3,10,IF(Data_Geotech[[#This Row],[Joint spacing (m)]]&lt;=1,20,IF(Data_Geotech[[#This Row],[Joint spacing (m)]]&lt;=3,25,30))))</f>
        <v>30</v>
      </c>
      <c r="AK2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4" s="6">
        <v>10</v>
      </c>
      <c r="AM214" s="117" t="str">
        <f>IF(Data_Geotech[[#This Row],[FIRS Code]]="R",IFERROR(SUM(Data_Geotech[[#This Row],[RMR76 - Strength rating]:[RMR76 - Ground water rating]]),""),"")</f>
        <v/>
      </c>
      <c r="AN214" s="39" t="e">
        <f>IF(Data_Geotech[[#This Row],[FIRS Code]]="R",(2*Data_Geotech[[#This Row],[RMR76 - Joint condition rating]])+(IF(Data_Geotech[[#This Row],[RQD (%)]]&gt;80,80/2,Data_Geotech[[#This Row],[RQD (%)]]/2)),"")</f>
        <v>#DIV/0!</v>
      </c>
      <c r="AO214" s="43" t="e">
        <f>LEFT(Data_Geotech[[#This Row],[Joint Set Rating]],FIND("-",Data_Geotech[[#This Row],[Joint Set Rating]],1)-2)</f>
        <v>#VALUE!</v>
      </c>
      <c r="AP2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4" s="5">
        <f t="shared" si="0"/>
        <v>1</v>
      </c>
      <c r="AR214" s="49" t="str">
        <f>IF(Data_Geotech[[#This Row],[FIRS Code]]="R",IFERROR((IF(Data_Geotech[[#This Row],[RQD (%)]]&lt;10,10,Data_Geotech[[#This Row],[RQD (%)]])/Data_Geotech[[#This Row],[Jn rating]])*Data_Geotech[[#This Row],[Jr/Ja]],""),"")</f>
        <v/>
      </c>
      <c r="AS214" s="45" t="str">
        <f>IF(Data_Geotech[[#This Row],[FIRS Code]]="R",IFERROR((IF(Data_Geotech[[#This Row],[RQD (%)]]&lt;10,10,Data_Geotech[[#This Row],[RQD (%)]])/Data_Geotech[[#This Row],[Jn rating]])*Data_Geotech[[#This Row],[Jr/Ja]]*Data_Geotech[[#This Row],[Jw/SRF]],""),"")</f>
        <v/>
      </c>
      <c r="AT214" s="12"/>
      <c r="AU214" s="13" t="e">
        <f>100-Data_Geotech[[#This Row],[RQD (%)]]</f>
        <v>#DIV/0!</v>
      </c>
      <c r="AV214" s="13" t="e">
        <f>100-Data_Geotech[[#This Row],[TCR (%)]]</f>
        <v>#DIV/0!</v>
      </c>
      <c r="AW214" s="62" t="e">
        <f>(Data_Geotech[[#This Row],[Fracture per interval]]+Data_Geotech[[#This Row],[Added fractures 
(BC, FLT, LC)]])/Data_Geotech[[#This Row],[TCR (m)]]</f>
        <v>#DIV/0!</v>
      </c>
      <c r="AX214" s="6" t="s">
        <v>109</v>
      </c>
      <c r="AY214" s="63" t="e">
        <f>7-MID(Data_Geotech[[#This Row],[Field Intact Rock Strength]],2,1)</f>
        <v>#VALUE!</v>
      </c>
      <c r="AZ214" s="63" t="e">
        <f>VLOOKUP(Data_Geotech[[#This Row],[Field Intact Rock Strength]],Table_FieldStrength[],2,FALSE)</f>
        <v>#N/A</v>
      </c>
      <c r="BA214" s="63" t="e">
        <f>VLOOKUP(Data_Geotech[[#This Row],[Field Intact Rock Strength]],Table_FieldStrength[],3,FALSE)</f>
        <v>#N/A</v>
      </c>
      <c r="BB214" s="63" t="e">
        <f>VLOOKUP(Data_Geotech[[#This Row],[Field Intact Rock Strength]],Table_FieldStrength[],4,FALSE)</f>
        <v>#N/A</v>
      </c>
      <c r="BC214" s="63" t="e">
        <f>100-Data_Geotech[[#This Row],[RMR76]]</f>
        <v>#VALUE!</v>
      </c>
      <c r="BD214" s="63" t="e">
        <f>LEFT(Data_Geotech[[#This Row],[Weathering/Alteration]],FIND("-",Data_Geotech[[#This Row],[Weathering/Alteration]])-2)</f>
        <v>#VALUE!</v>
      </c>
    </row>
    <row r="215" spans="2:56" hidden="1" x14ac:dyDescent="0.25">
      <c r="B215" s="16" t="e">
        <f>VLOOKUP(Data_Geotech[[#This Row],[Hole ID]],Data_Log[],2,FALSE)</f>
        <v>#N/A</v>
      </c>
      <c r="C215" s="5"/>
      <c r="D215" s="5"/>
      <c r="E215" s="5">
        <f>(Data_Geotech[[#This Row],[To (m)]]-Data_Geotech[[#This Row],[From (m)]])/2+Data_Geotech[[#This Row],[From (m)]]</f>
        <v>0</v>
      </c>
      <c r="F215" s="13">
        <f>Data_Geotech[[#This Row],[To (m)]]-Data_Geotech[[#This Row],[From (m)]]</f>
        <v>0</v>
      </c>
      <c r="G215" s="5"/>
      <c r="H215" s="61" t="e">
        <f>Data_Geotech[[#This Row],[TCR (m)]]/Data_Geotech[[#This Row],[Run (m)]]*100</f>
        <v>#DIV/0!</v>
      </c>
      <c r="I215" s="151"/>
      <c r="J215" s="151"/>
      <c r="K215" s="5"/>
      <c r="L215" s="61" t="e">
        <f>Data_Geotech[[#This Row],[RQD (m)]]/Data_Geotech[[#This Row],[Run Reel (m)]]*100</f>
        <v>#DIV/0!</v>
      </c>
      <c r="P215" s="115"/>
      <c r="Q215" s="5"/>
      <c r="R215" s="5"/>
      <c r="S215" s="5"/>
      <c r="T215" s="5"/>
      <c r="U215" s="5"/>
      <c r="V215" s="6"/>
      <c r="W215" s="92">
        <f>SUMIFS(Discontinuities!$D$4:$D$9664,Discontinuities!$A$4:$A$9664,A215,Discontinuities!$C$4:$C$9664,"&gt;="&amp;C215,Discontinuities!$C$4:$C$9664,"&lt;"&amp;D215)
-SUMIFS(Discontinuities!$D$4:$D$9664,Discontinuities!$A$4:$A$9664,A215,Discontinuities!$C$4:$C$9664,"&gt;="&amp;C215,Discontinuities!$C$4:$C$9664,"&lt;"&amp;D215,Discontinuities!$E$4:$E$9664,"=BC")
-SUMIFS(Discontinuities!$D$4:$D$9664,Discontinuities!$A$4:$A$9664,A215,Discontinuities!$C$4:$C$9664,"&gt;="&amp;C215,Discontinuities!$C$4:$C$9664,"&lt;"&amp;D215,Discontinuities!$E$4:$E$9664,"=LC")
-SUMIFS(Discontinuities!$D$4:$D$9664,Discontinuities!$A$4:$A$9664,A215,Discontinuities!$C$4:$C$9664,"&gt;="&amp;C215,Discontinuities!$C$4:$C$9664,"&lt;"&amp;D215,Discontinuities!$E$4:$E$9664,"=FLT")</f>
        <v>0</v>
      </c>
      <c r="AA215" s="12"/>
      <c r="AB215" s="43">
        <f>IFERROR(ROUND((Data_Geotech[[#This Row],[Fault (m)]]+Data_Geotech[[#This Row],[Broken Core (m)]]+Data_Geotech[[#This Row],[Lost Core (m)]])*30,0),0)</f>
        <v>0</v>
      </c>
      <c r="AC215" s="44">
        <f>IF(Data_Geotech[[#This Row],[Added fractures 
(BC, FLT, LC)]]+Data_Geotech[[#This Row],[Fracture per interval]]=0,99,1/((Data_Geotech[[#This Row],[Fracture per interval]]+Data_Geotech[[#This Row],[Added fractures 
(BC, FLT, LC)]])/Data_Geotech[[#This Row],[Run (m)]]))</f>
        <v>99</v>
      </c>
      <c r="AD215" s="155" t="str" cm="1">
        <f t="array" ref="AD215">IFERROR(_xlfn.XLOOKUP(1,(A215=PLT!$A$4:$A$8886)*(Geotech!C215&lt;=PLT!$F$4:$F$8886)*(Geotech!D215&gt;=PLT!$F$4:$F$8886)*("Valid"=PLT!$P$4:$P$8886),PLT!$V$4:$V$8886),"")</f>
        <v/>
      </c>
      <c r="AE215" s="156" t="str" cm="1">
        <f t="array" ref="AE215">IFERROR(_xlfn.XLOOKUP(1,(A215=PLT!$A$4:$A$8886)*(Geotech!C215&lt;=PLT!$F$4:$F$8886)*(Geotech!D215&gt;=PLT!$F$4:$F$8886)*(PLT!$V$4:$V$8886&lt;&gt;AD215)*("Valid"=PLT!$P$4:$P$7190),PLT!$V$4:$V$8886),"")</f>
        <v/>
      </c>
      <c r="AF215" s="156" t="str" cm="1">
        <f t="array" ref="AF215">IFERROR(_xlfn.XLOOKUP(1,(A215=PLT!$A$4:$A$8886)*(Geotech!C215&lt;=PLT!$F$4:$F$8886)*(Geotech!D215&gt;=PLT!$F$4:$F$8886)*(PLT!$V$4:$V$8886&lt;&gt;AD215)*(PLT!$V$4:$V$8886&lt;&gt;AE215)*("Valid"=PLT!$P$4:$P$7190),PLT!$V$4:$V$8886),"")</f>
        <v/>
      </c>
      <c r="AG215" s="44" t="str">
        <f>IFERROR(IF(AVERAGE(AD215:AF215)&gt;References!$BO$23,References!$BP$23,
IF(AVERAGE(AD215:AF215)&gt;References!$BO$22,References!$BP$22,
IF(AVERAGE(AD215:AF215)&gt;References!$BO$21,References!$BP$21,
IF(AVERAGE(AD215:AF215)&gt;References!$BO$20,References!$BP$20,
IF(AVERAGE(AD215:AF215)&gt;References!$BO$19,References!$BP$19,
IF(AVERAGE(AD215:AF215)&gt;References!$BO$18,References!$BP$18,
0)))))),"")</f>
        <v/>
      </c>
      <c r="AH215" s="43" t="e">
        <f>IF(Data_Geotech[[#This Row],[Is50]]="",VLOOKUP(Data_Geotech[[#This Row],[Field Intact Rock Strength]],Table_RMR76_Strength[],2,FALSE),Data_Geotech[[#This Row],[Is50]])</f>
        <v>#N/A</v>
      </c>
      <c r="AI215" s="43" t="e">
        <f>IF(Data_Geotech[[#This Row],[RQD (%)]]&lt;=25,3,IF(Data_Geotech[[#This Row],[RQD (%)]]&lt;=50,8,IF(Data_Geotech[[#This Row],[RQD (%)]]&lt;=75,13,IF(Data_Geotech[[#This Row],[RQD (%)]]&lt;=90,17,20))))</f>
        <v>#DIV/0!</v>
      </c>
      <c r="AJ215" s="43">
        <f>IF(Data_Geotech[[#This Row],[Joint spacing (m)]]&lt;=0.05,5,IF(Data_Geotech[[#This Row],[Joint spacing (m)]]&lt;=0.3,10,IF(Data_Geotech[[#This Row],[Joint spacing (m)]]&lt;=1,20,IF(Data_Geotech[[#This Row],[Joint spacing (m)]]&lt;=3,25,30))))</f>
        <v>30</v>
      </c>
      <c r="AK2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5" s="6">
        <v>10</v>
      </c>
      <c r="AM215" s="117" t="str">
        <f>IF(Data_Geotech[[#This Row],[FIRS Code]]="R",IFERROR(SUM(Data_Geotech[[#This Row],[RMR76 - Strength rating]:[RMR76 - Ground water rating]]),""),"")</f>
        <v/>
      </c>
      <c r="AN215" s="39" t="e">
        <f>IF(Data_Geotech[[#This Row],[FIRS Code]]="R",(2*Data_Geotech[[#This Row],[RMR76 - Joint condition rating]])+(IF(Data_Geotech[[#This Row],[RQD (%)]]&gt;80,80/2,Data_Geotech[[#This Row],[RQD (%)]]/2)),"")</f>
        <v>#DIV/0!</v>
      </c>
      <c r="AO215" s="43" t="e">
        <f>LEFT(Data_Geotech[[#This Row],[Joint Set Rating]],FIND("-",Data_Geotech[[#This Row],[Joint Set Rating]],1)-2)</f>
        <v>#VALUE!</v>
      </c>
      <c r="AP2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5" s="5">
        <f t="shared" si="0"/>
        <v>1</v>
      </c>
      <c r="AR215" s="49" t="str">
        <f>IF(Data_Geotech[[#This Row],[FIRS Code]]="R",IFERROR((IF(Data_Geotech[[#This Row],[RQD (%)]]&lt;10,10,Data_Geotech[[#This Row],[RQD (%)]])/Data_Geotech[[#This Row],[Jn rating]])*Data_Geotech[[#This Row],[Jr/Ja]],""),"")</f>
        <v/>
      </c>
      <c r="AS215" s="45" t="str">
        <f>IF(Data_Geotech[[#This Row],[FIRS Code]]="R",IFERROR((IF(Data_Geotech[[#This Row],[RQD (%)]]&lt;10,10,Data_Geotech[[#This Row],[RQD (%)]])/Data_Geotech[[#This Row],[Jn rating]])*Data_Geotech[[#This Row],[Jr/Ja]]*Data_Geotech[[#This Row],[Jw/SRF]],""),"")</f>
        <v/>
      </c>
      <c r="AT215" s="12"/>
      <c r="AU215" s="13" t="e">
        <f>100-Data_Geotech[[#This Row],[RQD (%)]]</f>
        <v>#DIV/0!</v>
      </c>
      <c r="AV215" s="13" t="e">
        <f>100-Data_Geotech[[#This Row],[TCR (%)]]</f>
        <v>#DIV/0!</v>
      </c>
      <c r="AW215" s="62" t="e">
        <f>(Data_Geotech[[#This Row],[Fracture per interval]]+Data_Geotech[[#This Row],[Added fractures 
(BC, FLT, LC)]])/Data_Geotech[[#This Row],[TCR (m)]]</f>
        <v>#DIV/0!</v>
      </c>
      <c r="AX215" s="6" t="s">
        <v>109</v>
      </c>
      <c r="AY215" s="63" t="e">
        <f>7-MID(Data_Geotech[[#This Row],[Field Intact Rock Strength]],2,1)</f>
        <v>#VALUE!</v>
      </c>
      <c r="AZ215" s="63" t="e">
        <f>VLOOKUP(Data_Geotech[[#This Row],[Field Intact Rock Strength]],Table_FieldStrength[],2,FALSE)</f>
        <v>#N/A</v>
      </c>
      <c r="BA215" s="63" t="e">
        <f>VLOOKUP(Data_Geotech[[#This Row],[Field Intact Rock Strength]],Table_FieldStrength[],3,FALSE)</f>
        <v>#N/A</v>
      </c>
      <c r="BB215" s="63" t="e">
        <f>VLOOKUP(Data_Geotech[[#This Row],[Field Intact Rock Strength]],Table_FieldStrength[],4,FALSE)</f>
        <v>#N/A</v>
      </c>
      <c r="BC215" s="63" t="e">
        <f>100-Data_Geotech[[#This Row],[RMR76]]</f>
        <v>#VALUE!</v>
      </c>
      <c r="BD215" s="63" t="e">
        <f>LEFT(Data_Geotech[[#This Row],[Weathering/Alteration]],FIND("-",Data_Geotech[[#This Row],[Weathering/Alteration]])-2)</f>
        <v>#VALUE!</v>
      </c>
    </row>
    <row r="216" spans="2:56" hidden="1" x14ac:dyDescent="0.25">
      <c r="B216" s="16" t="e">
        <f>VLOOKUP(Data_Geotech[[#This Row],[Hole ID]],Data_Log[],2,FALSE)</f>
        <v>#N/A</v>
      </c>
      <c r="C216" s="5"/>
      <c r="D216" s="5"/>
      <c r="E216" s="5">
        <f>(Data_Geotech[[#This Row],[To (m)]]-Data_Geotech[[#This Row],[From (m)]])/2+Data_Geotech[[#This Row],[From (m)]]</f>
        <v>0</v>
      </c>
      <c r="F216" s="13">
        <f>Data_Geotech[[#This Row],[To (m)]]-Data_Geotech[[#This Row],[From (m)]]</f>
        <v>0</v>
      </c>
      <c r="G216" s="5"/>
      <c r="H216" s="61" t="e">
        <f>Data_Geotech[[#This Row],[TCR (m)]]/Data_Geotech[[#This Row],[Run (m)]]*100</f>
        <v>#DIV/0!</v>
      </c>
      <c r="I216" s="151"/>
      <c r="J216" s="151"/>
      <c r="K216" s="5"/>
      <c r="L216" s="61" t="e">
        <f>Data_Geotech[[#This Row],[RQD (m)]]/Data_Geotech[[#This Row],[Run Reel (m)]]*100</f>
        <v>#DIV/0!</v>
      </c>
      <c r="P216" s="115"/>
      <c r="Q216" s="5"/>
      <c r="R216" s="5"/>
      <c r="S216" s="5"/>
      <c r="T216" s="5"/>
      <c r="U216" s="5"/>
      <c r="V216" s="6"/>
      <c r="W216" s="92">
        <f>SUMIFS(Discontinuities!$D$4:$D$9664,Discontinuities!$A$4:$A$9664,A216,Discontinuities!$C$4:$C$9664,"&gt;="&amp;C216,Discontinuities!$C$4:$C$9664,"&lt;"&amp;D216)
-SUMIFS(Discontinuities!$D$4:$D$9664,Discontinuities!$A$4:$A$9664,A216,Discontinuities!$C$4:$C$9664,"&gt;="&amp;C216,Discontinuities!$C$4:$C$9664,"&lt;"&amp;D216,Discontinuities!$E$4:$E$9664,"=BC")
-SUMIFS(Discontinuities!$D$4:$D$9664,Discontinuities!$A$4:$A$9664,A216,Discontinuities!$C$4:$C$9664,"&gt;="&amp;C216,Discontinuities!$C$4:$C$9664,"&lt;"&amp;D216,Discontinuities!$E$4:$E$9664,"=LC")
-SUMIFS(Discontinuities!$D$4:$D$9664,Discontinuities!$A$4:$A$9664,A216,Discontinuities!$C$4:$C$9664,"&gt;="&amp;C216,Discontinuities!$C$4:$C$9664,"&lt;"&amp;D216,Discontinuities!$E$4:$E$9664,"=FLT")</f>
        <v>0</v>
      </c>
      <c r="AA216" s="12"/>
      <c r="AB216" s="43">
        <f>IFERROR(ROUND((Data_Geotech[[#This Row],[Fault (m)]]+Data_Geotech[[#This Row],[Broken Core (m)]]+Data_Geotech[[#This Row],[Lost Core (m)]])*30,0),0)</f>
        <v>0</v>
      </c>
      <c r="AC216" s="44">
        <f>IF(Data_Geotech[[#This Row],[Added fractures 
(BC, FLT, LC)]]+Data_Geotech[[#This Row],[Fracture per interval]]=0,99,1/((Data_Geotech[[#This Row],[Fracture per interval]]+Data_Geotech[[#This Row],[Added fractures 
(BC, FLT, LC)]])/Data_Geotech[[#This Row],[Run (m)]]))</f>
        <v>99</v>
      </c>
      <c r="AD216" s="155" t="str" cm="1">
        <f t="array" ref="AD216">IFERROR(_xlfn.XLOOKUP(1,(A216=PLT!$A$4:$A$8886)*(Geotech!C216&lt;=PLT!$F$4:$F$8886)*(Geotech!D216&gt;=PLT!$F$4:$F$8886)*("Valid"=PLT!$P$4:$P$8886),PLT!$V$4:$V$8886),"")</f>
        <v/>
      </c>
      <c r="AE216" s="156" t="str" cm="1">
        <f t="array" ref="AE216">IFERROR(_xlfn.XLOOKUP(1,(A216=PLT!$A$4:$A$8886)*(Geotech!C216&lt;=PLT!$F$4:$F$8886)*(Geotech!D216&gt;=PLT!$F$4:$F$8886)*(PLT!$V$4:$V$8886&lt;&gt;AD216)*("Valid"=PLT!$P$4:$P$7190),PLT!$V$4:$V$8886),"")</f>
        <v/>
      </c>
      <c r="AF216" s="156" t="str" cm="1">
        <f t="array" ref="AF216">IFERROR(_xlfn.XLOOKUP(1,(A216=PLT!$A$4:$A$8886)*(Geotech!C216&lt;=PLT!$F$4:$F$8886)*(Geotech!D216&gt;=PLT!$F$4:$F$8886)*(PLT!$V$4:$V$8886&lt;&gt;AD216)*(PLT!$V$4:$V$8886&lt;&gt;AE216)*("Valid"=PLT!$P$4:$P$7190),PLT!$V$4:$V$8886),"")</f>
        <v/>
      </c>
      <c r="AG216" s="44" t="str">
        <f>IFERROR(IF(AVERAGE(AD216:AF216)&gt;References!$BO$23,References!$BP$23,
IF(AVERAGE(AD216:AF216)&gt;References!$BO$22,References!$BP$22,
IF(AVERAGE(AD216:AF216)&gt;References!$BO$21,References!$BP$21,
IF(AVERAGE(AD216:AF216)&gt;References!$BO$20,References!$BP$20,
IF(AVERAGE(AD216:AF216)&gt;References!$BO$19,References!$BP$19,
IF(AVERAGE(AD216:AF216)&gt;References!$BO$18,References!$BP$18,
0)))))),"")</f>
        <v/>
      </c>
      <c r="AH216" s="43" t="e">
        <f>IF(Data_Geotech[[#This Row],[Is50]]="",VLOOKUP(Data_Geotech[[#This Row],[Field Intact Rock Strength]],Table_RMR76_Strength[],2,FALSE),Data_Geotech[[#This Row],[Is50]])</f>
        <v>#N/A</v>
      </c>
      <c r="AI216" s="43" t="e">
        <f>IF(Data_Geotech[[#This Row],[RQD (%)]]&lt;=25,3,IF(Data_Geotech[[#This Row],[RQD (%)]]&lt;=50,8,IF(Data_Geotech[[#This Row],[RQD (%)]]&lt;=75,13,IF(Data_Geotech[[#This Row],[RQD (%)]]&lt;=90,17,20))))</f>
        <v>#DIV/0!</v>
      </c>
      <c r="AJ216" s="43">
        <f>IF(Data_Geotech[[#This Row],[Joint spacing (m)]]&lt;=0.05,5,IF(Data_Geotech[[#This Row],[Joint spacing (m)]]&lt;=0.3,10,IF(Data_Geotech[[#This Row],[Joint spacing (m)]]&lt;=1,20,IF(Data_Geotech[[#This Row],[Joint spacing (m)]]&lt;=3,25,30))))</f>
        <v>30</v>
      </c>
      <c r="AK2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6" s="6">
        <v>10</v>
      </c>
      <c r="AM216" s="117" t="str">
        <f>IF(Data_Geotech[[#This Row],[FIRS Code]]="R",IFERROR(SUM(Data_Geotech[[#This Row],[RMR76 - Strength rating]:[RMR76 - Ground water rating]]),""),"")</f>
        <v/>
      </c>
      <c r="AN216" s="39" t="e">
        <f>IF(Data_Geotech[[#This Row],[FIRS Code]]="R",(2*Data_Geotech[[#This Row],[RMR76 - Joint condition rating]])+(IF(Data_Geotech[[#This Row],[RQD (%)]]&gt;80,80/2,Data_Geotech[[#This Row],[RQD (%)]]/2)),"")</f>
        <v>#DIV/0!</v>
      </c>
      <c r="AO216" s="43" t="e">
        <f>LEFT(Data_Geotech[[#This Row],[Joint Set Rating]],FIND("-",Data_Geotech[[#This Row],[Joint Set Rating]],1)-2)</f>
        <v>#VALUE!</v>
      </c>
      <c r="AP2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6" s="5">
        <f t="shared" si="0"/>
        <v>1</v>
      </c>
      <c r="AR216" s="49" t="str">
        <f>IF(Data_Geotech[[#This Row],[FIRS Code]]="R",IFERROR((IF(Data_Geotech[[#This Row],[RQD (%)]]&lt;10,10,Data_Geotech[[#This Row],[RQD (%)]])/Data_Geotech[[#This Row],[Jn rating]])*Data_Geotech[[#This Row],[Jr/Ja]],""),"")</f>
        <v/>
      </c>
      <c r="AS216" s="45" t="str">
        <f>IF(Data_Geotech[[#This Row],[FIRS Code]]="R",IFERROR((IF(Data_Geotech[[#This Row],[RQD (%)]]&lt;10,10,Data_Geotech[[#This Row],[RQD (%)]])/Data_Geotech[[#This Row],[Jn rating]])*Data_Geotech[[#This Row],[Jr/Ja]]*Data_Geotech[[#This Row],[Jw/SRF]],""),"")</f>
        <v/>
      </c>
      <c r="AT216" s="12"/>
      <c r="AU216" s="13" t="e">
        <f>100-Data_Geotech[[#This Row],[RQD (%)]]</f>
        <v>#DIV/0!</v>
      </c>
      <c r="AV216" s="13" t="e">
        <f>100-Data_Geotech[[#This Row],[TCR (%)]]</f>
        <v>#DIV/0!</v>
      </c>
      <c r="AW216" s="62" t="e">
        <f>(Data_Geotech[[#This Row],[Fracture per interval]]+Data_Geotech[[#This Row],[Added fractures 
(BC, FLT, LC)]])/Data_Geotech[[#This Row],[TCR (m)]]</f>
        <v>#DIV/0!</v>
      </c>
      <c r="AX216" s="6" t="s">
        <v>109</v>
      </c>
      <c r="AY216" s="63" t="e">
        <f>7-MID(Data_Geotech[[#This Row],[Field Intact Rock Strength]],2,1)</f>
        <v>#VALUE!</v>
      </c>
      <c r="AZ216" s="63" t="e">
        <f>VLOOKUP(Data_Geotech[[#This Row],[Field Intact Rock Strength]],Table_FieldStrength[],2,FALSE)</f>
        <v>#N/A</v>
      </c>
      <c r="BA216" s="63" t="e">
        <f>VLOOKUP(Data_Geotech[[#This Row],[Field Intact Rock Strength]],Table_FieldStrength[],3,FALSE)</f>
        <v>#N/A</v>
      </c>
      <c r="BB216" s="63" t="e">
        <f>VLOOKUP(Data_Geotech[[#This Row],[Field Intact Rock Strength]],Table_FieldStrength[],4,FALSE)</f>
        <v>#N/A</v>
      </c>
      <c r="BC216" s="63" t="e">
        <f>100-Data_Geotech[[#This Row],[RMR76]]</f>
        <v>#VALUE!</v>
      </c>
      <c r="BD216" s="63" t="e">
        <f>LEFT(Data_Geotech[[#This Row],[Weathering/Alteration]],FIND("-",Data_Geotech[[#This Row],[Weathering/Alteration]])-2)</f>
        <v>#VALUE!</v>
      </c>
    </row>
    <row r="217" spans="2:56" hidden="1" x14ac:dyDescent="0.25">
      <c r="B217" s="16" t="e">
        <f>VLOOKUP(Data_Geotech[[#This Row],[Hole ID]],Data_Log[],2,FALSE)</f>
        <v>#N/A</v>
      </c>
      <c r="C217" s="5"/>
      <c r="D217" s="5"/>
      <c r="E217" s="5">
        <f>(Data_Geotech[[#This Row],[To (m)]]-Data_Geotech[[#This Row],[From (m)]])/2+Data_Geotech[[#This Row],[From (m)]]</f>
        <v>0</v>
      </c>
      <c r="F217" s="13">
        <f>Data_Geotech[[#This Row],[To (m)]]-Data_Geotech[[#This Row],[From (m)]]</f>
        <v>0</v>
      </c>
      <c r="G217" s="5"/>
      <c r="H217" s="61" t="e">
        <f>Data_Geotech[[#This Row],[TCR (m)]]/Data_Geotech[[#This Row],[Run (m)]]*100</f>
        <v>#DIV/0!</v>
      </c>
      <c r="I217" s="151"/>
      <c r="J217" s="151"/>
      <c r="K217" s="5"/>
      <c r="L217" s="61" t="e">
        <f>Data_Geotech[[#This Row],[RQD (m)]]/Data_Geotech[[#This Row],[Run Reel (m)]]*100</f>
        <v>#DIV/0!</v>
      </c>
      <c r="P217" s="115"/>
      <c r="Q217" s="5"/>
      <c r="R217" s="5"/>
      <c r="S217" s="5"/>
      <c r="T217" s="5"/>
      <c r="U217" s="5"/>
      <c r="V217" s="6"/>
      <c r="W217" s="92">
        <f>SUMIFS(Discontinuities!$D$4:$D$9664,Discontinuities!$A$4:$A$9664,A217,Discontinuities!$C$4:$C$9664,"&gt;="&amp;C217,Discontinuities!$C$4:$C$9664,"&lt;"&amp;D217)
-SUMIFS(Discontinuities!$D$4:$D$9664,Discontinuities!$A$4:$A$9664,A217,Discontinuities!$C$4:$C$9664,"&gt;="&amp;C217,Discontinuities!$C$4:$C$9664,"&lt;"&amp;D217,Discontinuities!$E$4:$E$9664,"=BC")
-SUMIFS(Discontinuities!$D$4:$D$9664,Discontinuities!$A$4:$A$9664,A217,Discontinuities!$C$4:$C$9664,"&gt;="&amp;C217,Discontinuities!$C$4:$C$9664,"&lt;"&amp;D217,Discontinuities!$E$4:$E$9664,"=LC")
-SUMIFS(Discontinuities!$D$4:$D$9664,Discontinuities!$A$4:$A$9664,A217,Discontinuities!$C$4:$C$9664,"&gt;="&amp;C217,Discontinuities!$C$4:$C$9664,"&lt;"&amp;D217,Discontinuities!$E$4:$E$9664,"=FLT")</f>
        <v>0</v>
      </c>
      <c r="AA217" s="12"/>
      <c r="AB217" s="43">
        <f>IFERROR(ROUND((Data_Geotech[[#This Row],[Fault (m)]]+Data_Geotech[[#This Row],[Broken Core (m)]]+Data_Geotech[[#This Row],[Lost Core (m)]])*30,0),0)</f>
        <v>0</v>
      </c>
      <c r="AC217" s="44">
        <f>IF(Data_Geotech[[#This Row],[Added fractures 
(BC, FLT, LC)]]+Data_Geotech[[#This Row],[Fracture per interval]]=0,99,1/((Data_Geotech[[#This Row],[Fracture per interval]]+Data_Geotech[[#This Row],[Added fractures 
(BC, FLT, LC)]])/Data_Geotech[[#This Row],[Run (m)]]))</f>
        <v>99</v>
      </c>
      <c r="AD217" s="155" t="str" cm="1">
        <f t="array" ref="AD217">IFERROR(_xlfn.XLOOKUP(1,(A217=PLT!$A$4:$A$8886)*(Geotech!C217&lt;=PLT!$F$4:$F$8886)*(Geotech!D217&gt;=PLT!$F$4:$F$8886)*("Valid"=PLT!$P$4:$P$8886),PLT!$V$4:$V$8886),"")</f>
        <v/>
      </c>
      <c r="AE217" s="156" t="str" cm="1">
        <f t="array" ref="AE217">IFERROR(_xlfn.XLOOKUP(1,(A217=PLT!$A$4:$A$8886)*(Geotech!C217&lt;=PLT!$F$4:$F$8886)*(Geotech!D217&gt;=PLT!$F$4:$F$8886)*(PLT!$V$4:$V$8886&lt;&gt;AD217)*("Valid"=PLT!$P$4:$P$7190),PLT!$V$4:$V$8886),"")</f>
        <v/>
      </c>
      <c r="AF217" s="156" t="str" cm="1">
        <f t="array" ref="AF217">IFERROR(_xlfn.XLOOKUP(1,(A217=PLT!$A$4:$A$8886)*(Geotech!C217&lt;=PLT!$F$4:$F$8886)*(Geotech!D217&gt;=PLT!$F$4:$F$8886)*(PLT!$V$4:$V$8886&lt;&gt;AD217)*(PLT!$V$4:$V$8886&lt;&gt;AE217)*("Valid"=PLT!$P$4:$P$7190),PLT!$V$4:$V$8886),"")</f>
        <v/>
      </c>
      <c r="AG217" s="44" t="str">
        <f>IFERROR(IF(AVERAGE(AD217:AF217)&gt;References!$BO$23,References!$BP$23,
IF(AVERAGE(AD217:AF217)&gt;References!$BO$22,References!$BP$22,
IF(AVERAGE(AD217:AF217)&gt;References!$BO$21,References!$BP$21,
IF(AVERAGE(AD217:AF217)&gt;References!$BO$20,References!$BP$20,
IF(AVERAGE(AD217:AF217)&gt;References!$BO$19,References!$BP$19,
IF(AVERAGE(AD217:AF217)&gt;References!$BO$18,References!$BP$18,
0)))))),"")</f>
        <v/>
      </c>
      <c r="AH217" s="43" t="e">
        <f>IF(Data_Geotech[[#This Row],[Is50]]="",VLOOKUP(Data_Geotech[[#This Row],[Field Intact Rock Strength]],Table_RMR76_Strength[],2,FALSE),Data_Geotech[[#This Row],[Is50]])</f>
        <v>#N/A</v>
      </c>
      <c r="AI217" s="43" t="e">
        <f>IF(Data_Geotech[[#This Row],[RQD (%)]]&lt;=25,3,IF(Data_Geotech[[#This Row],[RQD (%)]]&lt;=50,8,IF(Data_Geotech[[#This Row],[RQD (%)]]&lt;=75,13,IF(Data_Geotech[[#This Row],[RQD (%)]]&lt;=90,17,20))))</f>
        <v>#DIV/0!</v>
      </c>
      <c r="AJ217" s="43">
        <f>IF(Data_Geotech[[#This Row],[Joint spacing (m)]]&lt;=0.05,5,IF(Data_Geotech[[#This Row],[Joint spacing (m)]]&lt;=0.3,10,IF(Data_Geotech[[#This Row],[Joint spacing (m)]]&lt;=1,20,IF(Data_Geotech[[#This Row],[Joint spacing (m)]]&lt;=3,25,30))))</f>
        <v>30</v>
      </c>
      <c r="AK2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7" s="6">
        <v>10</v>
      </c>
      <c r="AM217" s="117" t="str">
        <f>IF(Data_Geotech[[#This Row],[FIRS Code]]="R",IFERROR(SUM(Data_Geotech[[#This Row],[RMR76 - Strength rating]:[RMR76 - Ground water rating]]),""),"")</f>
        <v/>
      </c>
      <c r="AN217" s="39" t="e">
        <f>IF(Data_Geotech[[#This Row],[FIRS Code]]="R",(2*Data_Geotech[[#This Row],[RMR76 - Joint condition rating]])+(IF(Data_Geotech[[#This Row],[RQD (%)]]&gt;80,80/2,Data_Geotech[[#This Row],[RQD (%)]]/2)),"")</f>
        <v>#DIV/0!</v>
      </c>
      <c r="AO217" s="43" t="e">
        <f>LEFT(Data_Geotech[[#This Row],[Joint Set Rating]],FIND("-",Data_Geotech[[#This Row],[Joint Set Rating]],1)-2)</f>
        <v>#VALUE!</v>
      </c>
      <c r="AP2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7" s="5">
        <f t="shared" si="0"/>
        <v>1</v>
      </c>
      <c r="AR217" s="49" t="str">
        <f>IF(Data_Geotech[[#This Row],[FIRS Code]]="R",IFERROR((IF(Data_Geotech[[#This Row],[RQD (%)]]&lt;10,10,Data_Geotech[[#This Row],[RQD (%)]])/Data_Geotech[[#This Row],[Jn rating]])*Data_Geotech[[#This Row],[Jr/Ja]],""),"")</f>
        <v/>
      </c>
      <c r="AS217" s="45" t="str">
        <f>IF(Data_Geotech[[#This Row],[FIRS Code]]="R",IFERROR((IF(Data_Geotech[[#This Row],[RQD (%)]]&lt;10,10,Data_Geotech[[#This Row],[RQD (%)]])/Data_Geotech[[#This Row],[Jn rating]])*Data_Geotech[[#This Row],[Jr/Ja]]*Data_Geotech[[#This Row],[Jw/SRF]],""),"")</f>
        <v/>
      </c>
      <c r="AT217" s="12"/>
      <c r="AU217" s="13" t="e">
        <f>100-Data_Geotech[[#This Row],[RQD (%)]]</f>
        <v>#DIV/0!</v>
      </c>
      <c r="AV217" s="13" t="e">
        <f>100-Data_Geotech[[#This Row],[TCR (%)]]</f>
        <v>#DIV/0!</v>
      </c>
      <c r="AW217" s="62" t="e">
        <f>(Data_Geotech[[#This Row],[Fracture per interval]]+Data_Geotech[[#This Row],[Added fractures 
(BC, FLT, LC)]])/Data_Geotech[[#This Row],[TCR (m)]]</f>
        <v>#DIV/0!</v>
      </c>
      <c r="AX217" s="6" t="s">
        <v>109</v>
      </c>
      <c r="AY217" s="63" t="e">
        <f>7-MID(Data_Geotech[[#This Row],[Field Intact Rock Strength]],2,1)</f>
        <v>#VALUE!</v>
      </c>
      <c r="AZ217" s="63" t="e">
        <f>VLOOKUP(Data_Geotech[[#This Row],[Field Intact Rock Strength]],Table_FieldStrength[],2,FALSE)</f>
        <v>#N/A</v>
      </c>
      <c r="BA217" s="63" t="e">
        <f>VLOOKUP(Data_Geotech[[#This Row],[Field Intact Rock Strength]],Table_FieldStrength[],3,FALSE)</f>
        <v>#N/A</v>
      </c>
      <c r="BB217" s="63" t="e">
        <f>VLOOKUP(Data_Geotech[[#This Row],[Field Intact Rock Strength]],Table_FieldStrength[],4,FALSE)</f>
        <v>#N/A</v>
      </c>
      <c r="BC217" s="63" t="e">
        <f>100-Data_Geotech[[#This Row],[RMR76]]</f>
        <v>#VALUE!</v>
      </c>
      <c r="BD217" s="63" t="e">
        <f>LEFT(Data_Geotech[[#This Row],[Weathering/Alteration]],FIND("-",Data_Geotech[[#This Row],[Weathering/Alteration]])-2)</f>
        <v>#VALUE!</v>
      </c>
    </row>
    <row r="218" spans="2:56" hidden="1" x14ac:dyDescent="0.25">
      <c r="B218" s="16" t="e">
        <f>VLOOKUP(Data_Geotech[[#This Row],[Hole ID]],Data_Log[],2,FALSE)</f>
        <v>#N/A</v>
      </c>
      <c r="C218" s="5"/>
      <c r="D218" s="5"/>
      <c r="E218" s="5">
        <f>(Data_Geotech[[#This Row],[To (m)]]-Data_Geotech[[#This Row],[From (m)]])/2+Data_Geotech[[#This Row],[From (m)]]</f>
        <v>0</v>
      </c>
      <c r="F218" s="13">
        <f>Data_Geotech[[#This Row],[To (m)]]-Data_Geotech[[#This Row],[From (m)]]</f>
        <v>0</v>
      </c>
      <c r="G218" s="5"/>
      <c r="H218" s="61" t="e">
        <f>Data_Geotech[[#This Row],[TCR (m)]]/Data_Geotech[[#This Row],[Run (m)]]*100</f>
        <v>#DIV/0!</v>
      </c>
      <c r="I218" s="151"/>
      <c r="J218" s="151"/>
      <c r="K218" s="5"/>
      <c r="L218" s="61" t="e">
        <f>Data_Geotech[[#This Row],[RQD (m)]]/Data_Geotech[[#This Row],[Run Reel (m)]]*100</f>
        <v>#DIV/0!</v>
      </c>
      <c r="P218" s="115"/>
      <c r="Q218" s="5"/>
      <c r="R218" s="5"/>
      <c r="S218" s="5"/>
      <c r="T218" s="5"/>
      <c r="U218" s="5"/>
      <c r="V218" s="6"/>
      <c r="W218" s="92">
        <f>SUMIFS(Discontinuities!$D$4:$D$9664,Discontinuities!$A$4:$A$9664,A218,Discontinuities!$C$4:$C$9664,"&gt;="&amp;C218,Discontinuities!$C$4:$C$9664,"&lt;"&amp;D218)
-SUMIFS(Discontinuities!$D$4:$D$9664,Discontinuities!$A$4:$A$9664,A218,Discontinuities!$C$4:$C$9664,"&gt;="&amp;C218,Discontinuities!$C$4:$C$9664,"&lt;"&amp;D218,Discontinuities!$E$4:$E$9664,"=BC")
-SUMIFS(Discontinuities!$D$4:$D$9664,Discontinuities!$A$4:$A$9664,A218,Discontinuities!$C$4:$C$9664,"&gt;="&amp;C218,Discontinuities!$C$4:$C$9664,"&lt;"&amp;D218,Discontinuities!$E$4:$E$9664,"=LC")
-SUMIFS(Discontinuities!$D$4:$D$9664,Discontinuities!$A$4:$A$9664,A218,Discontinuities!$C$4:$C$9664,"&gt;="&amp;C218,Discontinuities!$C$4:$C$9664,"&lt;"&amp;D218,Discontinuities!$E$4:$E$9664,"=FLT")</f>
        <v>0</v>
      </c>
      <c r="AA218" s="132"/>
      <c r="AB218" s="133">
        <f>IFERROR(ROUND((Data_Geotech[[#This Row],[Fault (m)]]+Data_Geotech[[#This Row],[Broken Core (m)]]+Data_Geotech[[#This Row],[Lost Core (m)]])*30,0),0)</f>
        <v>0</v>
      </c>
      <c r="AC218" s="134">
        <f>IF(Data_Geotech[[#This Row],[Added fractures 
(BC, FLT, LC)]]+Data_Geotech[[#This Row],[Fracture per interval]]=0,99,1/((Data_Geotech[[#This Row],[Fracture per interval]]+Data_Geotech[[#This Row],[Added fractures 
(BC, FLT, LC)]])/Data_Geotech[[#This Row],[Run (m)]]))</f>
        <v>99</v>
      </c>
      <c r="AD218" s="160" t="str" cm="1">
        <f t="array" ref="AD218">IFERROR(_xlfn.XLOOKUP(1,(A218=PLT!$A$4:$A$8886)*(Geotech!C218&lt;=PLT!$F$4:$F$8886)*(Geotech!D218&gt;=PLT!$F$4:$F$8886)*("Valid"=PLT!$P$4:$P$8886),PLT!$V$4:$V$8886),"")</f>
        <v/>
      </c>
      <c r="AE218" s="161" t="str" cm="1">
        <f t="array" ref="AE218">IFERROR(_xlfn.XLOOKUP(1,(A218=PLT!$A$4:$A$8886)*(Geotech!C218&lt;=PLT!$F$4:$F$8886)*(Geotech!D218&gt;=PLT!$F$4:$F$8886)*(PLT!$V$4:$V$8886&lt;&gt;AD218)*("Valid"=PLT!$P$4:$P$7190),PLT!$V$4:$V$8886),"")</f>
        <v/>
      </c>
      <c r="AF218" s="161" t="str" cm="1">
        <f t="array" ref="AF218">IFERROR(_xlfn.XLOOKUP(1,(A218=PLT!$A$4:$A$8886)*(Geotech!C218&lt;=PLT!$F$4:$F$8886)*(Geotech!D218&gt;=PLT!$F$4:$F$8886)*(PLT!$V$4:$V$8886&lt;&gt;AD218)*(PLT!$V$4:$V$8886&lt;&gt;AE218)*("Valid"=PLT!$P$4:$P$7190),PLT!$V$4:$V$8886),"")</f>
        <v/>
      </c>
      <c r="AG218" s="162" t="str">
        <f>IFERROR(IF(AVERAGE(AD218:AF218)&gt;References!$BO$23,References!$BP$23,
IF(AVERAGE(AD218:AF218)&gt;References!$BO$22,References!$BP$22,
IF(AVERAGE(AD218:AF218)&gt;References!$BO$21,References!$BP$21,
IF(AVERAGE(AD218:AF218)&gt;References!$BO$20,References!$BP$20,
IF(AVERAGE(AD218:AF218)&gt;References!$BO$19,References!$BP$19,
IF(AVERAGE(AD218:AF218)&gt;References!$BO$18,References!$BP$18,
0)))))),"")</f>
        <v/>
      </c>
      <c r="AH218" s="136" t="e">
        <f>VLOOKUP(Data_Geotech[[#This Row],[Field Intact Rock Strength]],Table_RMR76_Strength[],2,FALSE)</f>
        <v>#N/A</v>
      </c>
      <c r="AI218" s="136" t="e">
        <f>IF(Data_Geotech[[#This Row],[RQD (%)]]&lt;=25,3,IF(Data_Geotech[[#This Row],[RQD (%)]]&lt;=50,8,IF(Data_Geotech[[#This Row],[RQD (%)]]&lt;=75,13,IF(Data_Geotech[[#This Row],[RQD (%)]]&lt;=90,17,20))))</f>
        <v>#DIV/0!</v>
      </c>
      <c r="AJ218" s="136">
        <f>IF(Data_Geotech[[#This Row],[Joint spacing (m)]]&lt;=0.05,5,IF(Data_Geotech[[#This Row],[Joint spacing (m)]]&lt;=0.3,10,IF(Data_Geotech[[#This Row],[Joint spacing (m)]]&lt;=1,20,IF(Data_Geotech[[#This Row],[Joint spacing (m)]]&lt;=3,25,30))))</f>
        <v>30</v>
      </c>
      <c r="AK21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8" s="6"/>
      <c r="AM218" s="137" t="str">
        <f>IF(Data_Geotech[[#This Row],[FIRS Code]]="R",IFERROR(SUM(Data_Geotech[[#This Row],[RMR76 - Strength rating]:[RMR76 - Ground water rating]]),""),"")</f>
        <v/>
      </c>
      <c r="AN218" s="137" t="str">
        <f>IF(Data_Geotech[[#This Row],[FIRS Code]]="R",(2*Data_Geotech[[#This Row],[RMR76 - Joint condition rating]])+(IF(Data_Geotech[[#This Row],[RQD (%)]]&gt;80,80/2,Data_Geotech[[#This Row],[RQD (%)]]/2)),"")</f>
        <v/>
      </c>
      <c r="AO218" s="136" t="e">
        <f>LEFT(Data_Geotech[[#This Row],[Joint Set Rating]],FIND("-",Data_Geotech[[#This Row],[Joint Set Rating]],1)-2)</f>
        <v>#VALUE!</v>
      </c>
      <c r="AP21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8" s="143">
        <f t="shared" ref="AQ218:AQ249" si="3">1/1</f>
        <v>1</v>
      </c>
      <c r="AR218" s="138" t="str">
        <f>IF(Data_Geotech[[#This Row],[FIRS Code]]="R",IFERROR((IF(Data_Geotech[[#This Row],[RQD (%)]]&lt;10,10,Data_Geotech[[#This Row],[RQD (%)]])/Data_Geotech[[#This Row],[Jn rating]])*Data_Geotech[[#This Row],[Jr/Ja]],""),"")</f>
        <v/>
      </c>
      <c r="AS218" s="138" t="str">
        <f>IF(Data_Geotech[[#This Row],[FIRS Code]]="R",IFERROR((IF(Data_Geotech[[#This Row],[RQD (%)]]&lt;10,10,Data_Geotech[[#This Row],[RQD (%)]])/Data_Geotech[[#This Row],[Jn rating]])*Data_Geotech[[#This Row],[Jr/Ja]]*Data_Geotech[[#This Row],[Jw/SRF]],""),"")</f>
        <v/>
      </c>
      <c r="AT218" s="12"/>
      <c r="AU218" s="13" t="e">
        <f>100-Data_Geotech[[#This Row],[RQD (%)]]</f>
        <v>#DIV/0!</v>
      </c>
      <c r="AV218" s="13" t="e">
        <f>100-Data_Geotech[[#This Row],[TCR (%)]]</f>
        <v>#DIV/0!</v>
      </c>
      <c r="AW218" s="62" t="e">
        <f>(Data_Geotech[[#This Row],[Fracture per interval]]+Data_Geotech[[#This Row],[Added fractures 
(BC, FLT, LC)]])/Data_Geotech[[#This Row],[TCR (m)]]</f>
        <v>#DIV/0!</v>
      </c>
      <c r="AX218" s="62" t="str">
        <f>MID(Data_Geotech[[#This Row],[Field Intact Rock Strength]],2,1)</f>
        <v/>
      </c>
      <c r="AY218" s="63" t="e">
        <f>7-MID(Data_Geotech[[#This Row],[Field Intact Rock Strength]],2,1)</f>
        <v>#VALUE!</v>
      </c>
      <c r="AZ218" s="63" t="e">
        <f>VLOOKUP(Data_Geotech[[#This Row],[Field Intact Rock Strength]],Table_FieldStrength[],2,FALSE)</f>
        <v>#N/A</v>
      </c>
      <c r="BA218" s="63" t="e">
        <f>VLOOKUP(Data_Geotech[[#This Row],[Field Intact Rock Strength]],Table_FieldStrength[],3,FALSE)</f>
        <v>#N/A</v>
      </c>
      <c r="BB218" s="63" t="e">
        <f>VLOOKUP(Data_Geotech[[#This Row],[Field Intact Rock Strength]],Table_FieldStrength[],4,FALSE)</f>
        <v>#N/A</v>
      </c>
      <c r="BC218" s="63" t="e">
        <f>100-Data_Geotech[[#This Row],[RMR76]]</f>
        <v>#VALUE!</v>
      </c>
      <c r="BD218" s="63" t="e">
        <f>LEFT(Data_Geotech[[#This Row],[Weathering/Alteration]],FIND("-",Data_Geotech[[#This Row],[Weathering/Alteration]])-2)</f>
        <v>#VALUE!</v>
      </c>
    </row>
    <row r="219" spans="2:56" hidden="1" x14ac:dyDescent="0.25">
      <c r="B219" s="16" t="e">
        <f>VLOOKUP(Data_Geotech[[#This Row],[Hole ID]],Data_Log[],2,FALSE)</f>
        <v>#N/A</v>
      </c>
      <c r="C219" s="5"/>
      <c r="D219" s="5"/>
      <c r="E219" s="5">
        <f>(Data_Geotech[[#This Row],[To (m)]]-Data_Geotech[[#This Row],[From (m)]])/2+Data_Geotech[[#This Row],[From (m)]]</f>
        <v>0</v>
      </c>
      <c r="F219" s="13">
        <f>Data_Geotech[[#This Row],[To (m)]]-Data_Geotech[[#This Row],[From (m)]]</f>
        <v>0</v>
      </c>
      <c r="G219" s="5"/>
      <c r="H219" s="61" t="e">
        <f>Data_Geotech[[#This Row],[TCR (m)]]/Data_Geotech[[#This Row],[Run (m)]]*100</f>
        <v>#DIV/0!</v>
      </c>
      <c r="I219" s="151"/>
      <c r="J219" s="151"/>
      <c r="K219" s="5"/>
      <c r="L219" s="61" t="e">
        <f>Data_Geotech[[#This Row],[RQD (m)]]/Data_Geotech[[#This Row],[Run Reel (m)]]*100</f>
        <v>#DIV/0!</v>
      </c>
      <c r="P219" s="115"/>
      <c r="Q219" s="5"/>
      <c r="R219" s="5"/>
      <c r="S219" s="5"/>
      <c r="T219" s="5"/>
      <c r="U219" s="5"/>
      <c r="V219" s="6"/>
      <c r="W219" s="92">
        <f>SUMIFS(Discontinuities!$D$4:$D$9664,Discontinuities!$A$4:$A$9664,A219,Discontinuities!$C$4:$C$9664,"&gt;="&amp;C219,Discontinuities!$C$4:$C$9664,"&lt;"&amp;D219)
-SUMIFS(Discontinuities!$D$4:$D$9664,Discontinuities!$A$4:$A$9664,A219,Discontinuities!$C$4:$C$9664,"&gt;="&amp;C219,Discontinuities!$C$4:$C$9664,"&lt;"&amp;D219,Discontinuities!$E$4:$E$9664,"=BC")
-SUMIFS(Discontinuities!$D$4:$D$9664,Discontinuities!$A$4:$A$9664,A219,Discontinuities!$C$4:$C$9664,"&gt;="&amp;C219,Discontinuities!$C$4:$C$9664,"&lt;"&amp;D219,Discontinuities!$E$4:$E$9664,"=LC")
-SUMIFS(Discontinuities!$D$4:$D$9664,Discontinuities!$A$4:$A$9664,A219,Discontinuities!$C$4:$C$9664,"&gt;="&amp;C219,Discontinuities!$C$4:$C$9664,"&lt;"&amp;D219,Discontinuities!$E$4:$E$9664,"=FLT")</f>
        <v>0</v>
      </c>
      <c r="AA219" s="132"/>
      <c r="AB219" s="159">
        <f>IFERROR(ROUND((Data_Geotech[[#This Row],[Fault (m)]]+Data_Geotech[[#This Row],[Broken Core (m)]]+Data_Geotech[[#This Row],[Lost Core (m)]])*30,0),0)</f>
        <v>0</v>
      </c>
      <c r="AC219" s="135">
        <f>IF(Data_Geotech[[#This Row],[Added fractures 
(BC, FLT, LC)]]+Data_Geotech[[#This Row],[Fracture per interval]]=0,99,1/((Data_Geotech[[#This Row],[Fracture per interval]]+Data_Geotech[[#This Row],[Added fractures 
(BC, FLT, LC)]])/Data_Geotech[[#This Row],[Run (m)]]))</f>
        <v>99</v>
      </c>
      <c r="AD219" s="160" t="str" cm="1">
        <f t="array" ref="AD219">IFERROR(_xlfn.XLOOKUP(1,(A219=PLT!$A$4:$A$8886)*(Geotech!C219&lt;=PLT!$F$4:$F$8886)*(Geotech!D219&gt;=PLT!$F$4:$F$8886)*("Valid"=PLT!$P$4:$P$8886),PLT!$V$4:$V$8886),"")</f>
        <v/>
      </c>
      <c r="AE219" s="161" t="str" cm="1">
        <f t="array" ref="AE219">IFERROR(_xlfn.XLOOKUP(1,(A219=PLT!$A$4:$A$8886)*(Geotech!C219&lt;=PLT!$F$4:$F$8886)*(Geotech!D219&gt;=PLT!$F$4:$F$8886)*(PLT!$V$4:$V$8886&lt;&gt;AD219)*("Valid"=PLT!$P$4:$P$7190),PLT!$V$4:$V$8886),"")</f>
        <v/>
      </c>
      <c r="AF219" s="161" t="str" cm="1">
        <f t="array" ref="AF219">IFERROR(_xlfn.XLOOKUP(1,(A219=PLT!$A$4:$A$8886)*(Geotech!C219&lt;=PLT!$F$4:$F$8886)*(Geotech!D219&gt;=PLT!$F$4:$F$8886)*(PLT!$V$4:$V$8886&lt;&gt;AD219)*(PLT!$V$4:$V$8886&lt;&gt;AE219)*("Valid"=PLT!$P$4:$P$7190),PLT!$V$4:$V$8886),"")</f>
        <v/>
      </c>
      <c r="AG219" s="162" t="str">
        <f>IFERROR(IF(AVERAGE(AD219:AF219)&gt;References!$BO$23,References!$BP$23,
IF(AVERAGE(AD219:AF219)&gt;References!$BO$22,References!$BP$22,
IF(AVERAGE(AD219:AF219)&gt;References!$BO$21,References!$BP$21,
IF(AVERAGE(AD219:AF219)&gt;References!$BO$20,References!$BP$20,
IF(AVERAGE(AD219:AF219)&gt;References!$BO$19,References!$BP$19,
IF(AVERAGE(AD219:AF219)&gt;References!$BO$18,References!$BP$18,
0)))))),"")</f>
        <v/>
      </c>
      <c r="AH219" s="163" t="e">
        <f>VLOOKUP(Data_Geotech[[#This Row],[Field Intact Rock Strength]],Table_RMR76_Strength[],2,FALSE)</f>
        <v>#N/A</v>
      </c>
      <c r="AI219" s="163" t="e">
        <f>IF(Data_Geotech[[#This Row],[RQD (%)]]&lt;=25,3,IF(Data_Geotech[[#This Row],[RQD (%)]]&lt;=50,8,IF(Data_Geotech[[#This Row],[RQD (%)]]&lt;=75,13,IF(Data_Geotech[[#This Row],[RQD (%)]]&lt;=90,17,20))))</f>
        <v>#DIV/0!</v>
      </c>
      <c r="AJ219" s="136">
        <f>IF(Data_Geotech[[#This Row],[Joint spacing (m)]]&lt;=0.05,5,IF(Data_Geotech[[#This Row],[Joint spacing (m)]]&lt;=0.3,10,IF(Data_Geotech[[#This Row],[Joint spacing (m)]]&lt;=1,20,IF(Data_Geotech[[#This Row],[Joint spacing (m)]]&lt;=3,25,30))))</f>
        <v>30</v>
      </c>
      <c r="AK21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19" s="6"/>
      <c r="AM219" s="137" t="str">
        <f>IF(Data_Geotech[[#This Row],[FIRS Code]]="R",IFERROR(SUM(Data_Geotech[[#This Row],[RMR76 - Strength rating]:[RMR76 - Ground water rating]]),""),"")</f>
        <v/>
      </c>
      <c r="AN219" s="164" t="str">
        <f>IF(Data_Geotech[[#This Row],[FIRS Code]]="R",(2*Data_Geotech[[#This Row],[RMR76 - Joint condition rating]])+(IF(Data_Geotech[[#This Row],[RQD (%)]]&gt;80,80/2,Data_Geotech[[#This Row],[RQD (%)]]/2)),"")</f>
        <v/>
      </c>
      <c r="AO219" s="136" t="e">
        <f>LEFT(Data_Geotech[[#This Row],[Joint Set Rating]],FIND("-",Data_Geotech[[#This Row],[Joint Set Rating]],1)-2)</f>
        <v>#VALUE!</v>
      </c>
      <c r="AP21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19" s="143">
        <f t="shared" si="3"/>
        <v>1</v>
      </c>
      <c r="AR219" s="165" t="str">
        <f>IF(Data_Geotech[[#This Row],[FIRS Code]]="R",IFERROR((IF(Data_Geotech[[#This Row],[RQD (%)]]&lt;10,10,Data_Geotech[[#This Row],[RQD (%)]])/Data_Geotech[[#This Row],[Jn rating]])*Data_Geotech[[#This Row],[Jr/Ja]],""),"")</f>
        <v/>
      </c>
      <c r="AS219" s="138" t="str">
        <f>IF(Data_Geotech[[#This Row],[FIRS Code]]="R",IFERROR((IF(Data_Geotech[[#This Row],[RQD (%)]]&lt;10,10,Data_Geotech[[#This Row],[RQD (%)]])/Data_Geotech[[#This Row],[Jn rating]])*Data_Geotech[[#This Row],[Jr/Ja]]*Data_Geotech[[#This Row],[Jw/SRF]],""),"")</f>
        <v/>
      </c>
      <c r="AT219" s="12"/>
      <c r="AU219" s="13" t="e">
        <f>100-Data_Geotech[[#This Row],[RQD (%)]]</f>
        <v>#DIV/0!</v>
      </c>
      <c r="AV219" s="13" t="e">
        <f>100-Data_Geotech[[#This Row],[TCR (%)]]</f>
        <v>#DIV/0!</v>
      </c>
      <c r="AW219" s="62" t="e">
        <f>(Data_Geotech[[#This Row],[Fracture per interval]]+Data_Geotech[[#This Row],[Added fractures 
(BC, FLT, LC)]])/Data_Geotech[[#This Row],[TCR (m)]]</f>
        <v>#DIV/0!</v>
      </c>
      <c r="AX219" s="62" t="str">
        <f>MID(Data_Geotech[[#This Row],[Field Intact Rock Strength]],2,1)</f>
        <v/>
      </c>
      <c r="AY219" s="63" t="e">
        <f>7-MID(Data_Geotech[[#This Row],[Field Intact Rock Strength]],2,1)</f>
        <v>#VALUE!</v>
      </c>
      <c r="AZ219" s="63" t="e">
        <f>VLOOKUP(Data_Geotech[[#This Row],[Field Intact Rock Strength]],Table_FieldStrength[],2,FALSE)</f>
        <v>#N/A</v>
      </c>
      <c r="BA219" s="63" t="e">
        <f>VLOOKUP(Data_Geotech[[#This Row],[Field Intact Rock Strength]],Table_FieldStrength[],3,FALSE)</f>
        <v>#N/A</v>
      </c>
      <c r="BB219" s="63" t="e">
        <f>VLOOKUP(Data_Geotech[[#This Row],[Field Intact Rock Strength]],Table_FieldStrength[],4,FALSE)</f>
        <v>#N/A</v>
      </c>
      <c r="BC219" s="63" t="e">
        <f>100-Data_Geotech[[#This Row],[RMR76]]</f>
        <v>#VALUE!</v>
      </c>
      <c r="BD219" s="63" t="e">
        <f>LEFT(Data_Geotech[[#This Row],[Weathering/Alteration]],FIND("-",Data_Geotech[[#This Row],[Weathering/Alteration]])-2)</f>
        <v>#VALUE!</v>
      </c>
    </row>
    <row r="220" spans="2:56" hidden="1" x14ac:dyDescent="0.25">
      <c r="B220" s="16" t="e">
        <f>VLOOKUP(Data_Geotech[[#This Row],[Hole ID]],Data_Log[],2,FALSE)</f>
        <v>#N/A</v>
      </c>
      <c r="C220" s="5"/>
      <c r="D220" s="5"/>
      <c r="E220" s="5">
        <f>(Data_Geotech[[#This Row],[To (m)]]-Data_Geotech[[#This Row],[From (m)]])/2+Data_Geotech[[#This Row],[From (m)]]</f>
        <v>0</v>
      </c>
      <c r="F220" s="13">
        <f>Data_Geotech[[#This Row],[To (m)]]-Data_Geotech[[#This Row],[From (m)]]</f>
        <v>0</v>
      </c>
      <c r="G220" s="5"/>
      <c r="H220" s="61" t="e">
        <f>Data_Geotech[[#This Row],[TCR (m)]]/Data_Geotech[[#This Row],[Run (m)]]*100</f>
        <v>#DIV/0!</v>
      </c>
      <c r="I220" s="151"/>
      <c r="J220" s="151"/>
      <c r="K220" s="5"/>
      <c r="L220" s="61" t="e">
        <f>Data_Geotech[[#This Row],[RQD (m)]]/Data_Geotech[[#This Row],[Run Reel (m)]]*100</f>
        <v>#DIV/0!</v>
      </c>
      <c r="P220" s="115"/>
      <c r="Q220" s="5"/>
      <c r="R220" s="5"/>
      <c r="S220" s="5"/>
      <c r="T220" s="5"/>
      <c r="U220" s="5"/>
      <c r="V220" s="6"/>
      <c r="W220" s="92">
        <f>SUMIFS(Discontinuities!$D$4:$D$9664,Discontinuities!$A$4:$A$9664,A220,Discontinuities!$C$4:$C$9664,"&gt;="&amp;C220,Discontinuities!$C$4:$C$9664,"&lt;"&amp;D220)
-SUMIFS(Discontinuities!$D$4:$D$9664,Discontinuities!$A$4:$A$9664,A220,Discontinuities!$C$4:$C$9664,"&gt;="&amp;C220,Discontinuities!$C$4:$C$9664,"&lt;"&amp;D220,Discontinuities!$E$4:$E$9664,"=BC")
-SUMIFS(Discontinuities!$D$4:$D$9664,Discontinuities!$A$4:$A$9664,A220,Discontinuities!$C$4:$C$9664,"&gt;="&amp;C220,Discontinuities!$C$4:$C$9664,"&lt;"&amp;D220,Discontinuities!$E$4:$E$9664,"=LC")
-SUMIFS(Discontinuities!$D$4:$D$9664,Discontinuities!$A$4:$A$9664,A220,Discontinuities!$C$4:$C$9664,"&gt;="&amp;C220,Discontinuities!$C$4:$C$9664,"&lt;"&amp;D220,Discontinuities!$E$4:$E$9664,"=FLT")</f>
        <v>0</v>
      </c>
      <c r="AA220" s="132"/>
      <c r="AB220" s="159">
        <f>IFERROR(ROUND((Data_Geotech[[#This Row],[Fault (m)]]+Data_Geotech[[#This Row],[Broken Core (m)]]+Data_Geotech[[#This Row],[Lost Core (m)]])*30,0),0)</f>
        <v>0</v>
      </c>
      <c r="AC220" s="135">
        <f>IF(Data_Geotech[[#This Row],[Added fractures 
(BC, FLT, LC)]]+Data_Geotech[[#This Row],[Fracture per interval]]=0,99,1/((Data_Geotech[[#This Row],[Fracture per interval]]+Data_Geotech[[#This Row],[Added fractures 
(BC, FLT, LC)]])/Data_Geotech[[#This Row],[Run (m)]]))</f>
        <v>99</v>
      </c>
      <c r="AD220" s="160" t="str" cm="1">
        <f t="array" ref="AD220">IFERROR(_xlfn.XLOOKUP(1,(A220=PLT!$A$4:$A$8886)*(Geotech!C220&lt;=PLT!$F$4:$F$8886)*(Geotech!D220&gt;=PLT!$F$4:$F$8886)*("Valid"=PLT!$P$4:$P$8886),PLT!$V$4:$V$8886),"")</f>
        <v/>
      </c>
      <c r="AE220" s="161" t="str" cm="1">
        <f t="array" ref="AE220">IFERROR(_xlfn.XLOOKUP(1,(A220=PLT!$A$4:$A$8886)*(Geotech!C220&lt;=PLT!$F$4:$F$8886)*(Geotech!D220&gt;=PLT!$F$4:$F$8886)*(PLT!$V$4:$V$8886&lt;&gt;AD220)*("Valid"=PLT!$P$4:$P$7190),PLT!$V$4:$V$8886),"")</f>
        <v/>
      </c>
      <c r="AF220" s="161" t="str" cm="1">
        <f t="array" ref="AF220">IFERROR(_xlfn.XLOOKUP(1,(A220=PLT!$A$4:$A$8886)*(Geotech!C220&lt;=PLT!$F$4:$F$8886)*(Geotech!D220&gt;=PLT!$F$4:$F$8886)*(PLT!$V$4:$V$8886&lt;&gt;AD220)*(PLT!$V$4:$V$8886&lt;&gt;AE220)*("Valid"=PLT!$P$4:$P$7190),PLT!$V$4:$V$8886),"")</f>
        <v/>
      </c>
      <c r="AG220" s="162" t="str">
        <f>IFERROR(IF(AVERAGE(AD220:AF220)&gt;References!$BO$23,References!$BP$23,
IF(AVERAGE(AD220:AF220)&gt;References!$BO$22,References!$BP$22,
IF(AVERAGE(AD220:AF220)&gt;References!$BO$21,References!$BP$21,
IF(AVERAGE(AD220:AF220)&gt;References!$BO$20,References!$BP$20,
IF(AVERAGE(AD220:AF220)&gt;References!$BO$19,References!$BP$19,
IF(AVERAGE(AD220:AF220)&gt;References!$BO$18,References!$BP$18,
0)))))),"")</f>
        <v/>
      </c>
      <c r="AH220" s="163" t="e">
        <f>VLOOKUP(Data_Geotech[[#This Row],[Field Intact Rock Strength]],Table_RMR76_Strength[],2,FALSE)</f>
        <v>#N/A</v>
      </c>
      <c r="AI220" s="163" t="e">
        <f>IF(Data_Geotech[[#This Row],[RQD (%)]]&lt;=25,3,IF(Data_Geotech[[#This Row],[RQD (%)]]&lt;=50,8,IF(Data_Geotech[[#This Row],[RQD (%)]]&lt;=75,13,IF(Data_Geotech[[#This Row],[RQD (%)]]&lt;=90,17,20))))</f>
        <v>#DIV/0!</v>
      </c>
      <c r="AJ220" s="136">
        <f>IF(Data_Geotech[[#This Row],[Joint spacing (m)]]&lt;=0.05,5,IF(Data_Geotech[[#This Row],[Joint spacing (m)]]&lt;=0.3,10,IF(Data_Geotech[[#This Row],[Joint spacing (m)]]&lt;=1,20,IF(Data_Geotech[[#This Row],[Joint spacing (m)]]&lt;=3,25,30))))</f>
        <v>30</v>
      </c>
      <c r="AK22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0" s="6"/>
      <c r="AM220" s="137" t="str">
        <f>IF(Data_Geotech[[#This Row],[FIRS Code]]="R",IFERROR(SUM(Data_Geotech[[#This Row],[RMR76 - Strength rating]:[RMR76 - Ground water rating]]),""),"")</f>
        <v/>
      </c>
      <c r="AN220" s="164" t="str">
        <f>IF(Data_Geotech[[#This Row],[FIRS Code]]="R",(2*Data_Geotech[[#This Row],[RMR76 - Joint condition rating]])+(IF(Data_Geotech[[#This Row],[RQD (%)]]&gt;80,80/2,Data_Geotech[[#This Row],[RQD (%)]]/2)),"")</f>
        <v/>
      </c>
      <c r="AO220" s="136" t="e">
        <f>LEFT(Data_Geotech[[#This Row],[Joint Set Rating]],FIND("-",Data_Geotech[[#This Row],[Joint Set Rating]],1)-2)</f>
        <v>#VALUE!</v>
      </c>
      <c r="AP22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0" s="143">
        <f t="shared" si="3"/>
        <v>1</v>
      </c>
      <c r="AR220" s="165" t="str">
        <f>IF(Data_Geotech[[#This Row],[FIRS Code]]="R",IFERROR((IF(Data_Geotech[[#This Row],[RQD (%)]]&lt;10,10,Data_Geotech[[#This Row],[RQD (%)]])/Data_Geotech[[#This Row],[Jn rating]])*Data_Geotech[[#This Row],[Jr/Ja]],""),"")</f>
        <v/>
      </c>
      <c r="AS220" s="138" t="str">
        <f>IF(Data_Geotech[[#This Row],[FIRS Code]]="R",IFERROR((IF(Data_Geotech[[#This Row],[RQD (%)]]&lt;10,10,Data_Geotech[[#This Row],[RQD (%)]])/Data_Geotech[[#This Row],[Jn rating]])*Data_Geotech[[#This Row],[Jr/Ja]]*Data_Geotech[[#This Row],[Jw/SRF]],""),"")</f>
        <v/>
      </c>
      <c r="AT220" s="12"/>
      <c r="AU220" s="13" t="e">
        <f>100-Data_Geotech[[#This Row],[RQD (%)]]</f>
        <v>#DIV/0!</v>
      </c>
      <c r="AV220" s="13" t="e">
        <f>100-Data_Geotech[[#This Row],[TCR (%)]]</f>
        <v>#DIV/0!</v>
      </c>
      <c r="AW220" s="62" t="e">
        <f>(Data_Geotech[[#This Row],[Fracture per interval]]+Data_Geotech[[#This Row],[Added fractures 
(BC, FLT, LC)]])/Data_Geotech[[#This Row],[TCR (m)]]</f>
        <v>#DIV/0!</v>
      </c>
      <c r="AX220" s="62" t="str">
        <f>MID(Data_Geotech[[#This Row],[Field Intact Rock Strength]],2,1)</f>
        <v/>
      </c>
      <c r="AY220" s="63" t="e">
        <f>7-MID(Data_Geotech[[#This Row],[Field Intact Rock Strength]],2,1)</f>
        <v>#VALUE!</v>
      </c>
      <c r="AZ220" s="63" t="e">
        <f>VLOOKUP(Data_Geotech[[#This Row],[Field Intact Rock Strength]],Table_FieldStrength[],2,FALSE)</f>
        <v>#N/A</v>
      </c>
      <c r="BA220" s="63" t="e">
        <f>VLOOKUP(Data_Geotech[[#This Row],[Field Intact Rock Strength]],Table_FieldStrength[],3,FALSE)</f>
        <v>#N/A</v>
      </c>
      <c r="BB220" s="63" t="e">
        <f>VLOOKUP(Data_Geotech[[#This Row],[Field Intact Rock Strength]],Table_FieldStrength[],4,FALSE)</f>
        <v>#N/A</v>
      </c>
      <c r="BC220" s="63" t="e">
        <f>100-Data_Geotech[[#This Row],[RMR76]]</f>
        <v>#VALUE!</v>
      </c>
      <c r="BD220" s="63" t="e">
        <f>LEFT(Data_Geotech[[#This Row],[Weathering/Alteration]],FIND("-",Data_Geotech[[#This Row],[Weathering/Alteration]])-2)</f>
        <v>#VALUE!</v>
      </c>
    </row>
    <row r="221" spans="2:56" hidden="1" x14ac:dyDescent="0.25">
      <c r="B221" s="16" t="e">
        <f>VLOOKUP(Data_Geotech[[#This Row],[Hole ID]],Data_Log[],2,FALSE)</f>
        <v>#N/A</v>
      </c>
      <c r="C221" s="5"/>
      <c r="D221" s="5"/>
      <c r="E221" s="5">
        <f>(Data_Geotech[[#This Row],[To (m)]]-Data_Geotech[[#This Row],[From (m)]])/2+Data_Geotech[[#This Row],[From (m)]]</f>
        <v>0</v>
      </c>
      <c r="F221" s="13">
        <f>Data_Geotech[[#This Row],[To (m)]]-Data_Geotech[[#This Row],[From (m)]]</f>
        <v>0</v>
      </c>
      <c r="G221" s="5"/>
      <c r="H221" s="61" t="e">
        <f>Data_Geotech[[#This Row],[TCR (m)]]/Data_Geotech[[#This Row],[Run (m)]]*100</f>
        <v>#DIV/0!</v>
      </c>
      <c r="I221" s="151"/>
      <c r="J221" s="151"/>
      <c r="K221" s="5"/>
      <c r="L221" s="61" t="e">
        <f>Data_Geotech[[#This Row],[RQD (m)]]/Data_Geotech[[#This Row],[Run Reel (m)]]*100</f>
        <v>#DIV/0!</v>
      </c>
      <c r="P221" s="115"/>
      <c r="Q221" s="5"/>
      <c r="R221" s="5"/>
      <c r="S221" s="5"/>
      <c r="T221" s="5"/>
      <c r="U221" s="5"/>
      <c r="V221" s="6"/>
      <c r="W221" s="92">
        <f>SUMIFS(Discontinuities!$D$4:$D$9664,Discontinuities!$A$4:$A$9664,A221,Discontinuities!$C$4:$C$9664,"&gt;="&amp;C221,Discontinuities!$C$4:$C$9664,"&lt;"&amp;D221)
-SUMIFS(Discontinuities!$D$4:$D$9664,Discontinuities!$A$4:$A$9664,A221,Discontinuities!$C$4:$C$9664,"&gt;="&amp;C221,Discontinuities!$C$4:$C$9664,"&lt;"&amp;D221,Discontinuities!$E$4:$E$9664,"=BC")
-SUMIFS(Discontinuities!$D$4:$D$9664,Discontinuities!$A$4:$A$9664,A221,Discontinuities!$C$4:$C$9664,"&gt;="&amp;C221,Discontinuities!$C$4:$C$9664,"&lt;"&amp;D221,Discontinuities!$E$4:$E$9664,"=LC")
-SUMIFS(Discontinuities!$D$4:$D$9664,Discontinuities!$A$4:$A$9664,A221,Discontinuities!$C$4:$C$9664,"&gt;="&amp;C221,Discontinuities!$C$4:$C$9664,"&lt;"&amp;D221,Discontinuities!$E$4:$E$9664,"=FLT")</f>
        <v>0</v>
      </c>
      <c r="AA221" s="132"/>
      <c r="AB221" s="159">
        <f>IFERROR(ROUND((Data_Geotech[[#This Row],[Fault (m)]]+Data_Geotech[[#This Row],[Broken Core (m)]]+Data_Geotech[[#This Row],[Lost Core (m)]])*30,0),0)</f>
        <v>0</v>
      </c>
      <c r="AC221" s="135">
        <f>IF(Data_Geotech[[#This Row],[Added fractures 
(BC, FLT, LC)]]+Data_Geotech[[#This Row],[Fracture per interval]]=0,99,1/((Data_Geotech[[#This Row],[Fracture per interval]]+Data_Geotech[[#This Row],[Added fractures 
(BC, FLT, LC)]])/Data_Geotech[[#This Row],[Run (m)]]))</f>
        <v>99</v>
      </c>
      <c r="AD221" s="160" t="str" cm="1">
        <f t="array" ref="AD221">IFERROR(_xlfn.XLOOKUP(1,(A221=PLT!$A$4:$A$8886)*(Geotech!C221&lt;=PLT!$F$4:$F$8886)*(Geotech!D221&gt;=PLT!$F$4:$F$8886)*("Valid"=PLT!$P$4:$P$8886),PLT!$V$4:$V$8886),"")</f>
        <v/>
      </c>
      <c r="AE221" s="161" t="str" cm="1">
        <f t="array" ref="AE221">IFERROR(_xlfn.XLOOKUP(1,(A221=PLT!$A$4:$A$8886)*(Geotech!C221&lt;=PLT!$F$4:$F$8886)*(Geotech!D221&gt;=PLT!$F$4:$F$8886)*(PLT!$V$4:$V$8886&lt;&gt;AD221)*("Valid"=PLT!$P$4:$P$7190),PLT!$V$4:$V$8886),"")</f>
        <v/>
      </c>
      <c r="AF221" s="161" t="str" cm="1">
        <f t="array" ref="AF221">IFERROR(_xlfn.XLOOKUP(1,(A221=PLT!$A$4:$A$8886)*(Geotech!C221&lt;=PLT!$F$4:$F$8886)*(Geotech!D221&gt;=PLT!$F$4:$F$8886)*(PLT!$V$4:$V$8886&lt;&gt;AD221)*(PLT!$V$4:$V$8886&lt;&gt;AE221)*("Valid"=PLT!$P$4:$P$7190),PLT!$V$4:$V$8886),"")</f>
        <v/>
      </c>
      <c r="AG221" s="162" t="str">
        <f>IFERROR(IF(AVERAGE(AD221:AF221)&gt;References!$BO$23,References!$BP$23,
IF(AVERAGE(AD221:AF221)&gt;References!$BO$22,References!$BP$22,
IF(AVERAGE(AD221:AF221)&gt;References!$BO$21,References!$BP$21,
IF(AVERAGE(AD221:AF221)&gt;References!$BO$20,References!$BP$20,
IF(AVERAGE(AD221:AF221)&gt;References!$BO$19,References!$BP$19,
IF(AVERAGE(AD221:AF221)&gt;References!$BO$18,References!$BP$18,
0)))))),"")</f>
        <v/>
      </c>
      <c r="AH221" s="163" t="e">
        <f>VLOOKUP(Data_Geotech[[#This Row],[Field Intact Rock Strength]],Table_RMR76_Strength[],2,FALSE)</f>
        <v>#N/A</v>
      </c>
      <c r="AI221" s="163" t="e">
        <f>IF(Data_Geotech[[#This Row],[RQD (%)]]&lt;=25,3,IF(Data_Geotech[[#This Row],[RQD (%)]]&lt;=50,8,IF(Data_Geotech[[#This Row],[RQD (%)]]&lt;=75,13,IF(Data_Geotech[[#This Row],[RQD (%)]]&lt;=90,17,20))))</f>
        <v>#DIV/0!</v>
      </c>
      <c r="AJ221" s="136">
        <f>IF(Data_Geotech[[#This Row],[Joint spacing (m)]]&lt;=0.05,5,IF(Data_Geotech[[#This Row],[Joint spacing (m)]]&lt;=0.3,10,IF(Data_Geotech[[#This Row],[Joint spacing (m)]]&lt;=1,20,IF(Data_Geotech[[#This Row],[Joint spacing (m)]]&lt;=3,25,30))))</f>
        <v>30</v>
      </c>
      <c r="AK22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1" s="6"/>
      <c r="AM221" s="137" t="str">
        <f>IF(Data_Geotech[[#This Row],[FIRS Code]]="R",IFERROR(SUM(Data_Geotech[[#This Row],[RMR76 - Strength rating]:[RMR76 - Ground water rating]]),""),"")</f>
        <v/>
      </c>
      <c r="AN221" s="164" t="str">
        <f>IF(Data_Geotech[[#This Row],[FIRS Code]]="R",(2*Data_Geotech[[#This Row],[RMR76 - Joint condition rating]])+(IF(Data_Geotech[[#This Row],[RQD (%)]]&gt;80,80/2,Data_Geotech[[#This Row],[RQD (%)]]/2)),"")</f>
        <v/>
      </c>
      <c r="AO221" s="136" t="e">
        <f>LEFT(Data_Geotech[[#This Row],[Joint Set Rating]],FIND("-",Data_Geotech[[#This Row],[Joint Set Rating]],1)-2)</f>
        <v>#VALUE!</v>
      </c>
      <c r="AP22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1" s="143">
        <f t="shared" si="3"/>
        <v>1</v>
      </c>
      <c r="AR221" s="165" t="str">
        <f>IF(Data_Geotech[[#This Row],[FIRS Code]]="R",IFERROR((IF(Data_Geotech[[#This Row],[RQD (%)]]&lt;10,10,Data_Geotech[[#This Row],[RQD (%)]])/Data_Geotech[[#This Row],[Jn rating]])*Data_Geotech[[#This Row],[Jr/Ja]],""),"")</f>
        <v/>
      </c>
      <c r="AS221" s="138" t="str">
        <f>IF(Data_Geotech[[#This Row],[FIRS Code]]="R",IFERROR((IF(Data_Geotech[[#This Row],[RQD (%)]]&lt;10,10,Data_Geotech[[#This Row],[RQD (%)]])/Data_Geotech[[#This Row],[Jn rating]])*Data_Geotech[[#This Row],[Jr/Ja]]*Data_Geotech[[#This Row],[Jw/SRF]],""),"")</f>
        <v/>
      </c>
      <c r="AT221" s="12"/>
      <c r="AU221" s="13" t="e">
        <f>100-Data_Geotech[[#This Row],[RQD (%)]]</f>
        <v>#DIV/0!</v>
      </c>
      <c r="AV221" s="13" t="e">
        <f>100-Data_Geotech[[#This Row],[TCR (%)]]</f>
        <v>#DIV/0!</v>
      </c>
      <c r="AW221" s="62" t="e">
        <f>(Data_Geotech[[#This Row],[Fracture per interval]]+Data_Geotech[[#This Row],[Added fractures 
(BC, FLT, LC)]])/Data_Geotech[[#This Row],[TCR (m)]]</f>
        <v>#DIV/0!</v>
      </c>
      <c r="AX221" s="62" t="str">
        <f>MID(Data_Geotech[[#This Row],[Field Intact Rock Strength]],2,1)</f>
        <v/>
      </c>
      <c r="AY221" s="63" t="e">
        <f>7-MID(Data_Geotech[[#This Row],[Field Intact Rock Strength]],2,1)</f>
        <v>#VALUE!</v>
      </c>
      <c r="AZ221" s="63" t="e">
        <f>VLOOKUP(Data_Geotech[[#This Row],[Field Intact Rock Strength]],Table_FieldStrength[],2,FALSE)</f>
        <v>#N/A</v>
      </c>
      <c r="BA221" s="63" t="e">
        <f>VLOOKUP(Data_Geotech[[#This Row],[Field Intact Rock Strength]],Table_FieldStrength[],3,FALSE)</f>
        <v>#N/A</v>
      </c>
      <c r="BB221" s="63" t="e">
        <f>VLOOKUP(Data_Geotech[[#This Row],[Field Intact Rock Strength]],Table_FieldStrength[],4,FALSE)</f>
        <v>#N/A</v>
      </c>
      <c r="BC221" s="63" t="e">
        <f>100-Data_Geotech[[#This Row],[RMR76]]</f>
        <v>#VALUE!</v>
      </c>
      <c r="BD221" s="63" t="e">
        <f>LEFT(Data_Geotech[[#This Row],[Weathering/Alteration]],FIND("-",Data_Geotech[[#This Row],[Weathering/Alteration]])-2)</f>
        <v>#VALUE!</v>
      </c>
    </row>
    <row r="222" spans="2:56" hidden="1" x14ac:dyDescent="0.25">
      <c r="B222" s="16" t="e">
        <f>VLOOKUP(Data_Geotech[[#This Row],[Hole ID]],Data_Log[],2,FALSE)</f>
        <v>#N/A</v>
      </c>
      <c r="C222" s="5"/>
      <c r="D222" s="5"/>
      <c r="E222" s="5">
        <f>(Data_Geotech[[#This Row],[To (m)]]-Data_Geotech[[#This Row],[From (m)]])/2+Data_Geotech[[#This Row],[From (m)]]</f>
        <v>0</v>
      </c>
      <c r="F222" s="13">
        <f>Data_Geotech[[#This Row],[To (m)]]-Data_Geotech[[#This Row],[From (m)]]</f>
        <v>0</v>
      </c>
      <c r="G222" s="5"/>
      <c r="H222" s="61" t="e">
        <f>Data_Geotech[[#This Row],[TCR (m)]]/Data_Geotech[[#This Row],[Run (m)]]*100</f>
        <v>#DIV/0!</v>
      </c>
      <c r="I222" s="151"/>
      <c r="J222" s="151"/>
      <c r="K222" s="5"/>
      <c r="L222" s="61" t="e">
        <f>Data_Geotech[[#This Row],[RQD (m)]]/Data_Geotech[[#This Row],[Run Reel (m)]]*100</f>
        <v>#DIV/0!</v>
      </c>
      <c r="P222" s="115"/>
      <c r="Q222" s="5"/>
      <c r="R222" s="5"/>
      <c r="S222" s="5"/>
      <c r="T222" s="5"/>
      <c r="U222" s="5"/>
      <c r="V222" s="6"/>
      <c r="W222" s="92">
        <f>SUMIFS(Discontinuities!$D$4:$D$9664,Discontinuities!$A$4:$A$9664,A222,Discontinuities!$C$4:$C$9664,"&gt;="&amp;C222,Discontinuities!$C$4:$C$9664,"&lt;"&amp;D222)
-SUMIFS(Discontinuities!$D$4:$D$9664,Discontinuities!$A$4:$A$9664,A222,Discontinuities!$C$4:$C$9664,"&gt;="&amp;C222,Discontinuities!$C$4:$C$9664,"&lt;"&amp;D222,Discontinuities!$E$4:$E$9664,"=BC")
-SUMIFS(Discontinuities!$D$4:$D$9664,Discontinuities!$A$4:$A$9664,A222,Discontinuities!$C$4:$C$9664,"&gt;="&amp;C222,Discontinuities!$C$4:$C$9664,"&lt;"&amp;D222,Discontinuities!$E$4:$E$9664,"=LC")
-SUMIFS(Discontinuities!$D$4:$D$9664,Discontinuities!$A$4:$A$9664,A222,Discontinuities!$C$4:$C$9664,"&gt;="&amp;C222,Discontinuities!$C$4:$C$9664,"&lt;"&amp;D222,Discontinuities!$E$4:$E$9664,"=FLT")</f>
        <v>0</v>
      </c>
      <c r="AA222" s="132"/>
      <c r="AB222" s="159">
        <f>IFERROR(ROUND((Data_Geotech[[#This Row],[Fault (m)]]+Data_Geotech[[#This Row],[Broken Core (m)]]+Data_Geotech[[#This Row],[Lost Core (m)]])*30,0),0)</f>
        <v>0</v>
      </c>
      <c r="AC222" s="135">
        <f>IF(Data_Geotech[[#This Row],[Added fractures 
(BC, FLT, LC)]]+Data_Geotech[[#This Row],[Fracture per interval]]=0,99,1/((Data_Geotech[[#This Row],[Fracture per interval]]+Data_Geotech[[#This Row],[Added fractures 
(BC, FLT, LC)]])/Data_Geotech[[#This Row],[Run (m)]]))</f>
        <v>99</v>
      </c>
      <c r="AD222" s="160" t="str" cm="1">
        <f t="array" ref="AD222">IFERROR(_xlfn.XLOOKUP(1,(A222=PLT!$A$4:$A$8886)*(Geotech!C222&lt;=PLT!$F$4:$F$8886)*(Geotech!D222&gt;=PLT!$F$4:$F$8886)*("Valid"=PLT!$P$4:$P$8886),PLT!$V$4:$V$8886),"")</f>
        <v/>
      </c>
      <c r="AE222" s="161" t="str" cm="1">
        <f t="array" ref="AE222">IFERROR(_xlfn.XLOOKUP(1,(A222=PLT!$A$4:$A$8886)*(Geotech!C222&lt;=PLT!$F$4:$F$8886)*(Geotech!D222&gt;=PLT!$F$4:$F$8886)*(PLT!$V$4:$V$8886&lt;&gt;AD222)*("Valid"=PLT!$P$4:$P$7190),PLT!$V$4:$V$8886),"")</f>
        <v/>
      </c>
      <c r="AF222" s="161" t="str" cm="1">
        <f t="array" ref="AF222">IFERROR(_xlfn.XLOOKUP(1,(A222=PLT!$A$4:$A$8886)*(Geotech!C222&lt;=PLT!$F$4:$F$8886)*(Geotech!D222&gt;=PLT!$F$4:$F$8886)*(PLT!$V$4:$V$8886&lt;&gt;AD222)*(PLT!$V$4:$V$8886&lt;&gt;AE222)*("Valid"=PLT!$P$4:$P$7190),PLT!$V$4:$V$8886),"")</f>
        <v/>
      </c>
      <c r="AG222" s="162" t="str">
        <f>IFERROR(IF(AVERAGE(AD222:AF222)&gt;References!$BO$23,References!$BP$23,
IF(AVERAGE(AD222:AF222)&gt;References!$BO$22,References!$BP$22,
IF(AVERAGE(AD222:AF222)&gt;References!$BO$21,References!$BP$21,
IF(AVERAGE(AD222:AF222)&gt;References!$BO$20,References!$BP$20,
IF(AVERAGE(AD222:AF222)&gt;References!$BO$19,References!$BP$19,
IF(AVERAGE(AD222:AF222)&gt;References!$BO$18,References!$BP$18,
0)))))),"")</f>
        <v/>
      </c>
      <c r="AH222" s="163" t="e">
        <f>VLOOKUP(Data_Geotech[[#This Row],[Field Intact Rock Strength]],Table_RMR76_Strength[],2,FALSE)</f>
        <v>#N/A</v>
      </c>
      <c r="AI222" s="163" t="e">
        <f>IF(Data_Geotech[[#This Row],[RQD (%)]]&lt;=25,3,IF(Data_Geotech[[#This Row],[RQD (%)]]&lt;=50,8,IF(Data_Geotech[[#This Row],[RQD (%)]]&lt;=75,13,IF(Data_Geotech[[#This Row],[RQD (%)]]&lt;=90,17,20))))</f>
        <v>#DIV/0!</v>
      </c>
      <c r="AJ222" s="136">
        <f>IF(Data_Geotech[[#This Row],[Joint spacing (m)]]&lt;=0.05,5,IF(Data_Geotech[[#This Row],[Joint spacing (m)]]&lt;=0.3,10,IF(Data_Geotech[[#This Row],[Joint spacing (m)]]&lt;=1,20,IF(Data_Geotech[[#This Row],[Joint spacing (m)]]&lt;=3,25,30))))</f>
        <v>30</v>
      </c>
      <c r="AK22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2" s="6"/>
      <c r="AM222" s="137" t="str">
        <f>IF(Data_Geotech[[#This Row],[FIRS Code]]="R",IFERROR(SUM(Data_Geotech[[#This Row],[RMR76 - Strength rating]:[RMR76 - Ground water rating]]),""),"")</f>
        <v/>
      </c>
      <c r="AN222" s="164" t="str">
        <f>IF(Data_Geotech[[#This Row],[FIRS Code]]="R",(2*Data_Geotech[[#This Row],[RMR76 - Joint condition rating]])+(IF(Data_Geotech[[#This Row],[RQD (%)]]&gt;80,80/2,Data_Geotech[[#This Row],[RQD (%)]]/2)),"")</f>
        <v/>
      </c>
      <c r="AO222" s="136" t="e">
        <f>LEFT(Data_Geotech[[#This Row],[Joint Set Rating]],FIND("-",Data_Geotech[[#This Row],[Joint Set Rating]],1)-2)</f>
        <v>#VALUE!</v>
      </c>
      <c r="AP22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2" s="143">
        <f t="shared" si="3"/>
        <v>1</v>
      </c>
      <c r="AR222" s="165" t="str">
        <f>IF(Data_Geotech[[#This Row],[FIRS Code]]="R",IFERROR((IF(Data_Geotech[[#This Row],[RQD (%)]]&lt;10,10,Data_Geotech[[#This Row],[RQD (%)]])/Data_Geotech[[#This Row],[Jn rating]])*Data_Geotech[[#This Row],[Jr/Ja]],""),"")</f>
        <v/>
      </c>
      <c r="AS222" s="138" t="str">
        <f>IF(Data_Geotech[[#This Row],[FIRS Code]]="R",IFERROR((IF(Data_Geotech[[#This Row],[RQD (%)]]&lt;10,10,Data_Geotech[[#This Row],[RQD (%)]])/Data_Geotech[[#This Row],[Jn rating]])*Data_Geotech[[#This Row],[Jr/Ja]]*Data_Geotech[[#This Row],[Jw/SRF]],""),"")</f>
        <v/>
      </c>
      <c r="AT222" s="12"/>
      <c r="AU222" s="13" t="e">
        <f>100-Data_Geotech[[#This Row],[RQD (%)]]</f>
        <v>#DIV/0!</v>
      </c>
      <c r="AV222" s="13" t="e">
        <f>100-Data_Geotech[[#This Row],[TCR (%)]]</f>
        <v>#DIV/0!</v>
      </c>
      <c r="AW222" s="62" t="e">
        <f>(Data_Geotech[[#This Row],[Fracture per interval]]+Data_Geotech[[#This Row],[Added fractures 
(BC, FLT, LC)]])/Data_Geotech[[#This Row],[TCR (m)]]</f>
        <v>#DIV/0!</v>
      </c>
      <c r="AX222" s="62" t="str">
        <f>MID(Data_Geotech[[#This Row],[Field Intact Rock Strength]],2,1)</f>
        <v/>
      </c>
      <c r="AY222" s="63" t="e">
        <f>7-MID(Data_Geotech[[#This Row],[Field Intact Rock Strength]],2,1)</f>
        <v>#VALUE!</v>
      </c>
      <c r="AZ222" s="63" t="e">
        <f>VLOOKUP(Data_Geotech[[#This Row],[Field Intact Rock Strength]],Table_FieldStrength[],2,FALSE)</f>
        <v>#N/A</v>
      </c>
      <c r="BA222" s="63" t="e">
        <f>VLOOKUP(Data_Geotech[[#This Row],[Field Intact Rock Strength]],Table_FieldStrength[],3,FALSE)</f>
        <v>#N/A</v>
      </c>
      <c r="BB222" s="63" t="e">
        <f>VLOOKUP(Data_Geotech[[#This Row],[Field Intact Rock Strength]],Table_FieldStrength[],4,FALSE)</f>
        <v>#N/A</v>
      </c>
      <c r="BC222" s="63" t="e">
        <f>100-Data_Geotech[[#This Row],[RMR76]]</f>
        <v>#VALUE!</v>
      </c>
      <c r="BD222" s="63" t="e">
        <f>LEFT(Data_Geotech[[#This Row],[Weathering/Alteration]],FIND("-",Data_Geotech[[#This Row],[Weathering/Alteration]])-2)</f>
        <v>#VALUE!</v>
      </c>
    </row>
    <row r="223" spans="2:56" hidden="1" x14ac:dyDescent="0.25">
      <c r="B223" s="16" t="e">
        <f>VLOOKUP(Data_Geotech[[#This Row],[Hole ID]],Data_Log[],2,FALSE)</f>
        <v>#N/A</v>
      </c>
      <c r="C223" s="5"/>
      <c r="D223" s="5"/>
      <c r="E223" s="5">
        <f>(Data_Geotech[[#This Row],[To (m)]]-Data_Geotech[[#This Row],[From (m)]])/2+Data_Geotech[[#This Row],[From (m)]]</f>
        <v>0</v>
      </c>
      <c r="F223" s="13">
        <f>Data_Geotech[[#This Row],[To (m)]]-Data_Geotech[[#This Row],[From (m)]]</f>
        <v>0</v>
      </c>
      <c r="G223" s="5"/>
      <c r="H223" s="61" t="e">
        <f>Data_Geotech[[#This Row],[TCR (m)]]/Data_Geotech[[#This Row],[Run (m)]]*100</f>
        <v>#DIV/0!</v>
      </c>
      <c r="I223" s="151"/>
      <c r="J223" s="151"/>
      <c r="K223" s="5"/>
      <c r="L223" s="61" t="e">
        <f>Data_Geotech[[#This Row],[RQD (m)]]/Data_Geotech[[#This Row],[Run Reel (m)]]*100</f>
        <v>#DIV/0!</v>
      </c>
      <c r="P223" s="115"/>
      <c r="Q223" s="5"/>
      <c r="R223" s="5"/>
      <c r="S223" s="5"/>
      <c r="T223" s="5"/>
      <c r="U223" s="5"/>
      <c r="V223" s="6"/>
      <c r="W223" s="92">
        <f>SUMIFS(Discontinuities!$D$4:$D$9664,Discontinuities!$A$4:$A$9664,A223,Discontinuities!$C$4:$C$9664,"&gt;="&amp;C223,Discontinuities!$C$4:$C$9664,"&lt;"&amp;D223)
-SUMIFS(Discontinuities!$D$4:$D$9664,Discontinuities!$A$4:$A$9664,A223,Discontinuities!$C$4:$C$9664,"&gt;="&amp;C223,Discontinuities!$C$4:$C$9664,"&lt;"&amp;D223,Discontinuities!$E$4:$E$9664,"=BC")
-SUMIFS(Discontinuities!$D$4:$D$9664,Discontinuities!$A$4:$A$9664,A223,Discontinuities!$C$4:$C$9664,"&gt;="&amp;C223,Discontinuities!$C$4:$C$9664,"&lt;"&amp;D223,Discontinuities!$E$4:$E$9664,"=LC")
-SUMIFS(Discontinuities!$D$4:$D$9664,Discontinuities!$A$4:$A$9664,A223,Discontinuities!$C$4:$C$9664,"&gt;="&amp;C223,Discontinuities!$C$4:$C$9664,"&lt;"&amp;D223,Discontinuities!$E$4:$E$9664,"=FLT")</f>
        <v>0</v>
      </c>
      <c r="AA223" s="132"/>
      <c r="AB223" s="159">
        <f>IFERROR(ROUND((Data_Geotech[[#This Row],[Fault (m)]]+Data_Geotech[[#This Row],[Broken Core (m)]]+Data_Geotech[[#This Row],[Lost Core (m)]])*30,0),0)</f>
        <v>0</v>
      </c>
      <c r="AC223" s="135">
        <f>IF(Data_Geotech[[#This Row],[Added fractures 
(BC, FLT, LC)]]+Data_Geotech[[#This Row],[Fracture per interval]]=0,99,1/((Data_Geotech[[#This Row],[Fracture per interval]]+Data_Geotech[[#This Row],[Added fractures 
(BC, FLT, LC)]])/Data_Geotech[[#This Row],[Run (m)]]))</f>
        <v>99</v>
      </c>
      <c r="AD223" s="160" t="str" cm="1">
        <f t="array" ref="AD223">IFERROR(_xlfn.XLOOKUP(1,(A223=PLT!$A$4:$A$8886)*(Geotech!C223&lt;=PLT!$F$4:$F$8886)*(Geotech!D223&gt;=PLT!$F$4:$F$8886)*("Valid"=PLT!$P$4:$P$8886),PLT!$V$4:$V$8886),"")</f>
        <v/>
      </c>
      <c r="AE223" s="161" t="str" cm="1">
        <f t="array" ref="AE223">IFERROR(_xlfn.XLOOKUP(1,(A223=PLT!$A$4:$A$8886)*(Geotech!C223&lt;=PLT!$F$4:$F$8886)*(Geotech!D223&gt;=PLT!$F$4:$F$8886)*(PLT!$V$4:$V$8886&lt;&gt;AD223)*("Valid"=PLT!$P$4:$P$7190),PLT!$V$4:$V$8886),"")</f>
        <v/>
      </c>
      <c r="AF223" s="161" t="str" cm="1">
        <f t="array" ref="AF223">IFERROR(_xlfn.XLOOKUP(1,(A223=PLT!$A$4:$A$8886)*(Geotech!C223&lt;=PLT!$F$4:$F$8886)*(Geotech!D223&gt;=PLT!$F$4:$F$8886)*(PLT!$V$4:$V$8886&lt;&gt;AD223)*(PLT!$V$4:$V$8886&lt;&gt;AE223)*("Valid"=PLT!$P$4:$P$7190),PLT!$V$4:$V$8886),"")</f>
        <v/>
      </c>
      <c r="AG223" s="162" t="str">
        <f>IFERROR(IF(AVERAGE(AD223:AF223)&gt;References!$BO$23,References!$BP$23,
IF(AVERAGE(AD223:AF223)&gt;References!$BO$22,References!$BP$22,
IF(AVERAGE(AD223:AF223)&gt;References!$BO$21,References!$BP$21,
IF(AVERAGE(AD223:AF223)&gt;References!$BO$20,References!$BP$20,
IF(AVERAGE(AD223:AF223)&gt;References!$BO$19,References!$BP$19,
IF(AVERAGE(AD223:AF223)&gt;References!$BO$18,References!$BP$18,
0)))))),"")</f>
        <v/>
      </c>
      <c r="AH223" s="163" t="e">
        <f>VLOOKUP(Data_Geotech[[#This Row],[Field Intact Rock Strength]],Table_RMR76_Strength[],2,FALSE)</f>
        <v>#N/A</v>
      </c>
      <c r="AI223" s="163" t="e">
        <f>IF(Data_Geotech[[#This Row],[RQD (%)]]&lt;=25,3,IF(Data_Geotech[[#This Row],[RQD (%)]]&lt;=50,8,IF(Data_Geotech[[#This Row],[RQD (%)]]&lt;=75,13,IF(Data_Geotech[[#This Row],[RQD (%)]]&lt;=90,17,20))))</f>
        <v>#DIV/0!</v>
      </c>
      <c r="AJ223" s="136">
        <f>IF(Data_Geotech[[#This Row],[Joint spacing (m)]]&lt;=0.05,5,IF(Data_Geotech[[#This Row],[Joint spacing (m)]]&lt;=0.3,10,IF(Data_Geotech[[#This Row],[Joint spacing (m)]]&lt;=1,20,IF(Data_Geotech[[#This Row],[Joint spacing (m)]]&lt;=3,25,30))))</f>
        <v>30</v>
      </c>
      <c r="AK22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3" s="6"/>
      <c r="AM223" s="137" t="str">
        <f>IF(Data_Geotech[[#This Row],[FIRS Code]]="R",IFERROR(SUM(Data_Geotech[[#This Row],[RMR76 - Strength rating]:[RMR76 - Ground water rating]]),""),"")</f>
        <v/>
      </c>
      <c r="AN223" s="164" t="str">
        <f>IF(Data_Geotech[[#This Row],[FIRS Code]]="R",(2*Data_Geotech[[#This Row],[RMR76 - Joint condition rating]])+(IF(Data_Geotech[[#This Row],[RQD (%)]]&gt;80,80/2,Data_Geotech[[#This Row],[RQD (%)]]/2)),"")</f>
        <v/>
      </c>
      <c r="AO223" s="136" t="e">
        <f>LEFT(Data_Geotech[[#This Row],[Joint Set Rating]],FIND("-",Data_Geotech[[#This Row],[Joint Set Rating]],1)-2)</f>
        <v>#VALUE!</v>
      </c>
      <c r="AP22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3" s="143">
        <f t="shared" si="3"/>
        <v>1</v>
      </c>
      <c r="AR223" s="165" t="str">
        <f>IF(Data_Geotech[[#This Row],[FIRS Code]]="R",IFERROR((IF(Data_Geotech[[#This Row],[RQD (%)]]&lt;10,10,Data_Geotech[[#This Row],[RQD (%)]])/Data_Geotech[[#This Row],[Jn rating]])*Data_Geotech[[#This Row],[Jr/Ja]],""),"")</f>
        <v/>
      </c>
      <c r="AS223" s="138" t="str">
        <f>IF(Data_Geotech[[#This Row],[FIRS Code]]="R",IFERROR((IF(Data_Geotech[[#This Row],[RQD (%)]]&lt;10,10,Data_Geotech[[#This Row],[RQD (%)]])/Data_Geotech[[#This Row],[Jn rating]])*Data_Geotech[[#This Row],[Jr/Ja]]*Data_Geotech[[#This Row],[Jw/SRF]],""),"")</f>
        <v/>
      </c>
      <c r="AT223" s="12"/>
      <c r="AU223" s="13" t="e">
        <f>100-Data_Geotech[[#This Row],[RQD (%)]]</f>
        <v>#DIV/0!</v>
      </c>
      <c r="AV223" s="13" t="e">
        <f>100-Data_Geotech[[#This Row],[TCR (%)]]</f>
        <v>#DIV/0!</v>
      </c>
      <c r="AW223" s="62" t="e">
        <f>(Data_Geotech[[#This Row],[Fracture per interval]]+Data_Geotech[[#This Row],[Added fractures 
(BC, FLT, LC)]])/Data_Geotech[[#This Row],[TCR (m)]]</f>
        <v>#DIV/0!</v>
      </c>
      <c r="AX223" s="62" t="str">
        <f>MID(Data_Geotech[[#This Row],[Field Intact Rock Strength]],2,1)</f>
        <v/>
      </c>
      <c r="AY223" s="63" t="e">
        <f>7-MID(Data_Geotech[[#This Row],[Field Intact Rock Strength]],2,1)</f>
        <v>#VALUE!</v>
      </c>
      <c r="AZ223" s="63" t="e">
        <f>VLOOKUP(Data_Geotech[[#This Row],[Field Intact Rock Strength]],Table_FieldStrength[],2,FALSE)</f>
        <v>#N/A</v>
      </c>
      <c r="BA223" s="63" t="e">
        <f>VLOOKUP(Data_Geotech[[#This Row],[Field Intact Rock Strength]],Table_FieldStrength[],3,FALSE)</f>
        <v>#N/A</v>
      </c>
      <c r="BB223" s="63" t="e">
        <f>VLOOKUP(Data_Geotech[[#This Row],[Field Intact Rock Strength]],Table_FieldStrength[],4,FALSE)</f>
        <v>#N/A</v>
      </c>
      <c r="BC223" s="63" t="e">
        <f>100-Data_Geotech[[#This Row],[RMR76]]</f>
        <v>#VALUE!</v>
      </c>
      <c r="BD223" s="63" t="e">
        <f>LEFT(Data_Geotech[[#This Row],[Weathering/Alteration]],FIND("-",Data_Geotech[[#This Row],[Weathering/Alteration]])-2)</f>
        <v>#VALUE!</v>
      </c>
    </row>
    <row r="224" spans="2:56" hidden="1" x14ac:dyDescent="0.25">
      <c r="B224" s="16" t="e">
        <f>VLOOKUP(Data_Geotech[[#This Row],[Hole ID]],Data_Log[],2,FALSE)</f>
        <v>#N/A</v>
      </c>
      <c r="C224" s="5"/>
      <c r="D224" s="5"/>
      <c r="E224" s="5">
        <f>(Data_Geotech[[#This Row],[To (m)]]-Data_Geotech[[#This Row],[From (m)]])/2+Data_Geotech[[#This Row],[From (m)]]</f>
        <v>0</v>
      </c>
      <c r="F224" s="13">
        <f>Data_Geotech[[#This Row],[To (m)]]-Data_Geotech[[#This Row],[From (m)]]</f>
        <v>0</v>
      </c>
      <c r="G224" s="5"/>
      <c r="H224" s="61" t="e">
        <f>Data_Geotech[[#This Row],[TCR (m)]]/Data_Geotech[[#This Row],[Run (m)]]*100</f>
        <v>#DIV/0!</v>
      </c>
      <c r="I224" s="151"/>
      <c r="J224" s="151"/>
      <c r="K224" s="5"/>
      <c r="L224" s="61" t="e">
        <f>Data_Geotech[[#This Row],[RQD (m)]]/Data_Geotech[[#This Row],[Run Reel (m)]]*100</f>
        <v>#DIV/0!</v>
      </c>
      <c r="P224" s="115"/>
      <c r="Q224" s="5"/>
      <c r="R224" s="5"/>
      <c r="S224" s="5"/>
      <c r="T224" s="5"/>
      <c r="U224" s="5"/>
      <c r="V224" s="6"/>
      <c r="W224" s="92">
        <f>SUMIFS(Discontinuities!$D$4:$D$9664,Discontinuities!$A$4:$A$9664,A224,Discontinuities!$C$4:$C$9664,"&gt;="&amp;C224,Discontinuities!$C$4:$C$9664,"&lt;"&amp;D224)
-SUMIFS(Discontinuities!$D$4:$D$9664,Discontinuities!$A$4:$A$9664,A224,Discontinuities!$C$4:$C$9664,"&gt;="&amp;C224,Discontinuities!$C$4:$C$9664,"&lt;"&amp;D224,Discontinuities!$E$4:$E$9664,"=BC")
-SUMIFS(Discontinuities!$D$4:$D$9664,Discontinuities!$A$4:$A$9664,A224,Discontinuities!$C$4:$C$9664,"&gt;="&amp;C224,Discontinuities!$C$4:$C$9664,"&lt;"&amp;D224,Discontinuities!$E$4:$E$9664,"=LC")
-SUMIFS(Discontinuities!$D$4:$D$9664,Discontinuities!$A$4:$A$9664,A224,Discontinuities!$C$4:$C$9664,"&gt;="&amp;C224,Discontinuities!$C$4:$C$9664,"&lt;"&amp;D224,Discontinuities!$E$4:$E$9664,"=FLT")</f>
        <v>0</v>
      </c>
      <c r="AA224" s="132"/>
      <c r="AB224" s="159">
        <f>IFERROR(ROUND((Data_Geotech[[#This Row],[Fault (m)]]+Data_Geotech[[#This Row],[Broken Core (m)]]+Data_Geotech[[#This Row],[Lost Core (m)]])*30,0),0)</f>
        <v>0</v>
      </c>
      <c r="AC224" s="135">
        <f>IF(Data_Geotech[[#This Row],[Added fractures 
(BC, FLT, LC)]]+Data_Geotech[[#This Row],[Fracture per interval]]=0,99,1/((Data_Geotech[[#This Row],[Fracture per interval]]+Data_Geotech[[#This Row],[Added fractures 
(BC, FLT, LC)]])/Data_Geotech[[#This Row],[Run (m)]]))</f>
        <v>99</v>
      </c>
      <c r="AD224" s="160" t="str" cm="1">
        <f t="array" ref="AD224">IFERROR(_xlfn.XLOOKUP(1,(A224=PLT!$A$4:$A$8886)*(Geotech!C224&lt;=PLT!$F$4:$F$8886)*(Geotech!D224&gt;=PLT!$F$4:$F$8886)*("Valid"=PLT!$P$4:$P$8886),PLT!$V$4:$V$8886),"")</f>
        <v/>
      </c>
      <c r="AE224" s="161" t="str" cm="1">
        <f t="array" ref="AE224">IFERROR(_xlfn.XLOOKUP(1,(A224=PLT!$A$4:$A$8886)*(Geotech!C224&lt;=PLT!$F$4:$F$8886)*(Geotech!D224&gt;=PLT!$F$4:$F$8886)*(PLT!$V$4:$V$8886&lt;&gt;AD224)*("Valid"=PLT!$P$4:$P$7190),PLT!$V$4:$V$8886),"")</f>
        <v/>
      </c>
      <c r="AF224" s="161" t="str" cm="1">
        <f t="array" ref="AF224">IFERROR(_xlfn.XLOOKUP(1,(A224=PLT!$A$4:$A$8886)*(Geotech!C224&lt;=PLT!$F$4:$F$8886)*(Geotech!D224&gt;=PLT!$F$4:$F$8886)*(PLT!$V$4:$V$8886&lt;&gt;AD224)*(PLT!$V$4:$V$8886&lt;&gt;AE224)*("Valid"=PLT!$P$4:$P$7190),PLT!$V$4:$V$8886),"")</f>
        <v/>
      </c>
      <c r="AG224" s="162" t="str">
        <f>IFERROR(IF(AVERAGE(AD224:AF224)&gt;References!$BO$23,References!$BP$23,
IF(AVERAGE(AD224:AF224)&gt;References!$BO$22,References!$BP$22,
IF(AVERAGE(AD224:AF224)&gt;References!$BO$21,References!$BP$21,
IF(AVERAGE(AD224:AF224)&gt;References!$BO$20,References!$BP$20,
IF(AVERAGE(AD224:AF224)&gt;References!$BO$19,References!$BP$19,
IF(AVERAGE(AD224:AF224)&gt;References!$BO$18,References!$BP$18,
0)))))),"")</f>
        <v/>
      </c>
      <c r="AH224" s="163" t="e">
        <f>VLOOKUP(Data_Geotech[[#This Row],[Field Intact Rock Strength]],Table_RMR76_Strength[],2,FALSE)</f>
        <v>#N/A</v>
      </c>
      <c r="AI224" s="163" t="e">
        <f>IF(Data_Geotech[[#This Row],[RQD (%)]]&lt;=25,3,IF(Data_Geotech[[#This Row],[RQD (%)]]&lt;=50,8,IF(Data_Geotech[[#This Row],[RQD (%)]]&lt;=75,13,IF(Data_Geotech[[#This Row],[RQD (%)]]&lt;=90,17,20))))</f>
        <v>#DIV/0!</v>
      </c>
      <c r="AJ224" s="136">
        <f>IF(Data_Geotech[[#This Row],[Joint spacing (m)]]&lt;=0.05,5,IF(Data_Geotech[[#This Row],[Joint spacing (m)]]&lt;=0.3,10,IF(Data_Geotech[[#This Row],[Joint spacing (m)]]&lt;=1,20,IF(Data_Geotech[[#This Row],[Joint spacing (m)]]&lt;=3,25,30))))</f>
        <v>30</v>
      </c>
      <c r="AK22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4" s="6"/>
      <c r="AM224" s="137" t="str">
        <f>IF(Data_Geotech[[#This Row],[FIRS Code]]="R",IFERROR(SUM(Data_Geotech[[#This Row],[RMR76 - Strength rating]:[RMR76 - Ground water rating]]),""),"")</f>
        <v/>
      </c>
      <c r="AN224" s="164" t="str">
        <f>IF(Data_Geotech[[#This Row],[FIRS Code]]="R",(2*Data_Geotech[[#This Row],[RMR76 - Joint condition rating]])+(IF(Data_Geotech[[#This Row],[RQD (%)]]&gt;80,80/2,Data_Geotech[[#This Row],[RQD (%)]]/2)),"")</f>
        <v/>
      </c>
      <c r="AO224" s="136" t="e">
        <f>LEFT(Data_Geotech[[#This Row],[Joint Set Rating]],FIND("-",Data_Geotech[[#This Row],[Joint Set Rating]],1)-2)</f>
        <v>#VALUE!</v>
      </c>
      <c r="AP22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4" s="143">
        <f t="shared" si="3"/>
        <v>1</v>
      </c>
      <c r="AR224" s="165" t="str">
        <f>IF(Data_Geotech[[#This Row],[FIRS Code]]="R",IFERROR((IF(Data_Geotech[[#This Row],[RQD (%)]]&lt;10,10,Data_Geotech[[#This Row],[RQD (%)]])/Data_Geotech[[#This Row],[Jn rating]])*Data_Geotech[[#This Row],[Jr/Ja]],""),"")</f>
        <v/>
      </c>
      <c r="AS224" s="138" t="str">
        <f>IF(Data_Geotech[[#This Row],[FIRS Code]]="R",IFERROR((IF(Data_Geotech[[#This Row],[RQD (%)]]&lt;10,10,Data_Geotech[[#This Row],[RQD (%)]])/Data_Geotech[[#This Row],[Jn rating]])*Data_Geotech[[#This Row],[Jr/Ja]]*Data_Geotech[[#This Row],[Jw/SRF]],""),"")</f>
        <v/>
      </c>
      <c r="AT224" s="12"/>
      <c r="AU224" s="13" t="e">
        <f>100-Data_Geotech[[#This Row],[RQD (%)]]</f>
        <v>#DIV/0!</v>
      </c>
      <c r="AV224" s="13" t="e">
        <f>100-Data_Geotech[[#This Row],[TCR (%)]]</f>
        <v>#DIV/0!</v>
      </c>
      <c r="AW224" s="62" t="e">
        <f>(Data_Geotech[[#This Row],[Fracture per interval]]+Data_Geotech[[#This Row],[Added fractures 
(BC, FLT, LC)]])/Data_Geotech[[#This Row],[TCR (m)]]</f>
        <v>#DIV/0!</v>
      </c>
      <c r="AX224" s="62" t="str">
        <f>MID(Data_Geotech[[#This Row],[Field Intact Rock Strength]],2,1)</f>
        <v/>
      </c>
      <c r="AY224" s="63" t="e">
        <f>7-MID(Data_Geotech[[#This Row],[Field Intact Rock Strength]],2,1)</f>
        <v>#VALUE!</v>
      </c>
      <c r="AZ224" s="63" t="e">
        <f>VLOOKUP(Data_Geotech[[#This Row],[Field Intact Rock Strength]],Table_FieldStrength[],2,FALSE)</f>
        <v>#N/A</v>
      </c>
      <c r="BA224" s="63" t="e">
        <f>VLOOKUP(Data_Geotech[[#This Row],[Field Intact Rock Strength]],Table_FieldStrength[],3,FALSE)</f>
        <v>#N/A</v>
      </c>
      <c r="BB224" s="63" t="e">
        <f>VLOOKUP(Data_Geotech[[#This Row],[Field Intact Rock Strength]],Table_FieldStrength[],4,FALSE)</f>
        <v>#N/A</v>
      </c>
      <c r="BC224" s="63" t="e">
        <f>100-Data_Geotech[[#This Row],[RMR76]]</f>
        <v>#VALUE!</v>
      </c>
      <c r="BD224" s="63" t="e">
        <f>LEFT(Data_Geotech[[#This Row],[Weathering/Alteration]],FIND("-",Data_Geotech[[#This Row],[Weathering/Alteration]])-2)</f>
        <v>#VALUE!</v>
      </c>
    </row>
    <row r="225" spans="2:56" hidden="1" x14ac:dyDescent="0.25">
      <c r="B225" s="16" t="e">
        <f>VLOOKUP(Data_Geotech[[#This Row],[Hole ID]],Data_Log[],2,FALSE)</f>
        <v>#N/A</v>
      </c>
      <c r="C225" s="5"/>
      <c r="D225" s="5"/>
      <c r="E225" s="5">
        <f>(Data_Geotech[[#This Row],[To (m)]]-Data_Geotech[[#This Row],[From (m)]])/2+Data_Geotech[[#This Row],[From (m)]]</f>
        <v>0</v>
      </c>
      <c r="F225" s="13">
        <f>Data_Geotech[[#This Row],[To (m)]]-Data_Geotech[[#This Row],[From (m)]]</f>
        <v>0</v>
      </c>
      <c r="G225" s="5"/>
      <c r="H225" s="61" t="e">
        <f>Data_Geotech[[#This Row],[TCR (m)]]/Data_Geotech[[#This Row],[Run (m)]]*100</f>
        <v>#DIV/0!</v>
      </c>
      <c r="I225" s="151"/>
      <c r="J225" s="151"/>
      <c r="K225" s="5"/>
      <c r="L225" s="61" t="e">
        <f>Data_Geotech[[#This Row],[RQD (m)]]/Data_Geotech[[#This Row],[Run Reel (m)]]*100</f>
        <v>#DIV/0!</v>
      </c>
      <c r="P225" s="115"/>
      <c r="Q225" s="5"/>
      <c r="R225" s="5"/>
      <c r="S225" s="5"/>
      <c r="T225" s="5"/>
      <c r="U225" s="5"/>
      <c r="V225" s="6"/>
      <c r="W225" s="92">
        <f>SUMIFS(Discontinuities!$D$4:$D$9664,Discontinuities!$A$4:$A$9664,A225,Discontinuities!$C$4:$C$9664,"&gt;="&amp;C225,Discontinuities!$C$4:$C$9664,"&lt;"&amp;D225)
-SUMIFS(Discontinuities!$D$4:$D$9664,Discontinuities!$A$4:$A$9664,A225,Discontinuities!$C$4:$C$9664,"&gt;="&amp;C225,Discontinuities!$C$4:$C$9664,"&lt;"&amp;D225,Discontinuities!$E$4:$E$9664,"=BC")
-SUMIFS(Discontinuities!$D$4:$D$9664,Discontinuities!$A$4:$A$9664,A225,Discontinuities!$C$4:$C$9664,"&gt;="&amp;C225,Discontinuities!$C$4:$C$9664,"&lt;"&amp;D225,Discontinuities!$E$4:$E$9664,"=LC")
-SUMIFS(Discontinuities!$D$4:$D$9664,Discontinuities!$A$4:$A$9664,A225,Discontinuities!$C$4:$C$9664,"&gt;="&amp;C225,Discontinuities!$C$4:$C$9664,"&lt;"&amp;D225,Discontinuities!$E$4:$E$9664,"=FLT")</f>
        <v>0</v>
      </c>
      <c r="AA225" s="132"/>
      <c r="AB225" s="159">
        <f>IFERROR(ROUND((Data_Geotech[[#This Row],[Fault (m)]]+Data_Geotech[[#This Row],[Broken Core (m)]]+Data_Geotech[[#This Row],[Lost Core (m)]])*30,0),0)</f>
        <v>0</v>
      </c>
      <c r="AC225" s="135">
        <f>IF(Data_Geotech[[#This Row],[Added fractures 
(BC, FLT, LC)]]+Data_Geotech[[#This Row],[Fracture per interval]]=0,99,1/((Data_Geotech[[#This Row],[Fracture per interval]]+Data_Geotech[[#This Row],[Added fractures 
(BC, FLT, LC)]])/Data_Geotech[[#This Row],[Run (m)]]))</f>
        <v>99</v>
      </c>
      <c r="AD225" s="160" t="str" cm="1">
        <f t="array" ref="AD225">IFERROR(_xlfn.XLOOKUP(1,(A225=PLT!$A$4:$A$8886)*(Geotech!C225&lt;=PLT!$F$4:$F$8886)*(Geotech!D225&gt;=PLT!$F$4:$F$8886)*("Valid"=PLT!$P$4:$P$8886),PLT!$V$4:$V$8886),"")</f>
        <v/>
      </c>
      <c r="AE225" s="161" t="str" cm="1">
        <f t="array" ref="AE225">IFERROR(_xlfn.XLOOKUP(1,(A225=PLT!$A$4:$A$8886)*(Geotech!C225&lt;=PLT!$F$4:$F$8886)*(Geotech!D225&gt;=PLT!$F$4:$F$8886)*(PLT!$V$4:$V$8886&lt;&gt;AD225)*("Valid"=PLT!$P$4:$P$7190),PLT!$V$4:$V$8886),"")</f>
        <v/>
      </c>
      <c r="AF225" s="161" t="str" cm="1">
        <f t="array" ref="AF225">IFERROR(_xlfn.XLOOKUP(1,(A225=PLT!$A$4:$A$8886)*(Geotech!C225&lt;=PLT!$F$4:$F$8886)*(Geotech!D225&gt;=PLT!$F$4:$F$8886)*(PLT!$V$4:$V$8886&lt;&gt;AD225)*(PLT!$V$4:$V$8886&lt;&gt;AE225)*("Valid"=PLT!$P$4:$P$7190),PLT!$V$4:$V$8886),"")</f>
        <v/>
      </c>
      <c r="AG225" s="162" t="str">
        <f>IFERROR(IF(AVERAGE(AD225:AF225)&gt;References!$BO$23,References!$BP$23,
IF(AVERAGE(AD225:AF225)&gt;References!$BO$22,References!$BP$22,
IF(AVERAGE(AD225:AF225)&gt;References!$BO$21,References!$BP$21,
IF(AVERAGE(AD225:AF225)&gt;References!$BO$20,References!$BP$20,
IF(AVERAGE(AD225:AF225)&gt;References!$BO$19,References!$BP$19,
IF(AVERAGE(AD225:AF225)&gt;References!$BO$18,References!$BP$18,
0)))))),"")</f>
        <v/>
      </c>
      <c r="AH225" s="163" t="e">
        <f>VLOOKUP(Data_Geotech[[#This Row],[Field Intact Rock Strength]],Table_RMR76_Strength[],2,FALSE)</f>
        <v>#N/A</v>
      </c>
      <c r="AI225" s="163" t="e">
        <f>IF(Data_Geotech[[#This Row],[RQD (%)]]&lt;=25,3,IF(Data_Geotech[[#This Row],[RQD (%)]]&lt;=50,8,IF(Data_Geotech[[#This Row],[RQD (%)]]&lt;=75,13,IF(Data_Geotech[[#This Row],[RQD (%)]]&lt;=90,17,20))))</f>
        <v>#DIV/0!</v>
      </c>
      <c r="AJ225" s="136">
        <f>IF(Data_Geotech[[#This Row],[Joint spacing (m)]]&lt;=0.05,5,IF(Data_Geotech[[#This Row],[Joint spacing (m)]]&lt;=0.3,10,IF(Data_Geotech[[#This Row],[Joint spacing (m)]]&lt;=1,20,IF(Data_Geotech[[#This Row],[Joint spacing (m)]]&lt;=3,25,30))))</f>
        <v>30</v>
      </c>
      <c r="AK22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5" s="6"/>
      <c r="AM225" s="137" t="str">
        <f>IF(Data_Geotech[[#This Row],[FIRS Code]]="R",IFERROR(SUM(Data_Geotech[[#This Row],[RMR76 - Strength rating]:[RMR76 - Ground water rating]]),""),"")</f>
        <v/>
      </c>
      <c r="AN225" s="164" t="str">
        <f>IF(Data_Geotech[[#This Row],[FIRS Code]]="R",(2*Data_Geotech[[#This Row],[RMR76 - Joint condition rating]])+(IF(Data_Geotech[[#This Row],[RQD (%)]]&gt;80,80/2,Data_Geotech[[#This Row],[RQD (%)]]/2)),"")</f>
        <v/>
      </c>
      <c r="AO225" s="136" t="e">
        <f>LEFT(Data_Geotech[[#This Row],[Joint Set Rating]],FIND("-",Data_Geotech[[#This Row],[Joint Set Rating]],1)-2)</f>
        <v>#VALUE!</v>
      </c>
      <c r="AP22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5" s="143">
        <f t="shared" si="3"/>
        <v>1</v>
      </c>
      <c r="AR225" s="165" t="str">
        <f>IF(Data_Geotech[[#This Row],[FIRS Code]]="R",IFERROR((IF(Data_Geotech[[#This Row],[RQD (%)]]&lt;10,10,Data_Geotech[[#This Row],[RQD (%)]])/Data_Geotech[[#This Row],[Jn rating]])*Data_Geotech[[#This Row],[Jr/Ja]],""),"")</f>
        <v/>
      </c>
      <c r="AS225" s="138" t="str">
        <f>IF(Data_Geotech[[#This Row],[FIRS Code]]="R",IFERROR((IF(Data_Geotech[[#This Row],[RQD (%)]]&lt;10,10,Data_Geotech[[#This Row],[RQD (%)]])/Data_Geotech[[#This Row],[Jn rating]])*Data_Geotech[[#This Row],[Jr/Ja]]*Data_Geotech[[#This Row],[Jw/SRF]],""),"")</f>
        <v/>
      </c>
      <c r="AT225" s="12"/>
      <c r="AU225" s="13" t="e">
        <f>100-Data_Geotech[[#This Row],[RQD (%)]]</f>
        <v>#DIV/0!</v>
      </c>
      <c r="AV225" s="13" t="e">
        <f>100-Data_Geotech[[#This Row],[TCR (%)]]</f>
        <v>#DIV/0!</v>
      </c>
      <c r="AW225" s="62" t="e">
        <f>(Data_Geotech[[#This Row],[Fracture per interval]]+Data_Geotech[[#This Row],[Added fractures 
(BC, FLT, LC)]])/Data_Geotech[[#This Row],[TCR (m)]]</f>
        <v>#DIV/0!</v>
      </c>
      <c r="AX225" s="62" t="str">
        <f>MID(Data_Geotech[[#This Row],[Field Intact Rock Strength]],2,1)</f>
        <v/>
      </c>
      <c r="AY225" s="63" t="e">
        <f>7-MID(Data_Geotech[[#This Row],[Field Intact Rock Strength]],2,1)</f>
        <v>#VALUE!</v>
      </c>
      <c r="AZ225" s="63" t="e">
        <f>VLOOKUP(Data_Geotech[[#This Row],[Field Intact Rock Strength]],Table_FieldStrength[],2,FALSE)</f>
        <v>#N/A</v>
      </c>
      <c r="BA225" s="63" t="e">
        <f>VLOOKUP(Data_Geotech[[#This Row],[Field Intact Rock Strength]],Table_FieldStrength[],3,FALSE)</f>
        <v>#N/A</v>
      </c>
      <c r="BB225" s="63" t="e">
        <f>VLOOKUP(Data_Geotech[[#This Row],[Field Intact Rock Strength]],Table_FieldStrength[],4,FALSE)</f>
        <v>#N/A</v>
      </c>
      <c r="BC225" s="63" t="e">
        <f>100-Data_Geotech[[#This Row],[RMR76]]</f>
        <v>#VALUE!</v>
      </c>
      <c r="BD225" s="63" t="e">
        <f>LEFT(Data_Geotech[[#This Row],[Weathering/Alteration]],FIND("-",Data_Geotech[[#This Row],[Weathering/Alteration]])-2)</f>
        <v>#VALUE!</v>
      </c>
    </row>
    <row r="226" spans="2:56" hidden="1" x14ac:dyDescent="0.25">
      <c r="B226" s="16" t="e">
        <f>VLOOKUP(Data_Geotech[[#This Row],[Hole ID]],Data_Log[],2,FALSE)</f>
        <v>#N/A</v>
      </c>
      <c r="C226" s="5"/>
      <c r="D226" s="5"/>
      <c r="E226" s="5">
        <f>(Data_Geotech[[#This Row],[To (m)]]-Data_Geotech[[#This Row],[From (m)]])/2+Data_Geotech[[#This Row],[From (m)]]</f>
        <v>0</v>
      </c>
      <c r="F226" s="13">
        <f>Data_Geotech[[#This Row],[To (m)]]-Data_Geotech[[#This Row],[From (m)]]</f>
        <v>0</v>
      </c>
      <c r="G226" s="5"/>
      <c r="H226" s="61" t="e">
        <f>Data_Geotech[[#This Row],[TCR (m)]]/Data_Geotech[[#This Row],[Run (m)]]*100</f>
        <v>#DIV/0!</v>
      </c>
      <c r="I226" s="151"/>
      <c r="J226" s="151"/>
      <c r="K226" s="5"/>
      <c r="L226" s="61" t="e">
        <f>Data_Geotech[[#This Row],[RQD (m)]]/Data_Geotech[[#This Row],[Run Reel (m)]]*100</f>
        <v>#DIV/0!</v>
      </c>
      <c r="P226" s="115"/>
      <c r="Q226" s="5"/>
      <c r="R226" s="5"/>
      <c r="S226" s="5"/>
      <c r="T226" s="5"/>
      <c r="U226" s="5"/>
      <c r="V226" s="6"/>
      <c r="W226" s="92">
        <f>SUMIFS(Discontinuities!$D$4:$D$9664,Discontinuities!$A$4:$A$9664,A226,Discontinuities!$C$4:$C$9664,"&gt;="&amp;C226,Discontinuities!$C$4:$C$9664,"&lt;"&amp;D226)
-SUMIFS(Discontinuities!$D$4:$D$9664,Discontinuities!$A$4:$A$9664,A226,Discontinuities!$C$4:$C$9664,"&gt;="&amp;C226,Discontinuities!$C$4:$C$9664,"&lt;"&amp;D226,Discontinuities!$E$4:$E$9664,"=BC")
-SUMIFS(Discontinuities!$D$4:$D$9664,Discontinuities!$A$4:$A$9664,A226,Discontinuities!$C$4:$C$9664,"&gt;="&amp;C226,Discontinuities!$C$4:$C$9664,"&lt;"&amp;D226,Discontinuities!$E$4:$E$9664,"=LC")
-SUMIFS(Discontinuities!$D$4:$D$9664,Discontinuities!$A$4:$A$9664,A226,Discontinuities!$C$4:$C$9664,"&gt;="&amp;C226,Discontinuities!$C$4:$C$9664,"&lt;"&amp;D226,Discontinuities!$E$4:$E$9664,"=FLT")</f>
        <v>0</v>
      </c>
      <c r="AA226" s="132"/>
      <c r="AB226" s="159">
        <f>IFERROR(ROUND((Data_Geotech[[#This Row],[Fault (m)]]+Data_Geotech[[#This Row],[Broken Core (m)]]+Data_Geotech[[#This Row],[Lost Core (m)]])*30,0),0)</f>
        <v>0</v>
      </c>
      <c r="AC226" s="135">
        <f>IF(Data_Geotech[[#This Row],[Added fractures 
(BC, FLT, LC)]]+Data_Geotech[[#This Row],[Fracture per interval]]=0,99,1/((Data_Geotech[[#This Row],[Fracture per interval]]+Data_Geotech[[#This Row],[Added fractures 
(BC, FLT, LC)]])/Data_Geotech[[#This Row],[Run (m)]]))</f>
        <v>99</v>
      </c>
      <c r="AD226" s="160" t="str" cm="1">
        <f t="array" ref="AD226">IFERROR(_xlfn.XLOOKUP(1,(A226=PLT!$A$4:$A$8886)*(Geotech!C226&lt;=PLT!$F$4:$F$8886)*(Geotech!D226&gt;=PLT!$F$4:$F$8886)*("Valid"=PLT!$P$4:$P$8886),PLT!$V$4:$V$8886),"")</f>
        <v/>
      </c>
      <c r="AE226" s="161" t="str" cm="1">
        <f t="array" ref="AE226">IFERROR(_xlfn.XLOOKUP(1,(A226=PLT!$A$4:$A$8886)*(Geotech!C226&lt;=PLT!$F$4:$F$8886)*(Geotech!D226&gt;=PLT!$F$4:$F$8886)*(PLT!$V$4:$V$8886&lt;&gt;AD226)*("Valid"=PLT!$P$4:$P$7190),PLT!$V$4:$V$8886),"")</f>
        <v/>
      </c>
      <c r="AF226" s="161" t="str" cm="1">
        <f t="array" ref="AF226">IFERROR(_xlfn.XLOOKUP(1,(A226=PLT!$A$4:$A$8886)*(Geotech!C226&lt;=PLT!$F$4:$F$8886)*(Geotech!D226&gt;=PLT!$F$4:$F$8886)*(PLT!$V$4:$V$8886&lt;&gt;AD226)*(PLT!$V$4:$V$8886&lt;&gt;AE226)*("Valid"=PLT!$P$4:$P$7190),PLT!$V$4:$V$8886),"")</f>
        <v/>
      </c>
      <c r="AG226" s="162" t="str">
        <f>IFERROR(IF(AVERAGE(AD226:AF226)&gt;References!$BO$23,References!$BP$23,
IF(AVERAGE(AD226:AF226)&gt;References!$BO$22,References!$BP$22,
IF(AVERAGE(AD226:AF226)&gt;References!$BO$21,References!$BP$21,
IF(AVERAGE(AD226:AF226)&gt;References!$BO$20,References!$BP$20,
IF(AVERAGE(AD226:AF226)&gt;References!$BO$19,References!$BP$19,
IF(AVERAGE(AD226:AF226)&gt;References!$BO$18,References!$BP$18,
0)))))),"")</f>
        <v/>
      </c>
      <c r="AH226" s="163" t="e">
        <f>VLOOKUP(Data_Geotech[[#This Row],[Field Intact Rock Strength]],Table_RMR76_Strength[],2,FALSE)</f>
        <v>#N/A</v>
      </c>
      <c r="AI226" s="163" t="e">
        <f>IF(Data_Geotech[[#This Row],[RQD (%)]]&lt;=25,3,IF(Data_Geotech[[#This Row],[RQD (%)]]&lt;=50,8,IF(Data_Geotech[[#This Row],[RQD (%)]]&lt;=75,13,IF(Data_Geotech[[#This Row],[RQD (%)]]&lt;=90,17,20))))</f>
        <v>#DIV/0!</v>
      </c>
      <c r="AJ226" s="136">
        <f>IF(Data_Geotech[[#This Row],[Joint spacing (m)]]&lt;=0.05,5,IF(Data_Geotech[[#This Row],[Joint spacing (m)]]&lt;=0.3,10,IF(Data_Geotech[[#This Row],[Joint spacing (m)]]&lt;=1,20,IF(Data_Geotech[[#This Row],[Joint spacing (m)]]&lt;=3,25,30))))</f>
        <v>30</v>
      </c>
      <c r="AK22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6" s="6"/>
      <c r="AM226" s="137" t="str">
        <f>IF(Data_Geotech[[#This Row],[FIRS Code]]="R",IFERROR(SUM(Data_Geotech[[#This Row],[RMR76 - Strength rating]:[RMR76 - Ground water rating]]),""),"")</f>
        <v/>
      </c>
      <c r="AN226" s="164" t="str">
        <f>IF(Data_Geotech[[#This Row],[FIRS Code]]="R",(2*Data_Geotech[[#This Row],[RMR76 - Joint condition rating]])+(IF(Data_Geotech[[#This Row],[RQD (%)]]&gt;80,80/2,Data_Geotech[[#This Row],[RQD (%)]]/2)),"")</f>
        <v/>
      </c>
      <c r="AO226" s="136" t="e">
        <f>LEFT(Data_Geotech[[#This Row],[Joint Set Rating]],FIND("-",Data_Geotech[[#This Row],[Joint Set Rating]],1)-2)</f>
        <v>#VALUE!</v>
      </c>
      <c r="AP22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6" s="143">
        <f t="shared" si="3"/>
        <v>1</v>
      </c>
      <c r="AR226" s="165" t="str">
        <f>IF(Data_Geotech[[#This Row],[FIRS Code]]="R",IFERROR((IF(Data_Geotech[[#This Row],[RQD (%)]]&lt;10,10,Data_Geotech[[#This Row],[RQD (%)]])/Data_Geotech[[#This Row],[Jn rating]])*Data_Geotech[[#This Row],[Jr/Ja]],""),"")</f>
        <v/>
      </c>
      <c r="AS226" s="138" t="str">
        <f>IF(Data_Geotech[[#This Row],[FIRS Code]]="R",IFERROR((IF(Data_Geotech[[#This Row],[RQD (%)]]&lt;10,10,Data_Geotech[[#This Row],[RQD (%)]])/Data_Geotech[[#This Row],[Jn rating]])*Data_Geotech[[#This Row],[Jr/Ja]]*Data_Geotech[[#This Row],[Jw/SRF]],""),"")</f>
        <v/>
      </c>
      <c r="AT226" s="12"/>
      <c r="AU226" s="13" t="e">
        <f>100-Data_Geotech[[#This Row],[RQD (%)]]</f>
        <v>#DIV/0!</v>
      </c>
      <c r="AV226" s="13" t="e">
        <f>100-Data_Geotech[[#This Row],[TCR (%)]]</f>
        <v>#DIV/0!</v>
      </c>
      <c r="AW226" s="62" t="e">
        <f>(Data_Geotech[[#This Row],[Fracture per interval]]+Data_Geotech[[#This Row],[Added fractures 
(BC, FLT, LC)]])/Data_Geotech[[#This Row],[TCR (m)]]</f>
        <v>#DIV/0!</v>
      </c>
      <c r="AX226" s="62" t="str">
        <f>MID(Data_Geotech[[#This Row],[Field Intact Rock Strength]],2,1)</f>
        <v/>
      </c>
      <c r="AY226" s="63" t="e">
        <f>7-MID(Data_Geotech[[#This Row],[Field Intact Rock Strength]],2,1)</f>
        <v>#VALUE!</v>
      </c>
      <c r="AZ226" s="63" t="e">
        <f>VLOOKUP(Data_Geotech[[#This Row],[Field Intact Rock Strength]],Table_FieldStrength[],2,FALSE)</f>
        <v>#N/A</v>
      </c>
      <c r="BA226" s="63" t="e">
        <f>VLOOKUP(Data_Geotech[[#This Row],[Field Intact Rock Strength]],Table_FieldStrength[],3,FALSE)</f>
        <v>#N/A</v>
      </c>
      <c r="BB226" s="63" t="e">
        <f>VLOOKUP(Data_Geotech[[#This Row],[Field Intact Rock Strength]],Table_FieldStrength[],4,FALSE)</f>
        <v>#N/A</v>
      </c>
      <c r="BC226" s="63" t="e">
        <f>100-Data_Geotech[[#This Row],[RMR76]]</f>
        <v>#VALUE!</v>
      </c>
      <c r="BD226" s="63" t="e">
        <f>LEFT(Data_Geotech[[#This Row],[Weathering/Alteration]],FIND("-",Data_Geotech[[#This Row],[Weathering/Alteration]])-2)</f>
        <v>#VALUE!</v>
      </c>
    </row>
    <row r="227" spans="2:56" hidden="1" x14ac:dyDescent="0.25">
      <c r="B227" s="16" t="e">
        <f>VLOOKUP(Data_Geotech[[#This Row],[Hole ID]],Data_Log[],2,FALSE)</f>
        <v>#N/A</v>
      </c>
      <c r="C227" s="5"/>
      <c r="D227" s="5"/>
      <c r="E227" s="5">
        <f>(Data_Geotech[[#This Row],[To (m)]]-Data_Geotech[[#This Row],[From (m)]])/2+Data_Geotech[[#This Row],[From (m)]]</f>
        <v>0</v>
      </c>
      <c r="F227" s="13">
        <f>Data_Geotech[[#This Row],[To (m)]]-Data_Geotech[[#This Row],[From (m)]]</f>
        <v>0</v>
      </c>
      <c r="G227" s="5"/>
      <c r="H227" s="61" t="e">
        <f>Data_Geotech[[#This Row],[TCR (m)]]/Data_Geotech[[#This Row],[Run (m)]]*100</f>
        <v>#DIV/0!</v>
      </c>
      <c r="I227" s="151"/>
      <c r="J227" s="151"/>
      <c r="K227" s="5"/>
      <c r="L227" s="61" t="e">
        <f>Data_Geotech[[#This Row],[RQD (m)]]/Data_Geotech[[#This Row],[Run Reel (m)]]*100</f>
        <v>#DIV/0!</v>
      </c>
      <c r="P227" s="115"/>
      <c r="Q227" s="5"/>
      <c r="R227" s="5"/>
      <c r="S227" s="5"/>
      <c r="T227" s="5"/>
      <c r="U227" s="5"/>
      <c r="V227" s="6"/>
      <c r="W227" s="92">
        <f>SUMIFS(Discontinuities!$D$4:$D$9664,Discontinuities!$A$4:$A$9664,A227,Discontinuities!$C$4:$C$9664,"&gt;="&amp;C227,Discontinuities!$C$4:$C$9664,"&lt;"&amp;D227)
-SUMIFS(Discontinuities!$D$4:$D$9664,Discontinuities!$A$4:$A$9664,A227,Discontinuities!$C$4:$C$9664,"&gt;="&amp;C227,Discontinuities!$C$4:$C$9664,"&lt;"&amp;D227,Discontinuities!$E$4:$E$9664,"=BC")
-SUMIFS(Discontinuities!$D$4:$D$9664,Discontinuities!$A$4:$A$9664,A227,Discontinuities!$C$4:$C$9664,"&gt;="&amp;C227,Discontinuities!$C$4:$C$9664,"&lt;"&amp;D227,Discontinuities!$E$4:$E$9664,"=LC")
-SUMIFS(Discontinuities!$D$4:$D$9664,Discontinuities!$A$4:$A$9664,A227,Discontinuities!$C$4:$C$9664,"&gt;="&amp;C227,Discontinuities!$C$4:$C$9664,"&lt;"&amp;D227,Discontinuities!$E$4:$E$9664,"=FLT")</f>
        <v>0</v>
      </c>
      <c r="AA227" s="132"/>
      <c r="AB227" s="159">
        <f>IFERROR(ROUND((Data_Geotech[[#This Row],[Fault (m)]]+Data_Geotech[[#This Row],[Broken Core (m)]]+Data_Geotech[[#This Row],[Lost Core (m)]])*30,0),0)</f>
        <v>0</v>
      </c>
      <c r="AC227" s="135">
        <f>IF(Data_Geotech[[#This Row],[Added fractures 
(BC, FLT, LC)]]+Data_Geotech[[#This Row],[Fracture per interval]]=0,99,1/((Data_Geotech[[#This Row],[Fracture per interval]]+Data_Geotech[[#This Row],[Added fractures 
(BC, FLT, LC)]])/Data_Geotech[[#This Row],[Run (m)]]))</f>
        <v>99</v>
      </c>
      <c r="AD227" s="160" t="str" cm="1">
        <f t="array" ref="AD227">IFERROR(_xlfn.XLOOKUP(1,(A227=PLT!$A$4:$A$8886)*(Geotech!C227&lt;=PLT!$F$4:$F$8886)*(Geotech!D227&gt;=PLT!$F$4:$F$8886)*("Valid"=PLT!$P$4:$P$8886),PLT!$V$4:$V$8886),"")</f>
        <v/>
      </c>
      <c r="AE227" s="161" t="str" cm="1">
        <f t="array" ref="AE227">IFERROR(_xlfn.XLOOKUP(1,(A227=PLT!$A$4:$A$8886)*(Geotech!C227&lt;=PLT!$F$4:$F$8886)*(Geotech!D227&gt;=PLT!$F$4:$F$8886)*(PLT!$V$4:$V$8886&lt;&gt;AD227)*("Valid"=PLT!$P$4:$P$7190),PLT!$V$4:$V$8886),"")</f>
        <v/>
      </c>
      <c r="AF227" s="161" t="str" cm="1">
        <f t="array" ref="AF227">IFERROR(_xlfn.XLOOKUP(1,(A227=PLT!$A$4:$A$8886)*(Geotech!C227&lt;=PLT!$F$4:$F$8886)*(Geotech!D227&gt;=PLT!$F$4:$F$8886)*(PLT!$V$4:$V$8886&lt;&gt;AD227)*(PLT!$V$4:$V$8886&lt;&gt;AE227)*("Valid"=PLT!$P$4:$P$7190),PLT!$V$4:$V$8886),"")</f>
        <v/>
      </c>
      <c r="AG227" s="162" t="str">
        <f>IFERROR(IF(AVERAGE(AD227:AF227)&gt;References!$BO$23,References!$BP$23,
IF(AVERAGE(AD227:AF227)&gt;References!$BO$22,References!$BP$22,
IF(AVERAGE(AD227:AF227)&gt;References!$BO$21,References!$BP$21,
IF(AVERAGE(AD227:AF227)&gt;References!$BO$20,References!$BP$20,
IF(AVERAGE(AD227:AF227)&gt;References!$BO$19,References!$BP$19,
IF(AVERAGE(AD227:AF227)&gt;References!$BO$18,References!$BP$18,
0)))))),"")</f>
        <v/>
      </c>
      <c r="AH227" s="163" t="e">
        <f>VLOOKUP(Data_Geotech[[#This Row],[Field Intact Rock Strength]],Table_RMR76_Strength[],2,FALSE)</f>
        <v>#N/A</v>
      </c>
      <c r="AI227" s="163" t="e">
        <f>IF(Data_Geotech[[#This Row],[RQD (%)]]&lt;=25,3,IF(Data_Geotech[[#This Row],[RQD (%)]]&lt;=50,8,IF(Data_Geotech[[#This Row],[RQD (%)]]&lt;=75,13,IF(Data_Geotech[[#This Row],[RQD (%)]]&lt;=90,17,20))))</f>
        <v>#DIV/0!</v>
      </c>
      <c r="AJ227" s="136">
        <f>IF(Data_Geotech[[#This Row],[Joint spacing (m)]]&lt;=0.05,5,IF(Data_Geotech[[#This Row],[Joint spacing (m)]]&lt;=0.3,10,IF(Data_Geotech[[#This Row],[Joint spacing (m)]]&lt;=1,20,IF(Data_Geotech[[#This Row],[Joint spacing (m)]]&lt;=3,25,30))))</f>
        <v>30</v>
      </c>
      <c r="AK22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7" s="6"/>
      <c r="AM227" s="137" t="str">
        <f>IF(Data_Geotech[[#This Row],[FIRS Code]]="R",IFERROR(SUM(Data_Geotech[[#This Row],[RMR76 - Strength rating]:[RMR76 - Ground water rating]]),""),"")</f>
        <v/>
      </c>
      <c r="AN227" s="164" t="str">
        <f>IF(Data_Geotech[[#This Row],[FIRS Code]]="R",(2*Data_Geotech[[#This Row],[RMR76 - Joint condition rating]])+(IF(Data_Geotech[[#This Row],[RQD (%)]]&gt;80,80/2,Data_Geotech[[#This Row],[RQD (%)]]/2)),"")</f>
        <v/>
      </c>
      <c r="AO227" s="136" t="e">
        <f>LEFT(Data_Geotech[[#This Row],[Joint Set Rating]],FIND("-",Data_Geotech[[#This Row],[Joint Set Rating]],1)-2)</f>
        <v>#VALUE!</v>
      </c>
      <c r="AP22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7" s="143">
        <f t="shared" si="3"/>
        <v>1</v>
      </c>
      <c r="AR227" s="165" t="str">
        <f>IF(Data_Geotech[[#This Row],[FIRS Code]]="R",IFERROR((IF(Data_Geotech[[#This Row],[RQD (%)]]&lt;10,10,Data_Geotech[[#This Row],[RQD (%)]])/Data_Geotech[[#This Row],[Jn rating]])*Data_Geotech[[#This Row],[Jr/Ja]],""),"")</f>
        <v/>
      </c>
      <c r="AS227" s="138" t="str">
        <f>IF(Data_Geotech[[#This Row],[FIRS Code]]="R",IFERROR((IF(Data_Geotech[[#This Row],[RQD (%)]]&lt;10,10,Data_Geotech[[#This Row],[RQD (%)]])/Data_Geotech[[#This Row],[Jn rating]])*Data_Geotech[[#This Row],[Jr/Ja]]*Data_Geotech[[#This Row],[Jw/SRF]],""),"")</f>
        <v/>
      </c>
      <c r="AT227" s="12"/>
      <c r="AU227" s="13" t="e">
        <f>100-Data_Geotech[[#This Row],[RQD (%)]]</f>
        <v>#DIV/0!</v>
      </c>
      <c r="AV227" s="13" t="e">
        <f>100-Data_Geotech[[#This Row],[TCR (%)]]</f>
        <v>#DIV/0!</v>
      </c>
      <c r="AW227" s="62" t="e">
        <f>(Data_Geotech[[#This Row],[Fracture per interval]]+Data_Geotech[[#This Row],[Added fractures 
(BC, FLT, LC)]])/Data_Geotech[[#This Row],[TCR (m)]]</f>
        <v>#DIV/0!</v>
      </c>
      <c r="AX227" s="62" t="str">
        <f>MID(Data_Geotech[[#This Row],[Field Intact Rock Strength]],2,1)</f>
        <v/>
      </c>
      <c r="AY227" s="63" t="e">
        <f>7-MID(Data_Geotech[[#This Row],[Field Intact Rock Strength]],2,1)</f>
        <v>#VALUE!</v>
      </c>
      <c r="AZ227" s="63" t="e">
        <f>VLOOKUP(Data_Geotech[[#This Row],[Field Intact Rock Strength]],Table_FieldStrength[],2,FALSE)</f>
        <v>#N/A</v>
      </c>
      <c r="BA227" s="63" t="e">
        <f>VLOOKUP(Data_Geotech[[#This Row],[Field Intact Rock Strength]],Table_FieldStrength[],3,FALSE)</f>
        <v>#N/A</v>
      </c>
      <c r="BB227" s="63" t="e">
        <f>VLOOKUP(Data_Geotech[[#This Row],[Field Intact Rock Strength]],Table_FieldStrength[],4,FALSE)</f>
        <v>#N/A</v>
      </c>
      <c r="BC227" s="63" t="e">
        <f>100-Data_Geotech[[#This Row],[RMR76]]</f>
        <v>#VALUE!</v>
      </c>
      <c r="BD227" s="63" t="e">
        <f>LEFT(Data_Geotech[[#This Row],[Weathering/Alteration]],FIND("-",Data_Geotech[[#This Row],[Weathering/Alteration]])-2)</f>
        <v>#VALUE!</v>
      </c>
    </row>
    <row r="228" spans="2:56" hidden="1" x14ac:dyDescent="0.25">
      <c r="B228" s="16" t="e">
        <f>VLOOKUP(Data_Geotech[[#This Row],[Hole ID]],Data_Log[],2,FALSE)</f>
        <v>#N/A</v>
      </c>
      <c r="C228" s="5"/>
      <c r="D228" s="5"/>
      <c r="E228" s="5">
        <f>(Data_Geotech[[#This Row],[To (m)]]-Data_Geotech[[#This Row],[From (m)]])/2+Data_Geotech[[#This Row],[From (m)]]</f>
        <v>0</v>
      </c>
      <c r="F228" s="13">
        <f>Data_Geotech[[#This Row],[To (m)]]-Data_Geotech[[#This Row],[From (m)]]</f>
        <v>0</v>
      </c>
      <c r="G228" s="5"/>
      <c r="H228" s="61" t="e">
        <f>Data_Geotech[[#This Row],[TCR (m)]]/Data_Geotech[[#This Row],[Run (m)]]*100</f>
        <v>#DIV/0!</v>
      </c>
      <c r="I228" s="151"/>
      <c r="J228" s="151"/>
      <c r="K228" s="5"/>
      <c r="L228" s="61" t="e">
        <f>Data_Geotech[[#This Row],[RQD (m)]]/Data_Geotech[[#This Row],[Run Reel (m)]]*100</f>
        <v>#DIV/0!</v>
      </c>
      <c r="P228" s="115"/>
      <c r="Q228" s="5"/>
      <c r="R228" s="5"/>
      <c r="S228" s="5"/>
      <c r="T228" s="5"/>
      <c r="U228" s="5"/>
      <c r="V228" s="6"/>
      <c r="W228" s="92">
        <f>SUMIFS(Discontinuities!$D$4:$D$9664,Discontinuities!$A$4:$A$9664,A228,Discontinuities!$C$4:$C$9664,"&gt;="&amp;C228,Discontinuities!$C$4:$C$9664,"&lt;"&amp;D228)
-SUMIFS(Discontinuities!$D$4:$D$9664,Discontinuities!$A$4:$A$9664,A228,Discontinuities!$C$4:$C$9664,"&gt;="&amp;C228,Discontinuities!$C$4:$C$9664,"&lt;"&amp;D228,Discontinuities!$E$4:$E$9664,"=BC")
-SUMIFS(Discontinuities!$D$4:$D$9664,Discontinuities!$A$4:$A$9664,A228,Discontinuities!$C$4:$C$9664,"&gt;="&amp;C228,Discontinuities!$C$4:$C$9664,"&lt;"&amp;D228,Discontinuities!$E$4:$E$9664,"=LC")
-SUMIFS(Discontinuities!$D$4:$D$9664,Discontinuities!$A$4:$A$9664,A228,Discontinuities!$C$4:$C$9664,"&gt;="&amp;C228,Discontinuities!$C$4:$C$9664,"&lt;"&amp;D228,Discontinuities!$E$4:$E$9664,"=FLT")</f>
        <v>0</v>
      </c>
      <c r="AA228" s="132"/>
      <c r="AB228" s="159">
        <f>IFERROR(ROUND((Data_Geotech[[#This Row],[Fault (m)]]+Data_Geotech[[#This Row],[Broken Core (m)]]+Data_Geotech[[#This Row],[Lost Core (m)]])*30,0),0)</f>
        <v>0</v>
      </c>
      <c r="AC228" s="135">
        <f>IF(Data_Geotech[[#This Row],[Added fractures 
(BC, FLT, LC)]]+Data_Geotech[[#This Row],[Fracture per interval]]=0,99,1/((Data_Geotech[[#This Row],[Fracture per interval]]+Data_Geotech[[#This Row],[Added fractures 
(BC, FLT, LC)]])/Data_Geotech[[#This Row],[Run (m)]]))</f>
        <v>99</v>
      </c>
      <c r="AD228" s="160" t="str" cm="1">
        <f t="array" ref="AD228">IFERROR(_xlfn.XLOOKUP(1,(A228=PLT!$A$4:$A$8886)*(Geotech!C228&lt;=PLT!$F$4:$F$8886)*(Geotech!D228&gt;=PLT!$F$4:$F$8886)*("Valid"=PLT!$P$4:$P$8886),PLT!$V$4:$V$8886),"")</f>
        <v/>
      </c>
      <c r="AE228" s="161" t="str" cm="1">
        <f t="array" ref="AE228">IFERROR(_xlfn.XLOOKUP(1,(A228=PLT!$A$4:$A$8886)*(Geotech!C228&lt;=PLT!$F$4:$F$8886)*(Geotech!D228&gt;=PLT!$F$4:$F$8886)*(PLT!$V$4:$V$8886&lt;&gt;AD228)*("Valid"=PLT!$P$4:$P$7190),PLT!$V$4:$V$8886),"")</f>
        <v/>
      </c>
      <c r="AF228" s="161" t="str" cm="1">
        <f t="array" ref="AF228">IFERROR(_xlfn.XLOOKUP(1,(A228=PLT!$A$4:$A$8886)*(Geotech!C228&lt;=PLT!$F$4:$F$8886)*(Geotech!D228&gt;=PLT!$F$4:$F$8886)*(PLT!$V$4:$V$8886&lt;&gt;AD228)*(PLT!$V$4:$V$8886&lt;&gt;AE228)*("Valid"=PLT!$P$4:$P$7190),PLT!$V$4:$V$8886),"")</f>
        <v/>
      </c>
      <c r="AG228" s="162" t="str">
        <f>IFERROR(IF(AVERAGE(AD228:AF228)&gt;References!$BO$23,References!$BP$23,
IF(AVERAGE(AD228:AF228)&gt;References!$BO$22,References!$BP$22,
IF(AVERAGE(AD228:AF228)&gt;References!$BO$21,References!$BP$21,
IF(AVERAGE(AD228:AF228)&gt;References!$BO$20,References!$BP$20,
IF(AVERAGE(AD228:AF228)&gt;References!$BO$19,References!$BP$19,
IF(AVERAGE(AD228:AF228)&gt;References!$BO$18,References!$BP$18,
0)))))),"")</f>
        <v/>
      </c>
      <c r="AH228" s="163" t="e">
        <f>VLOOKUP(Data_Geotech[[#This Row],[Field Intact Rock Strength]],Table_RMR76_Strength[],2,FALSE)</f>
        <v>#N/A</v>
      </c>
      <c r="AI228" s="163" t="e">
        <f>IF(Data_Geotech[[#This Row],[RQD (%)]]&lt;=25,3,IF(Data_Geotech[[#This Row],[RQD (%)]]&lt;=50,8,IF(Data_Geotech[[#This Row],[RQD (%)]]&lt;=75,13,IF(Data_Geotech[[#This Row],[RQD (%)]]&lt;=90,17,20))))</f>
        <v>#DIV/0!</v>
      </c>
      <c r="AJ228" s="136">
        <f>IF(Data_Geotech[[#This Row],[Joint spacing (m)]]&lt;=0.05,5,IF(Data_Geotech[[#This Row],[Joint spacing (m)]]&lt;=0.3,10,IF(Data_Geotech[[#This Row],[Joint spacing (m)]]&lt;=1,20,IF(Data_Geotech[[#This Row],[Joint spacing (m)]]&lt;=3,25,30))))</f>
        <v>30</v>
      </c>
      <c r="AK22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8" s="6"/>
      <c r="AM228" s="137" t="str">
        <f>IF(Data_Geotech[[#This Row],[FIRS Code]]="R",IFERROR(SUM(Data_Geotech[[#This Row],[RMR76 - Strength rating]:[RMR76 - Ground water rating]]),""),"")</f>
        <v/>
      </c>
      <c r="AN228" s="164" t="str">
        <f>IF(Data_Geotech[[#This Row],[FIRS Code]]="R",(2*Data_Geotech[[#This Row],[RMR76 - Joint condition rating]])+(IF(Data_Geotech[[#This Row],[RQD (%)]]&gt;80,80/2,Data_Geotech[[#This Row],[RQD (%)]]/2)),"")</f>
        <v/>
      </c>
      <c r="AO228" s="136" t="e">
        <f>LEFT(Data_Geotech[[#This Row],[Joint Set Rating]],FIND("-",Data_Geotech[[#This Row],[Joint Set Rating]],1)-2)</f>
        <v>#VALUE!</v>
      </c>
      <c r="AP22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8" s="143">
        <f t="shared" si="3"/>
        <v>1</v>
      </c>
      <c r="AR228" s="165" t="str">
        <f>IF(Data_Geotech[[#This Row],[FIRS Code]]="R",IFERROR((IF(Data_Geotech[[#This Row],[RQD (%)]]&lt;10,10,Data_Geotech[[#This Row],[RQD (%)]])/Data_Geotech[[#This Row],[Jn rating]])*Data_Geotech[[#This Row],[Jr/Ja]],""),"")</f>
        <v/>
      </c>
      <c r="AS228" s="138" t="str">
        <f>IF(Data_Geotech[[#This Row],[FIRS Code]]="R",IFERROR((IF(Data_Geotech[[#This Row],[RQD (%)]]&lt;10,10,Data_Geotech[[#This Row],[RQD (%)]])/Data_Geotech[[#This Row],[Jn rating]])*Data_Geotech[[#This Row],[Jr/Ja]]*Data_Geotech[[#This Row],[Jw/SRF]],""),"")</f>
        <v/>
      </c>
      <c r="AT228" s="12"/>
      <c r="AU228" s="13" t="e">
        <f>100-Data_Geotech[[#This Row],[RQD (%)]]</f>
        <v>#DIV/0!</v>
      </c>
      <c r="AV228" s="13" t="e">
        <f>100-Data_Geotech[[#This Row],[TCR (%)]]</f>
        <v>#DIV/0!</v>
      </c>
      <c r="AW228" s="62" t="e">
        <f>(Data_Geotech[[#This Row],[Fracture per interval]]+Data_Geotech[[#This Row],[Added fractures 
(BC, FLT, LC)]])/Data_Geotech[[#This Row],[TCR (m)]]</f>
        <v>#DIV/0!</v>
      </c>
      <c r="AX228" s="62" t="str">
        <f>MID(Data_Geotech[[#This Row],[Field Intact Rock Strength]],2,1)</f>
        <v/>
      </c>
      <c r="AY228" s="63" t="e">
        <f>7-MID(Data_Geotech[[#This Row],[Field Intact Rock Strength]],2,1)</f>
        <v>#VALUE!</v>
      </c>
      <c r="AZ228" s="63" t="e">
        <f>VLOOKUP(Data_Geotech[[#This Row],[Field Intact Rock Strength]],Table_FieldStrength[],2,FALSE)</f>
        <v>#N/A</v>
      </c>
      <c r="BA228" s="63" t="e">
        <f>VLOOKUP(Data_Geotech[[#This Row],[Field Intact Rock Strength]],Table_FieldStrength[],3,FALSE)</f>
        <v>#N/A</v>
      </c>
      <c r="BB228" s="63" t="e">
        <f>VLOOKUP(Data_Geotech[[#This Row],[Field Intact Rock Strength]],Table_FieldStrength[],4,FALSE)</f>
        <v>#N/A</v>
      </c>
      <c r="BC228" s="63" t="e">
        <f>100-Data_Geotech[[#This Row],[RMR76]]</f>
        <v>#VALUE!</v>
      </c>
      <c r="BD228" s="63" t="e">
        <f>LEFT(Data_Geotech[[#This Row],[Weathering/Alteration]],FIND("-",Data_Geotech[[#This Row],[Weathering/Alteration]])-2)</f>
        <v>#VALUE!</v>
      </c>
    </row>
    <row r="229" spans="2:56" hidden="1" x14ac:dyDescent="0.25">
      <c r="B229" s="16" t="e">
        <f>VLOOKUP(Data_Geotech[[#This Row],[Hole ID]],Data_Log[],2,FALSE)</f>
        <v>#N/A</v>
      </c>
      <c r="C229" s="5"/>
      <c r="D229" s="5"/>
      <c r="E229" s="5">
        <f>(Data_Geotech[[#This Row],[To (m)]]-Data_Geotech[[#This Row],[From (m)]])/2+Data_Geotech[[#This Row],[From (m)]]</f>
        <v>0</v>
      </c>
      <c r="F229" s="13">
        <f>Data_Geotech[[#This Row],[To (m)]]-Data_Geotech[[#This Row],[From (m)]]</f>
        <v>0</v>
      </c>
      <c r="G229" s="5"/>
      <c r="H229" s="61" t="e">
        <f>Data_Geotech[[#This Row],[TCR (m)]]/Data_Geotech[[#This Row],[Run (m)]]*100</f>
        <v>#DIV/0!</v>
      </c>
      <c r="I229" s="151"/>
      <c r="J229" s="151"/>
      <c r="K229" s="5"/>
      <c r="L229" s="61" t="e">
        <f>Data_Geotech[[#This Row],[RQD (m)]]/Data_Geotech[[#This Row],[Run Reel (m)]]*100</f>
        <v>#DIV/0!</v>
      </c>
      <c r="P229" s="115"/>
      <c r="Q229" s="5"/>
      <c r="R229" s="5"/>
      <c r="S229" s="5"/>
      <c r="T229" s="5"/>
      <c r="U229" s="5"/>
      <c r="V229" s="6"/>
      <c r="W229" s="92">
        <f>SUMIFS(Discontinuities!$D$4:$D$9664,Discontinuities!$A$4:$A$9664,A229,Discontinuities!$C$4:$C$9664,"&gt;="&amp;C229,Discontinuities!$C$4:$C$9664,"&lt;"&amp;D229)
-SUMIFS(Discontinuities!$D$4:$D$9664,Discontinuities!$A$4:$A$9664,A229,Discontinuities!$C$4:$C$9664,"&gt;="&amp;C229,Discontinuities!$C$4:$C$9664,"&lt;"&amp;D229,Discontinuities!$E$4:$E$9664,"=BC")
-SUMIFS(Discontinuities!$D$4:$D$9664,Discontinuities!$A$4:$A$9664,A229,Discontinuities!$C$4:$C$9664,"&gt;="&amp;C229,Discontinuities!$C$4:$C$9664,"&lt;"&amp;D229,Discontinuities!$E$4:$E$9664,"=LC")
-SUMIFS(Discontinuities!$D$4:$D$9664,Discontinuities!$A$4:$A$9664,A229,Discontinuities!$C$4:$C$9664,"&gt;="&amp;C229,Discontinuities!$C$4:$C$9664,"&lt;"&amp;D229,Discontinuities!$E$4:$E$9664,"=FLT")</f>
        <v>0</v>
      </c>
      <c r="AA229" s="132"/>
      <c r="AB229" s="159">
        <f>IFERROR(ROUND((Data_Geotech[[#This Row],[Fault (m)]]+Data_Geotech[[#This Row],[Broken Core (m)]]+Data_Geotech[[#This Row],[Lost Core (m)]])*30,0),0)</f>
        <v>0</v>
      </c>
      <c r="AC229" s="135">
        <f>IF(Data_Geotech[[#This Row],[Added fractures 
(BC, FLT, LC)]]+Data_Geotech[[#This Row],[Fracture per interval]]=0,99,1/((Data_Geotech[[#This Row],[Fracture per interval]]+Data_Geotech[[#This Row],[Added fractures 
(BC, FLT, LC)]])/Data_Geotech[[#This Row],[Run (m)]]))</f>
        <v>99</v>
      </c>
      <c r="AD229" s="160" t="str" cm="1">
        <f t="array" ref="AD229">IFERROR(_xlfn.XLOOKUP(1,(A229=PLT!$A$4:$A$8886)*(Geotech!C229&lt;=PLT!$F$4:$F$8886)*(Geotech!D229&gt;=PLT!$F$4:$F$8886)*("Valid"=PLT!$P$4:$P$8886),PLT!$V$4:$V$8886),"")</f>
        <v/>
      </c>
      <c r="AE229" s="161" t="str" cm="1">
        <f t="array" ref="AE229">IFERROR(_xlfn.XLOOKUP(1,(A229=PLT!$A$4:$A$8886)*(Geotech!C229&lt;=PLT!$F$4:$F$8886)*(Geotech!D229&gt;=PLT!$F$4:$F$8886)*(PLT!$V$4:$V$8886&lt;&gt;AD229)*("Valid"=PLT!$P$4:$P$7190),PLT!$V$4:$V$8886),"")</f>
        <v/>
      </c>
      <c r="AF229" s="161" t="str" cm="1">
        <f t="array" ref="AF229">IFERROR(_xlfn.XLOOKUP(1,(A229=PLT!$A$4:$A$8886)*(Geotech!C229&lt;=PLT!$F$4:$F$8886)*(Geotech!D229&gt;=PLT!$F$4:$F$8886)*(PLT!$V$4:$V$8886&lt;&gt;AD229)*(PLT!$V$4:$V$8886&lt;&gt;AE229)*("Valid"=PLT!$P$4:$P$7190),PLT!$V$4:$V$8886),"")</f>
        <v/>
      </c>
      <c r="AG229" s="162" t="str">
        <f>IFERROR(IF(AVERAGE(AD229:AF229)&gt;References!$BO$23,References!$BP$23,
IF(AVERAGE(AD229:AF229)&gt;References!$BO$22,References!$BP$22,
IF(AVERAGE(AD229:AF229)&gt;References!$BO$21,References!$BP$21,
IF(AVERAGE(AD229:AF229)&gt;References!$BO$20,References!$BP$20,
IF(AVERAGE(AD229:AF229)&gt;References!$BO$19,References!$BP$19,
IF(AVERAGE(AD229:AF229)&gt;References!$BO$18,References!$BP$18,
0)))))),"")</f>
        <v/>
      </c>
      <c r="AH229" s="163" t="e">
        <f>VLOOKUP(Data_Geotech[[#This Row],[Field Intact Rock Strength]],Table_RMR76_Strength[],2,FALSE)</f>
        <v>#N/A</v>
      </c>
      <c r="AI229" s="163" t="e">
        <f>IF(Data_Geotech[[#This Row],[RQD (%)]]&lt;=25,3,IF(Data_Geotech[[#This Row],[RQD (%)]]&lt;=50,8,IF(Data_Geotech[[#This Row],[RQD (%)]]&lt;=75,13,IF(Data_Geotech[[#This Row],[RQD (%)]]&lt;=90,17,20))))</f>
        <v>#DIV/0!</v>
      </c>
      <c r="AJ229" s="136">
        <f>IF(Data_Geotech[[#This Row],[Joint spacing (m)]]&lt;=0.05,5,IF(Data_Geotech[[#This Row],[Joint spacing (m)]]&lt;=0.3,10,IF(Data_Geotech[[#This Row],[Joint spacing (m)]]&lt;=1,20,IF(Data_Geotech[[#This Row],[Joint spacing (m)]]&lt;=3,25,30))))</f>
        <v>30</v>
      </c>
      <c r="AK22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29" s="6"/>
      <c r="AM229" s="137" t="str">
        <f>IF(Data_Geotech[[#This Row],[FIRS Code]]="R",IFERROR(SUM(Data_Geotech[[#This Row],[RMR76 - Strength rating]:[RMR76 - Ground water rating]]),""),"")</f>
        <v/>
      </c>
      <c r="AN229" s="164" t="str">
        <f>IF(Data_Geotech[[#This Row],[FIRS Code]]="R",(2*Data_Geotech[[#This Row],[RMR76 - Joint condition rating]])+(IF(Data_Geotech[[#This Row],[RQD (%)]]&gt;80,80/2,Data_Geotech[[#This Row],[RQD (%)]]/2)),"")</f>
        <v/>
      </c>
      <c r="AO229" s="136" t="e">
        <f>LEFT(Data_Geotech[[#This Row],[Joint Set Rating]],FIND("-",Data_Geotech[[#This Row],[Joint Set Rating]],1)-2)</f>
        <v>#VALUE!</v>
      </c>
      <c r="AP22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29" s="143">
        <f t="shared" si="3"/>
        <v>1</v>
      </c>
      <c r="AR229" s="165" t="str">
        <f>IF(Data_Geotech[[#This Row],[FIRS Code]]="R",IFERROR((IF(Data_Geotech[[#This Row],[RQD (%)]]&lt;10,10,Data_Geotech[[#This Row],[RQD (%)]])/Data_Geotech[[#This Row],[Jn rating]])*Data_Geotech[[#This Row],[Jr/Ja]],""),"")</f>
        <v/>
      </c>
      <c r="AS229" s="138" t="str">
        <f>IF(Data_Geotech[[#This Row],[FIRS Code]]="R",IFERROR((IF(Data_Geotech[[#This Row],[RQD (%)]]&lt;10,10,Data_Geotech[[#This Row],[RQD (%)]])/Data_Geotech[[#This Row],[Jn rating]])*Data_Geotech[[#This Row],[Jr/Ja]]*Data_Geotech[[#This Row],[Jw/SRF]],""),"")</f>
        <v/>
      </c>
      <c r="AT229" s="12"/>
      <c r="AU229" s="13" t="e">
        <f>100-Data_Geotech[[#This Row],[RQD (%)]]</f>
        <v>#DIV/0!</v>
      </c>
      <c r="AV229" s="13" t="e">
        <f>100-Data_Geotech[[#This Row],[TCR (%)]]</f>
        <v>#DIV/0!</v>
      </c>
      <c r="AW229" s="62" t="e">
        <f>(Data_Geotech[[#This Row],[Fracture per interval]]+Data_Geotech[[#This Row],[Added fractures 
(BC, FLT, LC)]])/Data_Geotech[[#This Row],[TCR (m)]]</f>
        <v>#DIV/0!</v>
      </c>
      <c r="AX229" s="62" t="str">
        <f>MID(Data_Geotech[[#This Row],[Field Intact Rock Strength]],2,1)</f>
        <v/>
      </c>
      <c r="AY229" s="63" t="e">
        <f>7-MID(Data_Geotech[[#This Row],[Field Intact Rock Strength]],2,1)</f>
        <v>#VALUE!</v>
      </c>
      <c r="AZ229" s="63" t="e">
        <f>VLOOKUP(Data_Geotech[[#This Row],[Field Intact Rock Strength]],Table_FieldStrength[],2,FALSE)</f>
        <v>#N/A</v>
      </c>
      <c r="BA229" s="63" t="e">
        <f>VLOOKUP(Data_Geotech[[#This Row],[Field Intact Rock Strength]],Table_FieldStrength[],3,FALSE)</f>
        <v>#N/A</v>
      </c>
      <c r="BB229" s="63" t="e">
        <f>VLOOKUP(Data_Geotech[[#This Row],[Field Intact Rock Strength]],Table_FieldStrength[],4,FALSE)</f>
        <v>#N/A</v>
      </c>
      <c r="BC229" s="63" t="e">
        <f>100-Data_Geotech[[#This Row],[RMR76]]</f>
        <v>#VALUE!</v>
      </c>
      <c r="BD229" s="63" t="e">
        <f>LEFT(Data_Geotech[[#This Row],[Weathering/Alteration]],FIND("-",Data_Geotech[[#This Row],[Weathering/Alteration]])-2)</f>
        <v>#VALUE!</v>
      </c>
    </row>
    <row r="230" spans="2:56" hidden="1" x14ac:dyDescent="0.25">
      <c r="B230" s="16" t="e">
        <f>VLOOKUP(Data_Geotech[[#This Row],[Hole ID]],Data_Log[],2,FALSE)</f>
        <v>#N/A</v>
      </c>
      <c r="C230" s="5"/>
      <c r="D230" s="5"/>
      <c r="E230" s="5">
        <f>(Data_Geotech[[#This Row],[To (m)]]-Data_Geotech[[#This Row],[From (m)]])/2+Data_Geotech[[#This Row],[From (m)]]</f>
        <v>0</v>
      </c>
      <c r="F230" s="13">
        <f>Data_Geotech[[#This Row],[To (m)]]-Data_Geotech[[#This Row],[From (m)]]</f>
        <v>0</v>
      </c>
      <c r="G230" s="5"/>
      <c r="H230" s="61" t="e">
        <f>Data_Geotech[[#This Row],[TCR (m)]]/Data_Geotech[[#This Row],[Run (m)]]*100</f>
        <v>#DIV/0!</v>
      </c>
      <c r="I230" s="151"/>
      <c r="J230" s="151"/>
      <c r="K230" s="5"/>
      <c r="L230" s="61" t="e">
        <f>Data_Geotech[[#This Row],[RQD (m)]]/Data_Geotech[[#This Row],[Run Reel (m)]]*100</f>
        <v>#DIV/0!</v>
      </c>
      <c r="P230" s="115"/>
      <c r="Q230" s="5"/>
      <c r="R230" s="5"/>
      <c r="S230" s="5"/>
      <c r="T230" s="5"/>
      <c r="U230" s="5"/>
      <c r="V230" s="6"/>
      <c r="W230" s="92">
        <f>SUMIFS(Discontinuities!$D$4:$D$9664,Discontinuities!$A$4:$A$9664,A230,Discontinuities!$C$4:$C$9664,"&gt;="&amp;C230,Discontinuities!$C$4:$C$9664,"&lt;"&amp;D230)
-SUMIFS(Discontinuities!$D$4:$D$9664,Discontinuities!$A$4:$A$9664,A230,Discontinuities!$C$4:$C$9664,"&gt;="&amp;C230,Discontinuities!$C$4:$C$9664,"&lt;"&amp;D230,Discontinuities!$E$4:$E$9664,"=BC")
-SUMIFS(Discontinuities!$D$4:$D$9664,Discontinuities!$A$4:$A$9664,A230,Discontinuities!$C$4:$C$9664,"&gt;="&amp;C230,Discontinuities!$C$4:$C$9664,"&lt;"&amp;D230,Discontinuities!$E$4:$E$9664,"=LC")
-SUMIFS(Discontinuities!$D$4:$D$9664,Discontinuities!$A$4:$A$9664,A230,Discontinuities!$C$4:$C$9664,"&gt;="&amp;C230,Discontinuities!$C$4:$C$9664,"&lt;"&amp;D230,Discontinuities!$E$4:$E$9664,"=FLT")</f>
        <v>0</v>
      </c>
      <c r="AA230" s="132"/>
      <c r="AB230" s="159">
        <f>IFERROR(ROUND((Data_Geotech[[#This Row],[Fault (m)]]+Data_Geotech[[#This Row],[Broken Core (m)]]+Data_Geotech[[#This Row],[Lost Core (m)]])*30,0),0)</f>
        <v>0</v>
      </c>
      <c r="AC230" s="135">
        <f>IF(Data_Geotech[[#This Row],[Added fractures 
(BC, FLT, LC)]]+Data_Geotech[[#This Row],[Fracture per interval]]=0,99,1/((Data_Geotech[[#This Row],[Fracture per interval]]+Data_Geotech[[#This Row],[Added fractures 
(BC, FLT, LC)]])/Data_Geotech[[#This Row],[Run (m)]]))</f>
        <v>99</v>
      </c>
      <c r="AD230" s="160" t="str" cm="1">
        <f t="array" ref="AD230">IFERROR(_xlfn.XLOOKUP(1,(A230=PLT!$A$4:$A$8886)*(Geotech!C230&lt;=PLT!$F$4:$F$8886)*(Geotech!D230&gt;=PLT!$F$4:$F$8886)*("Valid"=PLT!$P$4:$P$8886),PLT!$V$4:$V$8886),"")</f>
        <v/>
      </c>
      <c r="AE230" s="161" t="str" cm="1">
        <f t="array" ref="AE230">IFERROR(_xlfn.XLOOKUP(1,(A230=PLT!$A$4:$A$8886)*(Geotech!C230&lt;=PLT!$F$4:$F$8886)*(Geotech!D230&gt;=PLT!$F$4:$F$8886)*(PLT!$V$4:$V$8886&lt;&gt;AD230)*("Valid"=PLT!$P$4:$P$7190),PLT!$V$4:$V$8886),"")</f>
        <v/>
      </c>
      <c r="AF230" s="161" t="str" cm="1">
        <f t="array" ref="AF230">IFERROR(_xlfn.XLOOKUP(1,(A230=PLT!$A$4:$A$8886)*(Geotech!C230&lt;=PLT!$F$4:$F$8886)*(Geotech!D230&gt;=PLT!$F$4:$F$8886)*(PLT!$V$4:$V$8886&lt;&gt;AD230)*(PLT!$V$4:$V$8886&lt;&gt;AE230)*("Valid"=PLT!$P$4:$P$7190),PLT!$V$4:$V$8886),"")</f>
        <v/>
      </c>
      <c r="AG230" s="162" t="str">
        <f>IFERROR(IF(AVERAGE(AD230:AF230)&gt;References!$BO$23,References!$BP$23,
IF(AVERAGE(AD230:AF230)&gt;References!$BO$22,References!$BP$22,
IF(AVERAGE(AD230:AF230)&gt;References!$BO$21,References!$BP$21,
IF(AVERAGE(AD230:AF230)&gt;References!$BO$20,References!$BP$20,
IF(AVERAGE(AD230:AF230)&gt;References!$BO$19,References!$BP$19,
IF(AVERAGE(AD230:AF230)&gt;References!$BO$18,References!$BP$18,
0)))))),"")</f>
        <v/>
      </c>
      <c r="AH230" s="163" t="e">
        <f>VLOOKUP(Data_Geotech[[#This Row],[Field Intact Rock Strength]],Table_RMR76_Strength[],2,FALSE)</f>
        <v>#N/A</v>
      </c>
      <c r="AI230" s="163" t="e">
        <f>IF(Data_Geotech[[#This Row],[RQD (%)]]&lt;=25,3,IF(Data_Geotech[[#This Row],[RQD (%)]]&lt;=50,8,IF(Data_Geotech[[#This Row],[RQD (%)]]&lt;=75,13,IF(Data_Geotech[[#This Row],[RQD (%)]]&lt;=90,17,20))))</f>
        <v>#DIV/0!</v>
      </c>
      <c r="AJ230" s="136">
        <f>IF(Data_Geotech[[#This Row],[Joint spacing (m)]]&lt;=0.05,5,IF(Data_Geotech[[#This Row],[Joint spacing (m)]]&lt;=0.3,10,IF(Data_Geotech[[#This Row],[Joint spacing (m)]]&lt;=1,20,IF(Data_Geotech[[#This Row],[Joint spacing (m)]]&lt;=3,25,30))))</f>
        <v>30</v>
      </c>
      <c r="AK23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0" s="6"/>
      <c r="AM230" s="137" t="str">
        <f>IF(Data_Geotech[[#This Row],[FIRS Code]]="R",IFERROR(SUM(Data_Geotech[[#This Row],[RMR76 - Strength rating]:[RMR76 - Ground water rating]]),""),"")</f>
        <v/>
      </c>
      <c r="AN230" s="164" t="str">
        <f>IF(Data_Geotech[[#This Row],[FIRS Code]]="R",(2*Data_Geotech[[#This Row],[RMR76 - Joint condition rating]])+(IF(Data_Geotech[[#This Row],[RQD (%)]]&gt;80,80/2,Data_Geotech[[#This Row],[RQD (%)]]/2)),"")</f>
        <v/>
      </c>
      <c r="AO230" s="136" t="e">
        <f>LEFT(Data_Geotech[[#This Row],[Joint Set Rating]],FIND("-",Data_Geotech[[#This Row],[Joint Set Rating]],1)-2)</f>
        <v>#VALUE!</v>
      </c>
      <c r="AP23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0" s="143">
        <f t="shared" si="3"/>
        <v>1</v>
      </c>
      <c r="AR230" s="165" t="str">
        <f>IF(Data_Geotech[[#This Row],[FIRS Code]]="R",IFERROR((IF(Data_Geotech[[#This Row],[RQD (%)]]&lt;10,10,Data_Geotech[[#This Row],[RQD (%)]])/Data_Geotech[[#This Row],[Jn rating]])*Data_Geotech[[#This Row],[Jr/Ja]],""),"")</f>
        <v/>
      </c>
      <c r="AS230" s="138" t="str">
        <f>IF(Data_Geotech[[#This Row],[FIRS Code]]="R",IFERROR((IF(Data_Geotech[[#This Row],[RQD (%)]]&lt;10,10,Data_Geotech[[#This Row],[RQD (%)]])/Data_Geotech[[#This Row],[Jn rating]])*Data_Geotech[[#This Row],[Jr/Ja]]*Data_Geotech[[#This Row],[Jw/SRF]],""),"")</f>
        <v/>
      </c>
      <c r="AT230" s="12"/>
      <c r="AU230" s="13" t="e">
        <f>100-Data_Geotech[[#This Row],[RQD (%)]]</f>
        <v>#DIV/0!</v>
      </c>
      <c r="AV230" s="13" t="e">
        <f>100-Data_Geotech[[#This Row],[TCR (%)]]</f>
        <v>#DIV/0!</v>
      </c>
      <c r="AW230" s="62" t="e">
        <f>(Data_Geotech[[#This Row],[Fracture per interval]]+Data_Geotech[[#This Row],[Added fractures 
(BC, FLT, LC)]])/Data_Geotech[[#This Row],[TCR (m)]]</f>
        <v>#DIV/0!</v>
      </c>
      <c r="AX230" s="62" t="str">
        <f>MID(Data_Geotech[[#This Row],[Field Intact Rock Strength]],2,1)</f>
        <v/>
      </c>
      <c r="AY230" s="63" t="e">
        <f>7-MID(Data_Geotech[[#This Row],[Field Intact Rock Strength]],2,1)</f>
        <v>#VALUE!</v>
      </c>
      <c r="AZ230" s="63" t="e">
        <f>VLOOKUP(Data_Geotech[[#This Row],[Field Intact Rock Strength]],Table_FieldStrength[],2,FALSE)</f>
        <v>#N/A</v>
      </c>
      <c r="BA230" s="63" t="e">
        <f>VLOOKUP(Data_Geotech[[#This Row],[Field Intact Rock Strength]],Table_FieldStrength[],3,FALSE)</f>
        <v>#N/A</v>
      </c>
      <c r="BB230" s="63" t="e">
        <f>VLOOKUP(Data_Geotech[[#This Row],[Field Intact Rock Strength]],Table_FieldStrength[],4,FALSE)</f>
        <v>#N/A</v>
      </c>
      <c r="BC230" s="63" t="e">
        <f>100-Data_Geotech[[#This Row],[RMR76]]</f>
        <v>#VALUE!</v>
      </c>
      <c r="BD230" s="63" t="e">
        <f>LEFT(Data_Geotech[[#This Row],[Weathering/Alteration]],FIND("-",Data_Geotech[[#This Row],[Weathering/Alteration]])-2)</f>
        <v>#VALUE!</v>
      </c>
    </row>
    <row r="231" spans="2:56" hidden="1" x14ac:dyDescent="0.25">
      <c r="B231" s="16" t="e">
        <f>VLOOKUP(Data_Geotech[[#This Row],[Hole ID]],Data_Log[],2,FALSE)</f>
        <v>#N/A</v>
      </c>
      <c r="C231" s="5"/>
      <c r="D231" s="5"/>
      <c r="E231" s="5">
        <f>(Data_Geotech[[#This Row],[To (m)]]-Data_Geotech[[#This Row],[From (m)]])/2+Data_Geotech[[#This Row],[From (m)]]</f>
        <v>0</v>
      </c>
      <c r="F231" s="13">
        <f>Data_Geotech[[#This Row],[To (m)]]-Data_Geotech[[#This Row],[From (m)]]</f>
        <v>0</v>
      </c>
      <c r="G231" s="5"/>
      <c r="H231" s="61" t="e">
        <f>Data_Geotech[[#This Row],[TCR (m)]]/Data_Geotech[[#This Row],[Run (m)]]*100</f>
        <v>#DIV/0!</v>
      </c>
      <c r="I231" s="151"/>
      <c r="J231" s="151"/>
      <c r="K231" s="5"/>
      <c r="L231" s="61" t="e">
        <f>Data_Geotech[[#This Row],[RQD (m)]]/Data_Geotech[[#This Row],[Run Reel (m)]]*100</f>
        <v>#DIV/0!</v>
      </c>
      <c r="P231" s="115"/>
      <c r="Q231" s="5"/>
      <c r="R231" s="5"/>
      <c r="S231" s="5"/>
      <c r="T231" s="5"/>
      <c r="U231" s="5"/>
      <c r="V231" s="6"/>
      <c r="W231" s="92">
        <f>SUMIFS(Discontinuities!$D$4:$D$9664,Discontinuities!$A$4:$A$9664,A231,Discontinuities!$C$4:$C$9664,"&gt;="&amp;C231,Discontinuities!$C$4:$C$9664,"&lt;"&amp;D231)
-SUMIFS(Discontinuities!$D$4:$D$9664,Discontinuities!$A$4:$A$9664,A231,Discontinuities!$C$4:$C$9664,"&gt;="&amp;C231,Discontinuities!$C$4:$C$9664,"&lt;"&amp;D231,Discontinuities!$E$4:$E$9664,"=BC")
-SUMIFS(Discontinuities!$D$4:$D$9664,Discontinuities!$A$4:$A$9664,A231,Discontinuities!$C$4:$C$9664,"&gt;="&amp;C231,Discontinuities!$C$4:$C$9664,"&lt;"&amp;D231,Discontinuities!$E$4:$E$9664,"=LC")
-SUMIFS(Discontinuities!$D$4:$D$9664,Discontinuities!$A$4:$A$9664,A231,Discontinuities!$C$4:$C$9664,"&gt;="&amp;C231,Discontinuities!$C$4:$C$9664,"&lt;"&amp;D231,Discontinuities!$E$4:$E$9664,"=FLT")</f>
        <v>0</v>
      </c>
      <c r="AA231" s="132"/>
      <c r="AB231" s="159">
        <f>IFERROR(ROUND((Data_Geotech[[#This Row],[Fault (m)]]+Data_Geotech[[#This Row],[Broken Core (m)]]+Data_Geotech[[#This Row],[Lost Core (m)]])*30,0),0)</f>
        <v>0</v>
      </c>
      <c r="AC231" s="135">
        <f>IF(Data_Geotech[[#This Row],[Added fractures 
(BC, FLT, LC)]]+Data_Geotech[[#This Row],[Fracture per interval]]=0,99,1/((Data_Geotech[[#This Row],[Fracture per interval]]+Data_Geotech[[#This Row],[Added fractures 
(BC, FLT, LC)]])/Data_Geotech[[#This Row],[Run (m)]]))</f>
        <v>99</v>
      </c>
      <c r="AD231" s="160" t="str" cm="1">
        <f t="array" ref="AD231">IFERROR(_xlfn.XLOOKUP(1,(A231=PLT!$A$4:$A$8886)*(Geotech!C231&lt;=PLT!$F$4:$F$8886)*(Geotech!D231&gt;=PLT!$F$4:$F$8886)*("Valid"=PLT!$P$4:$P$8886),PLT!$V$4:$V$8886),"")</f>
        <v/>
      </c>
      <c r="AE231" s="161" t="str" cm="1">
        <f t="array" ref="AE231">IFERROR(_xlfn.XLOOKUP(1,(A231=PLT!$A$4:$A$8886)*(Geotech!C231&lt;=PLT!$F$4:$F$8886)*(Geotech!D231&gt;=PLT!$F$4:$F$8886)*(PLT!$V$4:$V$8886&lt;&gt;AD231)*("Valid"=PLT!$P$4:$P$7190),PLT!$V$4:$V$8886),"")</f>
        <v/>
      </c>
      <c r="AF231" s="161" t="str" cm="1">
        <f t="array" ref="AF231">IFERROR(_xlfn.XLOOKUP(1,(A231=PLT!$A$4:$A$8886)*(Geotech!C231&lt;=PLT!$F$4:$F$8886)*(Geotech!D231&gt;=PLT!$F$4:$F$8886)*(PLT!$V$4:$V$8886&lt;&gt;AD231)*(PLT!$V$4:$V$8886&lt;&gt;AE231)*("Valid"=PLT!$P$4:$P$7190),PLT!$V$4:$V$8886),"")</f>
        <v/>
      </c>
      <c r="AG231" s="162" t="str">
        <f>IFERROR(IF(AVERAGE(AD231:AF231)&gt;References!$BO$23,References!$BP$23,
IF(AVERAGE(AD231:AF231)&gt;References!$BO$22,References!$BP$22,
IF(AVERAGE(AD231:AF231)&gt;References!$BO$21,References!$BP$21,
IF(AVERAGE(AD231:AF231)&gt;References!$BO$20,References!$BP$20,
IF(AVERAGE(AD231:AF231)&gt;References!$BO$19,References!$BP$19,
IF(AVERAGE(AD231:AF231)&gt;References!$BO$18,References!$BP$18,
0)))))),"")</f>
        <v/>
      </c>
      <c r="AH231" s="163" t="e">
        <f>VLOOKUP(Data_Geotech[[#This Row],[Field Intact Rock Strength]],Table_RMR76_Strength[],2,FALSE)</f>
        <v>#N/A</v>
      </c>
      <c r="AI231" s="163" t="e">
        <f>IF(Data_Geotech[[#This Row],[RQD (%)]]&lt;=25,3,IF(Data_Geotech[[#This Row],[RQD (%)]]&lt;=50,8,IF(Data_Geotech[[#This Row],[RQD (%)]]&lt;=75,13,IF(Data_Geotech[[#This Row],[RQD (%)]]&lt;=90,17,20))))</f>
        <v>#DIV/0!</v>
      </c>
      <c r="AJ231" s="136">
        <f>IF(Data_Geotech[[#This Row],[Joint spacing (m)]]&lt;=0.05,5,IF(Data_Geotech[[#This Row],[Joint spacing (m)]]&lt;=0.3,10,IF(Data_Geotech[[#This Row],[Joint spacing (m)]]&lt;=1,20,IF(Data_Geotech[[#This Row],[Joint spacing (m)]]&lt;=3,25,30))))</f>
        <v>30</v>
      </c>
      <c r="AK23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1" s="6"/>
      <c r="AM231" s="137" t="str">
        <f>IF(Data_Geotech[[#This Row],[FIRS Code]]="R",IFERROR(SUM(Data_Geotech[[#This Row],[RMR76 - Strength rating]:[RMR76 - Ground water rating]]),""),"")</f>
        <v/>
      </c>
      <c r="AN231" s="164" t="str">
        <f>IF(Data_Geotech[[#This Row],[FIRS Code]]="R",(2*Data_Geotech[[#This Row],[RMR76 - Joint condition rating]])+(IF(Data_Geotech[[#This Row],[RQD (%)]]&gt;80,80/2,Data_Geotech[[#This Row],[RQD (%)]]/2)),"")</f>
        <v/>
      </c>
      <c r="AO231" s="136" t="e">
        <f>LEFT(Data_Geotech[[#This Row],[Joint Set Rating]],FIND("-",Data_Geotech[[#This Row],[Joint Set Rating]],1)-2)</f>
        <v>#VALUE!</v>
      </c>
      <c r="AP23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1" s="143">
        <f t="shared" si="3"/>
        <v>1</v>
      </c>
      <c r="AR231" s="165" t="str">
        <f>IF(Data_Geotech[[#This Row],[FIRS Code]]="R",IFERROR((IF(Data_Geotech[[#This Row],[RQD (%)]]&lt;10,10,Data_Geotech[[#This Row],[RQD (%)]])/Data_Geotech[[#This Row],[Jn rating]])*Data_Geotech[[#This Row],[Jr/Ja]],""),"")</f>
        <v/>
      </c>
      <c r="AS231" s="138" t="str">
        <f>IF(Data_Geotech[[#This Row],[FIRS Code]]="R",IFERROR((IF(Data_Geotech[[#This Row],[RQD (%)]]&lt;10,10,Data_Geotech[[#This Row],[RQD (%)]])/Data_Geotech[[#This Row],[Jn rating]])*Data_Geotech[[#This Row],[Jr/Ja]]*Data_Geotech[[#This Row],[Jw/SRF]],""),"")</f>
        <v/>
      </c>
      <c r="AT231" s="12"/>
      <c r="AU231" s="13" t="e">
        <f>100-Data_Geotech[[#This Row],[RQD (%)]]</f>
        <v>#DIV/0!</v>
      </c>
      <c r="AV231" s="13" t="e">
        <f>100-Data_Geotech[[#This Row],[TCR (%)]]</f>
        <v>#DIV/0!</v>
      </c>
      <c r="AW231" s="62" t="e">
        <f>(Data_Geotech[[#This Row],[Fracture per interval]]+Data_Geotech[[#This Row],[Added fractures 
(BC, FLT, LC)]])/Data_Geotech[[#This Row],[TCR (m)]]</f>
        <v>#DIV/0!</v>
      </c>
      <c r="AX231" s="62" t="str">
        <f>MID(Data_Geotech[[#This Row],[Field Intact Rock Strength]],2,1)</f>
        <v/>
      </c>
      <c r="AY231" s="63" t="e">
        <f>7-MID(Data_Geotech[[#This Row],[Field Intact Rock Strength]],2,1)</f>
        <v>#VALUE!</v>
      </c>
      <c r="AZ231" s="63" t="e">
        <f>VLOOKUP(Data_Geotech[[#This Row],[Field Intact Rock Strength]],Table_FieldStrength[],2,FALSE)</f>
        <v>#N/A</v>
      </c>
      <c r="BA231" s="63" t="e">
        <f>VLOOKUP(Data_Geotech[[#This Row],[Field Intact Rock Strength]],Table_FieldStrength[],3,FALSE)</f>
        <v>#N/A</v>
      </c>
      <c r="BB231" s="63" t="e">
        <f>VLOOKUP(Data_Geotech[[#This Row],[Field Intact Rock Strength]],Table_FieldStrength[],4,FALSE)</f>
        <v>#N/A</v>
      </c>
      <c r="BC231" s="63" t="e">
        <f>100-Data_Geotech[[#This Row],[RMR76]]</f>
        <v>#VALUE!</v>
      </c>
      <c r="BD231" s="63" t="e">
        <f>LEFT(Data_Geotech[[#This Row],[Weathering/Alteration]],FIND("-",Data_Geotech[[#This Row],[Weathering/Alteration]])-2)</f>
        <v>#VALUE!</v>
      </c>
    </row>
    <row r="232" spans="2:56" hidden="1" x14ac:dyDescent="0.25">
      <c r="B232" s="16" t="e">
        <f>VLOOKUP(Data_Geotech[[#This Row],[Hole ID]],Data_Log[],2,FALSE)</f>
        <v>#N/A</v>
      </c>
      <c r="C232" s="5"/>
      <c r="D232" s="5"/>
      <c r="E232" s="5">
        <f>(Data_Geotech[[#This Row],[To (m)]]-Data_Geotech[[#This Row],[From (m)]])/2+Data_Geotech[[#This Row],[From (m)]]</f>
        <v>0</v>
      </c>
      <c r="F232" s="13">
        <f>Data_Geotech[[#This Row],[To (m)]]-Data_Geotech[[#This Row],[From (m)]]</f>
        <v>0</v>
      </c>
      <c r="G232" s="5"/>
      <c r="H232" s="61" t="e">
        <f>Data_Geotech[[#This Row],[TCR (m)]]/Data_Geotech[[#This Row],[Run (m)]]*100</f>
        <v>#DIV/0!</v>
      </c>
      <c r="I232" s="151"/>
      <c r="J232" s="151"/>
      <c r="K232" s="5"/>
      <c r="L232" s="61" t="e">
        <f>Data_Geotech[[#This Row],[RQD (m)]]/Data_Geotech[[#This Row],[Run Reel (m)]]*100</f>
        <v>#DIV/0!</v>
      </c>
      <c r="P232" s="115"/>
      <c r="Q232" s="5"/>
      <c r="R232" s="5"/>
      <c r="S232" s="5"/>
      <c r="T232" s="5"/>
      <c r="U232" s="5"/>
      <c r="V232" s="6"/>
      <c r="W232" s="92">
        <f>SUMIFS(Discontinuities!$D$4:$D$9664,Discontinuities!$A$4:$A$9664,A232,Discontinuities!$C$4:$C$9664,"&gt;="&amp;C232,Discontinuities!$C$4:$C$9664,"&lt;"&amp;D232)
-SUMIFS(Discontinuities!$D$4:$D$9664,Discontinuities!$A$4:$A$9664,A232,Discontinuities!$C$4:$C$9664,"&gt;="&amp;C232,Discontinuities!$C$4:$C$9664,"&lt;"&amp;D232,Discontinuities!$E$4:$E$9664,"=BC")
-SUMIFS(Discontinuities!$D$4:$D$9664,Discontinuities!$A$4:$A$9664,A232,Discontinuities!$C$4:$C$9664,"&gt;="&amp;C232,Discontinuities!$C$4:$C$9664,"&lt;"&amp;D232,Discontinuities!$E$4:$E$9664,"=LC")
-SUMIFS(Discontinuities!$D$4:$D$9664,Discontinuities!$A$4:$A$9664,A232,Discontinuities!$C$4:$C$9664,"&gt;="&amp;C232,Discontinuities!$C$4:$C$9664,"&lt;"&amp;D232,Discontinuities!$E$4:$E$9664,"=FLT")</f>
        <v>0</v>
      </c>
      <c r="AA232" s="132"/>
      <c r="AB232" s="159">
        <f>IFERROR(ROUND((Data_Geotech[[#This Row],[Fault (m)]]+Data_Geotech[[#This Row],[Broken Core (m)]]+Data_Geotech[[#This Row],[Lost Core (m)]])*30,0),0)</f>
        <v>0</v>
      </c>
      <c r="AC232" s="135">
        <f>IF(Data_Geotech[[#This Row],[Added fractures 
(BC, FLT, LC)]]+Data_Geotech[[#This Row],[Fracture per interval]]=0,99,1/((Data_Geotech[[#This Row],[Fracture per interval]]+Data_Geotech[[#This Row],[Added fractures 
(BC, FLT, LC)]])/Data_Geotech[[#This Row],[Run (m)]]))</f>
        <v>99</v>
      </c>
      <c r="AD232" s="160" t="str" cm="1">
        <f t="array" ref="AD232">IFERROR(_xlfn.XLOOKUP(1,(A232=PLT!$A$4:$A$8886)*(Geotech!C232&lt;=PLT!$F$4:$F$8886)*(Geotech!D232&gt;=PLT!$F$4:$F$8886)*("Valid"=PLT!$P$4:$P$8886),PLT!$V$4:$V$8886),"")</f>
        <v/>
      </c>
      <c r="AE232" s="161" t="str" cm="1">
        <f t="array" ref="AE232">IFERROR(_xlfn.XLOOKUP(1,(A232=PLT!$A$4:$A$8886)*(Geotech!C232&lt;=PLT!$F$4:$F$8886)*(Geotech!D232&gt;=PLT!$F$4:$F$8886)*(PLT!$V$4:$V$8886&lt;&gt;AD232)*("Valid"=PLT!$P$4:$P$7190),PLT!$V$4:$V$8886),"")</f>
        <v/>
      </c>
      <c r="AF232" s="161" t="str" cm="1">
        <f t="array" ref="AF232">IFERROR(_xlfn.XLOOKUP(1,(A232=PLT!$A$4:$A$8886)*(Geotech!C232&lt;=PLT!$F$4:$F$8886)*(Geotech!D232&gt;=PLT!$F$4:$F$8886)*(PLT!$V$4:$V$8886&lt;&gt;AD232)*(PLT!$V$4:$V$8886&lt;&gt;AE232)*("Valid"=PLT!$P$4:$P$7190),PLT!$V$4:$V$8886),"")</f>
        <v/>
      </c>
      <c r="AG232" s="162" t="str">
        <f>IFERROR(IF(AVERAGE(AD232:AF232)&gt;References!$BO$23,References!$BP$23,
IF(AVERAGE(AD232:AF232)&gt;References!$BO$22,References!$BP$22,
IF(AVERAGE(AD232:AF232)&gt;References!$BO$21,References!$BP$21,
IF(AVERAGE(AD232:AF232)&gt;References!$BO$20,References!$BP$20,
IF(AVERAGE(AD232:AF232)&gt;References!$BO$19,References!$BP$19,
IF(AVERAGE(AD232:AF232)&gt;References!$BO$18,References!$BP$18,
0)))))),"")</f>
        <v/>
      </c>
      <c r="AH232" s="163" t="e">
        <f>VLOOKUP(Data_Geotech[[#This Row],[Field Intact Rock Strength]],Table_RMR76_Strength[],2,FALSE)</f>
        <v>#N/A</v>
      </c>
      <c r="AI232" s="163" t="e">
        <f>IF(Data_Geotech[[#This Row],[RQD (%)]]&lt;=25,3,IF(Data_Geotech[[#This Row],[RQD (%)]]&lt;=50,8,IF(Data_Geotech[[#This Row],[RQD (%)]]&lt;=75,13,IF(Data_Geotech[[#This Row],[RQD (%)]]&lt;=90,17,20))))</f>
        <v>#DIV/0!</v>
      </c>
      <c r="AJ232" s="136">
        <f>IF(Data_Geotech[[#This Row],[Joint spacing (m)]]&lt;=0.05,5,IF(Data_Geotech[[#This Row],[Joint spacing (m)]]&lt;=0.3,10,IF(Data_Geotech[[#This Row],[Joint spacing (m)]]&lt;=1,20,IF(Data_Geotech[[#This Row],[Joint spacing (m)]]&lt;=3,25,30))))</f>
        <v>30</v>
      </c>
      <c r="AK23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2" s="6"/>
      <c r="AM232" s="137" t="str">
        <f>IF(Data_Geotech[[#This Row],[FIRS Code]]="R",IFERROR(SUM(Data_Geotech[[#This Row],[RMR76 - Strength rating]:[RMR76 - Ground water rating]]),""),"")</f>
        <v/>
      </c>
      <c r="AN232" s="164" t="str">
        <f>IF(Data_Geotech[[#This Row],[FIRS Code]]="R",(2*Data_Geotech[[#This Row],[RMR76 - Joint condition rating]])+(IF(Data_Geotech[[#This Row],[RQD (%)]]&gt;80,80/2,Data_Geotech[[#This Row],[RQD (%)]]/2)),"")</f>
        <v/>
      </c>
      <c r="AO232" s="136" t="e">
        <f>LEFT(Data_Geotech[[#This Row],[Joint Set Rating]],FIND("-",Data_Geotech[[#This Row],[Joint Set Rating]],1)-2)</f>
        <v>#VALUE!</v>
      </c>
      <c r="AP23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2" s="143">
        <f t="shared" si="3"/>
        <v>1</v>
      </c>
      <c r="AR232" s="165" t="str">
        <f>IF(Data_Geotech[[#This Row],[FIRS Code]]="R",IFERROR((IF(Data_Geotech[[#This Row],[RQD (%)]]&lt;10,10,Data_Geotech[[#This Row],[RQD (%)]])/Data_Geotech[[#This Row],[Jn rating]])*Data_Geotech[[#This Row],[Jr/Ja]],""),"")</f>
        <v/>
      </c>
      <c r="AS232" s="138" t="str">
        <f>IF(Data_Geotech[[#This Row],[FIRS Code]]="R",IFERROR((IF(Data_Geotech[[#This Row],[RQD (%)]]&lt;10,10,Data_Geotech[[#This Row],[RQD (%)]])/Data_Geotech[[#This Row],[Jn rating]])*Data_Geotech[[#This Row],[Jr/Ja]]*Data_Geotech[[#This Row],[Jw/SRF]],""),"")</f>
        <v/>
      </c>
      <c r="AT232" s="12"/>
      <c r="AU232" s="13" t="e">
        <f>100-Data_Geotech[[#This Row],[RQD (%)]]</f>
        <v>#DIV/0!</v>
      </c>
      <c r="AV232" s="13" t="e">
        <f>100-Data_Geotech[[#This Row],[TCR (%)]]</f>
        <v>#DIV/0!</v>
      </c>
      <c r="AW232" s="62" t="e">
        <f>(Data_Geotech[[#This Row],[Fracture per interval]]+Data_Geotech[[#This Row],[Added fractures 
(BC, FLT, LC)]])/Data_Geotech[[#This Row],[TCR (m)]]</f>
        <v>#DIV/0!</v>
      </c>
      <c r="AX232" s="62" t="str">
        <f>MID(Data_Geotech[[#This Row],[Field Intact Rock Strength]],2,1)</f>
        <v/>
      </c>
      <c r="AY232" s="63" t="e">
        <f>7-MID(Data_Geotech[[#This Row],[Field Intact Rock Strength]],2,1)</f>
        <v>#VALUE!</v>
      </c>
      <c r="AZ232" s="63" t="e">
        <f>VLOOKUP(Data_Geotech[[#This Row],[Field Intact Rock Strength]],Table_FieldStrength[],2,FALSE)</f>
        <v>#N/A</v>
      </c>
      <c r="BA232" s="63" t="e">
        <f>VLOOKUP(Data_Geotech[[#This Row],[Field Intact Rock Strength]],Table_FieldStrength[],3,FALSE)</f>
        <v>#N/A</v>
      </c>
      <c r="BB232" s="63" t="e">
        <f>VLOOKUP(Data_Geotech[[#This Row],[Field Intact Rock Strength]],Table_FieldStrength[],4,FALSE)</f>
        <v>#N/A</v>
      </c>
      <c r="BC232" s="63" t="e">
        <f>100-Data_Geotech[[#This Row],[RMR76]]</f>
        <v>#VALUE!</v>
      </c>
      <c r="BD232" s="63" t="e">
        <f>LEFT(Data_Geotech[[#This Row],[Weathering/Alteration]],FIND("-",Data_Geotech[[#This Row],[Weathering/Alteration]])-2)</f>
        <v>#VALUE!</v>
      </c>
    </row>
    <row r="233" spans="2:56" hidden="1" x14ac:dyDescent="0.25">
      <c r="B233" s="16" t="e">
        <f>VLOOKUP(Data_Geotech[[#This Row],[Hole ID]],Data_Log[],2,FALSE)</f>
        <v>#N/A</v>
      </c>
      <c r="C233" s="5"/>
      <c r="D233" s="5"/>
      <c r="E233" s="5">
        <f>(Data_Geotech[[#This Row],[To (m)]]-Data_Geotech[[#This Row],[From (m)]])/2+Data_Geotech[[#This Row],[From (m)]]</f>
        <v>0</v>
      </c>
      <c r="F233" s="13">
        <f>Data_Geotech[[#This Row],[To (m)]]-Data_Geotech[[#This Row],[From (m)]]</f>
        <v>0</v>
      </c>
      <c r="G233" s="5"/>
      <c r="H233" s="61" t="e">
        <f>Data_Geotech[[#This Row],[TCR (m)]]/Data_Geotech[[#This Row],[Run (m)]]*100</f>
        <v>#DIV/0!</v>
      </c>
      <c r="I233" s="151"/>
      <c r="J233" s="151"/>
      <c r="K233" s="5"/>
      <c r="L233" s="61" t="e">
        <f>Data_Geotech[[#This Row],[RQD (m)]]/Data_Geotech[[#This Row],[Run Reel (m)]]*100</f>
        <v>#DIV/0!</v>
      </c>
      <c r="P233" s="115"/>
      <c r="Q233" s="5"/>
      <c r="R233" s="5"/>
      <c r="S233" s="5"/>
      <c r="T233" s="5"/>
      <c r="U233" s="5"/>
      <c r="V233" s="6"/>
      <c r="W233" s="92">
        <f>SUMIFS(Discontinuities!$D$4:$D$9664,Discontinuities!$A$4:$A$9664,A233,Discontinuities!$C$4:$C$9664,"&gt;="&amp;C233,Discontinuities!$C$4:$C$9664,"&lt;"&amp;D233)
-SUMIFS(Discontinuities!$D$4:$D$9664,Discontinuities!$A$4:$A$9664,A233,Discontinuities!$C$4:$C$9664,"&gt;="&amp;C233,Discontinuities!$C$4:$C$9664,"&lt;"&amp;D233,Discontinuities!$E$4:$E$9664,"=BC")
-SUMIFS(Discontinuities!$D$4:$D$9664,Discontinuities!$A$4:$A$9664,A233,Discontinuities!$C$4:$C$9664,"&gt;="&amp;C233,Discontinuities!$C$4:$C$9664,"&lt;"&amp;D233,Discontinuities!$E$4:$E$9664,"=LC")
-SUMIFS(Discontinuities!$D$4:$D$9664,Discontinuities!$A$4:$A$9664,A233,Discontinuities!$C$4:$C$9664,"&gt;="&amp;C233,Discontinuities!$C$4:$C$9664,"&lt;"&amp;D233,Discontinuities!$E$4:$E$9664,"=FLT")</f>
        <v>0</v>
      </c>
      <c r="AA233" s="132"/>
      <c r="AB233" s="159">
        <f>IFERROR(ROUND((Data_Geotech[[#This Row],[Fault (m)]]+Data_Geotech[[#This Row],[Broken Core (m)]]+Data_Geotech[[#This Row],[Lost Core (m)]])*30,0),0)</f>
        <v>0</v>
      </c>
      <c r="AC233" s="135">
        <f>IF(Data_Geotech[[#This Row],[Added fractures 
(BC, FLT, LC)]]+Data_Geotech[[#This Row],[Fracture per interval]]=0,99,1/((Data_Geotech[[#This Row],[Fracture per interval]]+Data_Geotech[[#This Row],[Added fractures 
(BC, FLT, LC)]])/Data_Geotech[[#This Row],[Run (m)]]))</f>
        <v>99</v>
      </c>
      <c r="AD233" s="160" t="str" cm="1">
        <f t="array" ref="AD233">IFERROR(_xlfn.XLOOKUP(1,(A233=PLT!$A$4:$A$8886)*(Geotech!C233&lt;=PLT!$F$4:$F$8886)*(Geotech!D233&gt;=PLT!$F$4:$F$8886)*("Valid"=PLT!$P$4:$P$8886),PLT!$V$4:$V$8886),"")</f>
        <v/>
      </c>
      <c r="AE233" s="161" t="str" cm="1">
        <f t="array" ref="AE233">IFERROR(_xlfn.XLOOKUP(1,(A233=PLT!$A$4:$A$8886)*(Geotech!C233&lt;=PLT!$F$4:$F$8886)*(Geotech!D233&gt;=PLT!$F$4:$F$8886)*(PLT!$V$4:$V$8886&lt;&gt;AD233)*("Valid"=PLT!$P$4:$P$7190),PLT!$V$4:$V$8886),"")</f>
        <v/>
      </c>
      <c r="AF233" s="161" t="str" cm="1">
        <f t="array" ref="AF233">IFERROR(_xlfn.XLOOKUP(1,(A233=PLT!$A$4:$A$8886)*(Geotech!C233&lt;=PLT!$F$4:$F$8886)*(Geotech!D233&gt;=PLT!$F$4:$F$8886)*(PLT!$V$4:$V$8886&lt;&gt;AD233)*(PLT!$V$4:$V$8886&lt;&gt;AE233)*("Valid"=PLT!$P$4:$P$7190),PLT!$V$4:$V$8886),"")</f>
        <v/>
      </c>
      <c r="AG233" s="162" t="str">
        <f>IFERROR(IF(AVERAGE(AD233:AF233)&gt;References!$BO$23,References!$BP$23,
IF(AVERAGE(AD233:AF233)&gt;References!$BO$22,References!$BP$22,
IF(AVERAGE(AD233:AF233)&gt;References!$BO$21,References!$BP$21,
IF(AVERAGE(AD233:AF233)&gt;References!$BO$20,References!$BP$20,
IF(AVERAGE(AD233:AF233)&gt;References!$BO$19,References!$BP$19,
IF(AVERAGE(AD233:AF233)&gt;References!$BO$18,References!$BP$18,
0)))))),"")</f>
        <v/>
      </c>
      <c r="AH233" s="163" t="e">
        <f>VLOOKUP(Data_Geotech[[#This Row],[Field Intact Rock Strength]],Table_RMR76_Strength[],2,FALSE)</f>
        <v>#N/A</v>
      </c>
      <c r="AI233" s="163" t="e">
        <f>IF(Data_Geotech[[#This Row],[RQD (%)]]&lt;=25,3,IF(Data_Geotech[[#This Row],[RQD (%)]]&lt;=50,8,IF(Data_Geotech[[#This Row],[RQD (%)]]&lt;=75,13,IF(Data_Geotech[[#This Row],[RQD (%)]]&lt;=90,17,20))))</f>
        <v>#DIV/0!</v>
      </c>
      <c r="AJ233" s="136">
        <f>IF(Data_Geotech[[#This Row],[Joint spacing (m)]]&lt;=0.05,5,IF(Data_Geotech[[#This Row],[Joint spacing (m)]]&lt;=0.3,10,IF(Data_Geotech[[#This Row],[Joint spacing (m)]]&lt;=1,20,IF(Data_Geotech[[#This Row],[Joint spacing (m)]]&lt;=3,25,30))))</f>
        <v>30</v>
      </c>
      <c r="AK23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3" s="6"/>
      <c r="AM233" s="137" t="str">
        <f>IF(Data_Geotech[[#This Row],[FIRS Code]]="R",IFERROR(SUM(Data_Geotech[[#This Row],[RMR76 - Strength rating]:[RMR76 - Ground water rating]]),""),"")</f>
        <v/>
      </c>
      <c r="AN233" s="164" t="str">
        <f>IF(Data_Geotech[[#This Row],[FIRS Code]]="R",(2*Data_Geotech[[#This Row],[RMR76 - Joint condition rating]])+(IF(Data_Geotech[[#This Row],[RQD (%)]]&gt;80,80/2,Data_Geotech[[#This Row],[RQD (%)]]/2)),"")</f>
        <v/>
      </c>
      <c r="AO233" s="136" t="e">
        <f>LEFT(Data_Geotech[[#This Row],[Joint Set Rating]],FIND("-",Data_Geotech[[#This Row],[Joint Set Rating]],1)-2)</f>
        <v>#VALUE!</v>
      </c>
      <c r="AP23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3" s="143">
        <f t="shared" si="3"/>
        <v>1</v>
      </c>
      <c r="AR233" s="165" t="str">
        <f>IF(Data_Geotech[[#This Row],[FIRS Code]]="R",IFERROR((IF(Data_Geotech[[#This Row],[RQD (%)]]&lt;10,10,Data_Geotech[[#This Row],[RQD (%)]])/Data_Geotech[[#This Row],[Jn rating]])*Data_Geotech[[#This Row],[Jr/Ja]],""),"")</f>
        <v/>
      </c>
      <c r="AS233" s="138" t="str">
        <f>IF(Data_Geotech[[#This Row],[FIRS Code]]="R",IFERROR((IF(Data_Geotech[[#This Row],[RQD (%)]]&lt;10,10,Data_Geotech[[#This Row],[RQD (%)]])/Data_Geotech[[#This Row],[Jn rating]])*Data_Geotech[[#This Row],[Jr/Ja]]*Data_Geotech[[#This Row],[Jw/SRF]],""),"")</f>
        <v/>
      </c>
      <c r="AT233" s="12"/>
      <c r="AU233" s="13" t="e">
        <f>100-Data_Geotech[[#This Row],[RQD (%)]]</f>
        <v>#DIV/0!</v>
      </c>
      <c r="AV233" s="13" t="e">
        <f>100-Data_Geotech[[#This Row],[TCR (%)]]</f>
        <v>#DIV/0!</v>
      </c>
      <c r="AW233" s="62" t="e">
        <f>(Data_Geotech[[#This Row],[Fracture per interval]]+Data_Geotech[[#This Row],[Added fractures 
(BC, FLT, LC)]])/Data_Geotech[[#This Row],[TCR (m)]]</f>
        <v>#DIV/0!</v>
      </c>
      <c r="AX233" s="62" t="str">
        <f>MID(Data_Geotech[[#This Row],[Field Intact Rock Strength]],2,1)</f>
        <v/>
      </c>
      <c r="AY233" s="63" t="e">
        <f>7-MID(Data_Geotech[[#This Row],[Field Intact Rock Strength]],2,1)</f>
        <v>#VALUE!</v>
      </c>
      <c r="AZ233" s="63" t="e">
        <f>VLOOKUP(Data_Geotech[[#This Row],[Field Intact Rock Strength]],Table_FieldStrength[],2,FALSE)</f>
        <v>#N/A</v>
      </c>
      <c r="BA233" s="63" t="e">
        <f>VLOOKUP(Data_Geotech[[#This Row],[Field Intact Rock Strength]],Table_FieldStrength[],3,FALSE)</f>
        <v>#N/A</v>
      </c>
      <c r="BB233" s="63" t="e">
        <f>VLOOKUP(Data_Geotech[[#This Row],[Field Intact Rock Strength]],Table_FieldStrength[],4,FALSE)</f>
        <v>#N/A</v>
      </c>
      <c r="BC233" s="63" t="e">
        <f>100-Data_Geotech[[#This Row],[RMR76]]</f>
        <v>#VALUE!</v>
      </c>
      <c r="BD233" s="63" t="e">
        <f>LEFT(Data_Geotech[[#This Row],[Weathering/Alteration]],FIND("-",Data_Geotech[[#This Row],[Weathering/Alteration]])-2)</f>
        <v>#VALUE!</v>
      </c>
    </row>
    <row r="234" spans="2:56" hidden="1" x14ac:dyDescent="0.25">
      <c r="B234" s="16" t="e">
        <f>VLOOKUP(Data_Geotech[[#This Row],[Hole ID]],Data_Log[],2,FALSE)</f>
        <v>#N/A</v>
      </c>
      <c r="C234" s="5"/>
      <c r="D234" s="5"/>
      <c r="E234" s="5">
        <f>(Data_Geotech[[#This Row],[To (m)]]-Data_Geotech[[#This Row],[From (m)]])/2+Data_Geotech[[#This Row],[From (m)]]</f>
        <v>0</v>
      </c>
      <c r="F234" s="13">
        <f>Data_Geotech[[#This Row],[To (m)]]-Data_Geotech[[#This Row],[From (m)]]</f>
        <v>0</v>
      </c>
      <c r="G234" s="5"/>
      <c r="H234" s="61" t="e">
        <f>Data_Geotech[[#This Row],[TCR (m)]]/Data_Geotech[[#This Row],[Run (m)]]*100</f>
        <v>#DIV/0!</v>
      </c>
      <c r="I234" s="151"/>
      <c r="J234" s="151"/>
      <c r="K234" s="5"/>
      <c r="L234" s="61" t="e">
        <f>Data_Geotech[[#This Row],[RQD (m)]]/Data_Geotech[[#This Row],[Run Reel (m)]]*100</f>
        <v>#DIV/0!</v>
      </c>
      <c r="P234" s="115"/>
      <c r="Q234" s="5"/>
      <c r="R234" s="5"/>
      <c r="S234" s="5"/>
      <c r="T234" s="5"/>
      <c r="U234" s="5"/>
      <c r="V234" s="6"/>
      <c r="W234" s="92">
        <f>SUMIFS(Discontinuities!$D$4:$D$9664,Discontinuities!$A$4:$A$9664,A234,Discontinuities!$C$4:$C$9664,"&gt;="&amp;C234,Discontinuities!$C$4:$C$9664,"&lt;"&amp;D234)
-SUMIFS(Discontinuities!$D$4:$D$9664,Discontinuities!$A$4:$A$9664,A234,Discontinuities!$C$4:$C$9664,"&gt;="&amp;C234,Discontinuities!$C$4:$C$9664,"&lt;"&amp;D234,Discontinuities!$E$4:$E$9664,"=BC")
-SUMIFS(Discontinuities!$D$4:$D$9664,Discontinuities!$A$4:$A$9664,A234,Discontinuities!$C$4:$C$9664,"&gt;="&amp;C234,Discontinuities!$C$4:$C$9664,"&lt;"&amp;D234,Discontinuities!$E$4:$E$9664,"=LC")
-SUMIFS(Discontinuities!$D$4:$D$9664,Discontinuities!$A$4:$A$9664,A234,Discontinuities!$C$4:$C$9664,"&gt;="&amp;C234,Discontinuities!$C$4:$C$9664,"&lt;"&amp;D234,Discontinuities!$E$4:$E$9664,"=FLT")</f>
        <v>0</v>
      </c>
      <c r="AA234" s="132"/>
      <c r="AB234" s="159">
        <f>IFERROR(ROUND((Data_Geotech[[#This Row],[Fault (m)]]+Data_Geotech[[#This Row],[Broken Core (m)]]+Data_Geotech[[#This Row],[Lost Core (m)]])*30,0),0)</f>
        <v>0</v>
      </c>
      <c r="AC234" s="135">
        <f>IF(Data_Geotech[[#This Row],[Added fractures 
(BC, FLT, LC)]]+Data_Geotech[[#This Row],[Fracture per interval]]=0,99,1/((Data_Geotech[[#This Row],[Fracture per interval]]+Data_Geotech[[#This Row],[Added fractures 
(BC, FLT, LC)]])/Data_Geotech[[#This Row],[Run (m)]]))</f>
        <v>99</v>
      </c>
      <c r="AD234" s="160" t="str" cm="1">
        <f t="array" ref="AD234">IFERROR(_xlfn.XLOOKUP(1,(A234=PLT!$A$4:$A$8886)*(Geotech!C234&lt;=PLT!$F$4:$F$8886)*(Geotech!D234&gt;=PLT!$F$4:$F$8886)*("Valid"=PLT!$P$4:$P$8886),PLT!$V$4:$V$8886),"")</f>
        <v/>
      </c>
      <c r="AE234" s="161" t="str" cm="1">
        <f t="array" ref="AE234">IFERROR(_xlfn.XLOOKUP(1,(A234=PLT!$A$4:$A$8886)*(Geotech!C234&lt;=PLT!$F$4:$F$8886)*(Geotech!D234&gt;=PLT!$F$4:$F$8886)*(PLT!$V$4:$V$8886&lt;&gt;AD234)*("Valid"=PLT!$P$4:$P$7190),PLT!$V$4:$V$8886),"")</f>
        <v/>
      </c>
      <c r="AF234" s="161" t="str" cm="1">
        <f t="array" ref="AF234">IFERROR(_xlfn.XLOOKUP(1,(A234=PLT!$A$4:$A$8886)*(Geotech!C234&lt;=PLT!$F$4:$F$8886)*(Geotech!D234&gt;=PLT!$F$4:$F$8886)*(PLT!$V$4:$V$8886&lt;&gt;AD234)*(PLT!$V$4:$V$8886&lt;&gt;AE234)*("Valid"=PLT!$P$4:$P$7190),PLT!$V$4:$V$8886),"")</f>
        <v/>
      </c>
      <c r="AG234" s="162" t="str">
        <f>IFERROR(IF(AVERAGE(AD234:AF234)&gt;References!$BO$23,References!$BP$23,
IF(AVERAGE(AD234:AF234)&gt;References!$BO$22,References!$BP$22,
IF(AVERAGE(AD234:AF234)&gt;References!$BO$21,References!$BP$21,
IF(AVERAGE(AD234:AF234)&gt;References!$BO$20,References!$BP$20,
IF(AVERAGE(AD234:AF234)&gt;References!$BO$19,References!$BP$19,
IF(AVERAGE(AD234:AF234)&gt;References!$BO$18,References!$BP$18,
0)))))),"")</f>
        <v/>
      </c>
      <c r="AH234" s="163" t="e">
        <f>VLOOKUP(Data_Geotech[[#This Row],[Field Intact Rock Strength]],Table_RMR76_Strength[],2,FALSE)</f>
        <v>#N/A</v>
      </c>
      <c r="AI234" s="163" t="e">
        <f>IF(Data_Geotech[[#This Row],[RQD (%)]]&lt;=25,3,IF(Data_Geotech[[#This Row],[RQD (%)]]&lt;=50,8,IF(Data_Geotech[[#This Row],[RQD (%)]]&lt;=75,13,IF(Data_Geotech[[#This Row],[RQD (%)]]&lt;=90,17,20))))</f>
        <v>#DIV/0!</v>
      </c>
      <c r="AJ234" s="136">
        <f>IF(Data_Geotech[[#This Row],[Joint spacing (m)]]&lt;=0.05,5,IF(Data_Geotech[[#This Row],[Joint spacing (m)]]&lt;=0.3,10,IF(Data_Geotech[[#This Row],[Joint spacing (m)]]&lt;=1,20,IF(Data_Geotech[[#This Row],[Joint spacing (m)]]&lt;=3,25,30))))</f>
        <v>30</v>
      </c>
      <c r="AK23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4" s="6"/>
      <c r="AM234" s="137" t="str">
        <f>IF(Data_Geotech[[#This Row],[FIRS Code]]="R",IFERROR(SUM(Data_Geotech[[#This Row],[RMR76 - Strength rating]:[RMR76 - Ground water rating]]),""),"")</f>
        <v/>
      </c>
      <c r="AN234" s="164" t="str">
        <f>IF(Data_Geotech[[#This Row],[FIRS Code]]="R",(2*Data_Geotech[[#This Row],[RMR76 - Joint condition rating]])+(IF(Data_Geotech[[#This Row],[RQD (%)]]&gt;80,80/2,Data_Geotech[[#This Row],[RQD (%)]]/2)),"")</f>
        <v/>
      </c>
      <c r="AO234" s="136" t="e">
        <f>LEFT(Data_Geotech[[#This Row],[Joint Set Rating]],FIND("-",Data_Geotech[[#This Row],[Joint Set Rating]],1)-2)</f>
        <v>#VALUE!</v>
      </c>
      <c r="AP23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4" s="143">
        <f t="shared" si="3"/>
        <v>1</v>
      </c>
      <c r="AR234" s="165" t="str">
        <f>IF(Data_Geotech[[#This Row],[FIRS Code]]="R",IFERROR((IF(Data_Geotech[[#This Row],[RQD (%)]]&lt;10,10,Data_Geotech[[#This Row],[RQD (%)]])/Data_Geotech[[#This Row],[Jn rating]])*Data_Geotech[[#This Row],[Jr/Ja]],""),"")</f>
        <v/>
      </c>
      <c r="AS234" s="138" t="str">
        <f>IF(Data_Geotech[[#This Row],[FIRS Code]]="R",IFERROR((IF(Data_Geotech[[#This Row],[RQD (%)]]&lt;10,10,Data_Geotech[[#This Row],[RQD (%)]])/Data_Geotech[[#This Row],[Jn rating]])*Data_Geotech[[#This Row],[Jr/Ja]]*Data_Geotech[[#This Row],[Jw/SRF]],""),"")</f>
        <v/>
      </c>
      <c r="AT234" s="12"/>
      <c r="AU234" s="13" t="e">
        <f>100-Data_Geotech[[#This Row],[RQD (%)]]</f>
        <v>#DIV/0!</v>
      </c>
      <c r="AV234" s="13" t="e">
        <f>100-Data_Geotech[[#This Row],[TCR (%)]]</f>
        <v>#DIV/0!</v>
      </c>
      <c r="AW234" s="62" t="e">
        <f>(Data_Geotech[[#This Row],[Fracture per interval]]+Data_Geotech[[#This Row],[Added fractures 
(BC, FLT, LC)]])/Data_Geotech[[#This Row],[TCR (m)]]</f>
        <v>#DIV/0!</v>
      </c>
      <c r="AX234" s="62" t="str">
        <f>MID(Data_Geotech[[#This Row],[Field Intact Rock Strength]],2,1)</f>
        <v/>
      </c>
      <c r="AY234" s="63" t="e">
        <f>7-MID(Data_Geotech[[#This Row],[Field Intact Rock Strength]],2,1)</f>
        <v>#VALUE!</v>
      </c>
      <c r="AZ234" s="63" t="e">
        <f>VLOOKUP(Data_Geotech[[#This Row],[Field Intact Rock Strength]],Table_FieldStrength[],2,FALSE)</f>
        <v>#N/A</v>
      </c>
      <c r="BA234" s="63" t="e">
        <f>VLOOKUP(Data_Geotech[[#This Row],[Field Intact Rock Strength]],Table_FieldStrength[],3,FALSE)</f>
        <v>#N/A</v>
      </c>
      <c r="BB234" s="63" t="e">
        <f>VLOOKUP(Data_Geotech[[#This Row],[Field Intact Rock Strength]],Table_FieldStrength[],4,FALSE)</f>
        <v>#N/A</v>
      </c>
      <c r="BC234" s="63" t="e">
        <f>100-Data_Geotech[[#This Row],[RMR76]]</f>
        <v>#VALUE!</v>
      </c>
      <c r="BD234" s="63" t="e">
        <f>LEFT(Data_Geotech[[#This Row],[Weathering/Alteration]],FIND("-",Data_Geotech[[#This Row],[Weathering/Alteration]])-2)</f>
        <v>#VALUE!</v>
      </c>
    </row>
    <row r="235" spans="2:56" hidden="1" x14ac:dyDescent="0.25">
      <c r="B235" s="16" t="e">
        <f>VLOOKUP(Data_Geotech[[#This Row],[Hole ID]],Data_Log[],2,FALSE)</f>
        <v>#N/A</v>
      </c>
      <c r="C235" s="5"/>
      <c r="D235" s="5"/>
      <c r="E235" s="5">
        <f>(Data_Geotech[[#This Row],[To (m)]]-Data_Geotech[[#This Row],[From (m)]])/2+Data_Geotech[[#This Row],[From (m)]]</f>
        <v>0</v>
      </c>
      <c r="F235" s="13">
        <f>Data_Geotech[[#This Row],[To (m)]]-Data_Geotech[[#This Row],[From (m)]]</f>
        <v>0</v>
      </c>
      <c r="G235" s="5"/>
      <c r="H235" s="61" t="e">
        <f>Data_Geotech[[#This Row],[TCR (m)]]/Data_Geotech[[#This Row],[Run (m)]]*100</f>
        <v>#DIV/0!</v>
      </c>
      <c r="I235" s="151"/>
      <c r="J235" s="151"/>
      <c r="K235" s="5"/>
      <c r="L235" s="61" t="e">
        <f>Data_Geotech[[#This Row],[RQD (m)]]/Data_Geotech[[#This Row],[Run Reel (m)]]*100</f>
        <v>#DIV/0!</v>
      </c>
      <c r="P235" s="115"/>
      <c r="Q235" s="5"/>
      <c r="R235" s="5"/>
      <c r="S235" s="5"/>
      <c r="T235" s="5"/>
      <c r="U235" s="5"/>
      <c r="V235" s="6"/>
      <c r="W235" s="92">
        <f>SUMIFS(Discontinuities!$D$4:$D$9664,Discontinuities!$A$4:$A$9664,A235,Discontinuities!$C$4:$C$9664,"&gt;="&amp;C235,Discontinuities!$C$4:$C$9664,"&lt;"&amp;D235)
-SUMIFS(Discontinuities!$D$4:$D$9664,Discontinuities!$A$4:$A$9664,A235,Discontinuities!$C$4:$C$9664,"&gt;="&amp;C235,Discontinuities!$C$4:$C$9664,"&lt;"&amp;D235,Discontinuities!$E$4:$E$9664,"=BC")
-SUMIFS(Discontinuities!$D$4:$D$9664,Discontinuities!$A$4:$A$9664,A235,Discontinuities!$C$4:$C$9664,"&gt;="&amp;C235,Discontinuities!$C$4:$C$9664,"&lt;"&amp;D235,Discontinuities!$E$4:$E$9664,"=LC")
-SUMIFS(Discontinuities!$D$4:$D$9664,Discontinuities!$A$4:$A$9664,A235,Discontinuities!$C$4:$C$9664,"&gt;="&amp;C235,Discontinuities!$C$4:$C$9664,"&lt;"&amp;D235,Discontinuities!$E$4:$E$9664,"=FLT")</f>
        <v>0</v>
      </c>
      <c r="AA235" s="132"/>
      <c r="AB235" s="159">
        <f>IFERROR(ROUND((Data_Geotech[[#This Row],[Fault (m)]]+Data_Geotech[[#This Row],[Broken Core (m)]]+Data_Geotech[[#This Row],[Lost Core (m)]])*30,0),0)</f>
        <v>0</v>
      </c>
      <c r="AC235" s="135">
        <f>IF(Data_Geotech[[#This Row],[Added fractures 
(BC, FLT, LC)]]+Data_Geotech[[#This Row],[Fracture per interval]]=0,99,1/((Data_Geotech[[#This Row],[Fracture per interval]]+Data_Geotech[[#This Row],[Added fractures 
(BC, FLT, LC)]])/Data_Geotech[[#This Row],[Run (m)]]))</f>
        <v>99</v>
      </c>
      <c r="AD235" s="160" t="str" cm="1">
        <f t="array" ref="AD235">IFERROR(_xlfn.XLOOKUP(1,(A235=PLT!$A$4:$A$8886)*(Geotech!C235&lt;=PLT!$F$4:$F$8886)*(Geotech!D235&gt;=PLT!$F$4:$F$8886)*("Valid"=PLT!$P$4:$P$8886),PLT!$V$4:$V$8886),"")</f>
        <v/>
      </c>
      <c r="AE235" s="161" t="str" cm="1">
        <f t="array" ref="AE235">IFERROR(_xlfn.XLOOKUP(1,(A235=PLT!$A$4:$A$8886)*(Geotech!C235&lt;=PLT!$F$4:$F$8886)*(Geotech!D235&gt;=PLT!$F$4:$F$8886)*(PLT!$V$4:$V$8886&lt;&gt;AD235)*("Valid"=PLT!$P$4:$P$7190),PLT!$V$4:$V$8886),"")</f>
        <v/>
      </c>
      <c r="AF235" s="161" t="str" cm="1">
        <f t="array" ref="AF235">IFERROR(_xlfn.XLOOKUP(1,(A235=PLT!$A$4:$A$8886)*(Geotech!C235&lt;=PLT!$F$4:$F$8886)*(Geotech!D235&gt;=PLT!$F$4:$F$8886)*(PLT!$V$4:$V$8886&lt;&gt;AD235)*(PLT!$V$4:$V$8886&lt;&gt;AE235)*("Valid"=PLT!$P$4:$P$7190),PLT!$V$4:$V$8886),"")</f>
        <v/>
      </c>
      <c r="AG235" s="162" t="str">
        <f>IFERROR(IF(AVERAGE(AD235:AF235)&gt;References!$BO$23,References!$BP$23,
IF(AVERAGE(AD235:AF235)&gt;References!$BO$22,References!$BP$22,
IF(AVERAGE(AD235:AF235)&gt;References!$BO$21,References!$BP$21,
IF(AVERAGE(AD235:AF235)&gt;References!$BO$20,References!$BP$20,
IF(AVERAGE(AD235:AF235)&gt;References!$BO$19,References!$BP$19,
IF(AVERAGE(AD235:AF235)&gt;References!$BO$18,References!$BP$18,
0)))))),"")</f>
        <v/>
      </c>
      <c r="AH235" s="163" t="e">
        <f>VLOOKUP(Data_Geotech[[#This Row],[Field Intact Rock Strength]],Table_RMR76_Strength[],2,FALSE)</f>
        <v>#N/A</v>
      </c>
      <c r="AI235" s="163" t="e">
        <f>IF(Data_Geotech[[#This Row],[RQD (%)]]&lt;=25,3,IF(Data_Geotech[[#This Row],[RQD (%)]]&lt;=50,8,IF(Data_Geotech[[#This Row],[RQD (%)]]&lt;=75,13,IF(Data_Geotech[[#This Row],[RQD (%)]]&lt;=90,17,20))))</f>
        <v>#DIV/0!</v>
      </c>
      <c r="AJ235" s="136">
        <f>IF(Data_Geotech[[#This Row],[Joint spacing (m)]]&lt;=0.05,5,IF(Data_Geotech[[#This Row],[Joint spacing (m)]]&lt;=0.3,10,IF(Data_Geotech[[#This Row],[Joint spacing (m)]]&lt;=1,20,IF(Data_Geotech[[#This Row],[Joint spacing (m)]]&lt;=3,25,30))))</f>
        <v>30</v>
      </c>
      <c r="AK23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5" s="6"/>
      <c r="AM235" s="137" t="str">
        <f>IF(Data_Geotech[[#This Row],[FIRS Code]]="R",IFERROR(SUM(Data_Geotech[[#This Row],[RMR76 - Strength rating]:[RMR76 - Ground water rating]]),""),"")</f>
        <v/>
      </c>
      <c r="AN235" s="164" t="str">
        <f>IF(Data_Geotech[[#This Row],[FIRS Code]]="R",(2*Data_Geotech[[#This Row],[RMR76 - Joint condition rating]])+(IF(Data_Geotech[[#This Row],[RQD (%)]]&gt;80,80/2,Data_Geotech[[#This Row],[RQD (%)]]/2)),"")</f>
        <v/>
      </c>
      <c r="AO235" s="136" t="e">
        <f>LEFT(Data_Geotech[[#This Row],[Joint Set Rating]],FIND("-",Data_Geotech[[#This Row],[Joint Set Rating]],1)-2)</f>
        <v>#VALUE!</v>
      </c>
      <c r="AP23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5" s="143">
        <f t="shared" si="3"/>
        <v>1</v>
      </c>
      <c r="AR235" s="165" t="str">
        <f>IF(Data_Geotech[[#This Row],[FIRS Code]]="R",IFERROR((IF(Data_Geotech[[#This Row],[RQD (%)]]&lt;10,10,Data_Geotech[[#This Row],[RQD (%)]])/Data_Geotech[[#This Row],[Jn rating]])*Data_Geotech[[#This Row],[Jr/Ja]],""),"")</f>
        <v/>
      </c>
      <c r="AS235" s="138" t="str">
        <f>IF(Data_Geotech[[#This Row],[FIRS Code]]="R",IFERROR((IF(Data_Geotech[[#This Row],[RQD (%)]]&lt;10,10,Data_Geotech[[#This Row],[RQD (%)]])/Data_Geotech[[#This Row],[Jn rating]])*Data_Geotech[[#This Row],[Jr/Ja]]*Data_Geotech[[#This Row],[Jw/SRF]],""),"")</f>
        <v/>
      </c>
      <c r="AT235" s="12"/>
      <c r="AU235" s="13" t="e">
        <f>100-Data_Geotech[[#This Row],[RQD (%)]]</f>
        <v>#DIV/0!</v>
      </c>
      <c r="AV235" s="13" t="e">
        <f>100-Data_Geotech[[#This Row],[TCR (%)]]</f>
        <v>#DIV/0!</v>
      </c>
      <c r="AW235" s="62" t="e">
        <f>(Data_Geotech[[#This Row],[Fracture per interval]]+Data_Geotech[[#This Row],[Added fractures 
(BC, FLT, LC)]])/Data_Geotech[[#This Row],[TCR (m)]]</f>
        <v>#DIV/0!</v>
      </c>
      <c r="AX235" s="62" t="str">
        <f>MID(Data_Geotech[[#This Row],[Field Intact Rock Strength]],2,1)</f>
        <v/>
      </c>
      <c r="AY235" s="63" t="e">
        <f>7-MID(Data_Geotech[[#This Row],[Field Intact Rock Strength]],2,1)</f>
        <v>#VALUE!</v>
      </c>
      <c r="AZ235" s="63" t="e">
        <f>VLOOKUP(Data_Geotech[[#This Row],[Field Intact Rock Strength]],Table_FieldStrength[],2,FALSE)</f>
        <v>#N/A</v>
      </c>
      <c r="BA235" s="63" t="e">
        <f>VLOOKUP(Data_Geotech[[#This Row],[Field Intact Rock Strength]],Table_FieldStrength[],3,FALSE)</f>
        <v>#N/A</v>
      </c>
      <c r="BB235" s="63" t="e">
        <f>VLOOKUP(Data_Geotech[[#This Row],[Field Intact Rock Strength]],Table_FieldStrength[],4,FALSE)</f>
        <v>#N/A</v>
      </c>
      <c r="BC235" s="63" t="e">
        <f>100-Data_Geotech[[#This Row],[RMR76]]</f>
        <v>#VALUE!</v>
      </c>
      <c r="BD235" s="63" t="e">
        <f>LEFT(Data_Geotech[[#This Row],[Weathering/Alteration]],FIND("-",Data_Geotech[[#This Row],[Weathering/Alteration]])-2)</f>
        <v>#VALUE!</v>
      </c>
    </row>
    <row r="236" spans="2:56" hidden="1" x14ac:dyDescent="0.25">
      <c r="B236" s="16" t="e">
        <f>VLOOKUP(Data_Geotech[[#This Row],[Hole ID]],Data_Log[],2,FALSE)</f>
        <v>#N/A</v>
      </c>
      <c r="C236" s="5"/>
      <c r="D236" s="5"/>
      <c r="E236" s="5">
        <f>(Data_Geotech[[#This Row],[To (m)]]-Data_Geotech[[#This Row],[From (m)]])/2+Data_Geotech[[#This Row],[From (m)]]</f>
        <v>0</v>
      </c>
      <c r="F236" s="13">
        <f>Data_Geotech[[#This Row],[To (m)]]-Data_Geotech[[#This Row],[From (m)]]</f>
        <v>0</v>
      </c>
      <c r="G236" s="5"/>
      <c r="H236" s="61" t="e">
        <f>Data_Geotech[[#This Row],[TCR (m)]]/Data_Geotech[[#This Row],[Run (m)]]*100</f>
        <v>#DIV/0!</v>
      </c>
      <c r="I236" s="151"/>
      <c r="J236" s="151"/>
      <c r="K236" s="5"/>
      <c r="L236" s="61" t="e">
        <f>Data_Geotech[[#This Row],[RQD (m)]]/Data_Geotech[[#This Row],[Run Reel (m)]]*100</f>
        <v>#DIV/0!</v>
      </c>
      <c r="P236" s="115"/>
      <c r="Q236" s="5"/>
      <c r="R236" s="5"/>
      <c r="S236" s="5"/>
      <c r="T236" s="5"/>
      <c r="U236" s="5"/>
      <c r="V236" s="6"/>
      <c r="W236" s="92">
        <f>SUMIFS(Discontinuities!$D$4:$D$9664,Discontinuities!$A$4:$A$9664,A236,Discontinuities!$C$4:$C$9664,"&gt;="&amp;C236,Discontinuities!$C$4:$C$9664,"&lt;"&amp;D236)
-SUMIFS(Discontinuities!$D$4:$D$9664,Discontinuities!$A$4:$A$9664,A236,Discontinuities!$C$4:$C$9664,"&gt;="&amp;C236,Discontinuities!$C$4:$C$9664,"&lt;"&amp;D236,Discontinuities!$E$4:$E$9664,"=BC")
-SUMIFS(Discontinuities!$D$4:$D$9664,Discontinuities!$A$4:$A$9664,A236,Discontinuities!$C$4:$C$9664,"&gt;="&amp;C236,Discontinuities!$C$4:$C$9664,"&lt;"&amp;D236,Discontinuities!$E$4:$E$9664,"=LC")
-SUMIFS(Discontinuities!$D$4:$D$9664,Discontinuities!$A$4:$A$9664,A236,Discontinuities!$C$4:$C$9664,"&gt;="&amp;C236,Discontinuities!$C$4:$C$9664,"&lt;"&amp;D236,Discontinuities!$E$4:$E$9664,"=FLT")</f>
        <v>0</v>
      </c>
      <c r="AA236" s="132"/>
      <c r="AB236" s="159">
        <f>IFERROR(ROUND((Data_Geotech[[#This Row],[Fault (m)]]+Data_Geotech[[#This Row],[Broken Core (m)]]+Data_Geotech[[#This Row],[Lost Core (m)]])*30,0),0)</f>
        <v>0</v>
      </c>
      <c r="AC236" s="135">
        <f>IF(Data_Geotech[[#This Row],[Added fractures 
(BC, FLT, LC)]]+Data_Geotech[[#This Row],[Fracture per interval]]=0,99,1/((Data_Geotech[[#This Row],[Fracture per interval]]+Data_Geotech[[#This Row],[Added fractures 
(BC, FLT, LC)]])/Data_Geotech[[#This Row],[Run (m)]]))</f>
        <v>99</v>
      </c>
      <c r="AD236" s="160" t="str" cm="1">
        <f t="array" ref="AD236">IFERROR(_xlfn.XLOOKUP(1,(A236=PLT!$A$4:$A$8886)*(Geotech!C236&lt;=PLT!$F$4:$F$8886)*(Geotech!D236&gt;=PLT!$F$4:$F$8886)*("Valid"=PLT!$P$4:$P$8886),PLT!$V$4:$V$8886),"")</f>
        <v/>
      </c>
      <c r="AE236" s="161" t="str" cm="1">
        <f t="array" ref="AE236">IFERROR(_xlfn.XLOOKUP(1,(A236=PLT!$A$4:$A$8886)*(Geotech!C236&lt;=PLT!$F$4:$F$8886)*(Geotech!D236&gt;=PLT!$F$4:$F$8886)*(PLT!$V$4:$V$8886&lt;&gt;AD236)*("Valid"=PLT!$P$4:$P$7190),PLT!$V$4:$V$8886),"")</f>
        <v/>
      </c>
      <c r="AF236" s="161" t="str" cm="1">
        <f t="array" ref="AF236">IFERROR(_xlfn.XLOOKUP(1,(A236=PLT!$A$4:$A$8886)*(Geotech!C236&lt;=PLT!$F$4:$F$8886)*(Geotech!D236&gt;=PLT!$F$4:$F$8886)*(PLT!$V$4:$V$8886&lt;&gt;AD236)*(PLT!$V$4:$V$8886&lt;&gt;AE236)*("Valid"=PLT!$P$4:$P$7190),PLT!$V$4:$V$8886),"")</f>
        <v/>
      </c>
      <c r="AG236" s="162" t="str">
        <f>IFERROR(IF(AVERAGE(AD236:AF236)&gt;References!$BO$23,References!$BP$23,
IF(AVERAGE(AD236:AF236)&gt;References!$BO$22,References!$BP$22,
IF(AVERAGE(AD236:AF236)&gt;References!$BO$21,References!$BP$21,
IF(AVERAGE(AD236:AF236)&gt;References!$BO$20,References!$BP$20,
IF(AVERAGE(AD236:AF236)&gt;References!$BO$19,References!$BP$19,
IF(AVERAGE(AD236:AF236)&gt;References!$BO$18,References!$BP$18,
0)))))),"")</f>
        <v/>
      </c>
      <c r="AH236" s="163" t="e">
        <f>VLOOKUP(Data_Geotech[[#This Row],[Field Intact Rock Strength]],Table_RMR76_Strength[],2,FALSE)</f>
        <v>#N/A</v>
      </c>
      <c r="AI236" s="163" t="e">
        <f>IF(Data_Geotech[[#This Row],[RQD (%)]]&lt;=25,3,IF(Data_Geotech[[#This Row],[RQD (%)]]&lt;=50,8,IF(Data_Geotech[[#This Row],[RQD (%)]]&lt;=75,13,IF(Data_Geotech[[#This Row],[RQD (%)]]&lt;=90,17,20))))</f>
        <v>#DIV/0!</v>
      </c>
      <c r="AJ236" s="136">
        <f>IF(Data_Geotech[[#This Row],[Joint spacing (m)]]&lt;=0.05,5,IF(Data_Geotech[[#This Row],[Joint spacing (m)]]&lt;=0.3,10,IF(Data_Geotech[[#This Row],[Joint spacing (m)]]&lt;=1,20,IF(Data_Geotech[[#This Row],[Joint spacing (m)]]&lt;=3,25,30))))</f>
        <v>30</v>
      </c>
      <c r="AK23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6" s="6"/>
      <c r="AM236" s="137" t="str">
        <f>IF(Data_Geotech[[#This Row],[FIRS Code]]="R",IFERROR(SUM(Data_Geotech[[#This Row],[RMR76 - Strength rating]:[RMR76 - Ground water rating]]),""),"")</f>
        <v/>
      </c>
      <c r="AN236" s="164" t="str">
        <f>IF(Data_Geotech[[#This Row],[FIRS Code]]="R",(2*Data_Geotech[[#This Row],[RMR76 - Joint condition rating]])+(IF(Data_Geotech[[#This Row],[RQD (%)]]&gt;80,80/2,Data_Geotech[[#This Row],[RQD (%)]]/2)),"")</f>
        <v/>
      </c>
      <c r="AO236" s="136" t="e">
        <f>LEFT(Data_Geotech[[#This Row],[Joint Set Rating]],FIND("-",Data_Geotech[[#This Row],[Joint Set Rating]],1)-2)</f>
        <v>#VALUE!</v>
      </c>
      <c r="AP23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6" s="143">
        <f t="shared" si="3"/>
        <v>1</v>
      </c>
      <c r="AR236" s="165" t="str">
        <f>IF(Data_Geotech[[#This Row],[FIRS Code]]="R",IFERROR((IF(Data_Geotech[[#This Row],[RQD (%)]]&lt;10,10,Data_Geotech[[#This Row],[RQD (%)]])/Data_Geotech[[#This Row],[Jn rating]])*Data_Geotech[[#This Row],[Jr/Ja]],""),"")</f>
        <v/>
      </c>
      <c r="AS236" s="138" t="str">
        <f>IF(Data_Geotech[[#This Row],[FIRS Code]]="R",IFERROR((IF(Data_Geotech[[#This Row],[RQD (%)]]&lt;10,10,Data_Geotech[[#This Row],[RQD (%)]])/Data_Geotech[[#This Row],[Jn rating]])*Data_Geotech[[#This Row],[Jr/Ja]]*Data_Geotech[[#This Row],[Jw/SRF]],""),"")</f>
        <v/>
      </c>
      <c r="AT236" s="12"/>
      <c r="AU236" s="13" t="e">
        <f>100-Data_Geotech[[#This Row],[RQD (%)]]</f>
        <v>#DIV/0!</v>
      </c>
      <c r="AV236" s="13" t="e">
        <f>100-Data_Geotech[[#This Row],[TCR (%)]]</f>
        <v>#DIV/0!</v>
      </c>
      <c r="AW236" s="62" t="e">
        <f>(Data_Geotech[[#This Row],[Fracture per interval]]+Data_Geotech[[#This Row],[Added fractures 
(BC, FLT, LC)]])/Data_Geotech[[#This Row],[TCR (m)]]</f>
        <v>#DIV/0!</v>
      </c>
      <c r="AX236" s="62" t="str">
        <f>MID(Data_Geotech[[#This Row],[Field Intact Rock Strength]],2,1)</f>
        <v/>
      </c>
      <c r="AY236" s="63" t="e">
        <f>7-MID(Data_Geotech[[#This Row],[Field Intact Rock Strength]],2,1)</f>
        <v>#VALUE!</v>
      </c>
      <c r="AZ236" s="63" t="e">
        <f>VLOOKUP(Data_Geotech[[#This Row],[Field Intact Rock Strength]],Table_FieldStrength[],2,FALSE)</f>
        <v>#N/A</v>
      </c>
      <c r="BA236" s="63" t="e">
        <f>VLOOKUP(Data_Geotech[[#This Row],[Field Intact Rock Strength]],Table_FieldStrength[],3,FALSE)</f>
        <v>#N/A</v>
      </c>
      <c r="BB236" s="63" t="e">
        <f>VLOOKUP(Data_Geotech[[#This Row],[Field Intact Rock Strength]],Table_FieldStrength[],4,FALSE)</f>
        <v>#N/A</v>
      </c>
      <c r="BC236" s="63" t="e">
        <f>100-Data_Geotech[[#This Row],[RMR76]]</f>
        <v>#VALUE!</v>
      </c>
      <c r="BD236" s="63" t="e">
        <f>LEFT(Data_Geotech[[#This Row],[Weathering/Alteration]],FIND("-",Data_Geotech[[#This Row],[Weathering/Alteration]])-2)</f>
        <v>#VALUE!</v>
      </c>
    </row>
    <row r="237" spans="2:56" hidden="1" x14ac:dyDescent="0.25">
      <c r="B237" s="16" t="e">
        <f>VLOOKUP(Data_Geotech[[#This Row],[Hole ID]],Data_Log[],2,FALSE)</f>
        <v>#N/A</v>
      </c>
      <c r="C237" s="5"/>
      <c r="D237" s="5"/>
      <c r="E237" s="5">
        <f>(Data_Geotech[[#This Row],[To (m)]]-Data_Geotech[[#This Row],[From (m)]])/2+Data_Geotech[[#This Row],[From (m)]]</f>
        <v>0</v>
      </c>
      <c r="F237" s="13">
        <f>Data_Geotech[[#This Row],[To (m)]]-Data_Geotech[[#This Row],[From (m)]]</f>
        <v>0</v>
      </c>
      <c r="G237" s="5"/>
      <c r="H237" s="61" t="e">
        <f>Data_Geotech[[#This Row],[TCR (m)]]/Data_Geotech[[#This Row],[Run (m)]]*100</f>
        <v>#DIV/0!</v>
      </c>
      <c r="I237" s="151"/>
      <c r="J237" s="151"/>
      <c r="K237" s="5"/>
      <c r="L237" s="61" t="e">
        <f>Data_Geotech[[#This Row],[RQD (m)]]/Data_Geotech[[#This Row],[Run Reel (m)]]*100</f>
        <v>#DIV/0!</v>
      </c>
      <c r="P237" s="115"/>
      <c r="Q237" s="5"/>
      <c r="R237" s="5"/>
      <c r="S237" s="5"/>
      <c r="T237" s="5"/>
      <c r="U237" s="5"/>
      <c r="V237" s="6"/>
      <c r="W237" s="92">
        <f>SUMIFS(Discontinuities!$D$4:$D$9664,Discontinuities!$A$4:$A$9664,A237,Discontinuities!$C$4:$C$9664,"&gt;="&amp;C237,Discontinuities!$C$4:$C$9664,"&lt;"&amp;D237)
-SUMIFS(Discontinuities!$D$4:$D$9664,Discontinuities!$A$4:$A$9664,A237,Discontinuities!$C$4:$C$9664,"&gt;="&amp;C237,Discontinuities!$C$4:$C$9664,"&lt;"&amp;D237,Discontinuities!$E$4:$E$9664,"=BC")
-SUMIFS(Discontinuities!$D$4:$D$9664,Discontinuities!$A$4:$A$9664,A237,Discontinuities!$C$4:$C$9664,"&gt;="&amp;C237,Discontinuities!$C$4:$C$9664,"&lt;"&amp;D237,Discontinuities!$E$4:$E$9664,"=LC")
-SUMIFS(Discontinuities!$D$4:$D$9664,Discontinuities!$A$4:$A$9664,A237,Discontinuities!$C$4:$C$9664,"&gt;="&amp;C237,Discontinuities!$C$4:$C$9664,"&lt;"&amp;D237,Discontinuities!$E$4:$E$9664,"=FLT")</f>
        <v>0</v>
      </c>
      <c r="AA237" s="132"/>
      <c r="AB237" s="159">
        <f>IFERROR(ROUND((Data_Geotech[[#This Row],[Fault (m)]]+Data_Geotech[[#This Row],[Broken Core (m)]]+Data_Geotech[[#This Row],[Lost Core (m)]])*30,0),0)</f>
        <v>0</v>
      </c>
      <c r="AC237" s="135">
        <f>IF(Data_Geotech[[#This Row],[Added fractures 
(BC, FLT, LC)]]+Data_Geotech[[#This Row],[Fracture per interval]]=0,99,1/((Data_Geotech[[#This Row],[Fracture per interval]]+Data_Geotech[[#This Row],[Added fractures 
(BC, FLT, LC)]])/Data_Geotech[[#This Row],[Run (m)]]))</f>
        <v>99</v>
      </c>
      <c r="AD237" s="160" t="str" cm="1">
        <f t="array" ref="AD237">IFERROR(_xlfn.XLOOKUP(1,(A237=PLT!$A$4:$A$8886)*(Geotech!C237&lt;=PLT!$F$4:$F$8886)*(Geotech!D237&gt;=PLT!$F$4:$F$8886)*("Valid"=PLT!$P$4:$P$8886),PLT!$V$4:$V$8886),"")</f>
        <v/>
      </c>
      <c r="AE237" s="161" t="str" cm="1">
        <f t="array" ref="AE237">IFERROR(_xlfn.XLOOKUP(1,(A237=PLT!$A$4:$A$8886)*(Geotech!C237&lt;=PLT!$F$4:$F$8886)*(Geotech!D237&gt;=PLT!$F$4:$F$8886)*(PLT!$V$4:$V$8886&lt;&gt;AD237)*("Valid"=PLT!$P$4:$P$7190),PLT!$V$4:$V$8886),"")</f>
        <v/>
      </c>
      <c r="AF237" s="161" t="str" cm="1">
        <f t="array" ref="AF237">IFERROR(_xlfn.XLOOKUP(1,(A237=PLT!$A$4:$A$8886)*(Geotech!C237&lt;=PLT!$F$4:$F$8886)*(Geotech!D237&gt;=PLT!$F$4:$F$8886)*(PLT!$V$4:$V$8886&lt;&gt;AD237)*(PLT!$V$4:$V$8886&lt;&gt;AE237)*("Valid"=PLT!$P$4:$P$7190),PLT!$V$4:$V$8886),"")</f>
        <v/>
      </c>
      <c r="AG237" s="162" t="str">
        <f>IFERROR(IF(AVERAGE(AD237:AF237)&gt;References!$BO$23,References!$BP$23,
IF(AVERAGE(AD237:AF237)&gt;References!$BO$22,References!$BP$22,
IF(AVERAGE(AD237:AF237)&gt;References!$BO$21,References!$BP$21,
IF(AVERAGE(AD237:AF237)&gt;References!$BO$20,References!$BP$20,
IF(AVERAGE(AD237:AF237)&gt;References!$BO$19,References!$BP$19,
IF(AVERAGE(AD237:AF237)&gt;References!$BO$18,References!$BP$18,
0)))))),"")</f>
        <v/>
      </c>
      <c r="AH237" s="163" t="e">
        <f>VLOOKUP(Data_Geotech[[#This Row],[Field Intact Rock Strength]],Table_RMR76_Strength[],2,FALSE)</f>
        <v>#N/A</v>
      </c>
      <c r="AI237" s="163" t="e">
        <f>IF(Data_Geotech[[#This Row],[RQD (%)]]&lt;=25,3,IF(Data_Geotech[[#This Row],[RQD (%)]]&lt;=50,8,IF(Data_Geotech[[#This Row],[RQD (%)]]&lt;=75,13,IF(Data_Geotech[[#This Row],[RQD (%)]]&lt;=90,17,20))))</f>
        <v>#DIV/0!</v>
      </c>
      <c r="AJ237" s="136">
        <f>IF(Data_Geotech[[#This Row],[Joint spacing (m)]]&lt;=0.05,5,IF(Data_Geotech[[#This Row],[Joint spacing (m)]]&lt;=0.3,10,IF(Data_Geotech[[#This Row],[Joint spacing (m)]]&lt;=1,20,IF(Data_Geotech[[#This Row],[Joint spacing (m)]]&lt;=3,25,30))))</f>
        <v>30</v>
      </c>
      <c r="AK23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7" s="6"/>
      <c r="AM237" s="137" t="str">
        <f>IF(Data_Geotech[[#This Row],[FIRS Code]]="R",IFERROR(SUM(Data_Geotech[[#This Row],[RMR76 - Strength rating]:[RMR76 - Ground water rating]]),""),"")</f>
        <v/>
      </c>
      <c r="AN237" s="164" t="str">
        <f>IF(Data_Geotech[[#This Row],[FIRS Code]]="R",(2*Data_Geotech[[#This Row],[RMR76 - Joint condition rating]])+(IF(Data_Geotech[[#This Row],[RQD (%)]]&gt;80,80/2,Data_Geotech[[#This Row],[RQD (%)]]/2)),"")</f>
        <v/>
      </c>
      <c r="AO237" s="136" t="e">
        <f>LEFT(Data_Geotech[[#This Row],[Joint Set Rating]],FIND("-",Data_Geotech[[#This Row],[Joint Set Rating]],1)-2)</f>
        <v>#VALUE!</v>
      </c>
      <c r="AP23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7" s="143">
        <f t="shared" si="3"/>
        <v>1</v>
      </c>
      <c r="AR237" s="165" t="str">
        <f>IF(Data_Geotech[[#This Row],[FIRS Code]]="R",IFERROR((IF(Data_Geotech[[#This Row],[RQD (%)]]&lt;10,10,Data_Geotech[[#This Row],[RQD (%)]])/Data_Geotech[[#This Row],[Jn rating]])*Data_Geotech[[#This Row],[Jr/Ja]],""),"")</f>
        <v/>
      </c>
      <c r="AS237" s="138" t="str">
        <f>IF(Data_Geotech[[#This Row],[FIRS Code]]="R",IFERROR((IF(Data_Geotech[[#This Row],[RQD (%)]]&lt;10,10,Data_Geotech[[#This Row],[RQD (%)]])/Data_Geotech[[#This Row],[Jn rating]])*Data_Geotech[[#This Row],[Jr/Ja]]*Data_Geotech[[#This Row],[Jw/SRF]],""),"")</f>
        <v/>
      </c>
      <c r="AT237" s="12"/>
      <c r="AU237" s="13" t="e">
        <f>100-Data_Geotech[[#This Row],[RQD (%)]]</f>
        <v>#DIV/0!</v>
      </c>
      <c r="AV237" s="13" t="e">
        <f>100-Data_Geotech[[#This Row],[TCR (%)]]</f>
        <v>#DIV/0!</v>
      </c>
      <c r="AW237" s="62" t="e">
        <f>(Data_Geotech[[#This Row],[Fracture per interval]]+Data_Geotech[[#This Row],[Added fractures 
(BC, FLT, LC)]])/Data_Geotech[[#This Row],[TCR (m)]]</f>
        <v>#DIV/0!</v>
      </c>
      <c r="AX237" s="62" t="str">
        <f>MID(Data_Geotech[[#This Row],[Field Intact Rock Strength]],2,1)</f>
        <v/>
      </c>
      <c r="AY237" s="63" t="e">
        <f>7-MID(Data_Geotech[[#This Row],[Field Intact Rock Strength]],2,1)</f>
        <v>#VALUE!</v>
      </c>
      <c r="AZ237" s="63" t="e">
        <f>VLOOKUP(Data_Geotech[[#This Row],[Field Intact Rock Strength]],Table_FieldStrength[],2,FALSE)</f>
        <v>#N/A</v>
      </c>
      <c r="BA237" s="63" t="e">
        <f>VLOOKUP(Data_Geotech[[#This Row],[Field Intact Rock Strength]],Table_FieldStrength[],3,FALSE)</f>
        <v>#N/A</v>
      </c>
      <c r="BB237" s="63" t="e">
        <f>VLOOKUP(Data_Geotech[[#This Row],[Field Intact Rock Strength]],Table_FieldStrength[],4,FALSE)</f>
        <v>#N/A</v>
      </c>
      <c r="BC237" s="63" t="e">
        <f>100-Data_Geotech[[#This Row],[RMR76]]</f>
        <v>#VALUE!</v>
      </c>
      <c r="BD237" s="63" t="e">
        <f>LEFT(Data_Geotech[[#This Row],[Weathering/Alteration]],FIND("-",Data_Geotech[[#This Row],[Weathering/Alteration]])-2)</f>
        <v>#VALUE!</v>
      </c>
    </row>
    <row r="238" spans="2:56" hidden="1" x14ac:dyDescent="0.25">
      <c r="B238" s="16" t="e">
        <f>VLOOKUP(Data_Geotech[[#This Row],[Hole ID]],Data_Log[],2,FALSE)</f>
        <v>#N/A</v>
      </c>
      <c r="C238" s="5"/>
      <c r="D238" s="5"/>
      <c r="E238" s="5">
        <f>(Data_Geotech[[#This Row],[To (m)]]-Data_Geotech[[#This Row],[From (m)]])/2+Data_Geotech[[#This Row],[From (m)]]</f>
        <v>0</v>
      </c>
      <c r="F238" s="13">
        <f>Data_Geotech[[#This Row],[To (m)]]-Data_Geotech[[#This Row],[From (m)]]</f>
        <v>0</v>
      </c>
      <c r="G238" s="5"/>
      <c r="H238" s="61" t="e">
        <f>Data_Geotech[[#This Row],[TCR (m)]]/Data_Geotech[[#This Row],[Run (m)]]*100</f>
        <v>#DIV/0!</v>
      </c>
      <c r="I238" s="151"/>
      <c r="J238" s="151"/>
      <c r="K238" s="5"/>
      <c r="L238" s="61" t="e">
        <f>Data_Geotech[[#This Row],[RQD (m)]]/Data_Geotech[[#This Row],[Run Reel (m)]]*100</f>
        <v>#DIV/0!</v>
      </c>
      <c r="P238" s="115"/>
      <c r="Q238" s="5"/>
      <c r="R238" s="5"/>
      <c r="S238" s="5"/>
      <c r="T238" s="5"/>
      <c r="U238" s="5"/>
      <c r="V238" s="6"/>
      <c r="W238" s="92">
        <f>SUMIFS(Discontinuities!$D$4:$D$9664,Discontinuities!$A$4:$A$9664,A238,Discontinuities!$C$4:$C$9664,"&gt;="&amp;C238,Discontinuities!$C$4:$C$9664,"&lt;"&amp;D238)
-SUMIFS(Discontinuities!$D$4:$D$9664,Discontinuities!$A$4:$A$9664,A238,Discontinuities!$C$4:$C$9664,"&gt;="&amp;C238,Discontinuities!$C$4:$C$9664,"&lt;"&amp;D238,Discontinuities!$E$4:$E$9664,"=BC")
-SUMIFS(Discontinuities!$D$4:$D$9664,Discontinuities!$A$4:$A$9664,A238,Discontinuities!$C$4:$C$9664,"&gt;="&amp;C238,Discontinuities!$C$4:$C$9664,"&lt;"&amp;D238,Discontinuities!$E$4:$E$9664,"=LC")
-SUMIFS(Discontinuities!$D$4:$D$9664,Discontinuities!$A$4:$A$9664,A238,Discontinuities!$C$4:$C$9664,"&gt;="&amp;C238,Discontinuities!$C$4:$C$9664,"&lt;"&amp;D238,Discontinuities!$E$4:$E$9664,"=FLT")</f>
        <v>0</v>
      </c>
      <c r="AA238" s="132"/>
      <c r="AB238" s="159">
        <f>IFERROR(ROUND((Data_Geotech[[#This Row],[Fault (m)]]+Data_Geotech[[#This Row],[Broken Core (m)]]+Data_Geotech[[#This Row],[Lost Core (m)]])*30,0),0)</f>
        <v>0</v>
      </c>
      <c r="AC238" s="135">
        <f>IF(Data_Geotech[[#This Row],[Added fractures 
(BC, FLT, LC)]]+Data_Geotech[[#This Row],[Fracture per interval]]=0,99,1/((Data_Geotech[[#This Row],[Fracture per interval]]+Data_Geotech[[#This Row],[Added fractures 
(BC, FLT, LC)]])/Data_Geotech[[#This Row],[Run (m)]]))</f>
        <v>99</v>
      </c>
      <c r="AD238" s="160" t="str" cm="1">
        <f t="array" ref="AD238">IFERROR(_xlfn.XLOOKUP(1,(A238=PLT!$A$4:$A$8886)*(Geotech!C238&lt;=PLT!$F$4:$F$8886)*(Geotech!D238&gt;=PLT!$F$4:$F$8886)*("Valid"=PLT!$P$4:$P$8886),PLT!$V$4:$V$8886),"")</f>
        <v/>
      </c>
      <c r="AE238" s="161" t="str" cm="1">
        <f t="array" ref="AE238">IFERROR(_xlfn.XLOOKUP(1,(A238=PLT!$A$4:$A$8886)*(Geotech!C238&lt;=PLT!$F$4:$F$8886)*(Geotech!D238&gt;=PLT!$F$4:$F$8886)*(PLT!$V$4:$V$8886&lt;&gt;AD238)*("Valid"=PLT!$P$4:$P$7190),PLT!$V$4:$V$8886),"")</f>
        <v/>
      </c>
      <c r="AF238" s="161" t="str" cm="1">
        <f t="array" ref="AF238">IFERROR(_xlfn.XLOOKUP(1,(A238=PLT!$A$4:$A$8886)*(Geotech!C238&lt;=PLT!$F$4:$F$8886)*(Geotech!D238&gt;=PLT!$F$4:$F$8886)*(PLT!$V$4:$V$8886&lt;&gt;AD238)*(PLT!$V$4:$V$8886&lt;&gt;AE238)*("Valid"=PLT!$P$4:$P$7190),PLT!$V$4:$V$8886),"")</f>
        <v/>
      </c>
      <c r="AG238" s="162" t="str">
        <f>IFERROR(IF(AVERAGE(AD238:AF238)&gt;References!$BO$23,References!$BP$23,
IF(AVERAGE(AD238:AF238)&gt;References!$BO$22,References!$BP$22,
IF(AVERAGE(AD238:AF238)&gt;References!$BO$21,References!$BP$21,
IF(AVERAGE(AD238:AF238)&gt;References!$BO$20,References!$BP$20,
IF(AVERAGE(AD238:AF238)&gt;References!$BO$19,References!$BP$19,
IF(AVERAGE(AD238:AF238)&gt;References!$BO$18,References!$BP$18,
0)))))),"")</f>
        <v/>
      </c>
      <c r="AH238" s="163" t="e">
        <f>VLOOKUP(Data_Geotech[[#This Row],[Field Intact Rock Strength]],Table_RMR76_Strength[],2,FALSE)</f>
        <v>#N/A</v>
      </c>
      <c r="AI238" s="163" t="e">
        <f>IF(Data_Geotech[[#This Row],[RQD (%)]]&lt;=25,3,IF(Data_Geotech[[#This Row],[RQD (%)]]&lt;=50,8,IF(Data_Geotech[[#This Row],[RQD (%)]]&lt;=75,13,IF(Data_Geotech[[#This Row],[RQD (%)]]&lt;=90,17,20))))</f>
        <v>#DIV/0!</v>
      </c>
      <c r="AJ238" s="136">
        <f>IF(Data_Geotech[[#This Row],[Joint spacing (m)]]&lt;=0.05,5,IF(Data_Geotech[[#This Row],[Joint spacing (m)]]&lt;=0.3,10,IF(Data_Geotech[[#This Row],[Joint spacing (m)]]&lt;=1,20,IF(Data_Geotech[[#This Row],[Joint spacing (m)]]&lt;=3,25,30))))</f>
        <v>30</v>
      </c>
      <c r="AK23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8" s="6"/>
      <c r="AM238" s="137" t="str">
        <f>IF(Data_Geotech[[#This Row],[FIRS Code]]="R",IFERROR(SUM(Data_Geotech[[#This Row],[RMR76 - Strength rating]:[RMR76 - Ground water rating]]),""),"")</f>
        <v/>
      </c>
      <c r="AN238" s="164" t="str">
        <f>IF(Data_Geotech[[#This Row],[FIRS Code]]="R",(2*Data_Geotech[[#This Row],[RMR76 - Joint condition rating]])+(IF(Data_Geotech[[#This Row],[RQD (%)]]&gt;80,80/2,Data_Geotech[[#This Row],[RQD (%)]]/2)),"")</f>
        <v/>
      </c>
      <c r="AO238" s="136" t="e">
        <f>LEFT(Data_Geotech[[#This Row],[Joint Set Rating]],FIND("-",Data_Geotech[[#This Row],[Joint Set Rating]],1)-2)</f>
        <v>#VALUE!</v>
      </c>
      <c r="AP23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8" s="143">
        <f t="shared" si="3"/>
        <v>1</v>
      </c>
      <c r="AR238" s="165" t="str">
        <f>IF(Data_Geotech[[#This Row],[FIRS Code]]="R",IFERROR((IF(Data_Geotech[[#This Row],[RQD (%)]]&lt;10,10,Data_Geotech[[#This Row],[RQD (%)]])/Data_Geotech[[#This Row],[Jn rating]])*Data_Geotech[[#This Row],[Jr/Ja]],""),"")</f>
        <v/>
      </c>
      <c r="AS238" s="138" t="str">
        <f>IF(Data_Geotech[[#This Row],[FIRS Code]]="R",IFERROR((IF(Data_Geotech[[#This Row],[RQD (%)]]&lt;10,10,Data_Geotech[[#This Row],[RQD (%)]])/Data_Geotech[[#This Row],[Jn rating]])*Data_Geotech[[#This Row],[Jr/Ja]]*Data_Geotech[[#This Row],[Jw/SRF]],""),"")</f>
        <v/>
      </c>
      <c r="AT238" s="12"/>
      <c r="AU238" s="13" t="e">
        <f>100-Data_Geotech[[#This Row],[RQD (%)]]</f>
        <v>#DIV/0!</v>
      </c>
      <c r="AV238" s="13" t="e">
        <f>100-Data_Geotech[[#This Row],[TCR (%)]]</f>
        <v>#DIV/0!</v>
      </c>
      <c r="AW238" s="62" t="e">
        <f>(Data_Geotech[[#This Row],[Fracture per interval]]+Data_Geotech[[#This Row],[Added fractures 
(BC, FLT, LC)]])/Data_Geotech[[#This Row],[TCR (m)]]</f>
        <v>#DIV/0!</v>
      </c>
      <c r="AX238" s="62" t="str">
        <f>MID(Data_Geotech[[#This Row],[Field Intact Rock Strength]],2,1)</f>
        <v/>
      </c>
      <c r="AY238" s="63" t="e">
        <f>7-MID(Data_Geotech[[#This Row],[Field Intact Rock Strength]],2,1)</f>
        <v>#VALUE!</v>
      </c>
      <c r="AZ238" s="63" t="e">
        <f>VLOOKUP(Data_Geotech[[#This Row],[Field Intact Rock Strength]],Table_FieldStrength[],2,FALSE)</f>
        <v>#N/A</v>
      </c>
      <c r="BA238" s="63" t="e">
        <f>VLOOKUP(Data_Geotech[[#This Row],[Field Intact Rock Strength]],Table_FieldStrength[],3,FALSE)</f>
        <v>#N/A</v>
      </c>
      <c r="BB238" s="63" t="e">
        <f>VLOOKUP(Data_Geotech[[#This Row],[Field Intact Rock Strength]],Table_FieldStrength[],4,FALSE)</f>
        <v>#N/A</v>
      </c>
      <c r="BC238" s="63" t="e">
        <f>100-Data_Geotech[[#This Row],[RMR76]]</f>
        <v>#VALUE!</v>
      </c>
      <c r="BD238" s="63" t="e">
        <f>LEFT(Data_Geotech[[#This Row],[Weathering/Alteration]],FIND("-",Data_Geotech[[#This Row],[Weathering/Alteration]])-2)</f>
        <v>#VALUE!</v>
      </c>
    </row>
    <row r="239" spans="2:56" hidden="1" x14ac:dyDescent="0.25">
      <c r="B239" s="16" t="e">
        <f>VLOOKUP(Data_Geotech[[#This Row],[Hole ID]],Data_Log[],2,FALSE)</f>
        <v>#N/A</v>
      </c>
      <c r="C239" s="5"/>
      <c r="D239" s="5"/>
      <c r="E239" s="5">
        <f>(Data_Geotech[[#This Row],[To (m)]]-Data_Geotech[[#This Row],[From (m)]])/2+Data_Geotech[[#This Row],[From (m)]]</f>
        <v>0</v>
      </c>
      <c r="F239" s="13">
        <f>Data_Geotech[[#This Row],[To (m)]]-Data_Geotech[[#This Row],[From (m)]]</f>
        <v>0</v>
      </c>
      <c r="G239" s="5"/>
      <c r="H239" s="61" t="e">
        <f>Data_Geotech[[#This Row],[TCR (m)]]/Data_Geotech[[#This Row],[Run (m)]]*100</f>
        <v>#DIV/0!</v>
      </c>
      <c r="I239" s="151"/>
      <c r="J239" s="151"/>
      <c r="K239" s="5"/>
      <c r="L239" s="61" t="e">
        <f>Data_Geotech[[#This Row],[RQD (m)]]/Data_Geotech[[#This Row],[Run Reel (m)]]*100</f>
        <v>#DIV/0!</v>
      </c>
      <c r="P239" s="115"/>
      <c r="Q239" s="5"/>
      <c r="R239" s="5"/>
      <c r="S239" s="5"/>
      <c r="T239" s="5"/>
      <c r="U239" s="5"/>
      <c r="V239" s="6"/>
      <c r="W239" s="92">
        <f>SUMIFS(Discontinuities!$D$4:$D$9664,Discontinuities!$A$4:$A$9664,A239,Discontinuities!$C$4:$C$9664,"&gt;="&amp;C239,Discontinuities!$C$4:$C$9664,"&lt;"&amp;D239)
-SUMIFS(Discontinuities!$D$4:$D$9664,Discontinuities!$A$4:$A$9664,A239,Discontinuities!$C$4:$C$9664,"&gt;="&amp;C239,Discontinuities!$C$4:$C$9664,"&lt;"&amp;D239,Discontinuities!$E$4:$E$9664,"=BC")
-SUMIFS(Discontinuities!$D$4:$D$9664,Discontinuities!$A$4:$A$9664,A239,Discontinuities!$C$4:$C$9664,"&gt;="&amp;C239,Discontinuities!$C$4:$C$9664,"&lt;"&amp;D239,Discontinuities!$E$4:$E$9664,"=LC")
-SUMIFS(Discontinuities!$D$4:$D$9664,Discontinuities!$A$4:$A$9664,A239,Discontinuities!$C$4:$C$9664,"&gt;="&amp;C239,Discontinuities!$C$4:$C$9664,"&lt;"&amp;D239,Discontinuities!$E$4:$E$9664,"=FLT")</f>
        <v>0</v>
      </c>
      <c r="AA239" s="132"/>
      <c r="AB239" s="159">
        <f>IFERROR(ROUND((Data_Geotech[[#This Row],[Fault (m)]]+Data_Geotech[[#This Row],[Broken Core (m)]]+Data_Geotech[[#This Row],[Lost Core (m)]])*30,0),0)</f>
        <v>0</v>
      </c>
      <c r="AC239" s="135">
        <f>IF(Data_Geotech[[#This Row],[Added fractures 
(BC, FLT, LC)]]+Data_Geotech[[#This Row],[Fracture per interval]]=0,99,1/((Data_Geotech[[#This Row],[Fracture per interval]]+Data_Geotech[[#This Row],[Added fractures 
(BC, FLT, LC)]])/Data_Geotech[[#This Row],[Run (m)]]))</f>
        <v>99</v>
      </c>
      <c r="AD239" s="160" t="str" cm="1">
        <f t="array" ref="AD239">IFERROR(_xlfn.XLOOKUP(1,(A239=PLT!$A$4:$A$8886)*(Geotech!C239&lt;=PLT!$F$4:$F$8886)*(Geotech!D239&gt;=PLT!$F$4:$F$8886)*("Valid"=PLT!$P$4:$P$8886),PLT!$V$4:$V$8886),"")</f>
        <v/>
      </c>
      <c r="AE239" s="161" t="str" cm="1">
        <f t="array" ref="AE239">IFERROR(_xlfn.XLOOKUP(1,(A239=PLT!$A$4:$A$8886)*(Geotech!C239&lt;=PLT!$F$4:$F$8886)*(Geotech!D239&gt;=PLT!$F$4:$F$8886)*(PLT!$V$4:$V$8886&lt;&gt;AD239)*("Valid"=PLT!$P$4:$P$7190),PLT!$V$4:$V$8886),"")</f>
        <v/>
      </c>
      <c r="AF239" s="161" t="str" cm="1">
        <f t="array" ref="AF239">IFERROR(_xlfn.XLOOKUP(1,(A239=PLT!$A$4:$A$8886)*(Geotech!C239&lt;=PLT!$F$4:$F$8886)*(Geotech!D239&gt;=PLT!$F$4:$F$8886)*(PLT!$V$4:$V$8886&lt;&gt;AD239)*(PLT!$V$4:$V$8886&lt;&gt;AE239)*("Valid"=PLT!$P$4:$P$7190),PLT!$V$4:$V$8886),"")</f>
        <v/>
      </c>
      <c r="AG239" s="162" t="str">
        <f>IFERROR(IF(AVERAGE(AD239:AF239)&gt;References!$BO$23,References!$BP$23,
IF(AVERAGE(AD239:AF239)&gt;References!$BO$22,References!$BP$22,
IF(AVERAGE(AD239:AF239)&gt;References!$BO$21,References!$BP$21,
IF(AVERAGE(AD239:AF239)&gt;References!$BO$20,References!$BP$20,
IF(AVERAGE(AD239:AF239)&gt;References!$BO$19,References!$BP$19,
IF(AVERAGE(AD239:AF239)&gt;References!$BO$18,References!$BP$18,
0)))))),"")</f>
        <v/>
      </c>
      <c r="AH239" s="163" t="e">
        <f>VLOOKUP(Data_Geotech[[#This Row],[Field Intact Rock Strength]],Table_RMR76_Strength[],2,FALSE)</f>
        <v>#N/A</v>
      </c>
      <c r="AI239" s="163" t="e">
        <f>IF(Data_Geotech[[#This Row],[RQD (%)]]&lt;=25,3,IF(Data_Geotech[[#This Row],[RQD (%)]]&lt;=50,8,IF(Data_Geotech[[#This Row],[RQD (%)]]&lt;=75,13,IF(Data_Geotech[[#This Row],[RQD (%)]]&lt;=90,17,20))))</f>
        <v>#DIV/0!</v>
      </c>
      <c r="AJ239" s="136">
        <f>IF(Data_Geotech[[#This Row],[Joint spacing (m)]]&lt;=0.05,5,IF(Data_Geotech[[#This Row],[Joint spacing (m)]]&lt;=0.3,10,IF(Data_Geotech[[#This Row],[Joint spacing (m)]]&lt;=1,20,IF(Data_Geotech[[#This Row],[Joint spacing (m)]]&lt;=3,25,30))))</f>
        <v>30</v>
      </c>
      <c r="AK23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39" s="6"/>
      <c r="AM239" s="137" t="str">
        <f>IF(Data_Geotech[[#This Row],[FIRS Code]]="R",IFERROR(SUM(Data_Geotech[[#This Row],[RMR76 - Strength rating]:[RMR76 - Ground water rating]]),""),"")</f>
        <v/>
      </c>
      <c r="AN239" s="164" t="str">
        <f>IF(Data_Geotech[[#This Row],[FIRS Code]]="R",(2*Data_Geotech[[#This Row],[RMR76 - Joint condition rating]])+(IF(Data_Geotech[[#This Row],[RQD (%)]]&gt;80,80/2,Data_Geotech[[#This Row],[RQD (%)]]/2)),"")</f>
        <v/>
      </c>
      <c r="AO239" s="136" t="e">
        <f>LEFT(Data_Geotech[[#This Row],[Joint Set Rating]],FIND("-",Data_Geotech[[#This Row],[Joint Set Rating]],1)-2)</f>
        <v>#VALUE!</v>
      </c>
      <c r="AP23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39" s="143">
        <f t="shared" si="3"/>
        <v>1</v>
      </c>
      <c r="AR239" s="165" t="str">
        <f>IF(Data_Geotech[[#This Row],[FIRS Code]]="R",IFERROR((IF(Data_Geotech[[#This Row],[RQD (%)]]&lt;10,10,Data_Geotech[[#This Row],[RQD (%)]])/Data_Geotech[[#This Row],[Jn rating]])*Data_Geotech[[#This Row],[Jr/Ja]],""),"")</f>
        <v/>
      </c>
      <c r="AS239" s="138" t="str">
        <f>IF(Data_Geotech[[#This Row],[FIRS Code]]="R",IFERROR((IF(Data_Geotech[[#This Row],[RQD (%)]]&lt;10,10,Data_Geotech[[#This Row],[RQD (%)]])/Data_Geotech[[#This Row],[Jn rating]])*Data_Geotech[[#This Row],[Jr/Ja]]*Data_Geotech[[#This Row],[Jw/SRF]],""),"")</f>
        <v/>
      </c>
      <c r="AT239" s="12"/>
      <c r="AU239" s="13" t="e">
        <f>100-Data_Geotech[[#This Row],[RQD (%)]]</f>
        <v>#DIV/0!</v>
      </c>
      <c r="AV239" s="13" t="e">
        <f>100-Data_Geotech[[#This Row],[TCR (%)]]</f>
        <v>#DIV/0!</v>
      </c>
      <c r="AW239" s="62" t="e">
        <f>(Data_Geotech[[#This Row],[Fracture per interval]]+Data_Geotech[[#This Row],[Added fractures 
(BC, FLT, LC)]])/Data_Geotech[[#This Row],[TCR (m)]]</f>
        <v>#DIV/0!</v>
      </c>
      <c r="AX239" s="62" t="str">
        <f>MID(Data_Geotech[[#This Row],[Field Intact Rock Strength]],2,1)</f>
        <v/>
      </c>
      <c r="AY239" s="63" t="e">
        <f>7-MID(Data_Geotech[[#This Row],[Field Intact Rock Strength]],2,1)</f>
        <v>#VALUE!</v>
      </c>
      <c r="AZ239" s="63" t="e">
        <f>VLOOKUP(Data_Geotech[[#This Row],[Field Intact Rock Strength]],Table_FieldStrength[],2,FALSE)</f>
        <v>#N/A</v>
      </c>
      <c r="BA239" s="63" t="e">
        <f>VLOOKUP(Data_Geotech[[#This Row],[Field Intact Rock Strength]],Table_FieldStrength[],3,FALSE)</f>
        <v>#N/A</v>
      </c>
      <c r="BB239" s="63" t="e">
        <f>VLOOKUP(Data_Geotech[[#This Row],[Field Intact Rock Strength]],Table_FieldStrength[],4,FALSE)</f>
        <v>#N/A</v>
      </c>
      <c r="BC239" s="63" t="e">
        <f>100-Data_Geotech[[#This Row],[RMR76]]</f>
        <v>#VALUE!</v>
      </c>
      <c r="BD239" s="63" t="e">
        <f>LEFT(Data_Geotech[[#This Row],[Weathering/Alteration]],FIND("-",Data_Geotech[[#This Row],[Weathering/Alteration]])-2)</f>
        <v>#VALUE!</v>
      </c>
    </row>
    <row r="240" spans="2:56" hidden="1" x14ac:dyDescent="0.25">
      <c r="B240" s="16" t="e">
        <f>VLOOKUP(Data_Geotech[[#This Row],[Hole ID]],Data_Log[],2,FALSE)</f>
        <v>#N/A</v>
      </c>
      <c r="C240" s="5"/>
      <c r="D240" s="5"/>
      <c r="E240" s="5">
        <f>(Data_Geotech[[#This Row],[To (m)]]-Data_Geotech[[#This Row],[From (m)]])/2+Data_Geotech[[#This Row],[From (m)]]</f>
        <v>0</v>
      </c>
      <c r="F240" s="13">
        <f>Data_Geotech[[#This Row],[To (m)]]-Data_Geotech[[#This Row],[From (m)]]</f>
        <v>0</v>
      </c>
      <c r="G240" s="5"/>
      <c r="H240" s="61" t="e">
        <f>Data_Geotech[[#This Row],[TCR (m)]]/Data_Geotech[[#This Row],[Run (m)]]*100</f>
        <v>#DIV/0!</v>
      </c>
      <c r="I240" s="151"/>
      <c r="J240" s="151"/>
      <c r="K240" s="5"/>
      <c r="L240" s="61" t="e">
        <f>Data_Geotech[[#This Row],[RQD (m)]]/Data_Geotech[[#This Row],[Run Reel (m)]]*100</f>
        <v>#DIV/0!</v>
      </c>
      <c r="P240" s="115"/>
      <c r="Q240" s="5"/>
      <c r="R240" s="5"/>
      <c r="S240" s="5"/>
      <c r="T240" s="5"/>
      <c r="U240" s="5"/>
      <c r="V240" s="6"/>
      <c r="W240" s="92">
        <f>SUMIFS(Discontinuities!$D$4:$D$9664,Discontinuities!$A$4:$A$9664,A240,Discontinuities!$C$4:$C$9664,"&gt;="&amp;C240,Discontinuities!$C$4:$C$9664,"&lt;"&amp;D240)
-SUMIFS(Discontinuities!$D$4:$D$9664,Discontinuities!$A$4:$A$9664,A240,Discontinuities!$C$4:$C$9664,"&gt;="&amp;C240,Discontinuities!$C$4:$C$9664,"&lt;"&amp;D240,Discontinuities!$E$4:$E$9664,"=BC")
-SUMIFS(Discontinuities!$D$4:$D$9664,Discontinuities!$A$4:$A$9664,A240,Discontinuities!$C$4:$C$9664,"&gt;="&amp;C240,Discontinuities!$C$4:$C$9664,"&lt;"&amp;D240,Discontinuities!$E$4:$E$9664,"=LC")
-SUMIFS(Discontinuities!$D$4:$D$9664,Discontinuities!$A$4:$A$9664,A240,Discontinuities!$C$4:$C$9664,"&gt;="&amp;C240,Discontinuities!$C$4:$C$9664,"&lt;"&amp;D240,Discontinuities!$E$4:$E$9664,"=FLT")</f>
        <v>0</v>
      </c>
      <c r="AA240" s="132"/>
      <c r="AB240" s="159">
        <f>IFERROR(ROUND((Data_Geotech[[#This Row],[Fault (m)]]+Data_Geotech[[#This Row],[Broken Core (m)]]+Data_Geotech[[#This Row],[Lost Core (m)]])*30,0),0)</f>
        <v>0</v>
      </c>
      <c r="AC240" s="135">
        <f>IF(Data_Geotech[[#This Row],[Added fractures 
(BC, FLT, LC)]]+Data_Geotech[[#This Row],[Fracture per interval]]=0,99,1/((Data_Geotech[[#This Row],[Fracture per interval]]+Data_Geotech[[#This Row],[Added fractures 
(BC, FLT, LC)]])/Data_Geotech[[#This Row],[Run (m)]]))</f>
        <v>99</v>
      </c>
      <c r="AD240" s="160" t="str" cm="1">
        <f t="array" ref="AD240">IFERROR(_xlfn.XLOOKUP(1,(A240=PLT!$A$4:$A$8886)*(Geotech!C240&lt;=PLT!$F$4:$F$8886)*(Geotech!D240&gt;=PLT!$F$4:$F$8886)*("Valid"=PLT!$P$4:$P$8886),PLT!$V$4:$V$8886),"")</f>
        <v/>
      </c>
      <c r="AE240" s="161" t="str" cm="1">
        <f t="array" ref="AE240">IFERROR(_xlfn.XLOOKUP(1,(A240=PLT!$A$4:$A$8886)*(Geotech!C240&lt;=PLT!$F$4:$F$8886)*(Geotech!D240&gt;=PLT!$F$4:$F$8886)*(PLT!$V$4:$V$8886&lt;&gt;AD240)*("Valid"=PLT!$P$4:$P$7190),PLT!$V$4:$V$8886),"")</f>
        <v/>
      </c>
      <c r="AF240" s="161" t="str" cm="1">
        <f t="array" ref="AF240">IFERROR(_xlfn.XLOOKUP(1,(A240=PLT!$A$4:$A$8886)*(Geotech!C240&lt;=PLT!$F$4:$F$8886)*(Geotech!D240&gt;=PLT!$F$4:$F$8886)*(PLT!$V$4:$V$8886&lt;&gt;AD240)*(PLT!$V$4:$V$8886&lt;&gt;AE240)*("Valid"=PLT!$P$4:$P$7190),PLT!$V$4:$V$8886),"")</f>
        <v/>
      </c>
      <c r="AG240" s="162" t="str">
        <f>IFERROR(IF(AVERAGE(AD240:AF240)&gt;References!$BO$23,References!$BP$23,
IF(AVERAGE(AD240:AF240)&gt;References!$BO$22,References!$BP$22,
IF(AVERAGE(AD240:AF240)&gt;References!$BO$21,References!$BP$21,
IF(AVERAGE(AD240:AF240)&gt;References!$BO$20,References!$BP$20,
IF(AVERAGE(AD240:AF240)&gt;References!$BO$19,References!$BP$19,
IF(AVERAGE(AD240:AF240)&gt;References!$BO$18,References!$BP$18,
0)))))),"")</f>
        <v/>
      </c>
      <c r="AH240" s="163" t="e">
        <f>VLOOKUP(Data_Geotech[[#This Row],[Field Intact Rock Strength]],Table_RMR76_Strength[],2,FALSE)</f>
        <v>#N/A</v>
      </c>
      <c r="AI240" s="163" t="e">
        <f>IF(Data_Geotech[[#This Row],[RQD (%)]]&lt;=25,3,IF(Data_Geotech[[#This Row],[RQD (%)]]&lt;=50,8,IF(Data_Geotech[[#This Row],[RQD (%)]]&lt;=75,13,IF(Data_Geotech[[#This Row],[RQD (%)]]&lt;=90,17,20))))</f>
        <v>#DIV/0!</v>
      </c>
      <c r="AJ240" s="136">
        <f>IF(Data_Geotech[[#This Row],[Joint spacing (m)]]&lt;=0.05,5,IF(Data_Geotech[[#This Row],[Joint spacing (m)]]&lt;=0.3,10,IF(Data_Geotech[[#This Row],[Joint spacing (m)]]&lt;=1,20,IF(Data_Geotech[[#This Row],[Joint spacing (m)]]&lt;=3,25,30))))</f>
        <v>30</v>
      </c>
      <c r="AK24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0" s="6"/>
      <c r="AM240" s="137" t="str">
        <f>IF(Data_Geotech[[#This Row],[FIRS Code]]="R",IFERROR(SUM(Data_Geotech[[#This Row],[RMR76 - Strength rating]:[RMR76 - Ground water rating]]),""),"")</f>
        <v/>
      </c>
      <c r="AN240" s="164" t="str">
        <f>IF(Data_Geotech[[#This Row],[FIRS Code]]="R",(2*Data_Geotech[[#This Row],[RMR76 - Joint condition rating]])+(IF(Data_Geotech[[#This Row],[RQD (%)]]&gt;80,80/2,Data_Geotech[[#This Row],[RQD (%)]]/2)),"")</f>
        <v/>
      </c>
      <c r="AO240" s="136" t="e">
        <f>LEFT(Data_Geotech[[#This Row],[Joint Set Rating]],FIND("-",Data_Geotech[[#This Row],[Joint Set Rating]],1)-2)</f>
        <v>#VALUE!</v>
      </c>
      <c r="AP24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0" s="143">
        <f t="shared" si="3"/>
        <v>1</v>
      </c>
      <c r="AR240" s="165" t="str">
        <f>IF(Data_Geotech[[#This Row],[FIRS Code]]="R",IFERROR((IF(Data_Geotech[[#This Row],[RQD (%)]]&lt;10,10,Data_Geotech[[#This Row],[RQD (%)]])/Data_Geotech[[#This Row],[Jn rating]])*Data_Geotech[[#This Row],[Jr/Ja]],""),"")</f>
        <v/>
      </c>
      <c r="AS240" s="138" t="str">
        <f>IF(Data_Geotech[[#This Row],[FIRS Code]]="R",IFERROR((IF(Data_Geotech[[#This Row],[RQD (%)]]&lt;10,10,Data_Geotech[[#This Row],[RQD (%)]])/Data_Geotech[[#This Row],[Jn rating]])*Data_Geotech[[#This Row],[Jr/Ja]]*Data_Geotech[[#This Row],[Jw/SRF]],""),"")</f>
        <v/>
      </c>
      <c r="AT240" s="12"/>
      <c r="AU240" s="13" t="e">
        <f>100-Data_Geotech[[#This Row],[RQD (%)]]</f>
        <v>#DIV/0!</v>
      </c>
      <c r="AV240" s="13" t="e">
        <f>100-Data_Geotech[[#This Row],[TCR (%)]]</f>
        <v>#DIV/0!</v>
      </c>
      <c r="AW240" s="62" t="e">
        <f>(Data_Geotech[[#This Row],[Fracture per interval]]+Data_Geotech[[#This Row],[Added fractures 
(BC, FLT, LC)]])/Data_Geotech[[#This Row],[TCR (m)]]</f>
        <v>#DIV/0!</v>
      </c>
      <c r="AX240" s="62" t="str">
        <f>MID(Data_Geotech[[#This Row],[Field Intact Rock Strength]],2,1)</f>
        <v/>
      </c>
      <c r="AY240" s="63" t="e">
        <f>7-MID(Data_Geotech[[#This Row],[Field Intact Rock Strength]],2,1)</f>
        <v>#VALUE!</v>
      </c>
      <c r="AZ240" s="63" t="e">
        <f>VLOOKUP(Data_Geotech[[#This Row],[Field Intact Rock Strength]],Table_FieldStrength[],2,FALSE)</f>
        <v>#N/A</v>
      </c>
      <c r="BA240" s="63" t="e">
        <f>VLOOKUP(Data_Geotech[[#This Row],[Field Intact Rock Strength]],Table_FieldStrength[],3,FALSE)</f>
        <v>#N/A</v>
      </c>
      <c r="BB240" s="63" t="e">
        <f>VLOOKUP(Data_Geotech[[#This Row],[Field Intact Rock Strength]],Table_FieldStrength[],4,FALSE)</f>
        <v>#N/A</v>
      </c>
      <c r="BC240" s="63" t="e">
        <f>100-Data_Geotech[[#This Row],[RMR76]]</f>
        <v>#VALUE!</v>
      </c>
      <c r="BD240" s="63" t="e">
        <f>LEFT(Data_Geotech[[#This Row],[Weathering/Alteration]],FIND("-",Data_Geotech[[#This Row],[Weathering/Alteration]])-2)</f>
        <v>#VALUE!</v>
      </c>
    </row>
    <row r="241" spans="2:56" hidden="1" x14ac:dyDescent="0.25">
      <c r="B241" s="16" t="e">
        <f>VLOOKUP(Data_Geotech[[#This Row],[Hole ID]],Data_Log[],2,FALSE)</f>
        <v>#N/A</v>
      </c>
      <c r="C241" s="5"/>
      <c r="D241" s="5"/>
      <c r="E241" s="5">
        <f>(Data_Geotech[[#This Row],[To (m)]]-Data_Geotech[[#This Row],[From (m)]])/2+Data_Geotech[[#This Row],[From (m)]]</f>
        <v>0</v>
      </c>
      <c r="F241" s="13">
        <f>Data_Geotech[[#This Row],[To (m)]]-Data_Geotech[[#This Row],[From (m)]]</f>
        <v>0</v>
      </c>
      <c r="G241" s="5"/>
      <c r="H241" s="61" t="e">
        <f>Data_Geotech[[#This Row],[TCR (m)]]/Data_Geotech[[#This Row],[Run (m)]]*100</f>
        <v>#DIV/0!</v>
      </c>
      <c r="I241" s="151"/>
      <c r="J241" s="151"/>
      <c r="K241" s="5"/>
      <c r="L241" s="61" t="e">
        <f>Data_Geotech[[#This Row],[RQD (m)]]/Data_Geotech[[#This Row],[Run Reel (m)]]*100</f>
        <v>#DIV/0!</v>
      </c>
      <c r="P241" s="115"/>
      <c r="Q241" s="5"/>
      <c r="R241" s="5"/>
      <c r="S241" s="5"/>
      <c r="T241" s="5"/>
      <c r="U241" s="5"/>
      <c r="V241" s="6"/>
      <c r="W241" s="92">
        <f>SUMIFS(Discontinuities!$D$4:$D$9664,Discontinuities!$A$4:$A$9664,A241,Discontinuities!$C$4:$C$9664,"&gt;="&amp;C241,Discontinuities!$C$4:$C$9664,"&lt;"&amp;D241)
-SUMIFS(Discontinuities!$D$4:$D$9664,Discontinuities!$A$4:$A$9664,A241,Discontinuities!$C$4:$C$9664,"&gt;="&amp;C241,Discontinuities!$C$4:$C$9664,"&lt;"&amp;D241,Discontinuities!$E$4:$E$9664,"=BC")
-SUMIFS(Discontinuities!$D$4:$D$9664,Discontinuities!$A$4:$A$9664,A241,Discontinuities!$C$4:$C$9664,"&gt;="&amp;C241,Discontinuities!$C$4:$C$9664,"&lt;"&amp;D241,Discontinuities!$E$4:$E$9664,"=LC")
-SUMIFS(Discontinuities!$D$4:$D$9664,Discontinuities!$A$4:$A$9664,A241,Discontinuities!$C$4:$C$9664,"&gt;="&amp;C241,Discontinuities!$C$4:$C$9664,"&lt;"&amp;D241,Discontinuities!$E$4:$E$9664,"=FLT")</f>
        <v>0</v>
      </c>
      <c r="AA241" s="132"/>
      <c r="AB241" s="159">
        <f>IFERROR(ROUND((Data_Geotech[[#This Row],[Fault (m)]]+Data_Geotech[[#This Row],[Broken Core (m)]]+Data_Geotech[[#This Row],[Lost Core (m)]])*30,0),0)</f>
        <v>0</v>
      </c>
      <c r="AC241" s="135">
        <f>IF(Data_Geotech[[#This Row],[Added fractures 
(BC, FLT, LC)]]+Data_Geotech[[#This Row],[Fracture per interval]]=0,99,1/((Data_Geotech[[#This Row],[Fracture per interval]]+Data_Geotech[[#This Row],[Added fractures 
(BC, FLT, LC)]])/Data_Geotech[[#This Row],[Run (m)]]))</f>
        <v>99</v>
      </c>
      <c r="AD241" s="160" t="str" cm="1">
        <f t="array" ref="AD241">IFERROR(_xlfn.XLOOKUP(1,(A241=PLT!$A$4:$A$8886)*(Geotech!C241&lt;=PLT!$F$4:$F$8886)*(Geotech!D241&gt;=PLT!$F$4:$F$8886)*("Valid"=PLT!$P$4:$P$8886),PLT!$V$4:$V$8886),"")</f>
        <v/>
      </c>
      <c r="AE241" s="161" t="str" cm="1">
        <f t="array" ref="AE241">IFERROR(_xlfn.XLOOKUP(1,(A241=PLT!$A$4:$A$8886)*(Geotech!C241&lt;=PLT!$F$4:$F$8886)*(Geotech!D241&gt;=PLT!$F$4:$F$8886)*(PLT!$V$4:$V$8886&lt;&gt;AD241)*("Valid"=PLT!$P$4:$P$7190),PLT!$V$4:$V$8886),"")</f>
        <v/>
      </c>
      <c r="AF241" s="161" t="str" cm="1">
        <f t="array" ref="AF241">IFERROR(_xlfn.XLOOKUP(1,(A241=PLT!$A$4:$A$8886)*(Geotech!C241&lt;=PLT!$F$4:$F$8886)*(Geotech!D241&gt;=PLT!$F$4:$F$8886)*(PLT!$V$4:$V$8886&lt;&gt;AD241)*(PLT!$V$4:$V$8886&lt;&gt;AE241)*("Valid"=PLT!$P$4:$P$7190),PLT!$V$4:$V$8886),"")</f>
        <v/>
      </c>
      <c r="AG241" s="162" t="str">
        <f>IFERROR(IF(AVERAGE(AD241:AF241)&gt;References!$BO$23,References!$BP$23,
IF(AVERAGE(AD241:AF241)&gt;References!$BO$22,References!$BP$22,
IF(AVERAGE(AD241:AF241)&gt;References!$BO$21,References!$BP$21,
IF(AVERAGE(AD241:AF241)&gt;References!$BO$20,References!$BP$20,
IF(AVERAGE(AD241:AF241)&gt;References!$BO$19,References!$BP$19,
IF(AVERAGE(AD241:AF241)&gt;References!$BO$18,References!$BP$18,
0)))))),"")</f>
        <v/>
      </c>
      <c r="AH241" s="163" t="e">
        <f>VLOOKUP(Data_Geotech[[#This Row],[Field Intact Rock Strength]],Table_RMR76_Strength[],2,FALSE)</f>
        <v>#N/A</v>
      </c>
      <c r="AI241" s="163" t="e">
        <f>IF(Data_Geotech[[#This Row],[RQD (%)]]&lt;=25,3,IF(Data_Geotech[[#This Row],[RQD (%)]]&lt;=50,8,IF(Data_Geotech[[#This Row],[RQD (%)]]&lt;=75,13,IF(Data_Geotech[[#This Row],[RQD (%)]]&lt;=90,17,20))))</f>
        <v>#DIV/0!</v>
      </c>
      <c r="AJ241" s="136">
        <f>IF(Data_Geotech[[#This Row],[Joint spacing (m)]]&lt;=0.05,5,IF(Data_Geotech[[#This Row],[Joint spacing (m)]]&lt;=0.3,10,IF(Data_Geotech[[#This Row],[Joint spacing (m)]]&lt;=1,20,IF(Data_Geotech[[#This Row],[Joint spacing (m)]]&lt;=3,25,30))))</f>
        <v>30</v>
      </c>
      <c r="AK24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1" s="6"/>
      <c r="AM241" s="137" t="str">
        <f>IF(Data_Geotech[[#This Row],[FIRS Code]]="R",IFERROR(SUM(Data_Geotech[[#This Row],[RMR76 - Strength rating]:[RMR76 - Ground water rating]]),""),"")</f>
        <v/>
      </c>
      <c r="AN241" s="164" t="str">
        <f>IF(Data_Geotech[[#This Row],[FIRS Code]]="R",(2*Data_Geotech[[#This Row],[RMR76 - Joint condition rating]])+(IF(Data_Geotech[[#This Row],[RQD (%)]]&gt;80,80/2,Data_Geotech[[#This Row],[RQD (%)]]/2)),"")</f>
        <v/>
      </c>
      <c r="AO241" s="136" t="e">
        <f>LEFT(Data_Geotech[[#This Row],[Joint Set Rating]],FIND("-",Data_Geotech[[#This Row],[Joint Set Rating]],1)-2)</f>
        <v>#VALUE!</v>
      </c>
      <c r="AP24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1" s="143">
        <f t="shared" si="3"/>
        <v>1</v>
      </c>
      <c r="AR241" s="165" t="str">
        <f>IF(Data_Geotech[[#This Row],[FIRS Code]]="R",IFERROR((IF(Data_Geotech[[#This Row],[RQD (%)]]&lt;10,10,Data_Geotech[[#This Row],[RQD (%)]])/Data_Geotech[[#This Row],[Jn rating]])*Data_Geotech[[#This Row],[Jr/Ja]],""),"")</f>
        <v/>
      </c>
      <c r="AS241" s="138" t="str">
        <f>IF(Data_Geotech[[#This Row],[FIRS Code]]="R",IFERROR((IF(Data_Geotech[[#This Row],[RQD (%)]]&lt;10,10,Data_Geotech[[#This Row],[RQD (%)]])/Data_Geotech[[#This Row],[Jn rating]])*Data_Geotech[[#This Row],[Jr/Ja]]*Data_Geotech[[#This Row],[Jw/SRF]],""),"")</f>
        <v/>
      </c>
      <c r="AT241" s="12"/>
      <c r="AU241" s="13" t="e">
        <f>100-Data_Geotech[[#This Row],[RQD (%)]]</f>
        <v>#DIV/0!</v>
      </c>
      <c r="AV241" s="13" t="e">
        <f>100-Data_Geotech[[#This Row],[TCR (%)]]</f>
        <v>#DIV/0!</v>
      </c>
      <c r="AW241" s="62" t="e">
        <f>(Data_Geotech[[#This Row],[Fracture per interval]]+Data_Geotech[[#This Row],[Added fractures 
(BC, FLT, LC)]])/Data_Geotech[[#This Row],[TCR (m)]]</f>
        <v>#DIV/0!</v>
      </c>
      <c r="AX241" s="62" t="str">
        <f>MID(Data_Geotech[[#This Row],[Field Intact Rock Strength]],2,1)</f>
        <v/>
      </c>
      <c r="AY241" s="63" t="e">
        <f>7-MID(Data_Geotech[[#This Row],[Field Intact Rock Strength]],2,1)</f>
        <v>#VALUE!</v>
      </c>
      <c r="AZ241" s="63" t="e">
        <f>VLOOKUP(Data_Geotech[[#This Row],[Field Intact Rock Strength]],Table_FieldStrength[],2,FALSE)</f>
        <v>#N/A</v>
      </c>
      <c r="BA241" s="63" t="e">
        <f>VLOOKUP(Data_Geotech[[#This Row],[Field Intact Rock Strength]],Table_FieldStrength[],3,FALSE)</f>
        <v>#N/A</v>
      </c>
      <c r="BB241" s="63" t="e">
        <f>VLOOKUP(Data_Geotech[[#This Row],[Field Intact Rock Strength]],Table_FieldStrength[],4,FALSE)</f>
        <v>#N/A</v>
      </c>
      <c r="BC241" s="63" t="e">
        <f>100-Data_Geotech[[#This Row],[RMR76]]</f>
        <v>#VALUE!</v>
      </c>
      <c r="BD241" s="63" t="e">
        <f>LEFT(Data_Geotech[[#This Row],[Weathering/Alteration]],FIND("-",Data_Geotech[[#This Row],[Weathering/Alteration]])-2)</f>
        <v>#VALUE!</v>
      </c>
    </row>
    <row r="242" spans="2:56" hidden="1" x14ac:dyDescent="0.25">
      <c r="B242" s="16" t="e">
        <f>VLOOKUP(Data_Geotech[[#This Row],[Hole ID]],Data_Log[],2,FALSE)</f>
        <v>#N/A</v>
      </c>
      <c r="C242" s="5"/>
      <c r="D242" s="5"/>
      <c r="E242" s="5">
        <f>(Data_Geotech[[#This Row],[To (m)]]-Data_Geotech[[#This Row],[From (m)]])/2+Data_Geotech[[#This Row],[From (m)]]</f>
        <v>0</v>
      </c>
      <c r="F242" s="13">
        <f>Data_Geotech[[#This Row],[To (m)]]-Data_Geotech[[#This Row],[From (m)]]</f>
        <v>0</v>
      </c>
      <c r="G242" s="5"/>
      <c r="H242" s="61" t="e">
        <f>Data_Geotech[[#This Row],[TCR (m)]]/Data_Geotech[[#This Row],[Run (m)]]*100</f>
        <v>#DIV/0!</v>
      </c>
      <c r="I242" s="151"/>
      <c r="J242" s="151"/>
      <c r="K242" s="5"/>
      <c r="L242" s="61" t="e">
        <f>Data_Geotech[[#This Row],[RQD (m)]]/Data_Geotech[[#This Row],[Run Reel (m)]]*100</f>
        <v>#DIV/0!</v>
      </c>
      <c r="P242" s="115"/>
      <c r="Q242" s="5"/>
      <c r="R242" s="5"/>
      <c r="S242" s="5"/>
      <c r="T242" s="5"/>
      <c r="U242" s="5"/>
      <c r="V242" s="6"/>
      <c r="W242" s="92">
        <f>SUMIFS(Discontinuities!$D$4:$D$9664,Discontinuities!$A$4:$A$9664,A242,Discontinuities!$C$4:$C$9664,"&gt;="&amp;C242,Discontinuities!$C$4:$C$9664,"&lt;"&amp;D242)
-SUMIFS(Discontinuities!$D$4:$D$9664,Discontinuities!$A$4:$A$9664,A242,Discontinuities!$C$4:$C$9664,"&gt;="&amp;C242,Discontinuities!$C$4:$C$9664,"&lt;"&amp;D242,Discontinuities!$E$4:$E$9664,"=BC")
-SUMIFS(Discontinuities!$D$4:$D$9664,Discontinuities!$A$4:$A$9664,A242,Discontinuities!$C$4:$C$9664,"&gt;="&amp;C242,Discontinuities!$C$4:$C$9664,"&lt;"&amp;D242,Discontinuities!$E$4:$E$9664,"=LC")
-SUMIFS(Discontinuities!$D$4:$D$9664,Discontinuities!$A$4:$A$9664,A242,Discontinuities!$C$4:$C$9664,"&gt;="&amp;C242,Discontinuities!$C$4:$C$9664,"&lt;"&amp;D242,Discontinuities!$E$4:$E$9664,"=FLT")</f>
        <v>0</v>
      </c>
      <c r="AA242" s="132"/>
      <c r="AB242" s="159">
        <f>IFERROR(ROUND((Data_Geotech[[#This Row],[Fault (m)]]+Data_Geotech[[#This Row],[Broken Core (m)]]+Data_Geotech[[#This Row],[Lost Core (m)]])*30,0),0)</f>
        <v>0</v>
      </c>
      <c r="AC242" s="135">
        <f>IF(Data_Geotech[[#This Row],[Added fractures 
(BC, FLT, LC)]]+Data_Geotech[[#This Row],[Fracture per interval]]=0,99,1/((Data_Geotech[[#This Row],[Fracture per interval]]+Data_Geotech[[#This Row],[Added fractures 
(BC, FLT, LC)]])/Data_Geotech[[#This Row],[Run (m)]]))</f>
        <v>99</v>
      </c>
      <c r="AD242" s="160" t="str" cm="1">
        <f t="array" ref="AD242">IFERROR(_xlfn.XLOOKUP(1,(A242=PLT!$A$4:$A$8886)*(Geotech!C242&lt;=PLT!$F$4:$F$8886)*(Geotech!D242&gt;=PLT!$F$4:$F$8886)*("Valid"=PLT!$P$4:$P$8886),PLT!$V$4:$V$8886),"")</f>
        <v/>
      </c>
      <c r="AE242" s="161" t="str" cm="1">
        <f t="array" ref="AE242">IFERROR(_xlfn.XLOOKUP(1,(A242=PLT!$A$4:$A$8886)*(Geotech!C242&lt;=PLT!$F$4:$F$8886)*(Geotech!D242&gt;=PLT!$F$4:$F$8886)*(PLT!$V$4:$V$8886&lt;&gt;AD242)*("Valid"=PLT!$P$4:$P$7190),PLT!$V$4:$V$8886),"")</f>
        <v/>
      </c>
      <c r="AF242" s="161" t="str" cm="1">
        <f t="array" ref="AF242">IFERROR(_xlfn.XLOOKUP(1,(A242=PLT!$A$4:$A$8886)*(Geotech!C242&lt;=PLT!$F$4:$F$8886)*(Geotech!D242&gt;=PLT!$F$4:$F$8886)*(PLT!$V$4:$V$8886&lt;&gt;AD242)*(PLT!$V$4:$V$8886&lt;&gt;AE242)*("Valid"=PLT!$P$4:$P$7190),PLT!$V$4:$V$8886),"")</f>
        <v/>
      </c>
      <c r="AG242" s="162" t="str">
        <f>IFERROR(IF(AVERAGE(AD242:AF242)&gt;References!$BO$23,References!$BP$23,
IF(AVERAGE(AD242:AF242)&gt;References!$BO$22,References!$BP$22,
IF(AVERAGE(AD242:AF242)&gt;References!$BO$21,References!$BP$21,
IF(AVERAGE(AD242:AF242)&gt;References!$BO$20,References!$BP$20,
IF(AVERAGE(AD242:AF242)&gt;References!$BO$19,References!$BP$19,
IF(AVERAGE(AD242:AF242)&gt;References!$BO$18,References!$BP$18,
0)))))),"")</f>
        <v/>
      </c>
      <c r="AH242" s="163" t="e">
        <f>VLOOKUP(Data_Geotech[[#This Row],[Field Intact Rock Strength]],Table_RMR76_Strength[],2,FALSE)</f>
        <v>#N/A</v>
      </c>
      <c r="AI242" s="163" t="e">
        <f>IF(Data_Geotech[[#This Row],[RQD (%)]]&lt;=25,3,IF(Data_Geotech[[#This Row],[RQD (%)]]&lt;=50,8,IF(Data_Geotech[[#This Row],[RQD (%)]]&lt;=75,13,IF(Data_Geotech[[#This Row],[RQD (%)]]&lt;=90,17,20))))</f>
        <v>#DIV/0!</v>
      </c>
      <c r="AJ242" s="136">
        <f>IF(Data_Geotech[[#This Row],[Joint spacing (m)]]&lt;=0.05,5,IF(Data_Geotech[[#This Row],[Joint spacing (m)]]&lt;=0.3,10,IF(Data_Geotech[[#This Row],[Joint spacing (m)]]&lt;=1,20,IF(Data_Geotech[[#This Row],[Joint spacing (m)]]&lt;=3,25,30))))</f>
        <v>30</v>
      </c>
      <c r="AK24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2" s="6"/>
      <c r="AM242" s="137" t="str">
        <f>IF(Data_Geotech[[#This Row],[FIRS Code]]="R",IFERROR(SUM(Data_Geotech[[#This Row],[RMR76 - Strength rating]:[RMR76 - Ground water rating]]),""),"")</f>
        <v/>
      </c>
      <c r="AN242" s="164" t="str">
        <f>IF(Data_Geotech[[#This Row],[FIRS Code]]="R",(2*Data_Geotech[[#This Row],[RMR76 - Joint condition rating]])+(IF(Data_Geotech[[#This Row],[RQD (%)]]&gt;80,80/2,Data_Geotech[[#This Row],[RQD (%)]]/2)),"")</f>
        <v/>
      </c>
      <c r="AO242" s="136" t="e">
        <f>LEFT(Data_Geotech[[#This Row],[Joint Set Rating]],FIND("-",Data_Geotech[[#This Row],[Joint Set Rating]],1)-2)</f>
        <v>#VALUE!</v>
      </c>
      <c r="AP24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2" s="143">
        <f t="shared" si="3"/>
        <v>1</v>
      </c>
      <c r="AR242" s="165" t="str">
        <f>IF(Data_Geotech[[#This Row],[FIRS Code]]="R",IFERROR((IF(Data_Geotech[[#This Row],[RQD (%)]]&lt;10,10,Data_Geotech[[#This Row],[RQD (%)]])/Data_Geotech[[#This Row],[Jn rating]])*Data_Geotech[[#This Row],[Jr/Ja]],""),"")</f>
        <v/>
      </c>
      <c r="AS242" s="138" t="str">
        <f>IF(Data_Geotech[[#This Row],[FIRS Code]]="R",IFERROR((IF(Data_Geotech[[#This Row],[RQD (%)]]&lt;10,10,Data_Geotech[[#This Row],[RQD (%)]])/Data_Geotech[[#This Row],[Jn rating]])*Data_Geotech[[#This Row],[Jr/Ja]]*Data_Geotech[[#This Row],[Jw/SRF]],""),"")</f>
        <v/>
      </c>
      <c r="AT242" s="12"/>
      <c r="AU242" s="13" t="e">
        <f>100-Data_Geotech[[#This Row],[RQD (%)]]</f>
        <v>#DIV/0!</v>
      </c>
      <c r="AV242" s="13" t="e">
        <f>100-Data_Geotech[[#This Row],[TCR (%)]]</f>
        <v>#DIV/0!</v>
      </c>
      <c r="AW242" s="62" t="e">
        <f>(Data_Geotech[[#This Row],[Fracture per interval]]+Data_Geotech[[#This Row],[Added fractures 
(BC, FLT, LC)]])/Data_Geotech[[#This Row],[TCR (m)]]</f>
        <v>#DIV/0!</v>
      </c>
      <c r="AX242" s="62" t="str">
        <f>MID(Data_Geotech[[#This Row],[Field Intact Rock Strength]],2,1)</f>
        <v/>
      </c>
      <c r="AY242" s="63" t="e">
        <f>7-MID(Data_Geotech[[#This Row],[Field Intact Rock Strength]],2,1)</f>
        <v>#VALUE!</v>
      </c>
      <c r="AZ242" s="63" t="e">
        <f>VLOOKUP(Data_Geotech[[#This Row],[Field Intact Rock Strength]],Table_FieldStrength[],2,FALSE)</f>
        <v>#N/A</v>
      </c>
      <c r="BA242" s="63" t="e">
        <f>VLOOKUP(Data_Geotech[[#This Row],[Field Intact Rock Strength]],Table_FieldStrength[],3,FALSE)</f>
        <v>#N/A</v>
      </c>
      <c r="BB242" s="63" t="e">
        <f>VLOOKUP(Data_Geotech[[#This Row],[Field Intact Rock Strength]],Table_FieldStrength[],4,FALSE)</f>
        <v>#N/A</v>
      </c>
      <c r="BC242" s="63" t="e">
        <f>100-Data_Geotech[[#This Row],[RMR76]]</f>
        <v>#VALUE!</v>
      </c>
      <c r="BD242" s="63" t="e">
        <f>LEFT(Data_Geotech[[#This Row],[Weathering/Alteration]],FIND("-",Data_Geotech[[#This Row],[Weathering/Alteration]])-2)</f>
        <v>#VALUE!</v>
      </c>
    </row>
    <row r="243" spans="2:56" hidden="1" x14ac:dyDescent="0.25">
      <c r="B243" s="16" t="e">
        <f>VLOOKUP(Data_Geotech[[#This Row],[Hole ID]],Data_Log[],2,FALSE)</f>
        <v>#N/A</v>
      </c>
      <c r="C243" s="5"/>
      <c r="D243" s="5"/>
      <c r="E243" s="5">
        <f>(Data_Geotech[[#This Row],[To (m)]]-Data_Geotech[[#This Row],[From (m)]])/2+Data_Geotech[[#This Row],[From (m)]]</f>
        <v>0</v>
      </c>
      <c r="F243" s="13">
        <f>Data_Geotech[[#This Row],[To (m)]]-Data_Geotech[[#This Row],[From (m)]]</f>
        <v>0</v>
      </c>
      <c r="G243" s="5"/>
      <c r="H243" s="61" t="e">
        <f>Data_Geotech[[#This Row],[TCR (m)]]/Data_Geotech[[#This Row],[Run (m)]]*100</f>
        <v>#DIV/0!</v>
      </c>
      <c r="I243" s="151"/>
      <c r="J243" s="151"/>
      <c r="K243" s="5"/>
      <c r="L243" s="61" t="e">
        <f>Data_Geotech[[#This Row],[RQD (m)]]/Data_Geotech[[#This Row],[Run Reel (m)]]*100</f>
        <v>#DIV/0!</v>
      </c>
      <c r="P243" s="115"/>
      <c r="Q243" s="5"/>
      <c r="R243" s="5"/>
      <c r="S243" s="5"/>
      <c r="T243" s="5"/>
      <c r="U243" s="5"/>
      <c r="V243" s="6"/>
      <c r="W243" s="92">
        <f>SUMIFS(Discontinuities!$D$4:$D$9664,Discontinuities!$A$4:$A$9664,A243,Discontinuities!$C$4:$C$9664,"&gt;="&amp;C243,Discontinuities!$C$4:$C$9664,"&lt;"&amp;D243)
-SUMIFS(Discontinuities!$D$4:$D$9664,Discontinuities!$A$4:$A$9664,A243,Discontinuities!$C$4:$C$9664,"&gt;="&amp;C243,Discontinuities!$C$4:$C$9664,"&lt;"&amp;D243,Discontinuities!$E$4:$E$9664,"=BC")
-SUMIFS(Discontinuities!$D$4:$D$9664,Discontinuities!$A$4:$A$9664,A243,Discontinuities!$C$4:$C$9664,"&gt;="&amp;C243,Discontinuities!$C$4:$C$9664,"&lt;"&amp;D243,Discontinuities!$E$4:$E$9664,"=LC")
-SUMIFS(Discontinuities!$D$4:$D$9664,Discontinuities!$A$4:$A$9664,A243,Discontinuities!$C$4:$C$9664,"&gt;="&amp;C243,Discontinuities!$C$4:$C$9664,"&lt;"&amp;D243,Discontinuities!$E$4:$E$9664,"=FLT")</f>
        <v>0</v>
      </c>
      <c r="AA243" s="132"/>
      <c r="AB243" s="159">
        <f>IFERROR(ROUND((Data_Geotech[[#This Row],[Fault (m)]]+Data_Geotech[[#This Row],[Broken Core (m)]]+Data_Geotech[[#This Row],[Lost Core (m)]])*30,0),0)</f>
        <v>0</v>
      </c>
      <c r="AC243" s="135">
        <f>IF(Data_Geotech[[#This Row],[Added fractures 
(BC, FLT, LC)]]+Data_Geotech[[#This Row],[Fracture per interval]]=0,99,1/((Data_Geotech[[#This Row],[Fracture per interval]]+Data_Geotech[[#This Row],[Added fractures 
(BC, FLT, LC)]])/Data_Geotech[[#This Row],[Run (m)]]))</f>
        <v>99</v>
      </c>
      <c r="AD243" s="160" t="str" cm="1">
        <f t="array" ref="AD243">IFERROR(_xlfn.XLOOKUP(1,(A243=PLT!$A$4:$A$8886)*(Geotech!C243&lt;=PLT!$F$4:$F$8886)*(Geotech!D243&gt;=PLT!$F$4:$F$8886)*("Valid"=PLT!$P$4:$P$8886),PLT!$V$4:$V$8886),"")</f>
        <v/>
      </c>
      <c r="AE243" s="161" t="str" cm="1">
        <f t="array" ref="AE243">IFERROR(_xlfn.XLOOKUP(1,(A243=PLT!$A$4:$A$8886)*(Geotech!C243&lt;=PLT!$F$4:$F$8886)*(Geotech!D243&gt;=PLT!$F$4:$F$8886)*(PLT!$V$4:$V$8886&lt;&gt;AD243)*("Valid"=PLT!$P$4:$P$7190),PLT!$V$4:$V$8886),"")</f>
        <v/>
      </c>
      <c r="AF243" s="161" t="str" cm="1">
        <f t="array" ref="AF243">IFERROR(_xlfn.XLOOKUP(1,(A243=PLT!$A$4:$A$8886)*(Geotech!C243&lt;=PLT!$F$4:$F$8886)*(Geotech!D243&gt;=PLT!$F$4:$F$8886)*(PLT!$V$4:$V$8886&lt;&gt;AD243)*(PLT!$V$4:$V$8886&lt;&gt;AE243)*("Valid"=PLT!$P$4:$P$7190),PLT!$V$4:$V$8886),"")</f>
        <v/>
      </c>
      <c r="AG243" s="162" t="str">
        <f>IFERROR(IF(AVERAGE(AD243:AF243)&gt;References!$BO$23,References!$BP$23,
IF(AVERAGE(AD243:AF243)&gt;References!$BO$22,References!$BP$22,
IF(AVERAGE(AD243:AF243)&gt;References!$BO$21,References!$BP$21,
IF(AVERAGE(AD243:AF243)&gt;References!$BO$20,References!$BP$20,
IF(AVERAGE(AD243:AF243)&gt;References!$BO$19,References!$BP$19,
IF(AVERAGE(AD243:AF243)&gt;References!$BO$18,References!$BP$18,
0)))))),"")</f>
        <v/>
      </c>
      <c r="AH243" s="163" t="e">
        <f>VLOOKUP(Data_Geotech[[#This Row],[Field Intact Rock Strength]],Table_RMR76_Strength[],2,FALSE)</f>
        <v>#N/A</v>
      </c>
      <c r="AI243" s="163" t="e">
        <f>IF(Data_Geotech[[#This Row],[RQD (%)]]&lt;=25,3,IF(Data_Geotech[[#This Row],[RQD (%)]]&lt;=50,8,IF(Data_Geotech[[#This Row],[RQD (%)]]&lt;=75,13,IF(Data_Geotech[[#This Row],[RQD (%)]]&lt;=90,17,20))))</f>
        <v>#DIV/0!</v>
      </c>
      <c r="AJ243" s="136">
        <f>IF(Data_Geotech[[#This Row],[Joint spacing (m)]]&lt;=0.05,5,IF(Data_Geotech[[#This Row],[Joint spacing (m)]]&lt;=0.3,10,IF(Data_Geotech[[#This Row],[Joint spacing (m)]]&lt;=1,20,IF(Data_Geotech[[#This Row],[Joint spacing (m)]]&lt;=3,25,30))))</f>
        <v>30</v>
      </c>
      <c r="AK24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3" s="6"/>
      <c r="AM243" s="137" t="str">
        <f>IF(Data_Geotech[[#This Row],[FIRS Code]]="R",IFERROR(SUM(Data_Geotech[[#This Row],[RMR76 - Strength rating]:[RMR76 - Ground water rating]]),""),"")</f>
        <v/>
      </c>
      <c r="AN243" s="164" t="str">
        <f>IF(Data_Geotech[[#This Row],[FIRS Code]]="R",(2*Data_Geotech[[#This Row],[RMR76 - Joint condition rating]])+(IF(Data_Geotech[[#This Row],[RQD (%)]]&gt;80,80/2,Data_Geotech[[#This Row],[RQD (%)]]/2)),"")</f>
        <v/>
      </c>
      <c r="AO243" s="136" t="e">
        <f>LEFT(Data_Geotech[[#This Row],[Joint Set Rating]],FIND("-",Data_Geotech[[#This Row],[Joint Set Rating]],1)-2)</f>
        <v>#VALUE!</v>
      </c>
      <c r="AP24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3" s="143">
        <f t="shared" si="3"/>
        <v>1</v>
      </c>
      <c r="AR243" s="165" t="str">
        <f>IF(Data_Geotech[[#This Row],[FIRS Code]]="R",IFERROR((IF(Data_Geotech[[#This Row],[RQD (%)]]&lt;10,10,Data_Geotech[[#This Row],[RQD (%)]])/Data_Geotech[[#This Row],[Jn rating]])*Data_Geotech[[#This Row],[Jr/Ja]],""),"")</f>
        <v/>
      </c>
      <c r="AS243" s="138" t="str">
        <f>IF(Data_Geotech[[#This Row],[FIRS Code]]="R",IFERROR((IF(Data_Geotech[[#This Row],[RQD (%)]]&lt;10,10,Data_Geotech[[#This Row],[RQD (%)]])/Data_Geotech[[#This Row],[Jn rating]])*Data_Geotech[[#This Row],[Jr/Ja]]*Data_Geotech[[#This Row],[Jw/SRF]],""),"")</f>
        <v/>
      </c>
      <c r="AT243" s="12"/>
      <c r="AU243" s="13" t="e">
        <f>100-Data_Geotech[[#This Row],[RQD (%)]]</f>
        <v>#DIV/0!</v>
      </c>
      <c r="AV243" s="13" t="e">
        <f>100-Data_Geotech[[#This Row],[TCR (%)]]</f>
        <v>#DIV/0!</v>
      </c>
      <c r="AW243" s="62" t="e">
        <f>(Data_Geotech[[#This Row],[Fracture per interval]]+Data_Geotech[[#This Row],[Added fractures 
(BC, FLT, LC)]])/Data_Geotech[[#This Row],[TCR (m)]]</f>
        <v>#DIV/0!</v>
      </c>
      <c r="AX243" s="62" t="str">
        <f>MID(Data_Geotech[[#This Row],[Field Intact Rock Strength]],2,1)</f>
        <v/>
      </c>
      <c r="AY243" s="63" t="e">
        <f>7-MID(Data_Geotech[[#This Row],[Field Intact Rock Strength]],2,1)</f>
        <v>#VALUE!</v>
      </c>
      <c r="AZ243" s="63" t="e">
        <f>VLOOKUP(Data_Geotech[[#This Row],[Field Intact Rock Strength]],Table_FieldStrength[],2,FALSE)</f>
        <v>#N/A</v>
      </c>
      <c r="BA243" s="63" t="e">
        <f>VLOOKUP(Data_Geotech[[#This Row],[Field Intact Rock Strength]],Table_FieldStrength[],3,FALSE)</f>
        <v>#N/A</v>
      </c>
      <c r="BB243" s="63" t="e">
        <f>VLOOKUP(Data_Geotech[[#This Row],[Field Intact Rock Strength]],Table_FieldStrength[],4,FALSE)</f>
        <v>#N/A</v>
      </c>
      <c r="BC243" s="63" t="e">
        <f>100-Data_Geotech[[#This Row],[RMR76]]</f>
        <v>#VALUE!</v>
      </c>
      <c r="BD243" s="63" t="e">
        <f>LEFT(Data_Geotech[[#This Row],[Weathering/Alteration]],FIND("-",Data_Geotech[[#This Row],[Weathering/Alteration]])-2)</f>
        <v>#VALUE!</v>
      </c>
    </row>
    <row r="244" spans="2:56" hidden="1" x14ac:dyDescent="0.25">
      <c r="B244" s="16" t="e">
        <f>VLOOKUP(Data_Geotech[[#This Row],[Hole ID]],Data_Log[],2,FALSE)</f>
        <v>#N/A</v>
      </c>
      <c r="C244" s="5"/>
      <c r="D244" s="5"/>
      <c r="E244" s="5">
        <f>(Data_Geotech[[#This Row],[To (m)]]-Data_Geotech[[#This Row],[From (m)]])/2+Data_Geotech[[#This Row],[From (m)]]</f>
        <v>0</v>
      </c>
      <c r="F244" s="13">
        <f>Data_Geotech[[#This Row],[To (m)]]-Data_Geotech[[#This Row],[From (m)]]</f>
        <v>0</v>
      </c>
      <c r="G244" s="5"/>
      <c r="H244" s="61" t="e">
        <f>Data_Geotech[[#This Row],[TCR (m)]]/Data_Geotech[[#This Row],[Run (m)]]*100</f>
        <v>#DIV/0!</v>
      </c>
      <c r="I244" s="151"/>
      <c r="J244" s="151"/>
      <c r="K244" s="5"/>
      <c r="L244" s="61" t="e">
        <f>Data_Geotech[[#This Row],[RQD (m)]]/Data_Geotech[[#This Row],[Run Reel (m)]]*100</f>
        <v>#DIV/0!</v>
      </c>
      <c r="P244" s="115"/>
      <c r="Q244" s="5"/>
      <c r="R244" s="5"/>
      <c r="S244" s="5"/>
      <c r="T244" s="5"/>
      <c r="U244" s="5"/>
      <c r="V244" s="6"/>
      <c r="W244" s="92">
        <f>SUMIFS(Discontinuities!$D$4:$D$9664,Discontinuities!$A$4:$A$9664,A244,Discontinuities!$C$4:$C$9664,"&gt;="&amp;C244,Discontinuities!$C$4:$C$9664,"&lt;"&amp;D244)
-SUMIFS(Discontinuities!$D$4:$D$9664,Discontinuities!$A$4:$A$9664,A244,Discontinuities!$C$4:$C$9664,"&gt;="&amp;C244,Discontinuities!$C$4:$C$9664,"&lt;"&amp;D244,Discontinuities!$E$4:$E$9664,"=BC")
-SUMIFS(Discontinuities!$D$4:$D$9664,Discontinuities!$A$4:$A$9664,A244,Discontinuities!$C$4:$C$9664,"&gt;="&amp;C244,Discontinuities!$C$4:$C$9664,"&lt;"&amp;D244,Discontinuities!$E$4:$E$9664,"=LC")
-SUMIFS(Discontinuities!$D$4:$D$9664,Discontinuities!$A$4:$A$9664,A244,Discontinuities!$C$4:$C$9664,"&gt;="&amp;C244,Discontinuities!$C$4:$C$9664,"&lt;"&amp;D244,Discontinuities!$E$4:$E$9664,"=FLT")</f>
        <v>0</v>
      </c>
      <c r="AA244" s="132"/>
      <c r="AB244" s="159">
        <f>IFERROR(ROUND((Data_Geotech[[#This Row],[Fault (m)]]+Data_Geotech[[#This Row],[Broken Core (m)]]+Data_Geotech[[#This Row],[Lost Core (m)]])*30,0),0)</f>
        <v>0</v>
      </c>
      <c r="AC244" s="135">
        <f>IF(Data_Geotech[[#This Row],[Added fractures 
(BC, FLT, LC)]]+Data_Geotech[[#This Row],[Fracture per interval]]=0,99,1/((Data_Geotech[[#This Row],[Fracture per interval]]+Data_Geotech[[#This Row],[Added fractures 
(BC, FLT, LC)]])/Data_Geotech[[#This Row],[Run (m)]]))</f>
        <v>99</v>
      </c>
      <c r="AD244" s="160" t="str" cm="1">
        <f t="array" ref="AD244">IFERROR(_xlfn.XLOOKUP(1,(A244=PLT!$A$4:$A$8886)*(Geotech!C244&lt;=PLT!$F$4:$F$8886)*(Geotech!D244&gt;=PLT!$F$4:$F$8886)*("Valid"=PLT!$P$4:$P$8886),PLT!$V$4:$V$8886),"")</f>
        <v/>
      </c>
      <c r="AE244" s="161" t="str" cm="1">
        <f t="array" ref="AE244">IFERROR(_xlfn.XLOOKUP(1,(A244=PLT!$A$4:$A$8886)*(Geotech!C244&lt;=PLT!$F$4:$F$8886)*(Geotech!D244&gt;=PLT!$F$4:$F$8886)*(PLT!$V$4:$V$8886&lt;&gt;AD244)*("Valid"=PLT!$P$4:$P$7190),PLT!$V$4:$V$8886),"")</f>
        <v/>
      </c>
      <c r="AF244" s="161" t="str" cm="1">
        <f t="array" ref="AF244">IFERROR(_xlfn.XLOOKUP(1,(A244=PLT!$A$4:$A$8886)*(Geotech!C244&lt;=PLT!$F$4:$F$8886)*(Geotech!D244&gt;=PLT!$F$4:$F$8886)*(PLT!$V$4:$V$8886&lt;&gt;AD244)*(PLT!$V$4:$V$8886&lt;&gt;AE244)*("Valid"=PLT!$P$4:$P$7190),PLT!$V$4:$V$8886),"")</f>
        <v/>
      </c>
      <c r="AG244" s="162" t="str">
        <f>IFERROR(IF(AVERAGE(AD244:AF244)&gt;References!$BO$23,References!$BP$23,
IF(AVERAGE(AD244:AF244)&gt;References!$BO$22,References!$BP$22,
IF(AVERAGE(AD244:AF244)&gt;References!$BO$21,References!$BP$21,
IF(AVERAGE(AD244:AF244)&gt;References!$BO$20,References!$BP$20,
IF(AVERAGE(AD244:AF244)&gt;References!$BO$19,References!$BP$19,
IF(AVERAGE(AD244:AF244)&gt;References!$BO$18,References!$BP$18,
0)))))),"")</f>
        <v/>
      </c>
      <c r="AH244" s="163" t="e">
        <f>VLOOKUP(Data_Geotech[[#This Row],[Field Intact Rock Strength]],Table_RMR76_Strength[],2,FALSE)</f>
        <v>#N/A</v>
      </c>
      <c r="AI244" s="163" t="e">
        <f>IF(Data_Geotech[[#This Row],[RQD (%)]]&lt;=25,3,IF(Data_Geotech[[#This Row],[RQD (%)]]&lt;=50,8,IF(Data_Geotech[[#This Row],[RQD (%)]]&lt;=75,13,IF(Data_Geotech[[#This Row],[RQD (%)]]&lt;=90,17,20))))</f>
        <v>#DIV/0!</v>
      </c>
      <c r="AJ244" s="136">
        <f>IF(Data_Geotech[[#This Row],[Joint spacing (m)]]&lt;=0.05,5,IF(Data_Geotech[[#This Row],[Joint spacing (m)]]&lt;=0.3,10,IF(Data_Geotech[[#This Row],[Joint spacing (m)]]&lt;=1,20,IF(Data_Geotech[[#This Row],[Joint spacing (m)]]&lt;=3,25,30))))</f>
        <v>30</v>
      </c>
      <c r="AK24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4" s="6"/>
      <c r="AM244" s="137" t="str">
        <f>IF(Data_Geotech[[#This Row],[FIRS Code]]="R",IFERROR(SUM(Data_Geotech[[#This Row],[RMR76 - Strength rating]:[RMR76 - Ground water rating]]),""),"")</f>
        <v/>
      </c>
      <c r="AN244" s="164" t="str">
        <f>IF(Data_Geotech[[#This Row],[FIRS Code]]="R",(2*Data_Geotech[[#This Row],[RMR76 - Joint condition rating]])+(IF(Data_Geotech[[#This Row],[RQD (%)]]&gt;80,80/2,Data_Geotech[[#This Row],[RQD (%)]]/2)),"")</f>
        <v/>
      </c>
      <c r="AO244" s="136" t="e">
        <f>LEFT(Data_Geotech[[#This Row],[Joint Set Rating]],FIND("-",Data_Geotech[[#This Row],[Joint Set Rating]],1)-2)</f>
        <v>#VALUE!</v>
      </c>
      <c r="AP24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4" s="143">
        <f t="shared" si="3"/>
        <v>1</v>
      </c>
      <c r="AR244" s="165" t="str">
        <f>IF(Data_Geotech[[#This Row],[FIRS Code]]="R",IFERROR((IF(Data_Geotech[[#This Row],[RQD (%)]]&lt;10,10,Data_Geotech[[#This Row],[RQD (%)]])/Data_Geotech[[#This Row],[Jn rating]])*Data_Geotech[[#This Row],[Jr/Ja]],""),"")</f>
        <v/>
      </c>
      <c r="AS244" s="138" t="str">
        <f>IF(Data_Geotech[[#This Row],[FIRS Code]]="R",IFERROR((IF(Data_Geotech[[#This Row],[RQD (%)]]&lt;10,10,Data_Geotech[[#This Row],[RQD (%)]])/Data_Geotech[[#This Row],[Jn rating]])*Data_Geotech[[#This Row],[Jr/Ja]]*Data_Geotech[[#This Row],[Jw/SRF]],""),"")</f>
        <v/>
      </c>
      <c r="AT244" s="12"/>
      <c r="AU244" s="13" t="e">
        <f>100-Data_Geotech[[#This Row],[RQD (%)]]</f>
        <v>#DIV/0!</v>
      </c>
      <c r="AV244" s="13" t="e">
        <f>100-Data_Geotech[[#This Row],[TCR (%)]]</f>
        <v>#DIV/0!</v>
      </c>
      <c r="AW244" s="62" t="e">
        <f>(Data_Geotech[[#This Row],[Fracture per interval]]+Data_Geotech[[#This Row],[Added fractures 
(BC, FLT, LC)]])/Data_Geotech[[#This Row],[TCR (m)]]</f>
        <v>#DIV/0!</v>
      </c>
      <c r="AX244" s="62" t="str">
        <f>MID(Data_Geotech[[#This Row],[Field Intact Rock Strength]],2,1)</f>
        <v/>
      </c>
      <c r="AY244" s="63" t="e">
        <f>7-MID(Data_Geotech[[#This Row],[Field Intact Rock Strength]],2,1)</f>
        <v>#VALUE!</v>
      </c>
      <c r="AZ244" s="63" t="e">
        <f>VLOOKUP(Data_Geotech[[#This Row],[Field Intact Rock Strength]],Table_FieldStrength[],2,FALSE)</f>
        <v>#N/A</v>
      </c>
      <c r="BA244" s="63" t="e">
        <f>VLOOKUP(Data_Geotech[[#This Row],[Field Intact Rock Strength]],Table_FieldStrength[],3,FALSE)</f>
        <v>#N/A</v>
      </c>
      <c r="BB244" s="63" t="e">
        <f>VLOOKUP(Data_Geotech[[#This Row],[Field Intact Rock Strength]],Table_FieldStrength[],4,FALSE)</f>
        <v>#N/A</v>
      </c>
      <c r="BC244" s="63" t="e">
        <f>100-Data_Geotech[[#This Row],[RMR76]]</f>
        <v>#VALUE!</v>
      </c>
      <c r="BD244" s="63" t="e">
        <f>LEFT(Data_Geotech[[#This Row],[Weathering/Alteration]],FIND("-",Data_Geotech[[#This Row],[Weathering/Alteration]])-2)</f>
        <v>#VALUE!</v>
      </c>
    </row>
    <row r="245" spans="2:56" hidden="1" x14ac:dyDescent="0.25">
      <c r="B245" s="16" t="e">
        <f>VLOOKUP(Data_Geotech[[#This Row],[Hole ID]],Data_Log[],2,FALSE)</f>
        <v>#N/A</v>
      </c>
      <c r="C245" s="5"/>
      <c r="D245" s="5"/>
      <c r="E245" s="5">
        <f>(Data_Geotech[[#This Row],[To (m)]]-Data_Geotech[[#This Row],[From (m)]])/2+Data_Geotech[[#This Row],[From (m)]]</f>
        <v>0</v>
      </c>
      <c r="F245" s="13">
        <f>Data_Geotech[[#This Row],[To (m)]]-Data_Geotech[[#This Row],[From (m)]]</f>
        <v>0</v>
      </c>
      <c r="G245" s="5"/>
      <c r="H245" s="61" t="e">
        <f>Data_Geotech[[#This Row],[TCR (m)]]/Data_Geotech[[#This Row],[Run (m)]]*100</f>
        <v>#DIV/0!</v>
      </c>
      <c r="I245" s="151"/>
      <c r="J245" s="151"/>
      <c r="K245" s="5"/>
      <c r="L245" s="61" t="e">
        <f>Data_Geotech[[#This Row],[RQD (m)]]/Data_Geotech[[#This Row],[Run Reel (m)]]*100</f>
        <v>#DIV/0!</v>
      </c>
      <c r="P245" s="115"/>
      <c r="Q245" s="5"/>
      <c r="R245" s="5"/>
      <c r="S245" s="5"/>
      <c r="T245" s="5"/>
      <c r="U245" s="5"/>
      <c r="V245" s="6"/>
      <c r="W245" s="92">
        <f>SUMIFS(Discontinuities!$D$4:$D$9664,Discontinuities!$A$4:$A$9664,A245,Discontinuities!$C$4:$C$9664,"&gt;="&amp;C245,Discontinuities!$C$4:$C$9664,"&lt;"&amp;D245)
-SUMIFS(Discontinuities!$D$4:$D$9664,Discontinuities!$A$4:$A$9664,A245,Discontinuities!$C$4:$C$9664,"&gt;="&amp;C245,Discontinuities!$C$4:$C$9664,"&lt;"&amp;D245,Discontinuities!$E$4:$E$9664,"=BC")
-SUMIFS(Discontinuities!$D$4:$D$9664,Discontinuities!$A$4:$A$9664,A245,Discontinuities!$C$4:$C$9664,"&gt;="&amp;C245,Discontinuities!$C$4:$C$9664,"&lt;"&amp;D245,Discontinuities!$E$4:$E$9664,"=LC")
-SUMIFS(Discontinuities!$D$4:$D$9664,Discontinuities!$A$4:$A$9664,A245,Discontinuities!$C$4:$C$9664,"&gt;="&amp;C245,Discontinuities!$C$4:$C$9664,"&lt;"&amp;D245,Discontinuities!$E$4:$E$9664,"=FLT")</f>
        <v>0</v>
      </c>
      <c r="AA245" s="132"/>
      <c r="AB245" s="159">
        <f>IFERROR(ROUND((Data_Geotech[[#This Row],[Fault (m)]]+Data_Geotech[[#This Row],[Broken Core (m)]]+Data_Geotech[[#This Row],[Lost Core (m)]])*30,0),0)</f>
        <v>0</v>
      </c>
      <c r="AC245" s="135">
        <f>IF(Data_Geotech[[#This Row],[Added fractures 
(BC, FLT, LC)]]+Data_Geotech[[#This Row],[Fracture per interval]]=0,99,1/((Data_Geotech[[#This Row],[Fracture per interval]]+Data_Geotech[[#This Row],[Added fractures 
(BC, FLT, LC)]])/Data_Geotech[[#This Row],[Run (m)]]))</f>
        <v>99</v>
      </c>
      <c r="AD245" s="160" t="str" cm="1">
        <f t="array" ref="AD245">IFERROR(_xlfn.XLOOKUP(1,(A245=PLT!$A$4:$A$8886)*(Geotech!C245&lt;=PLT!$F$4:$F$8886)*(Geotech!D245&gt;=PLT!$F$4:$F$8886)*("Valid"=PLT!$P$4:$P$8886),PLT!$V$4:$V$8886),"")</f>
        <v/>
      </c>
      <c r="AE245" s="161" t="str" cm="1">
        <f t="array" ref="AE245">IFERROR(_xlfn.XLOOKUP(1,(A245=PLT!$A$4:$A$8886)*(Geotech!C245&lt;=PLT!$F$4:$F$8886)*(Geotech!D245&gt;=PLT!$F$4:$F$8886)*(PLT!$V$4:$V$8886&lt;&gt;AD245)*("Valid"=PLT!$P$4:$P$7190),PLT!$V$4:$V$8886),"")</f>
        <v/>
      </c>
      <c r="AF245" s="161" t="str" cm="1">
        <f t="array" ref="AF245">IFERROR(_xlfn.XLOOKUP(1,(A245=PLT!$A$4:$A$8886)*(Geotech!C245&lt;=PLT!$F$4:$F$8886)*(Geotech!D245&gt;=PLT!$F$4:$F$8886)*(PLT!$V$4:$V$8886&lt;&gt;AD245)*(PLT!$V$4:$V$8886&lt;&gt;AE245)*("Valid"=PLT!$P$4:$P$7190),PLT!$V$4:$V$8886),"")</f>
        <v/>
      </c>
      <c r="AG245" s="162" t="str">
        <f>IFERROR(IF(AVERAGE(AD245:AF245)&gt;References!$BO$23,References!$BP$23,
IF(AVERAGE(AD245:AF245)&gt;References!$BO$22,References!$BP$22,
IF(AVERAGE(AD245:AF245)&gt;References!$BO$21,References!$BP$21,
IF(AVERAGE(AD245:AF245)&gt;References!$BO$20,References!$BP$20,
IF(AVERAGE(AD245:AF245)&gt;References!$BO$19,References!$BP$19,
IF(AVERAGE(AD245:AF245)&gt;References!$BO$18,References!$BP$18,
0)))))),"")</f>
        <v/>
      </c>
      <c r="AH245" s="163" t="e">
        <f>VLOOKUP(Data_Geotech[[#This Row],[Field Intact Rock Strength]],Table_RMR76_Strength[],2,FALSE)</f>
        <v>#N/A</v>
      </c>
      <c r="AI245" s="163" t="e">
        <f>IF(Data_Geotech[[#This Row],[RQD (%)]]&lt;=25,3,IF(Data_Geotech[[#This Row],[RQD (%)]]&lt;=50,8,IF(Data_Geotech[[#This Row],[RQD (%)]]&lt;=75,13,IF(Data_Geotech[[#This Row],[RQD (%)]]&lt;=90,17,20))))</f>
        <v>#DIV/0!</v>
      </c>
      <c r="AJ245" s="136">
        <f>IF(Data_Geotech[[#This Row],[Joint spacing (m)]]&lt;=0.05,5,IF(Data_Geotech[[#This Row],[Joint spacing (m)]]&lt;=0.3,10,IF(Data_Geotech[[#This Row],[Joint spacing (m)]]&lt;=1,20,IF(Data_Geotech[[#This Row],[Joint spacing (m)]]&lt;=3,25,30))))</f>
        <v>30</v>
      </c>
      <c r="AK24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5" s="6"/>
      <c r="AM245" s="137" t="str">
        <f>IF(Data_Geotech[[#This Row],[FIRS Code]]="R",IFERROR(SUM(Data_Geotech[[#This Row],[RMR76 - Strength rating]:[RMR76 - Ground water rating]]),""),"")</f>
        <v/>
      </c>
      <c r="AN245" s="164" t="str">
        <f>IF(Data_Geotech[[#This Row],[FIRS Code]]="R",(2*Data_Geotech[[#This Row],[RMR76 - Joint condition rating]])+(IF(Data_Geotech[[#This Row],[RQD (%)]]&gt;80,80/2,Data_Geotech[[#This Row],[RQD (%)]]/2)),"")</f>
        <v/>
      </c>
      <c r="AO245" s="136" t="e">
        <f>LEFT(Data_Geotech[[#This Row],[Joint Set Rating]],FIND("-",Data_Geotech[[#This Row],[Joint Set Rating]],1)-2)</f>
        <v>#VALUE!</v>
      </c>
      <c r="AP24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5" s="143">
        <f t="shared" si="3"/>
        <v>1</v>
      </c>
      <c r="AR245" s="165" t="str">
        <f>IF(Data_Geotech[[#This Row],[FIRS Code]]="R",IFERROR((IF(Data_Geotech[[#This Row],[RQD (%)]]&lt;10,10,Data_Geotech[[#This Row],[RQD (%)]])/Data_Geotech[[#This Row],[Jn rating]])*Data_Geotech[[#This Row],[Jr/Ja]],""),"")</f>
        <v/>
      </c>
      <c r="AS245" s="138" t="str">
        <f>IF(Data_Geotech[[#This Row],[FIRS Code]]="R",IFERROR((IF(Data_Geotech[[#This Row],[RQD (%)]]&lt;10,10,Data_Geotech[[#This Row],[RQD (%)]])/Data_Geotech[[#This Row],[Jn rating]])*Data_Geotech[[#This Row],[Jr/Ja]]*Data_Geotech[[#This Row],[Jw/SRF]],""),"")</f>
        <v/>
      </c>
      <c r="AT245" s="12"/>
      <c r="AU245" s="13" t="e">
        <f>100-Data_Geotech[[#This Row],[RQD (%)]]</f>
        <v>#DIV/0!</v>
      </c>
      <c r="AV245" s="13" t="e">
        <f>100-Data_Geotech[[#This Row],[TCR (%)]]</f>
        <v>#DIV/0!</v>
      </c>
      <c r="AW245" s="62" t="e">
        <f>(Data_Geotech[[#This Row],[Fracture per interval]]+Data_Geotech[[#This Row],[Added fractures 
(BC, FLT, LC)]])/Data_Geotech[[#This Row],[TCR (m)]]</f>
        <v>#DIV/0!</v>
      </c>
      <c r="AX245" s="62" t="str">
        <f>MID(Data_Geotech[[#This Row],[Field Intact Rock Strength]],2,1)</f>
        <v/>
      </c>
      <c r="AY245" s="63" t="e">
        <f>7-MID(Data_Geotech[[#This Row],[Field Intact Rock Strength]],2,1)</f>
        <v>#VALUE!</v>
      </c>
      <c r="AZ245" s="63" t="e">
        <f>VLOOKUP(Data_Geotech[[#This Row],[Field Intact Rock Strength]],Table_FieldStrength[],2,FALSE)</f>
        <v>#N/A</v>
      </c>
      <c r="BA245" s="63" t="e">
        <f>VLOOKUP(Data_Geotech[[#This Row],[Field Intact Rock Strength]],Table_FieldStrength[],3,FALSE)</f>
        <v>#N/A</v>
      </c>
      <c r="BB245" s="63" t="e">
        <f>VLOOKUP(Data_Geotech[[#This Row],[Field Intact Rock Strength]],Table_FieldStrength[],4,FALSE)</f>
        <v>#N/A</v>
      </c>
      <c r="BC245" s="63" t="e">
        <f>100-Data_Geotech[[#This Row],[RMR76]]</f>
        <v>#VALUE!</v>
      </c>
      <c r="BD245" s="63" t="e">
        <f>LEFT(Data_Geotech[[#This Row],[Weathering/Alteration]],FIND("-",Data_Geotech[[#This Row],[Weathering/Alteration]])-2)</f>
        <v>#VALUE!</v>
      </c>
    </row>
    <row r="246" spans="2:56" hidden="1" x14ac:dyDescent="0.25">
      <c r="B246" s="16" t="e">
        <f>VLOOKUP(Data_Geotech[[#This Row],[Hole ID]],Data_Log[],2,FALSE)</f>
        <v>#N/A</v>
      </c>
      <c r="C246" s="5"/>
      <c r="D246" s="5"/>
      <c r="E246" s="5">
        <f>(Data_Geotech[[#This Row],[To (m)]]-Data_Geotech[[#This Row],[From (m)]])/2+Data_Geotech[[#This Row],[From (m)]]</f>
        <v>0</v>
      </c>
      <c r="F246" s="13">
        <f>Data_Geotech[[#This Row],[To (m)]]-Data_Geotech[[#This Row],[From (m)]]</f>
        <v>0</v>
      </c>
      <c r="G246" s="5"/>
      <c r="H246" s="61" t="e">
        <f>Data_Geotech[[#This Row],[TCR (m)]]/Data_Geotech[[#This Row],[Run (m)]]*100</f>
        <v>#DIV/0!</v>
      </c>
      <c r="I246" s="151"/>
      <c r="J246" s="151"/>
      <c r="K246" s="5"/>
      <c r="L246" s="61" t="e">
        <f>Data_Geotech[[#This Row],[RQD (m)]]/Data_Geotech[[#This Row],[Run Reel (m)]]*100</f>
        <v>#DIV/0!</v>
      </c>
      <c r="P246" s="115"/>
      <c r="Q246" s="5"/>
      <c r="R246" s="5"/>
      <c r="S246" s="5"/>
      <c r="T246" s="5"/>
      <c r="U246" s="5"/>
      <c r="V246" s="6"/>
      <c r="W246" s="92">
        <f>SUMIFS(Discontinuities!$D$4:$D$9664,Discontinuities!$A$4:$A$9664,A246,Discontinuities!$C$4:$C$9664,"&gt;="&amp;C246,Discontinuities!$C$4:$C$9664,"&lt;"&amp;D246)
-SUMIFS(Discontinuities!$D$4:$D$9664,Discontinuities!$A$4:$A$9664,A246,Discontinuities!$C$4:$C$9664,"&gt;="&amp;C246,Discontinuities!$C$4:$C$9664,"&lt;"&amp;D246,Discontinuities!$E$4:$E$9664,"=BC")
-SUMIFS(Discontinuities!$D$4:$D$9664,Discontinuities!$A$4:$A$9664,A246,Discontinuities!$C$4:$C$9664,"&gt;="&amp;C246,Discontinuities!$C$4:$C$9664,"&lt;"&amp;D246,Discontinuities!$E$4:$E$9664,"=LC")
-SUMIFS(Discontinuities!$D$4:$D$9664,Discontinuities!$A$4:$A$9664,A246,Discontinuities!$C$4:$C$9664,"&gt;="&amp;C246,Discontinuities!$C$4:$C$9664,"&lt;"&amp;D246,Discontinuities!$E$4:$E$9664,"=FLT")</f>
        <v>0</v>
      </c>
      <c r="AA246" s="132"/>
      <c r="AB246" s="159">
        <f>IFERROR(ROUND((Data_Geotech[[#This Row],[Fault (m)]]+Data_Geotech[[#This Row],[Broken Core (m)]]+Data_Geotech[[#This Row],[Lost Core (m)]])*30,0),0)</f>
        <v>0</v>
      </c>
      <c r="AC246" s="135">
        <f>IF(Data_Geotech[[#This Row],[Added fractures 
(BC, FLT, LC)]]+Data_Geotech[[#This Row],[Fracture per interval]]=0,99,1/((Data_Geotech[[#This Row],[Fracture per interval]]+Data_Geotech[[#This Row],[Added fractures 
(BC, FLT, LC)]])/Data_Geotech[[#This Row],[Run (m)]]))</f>
        <v>99</v>
      </c>
      <c r="AD246" s="160" t="str" cm="1">
        <f t="array" ref="AD246">IFERROR(_xlfn.XLOOKUP(1,(A246=PLT!$A$4:$A$8886)*(Geotech!C246&lt;=PLT!$F$4:$F$8886)*(Geotech!D246&gt;=PLT!$F$4:$F$8886)*("Valid"=PLT!$P$4:$P$8886),PLT!$V$4:$V$8886),"")</f>
        <v/>
      </c>
      <c r="AE246" s="161" t="str" cm="1">
        <f t="array" ref="AE246">IFERROR(_xlfn.XLOOKUP(1,(A246=PLT!$A$4:$A$8886)*(Geotech!C246&lt;=PLT!$F$4:$F$8886)*(Geotech!D246&gt;=PLT!$F$4:$F$8886)*(PLT!$V$4:$V$8886&lt;&gt;AD246)*("Valid"=PLT!$P$4:$P$7190),PLT!$V$4:$V$8886),"")</f>
        <v/>
      </c>
      <c r="AF246" s="161" t="str" cm="1">
        <f t="array" ref="AF246">IFERROR(_xlfn.XLOOKUP(1,(A246=PLT!$A$4:$A$8886)*(Geotech!C246&lt;=PLT!$F$4:$F$8886)*(Geotech!D246&gt;=PLT!$F$4:$F$8886)*(PLT!$V$4:$V$8886&lt;&gt;AD246)*(PLT!$V$4:$V$8886&lt;&gt;AE246)*("Valid"=PLT!$P$4:$P$7190),PLT!$V$4:$V$8886),"")</f>
        <v/>
      </c>
      <c r="AG246" s="162" t="str">
        <f>IFERROR(IF(AVERAGE(AD246:AF246)&gt;References!$BO$23,References!$BP$23,
IF(AVERAGE(AD246:AF246)&gt;References!$BO$22,References!$BP$22,
IF(AVERAGE(AD246:AF246)&gt;References!$BO$21,References!$BP$21,
IF(AVERAGE(AD246:AF246)&gt;References!$BO$20,References!$BP$20,
IF(AVERAGE(AD246:AF246)&gt;References!$BO$19,References!$BP$19,
IF(AVERAGE(AD246:AF246)&gt;References!$BO$18,References!$BP$18,
0)))))),"")</f>
        <v/>
      </c>
      <c r="AH246" s="163" t="e">
        <f>VLOOKUP(Data_Geotech[[#This Row],[Field Intact Rock Strength]],Table_RMR76_Strength[],2,FALSE)</f>
        <v>#N/A</v>
      </c>
      <c r="AI246" s="163" t="e">
        <f>IF(Data_Geotech[[#This Row],[RQD (%)]]&lt;=25,3,IF(Data_Geotech[[#This Row],[RQD (%)]]&lt;=50,8,IF(Data_Geotech[[#This Row],[RQD (%)]]&lt;=75,13,IF(Data_Geotech[[#This Row],[RQD (%)]]&lt;=90,17,20))))</f>
        <v>#DIV/0!</v>
      </c>
      <c r="AJ246" s="136">
        <f>IF(Data_Geotech[[#This Row],[Joint spacing (m)]]&lt;=0.05,5,IF(Data_Geotech[[#This Row],[Joint spacing (m)]]&lt;=0.3,10,IF(Data_Geotech[[#This Row],[Joint spacing (m)]]&lt;=1,20,IF(Data_Geotech[[#This Row],[Joint spacing (m)]]&lt;=3,25,30))))</f>
        <v>30</v>
      </c>
      <c r="AK24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6" s="6"/>
      <c r="AM246" s="137" t="str">
        <f>IF(Data_Geotech[[#This Row],[FIRS Code]]="R",IFERROR(SUM(Data_Geotech[[#This Row],[RMR76 - Strength rating]:[RMR76 - Ground water rating]]),""),"")</f>
        <v/>
      </c>
      <c r="AN246" s="164" t="str">
        <f>IF(Data_Geotech[[#This Row],[FIRS Code]]="R",(2*Data_Geotech[[#This Row],[RMR76 - Joint condition rating]])+(IF(Data_Geotech[[#This Row],[RQD (%)]]&gt;80,80/2,Data_Geotech[[#This Row],[RQD (%)]]/2)),"")</f>
        <v/>
      </c>
      <c r="AO246" s="136" t="e">
        <f>LEFT(Data_Geotech[[#This Row],[Joint Set Rating]],FIND("-",Data_Geotech[[#This Row],[Joint Set Rating]],1)-2)</f>
        <v>#VALUE!</v>
      </c>
      <c r="AP24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6" s="143">
        <f t="shared" si="3"/>
        <v>1</v>
      </c>
      <c r="AR246" s="165" t="str">
        <f>IF(Data_Geotech[[#This Row],[FIRS Code]]="R",IFERROR((IF(Data_Geotech[[#This Row],[RQD (%)]]&lt;10,10,Data_Geotech[[#This Row],[RQD (%)]])/Data_Geotech[[#This Row],[Jn rating]])*Data_Geotech[[#This Row],[Jr/Ja]],""),"")</f>
        <v/>
      </c>
      <c r="AS246" s="138" t="str">
        <f>IF(Data_Geotech[[#This Row],[FIRS Code]]="R",IFERROR((IF(Data_Geotech[[#This Row],[RQD (%)]]&lt;10,10,Data_Geotech[[#This Row],[RQD (%)]])/Data_Geotech[[#This Row],[Jn rating]])*Data_Geotech[[#This Row],[Jr/Ja]]*Data_Geotech[[#This Row],[Jw/SRF]],""),"")</f>
        <v/>
      </c>
      <c r="AT246" s="12"/>
      <c r="AU246" s="13" t="e">
        <f>100-Data_Geotech[[#This Row],[RQD (%)]]</f>
        <v>#DIV/0!</v>
      </c>
      <c r="AV246" s="13" t="e">
        <f>100-Data_Geotech[[#This Row],[TCR (%)]]</f>
        <v>#DIV/0!</v>
      </c>
      <c r="AW246" s="62" t="e">
        <f>(Data_Geotech[[#This Row],[Fracture per interval]]+Data_Geotech[[#This Row],[Added fractures 
(BC, FLT, LC)]])/Data_Geotech[[#This Row],[TCR (m)]]</f>
        <v>#DIV/0!</v>
      </c>
      <c r="AX246" s="62" t="str">
        <f>MID(Data_Geotech[[#This Row],[Field Intact Rock Strength]],2,1)</f>
        <v/>
      </c>
      <c r="AY246" s="63" t="e">
        <f>7-MID(Data_Geotech[[#This Row],[Field Intact Rock Strength]],2,1)</f>
        <v>#VALUE!</v>
      </c>
      <c r="AZ246" s="63" t="e">
        <f>VLOOKUP(Data_Geotech[[#This Row],[Field Intact Rock Strength]],Table_FieldStrength[],2,FALSE)</f>
        <v>#N/A</v>
      </c>
      <c r="BA246" s="63" t="e">
        <f>VLOOKUP(Data_Geotech[[#This Row],[Field Intact Rock Strength]],Table_FieldStrength[],3,FALSE)</f>
        <v>#N/A</v>
      </c>
      <c r="BB246" s="63" t="e">
        <f>VLOOKUP(Data_Geotech[[#This Row],[Field Intact Rock Strength]],Table_FieldStrength[],4,FALSE)</f>
        <v>#N/A</v>
      </c>
      <c r="BC246" s="63" t="e">
        <f>100-Data_Geotech[[#This Row],[RMR76]]</f>
        <v>#VALUE!</v>
      </c>
      <c r="BD246" s="63" t="e">
        <f>LEFT(Data_Geotech[[#This Row],[Weathering/Alteration]],FIND("-",Data_Geotech[[#This Row],[Weathering/Alteration]])-2)</f>
        <v>#VALUE!</v>
      </c>
    </row>
    <row r="247" spans="2:56" hidden="1" x14ac:dyDescent="0.25">
      <c r="B247" s="16" t="e">
        <f>VLOOKUP(Data_Geotech[[#This Row],[Hole ID]],Data_Log[],2,FALSE)</f>
        <v>#N/A</v>
      </c>
      <c r="C247" s="5"/>
      <c r="D247" s="5"/>
      <c r="E247" s="5">
        <f>(Data_Geotech[[#This Row],[To (m)]]-Data_Geotech[[#This Row],[From (m)]])/2+Data_Geotech[[#This Row],[From (m)]]</f>
        <v>0</v>
      </c>
      <c r="F247" s="13">
        <f>Data_Geotech[[#This Row],[To (m)]]-Data_Geotech[[#This Row],[From (m)]]</f>
        <v>0</v>
      </c>
      <c r="G247" s="5"/>
      <c r="H247" s="61" t="e">
        <f>Data_Geotech[[#This Row],[TCR (m)]]/Data_Geotech[[#This Row],[Run (m)]]*100</f>
        <v>#DIV/0!</v>
      </c>
      <c r="I247" s="151"/>
      <c r="J247" s="151"/>
      <c r="K247" s="5"/>
      <c r="L247" s="61" t="e">
        <f>Data_Geotech[[#This Row],[RQD (m)]]/Data_Geotech[[#This Row],[Run Reel (m)]]*100</f>
        <v>#DIV/0!</v>
      </c>
      <c r="P247" s="115"/>
      <c r="Q247" s="5"/>
      <c r="R247" s="5"/>
      <c r="S247" s="5"/>
      <c r="T247" s="5"/>
      <c r="U247" s="5"/>
      <c r="V247" s="6"/>
      <c r="W247" s="92">
        <f>SUMIFS(Discontinuities!$D$4:$D$9664,Discontinuities!$A$4:$A$9664,A247,Discontinuities!$C$4:$C$9664,"&gt;="&amp;C247,Discontinuities!$C$4:$C$9664,"&lt;"&amp;D247)
-SUMIFS(Discontinuities!$D$4:$D$9664,Discontinuities!$A$4:$A$9664,A247,Discontinuities!$C$4:$C$9664,"&gt;="&amp;C247,Discontinuities!$C$4:$C$9664,"&lt;"&amp;D247,Discontinuities!$E$4:$E$9664,"=BC")
-SUMIFS(Discontinuities!$D$4:$D$9664,Discontinuities!$A$4:$A$9664,A247,Discontinuities!$C$4:$C$9664,"&gt;="&amp;C247,Discontinuities!$C$4:$C$9664,"&lt;"&amp;D247,Discontinuities!$E$4:$E$9664,"=LC")
-SUMIFS(Discontinuities!$D$4:$D$9664,Discontinuities!$A$4:$A$9664,A247,Discontinuities!$C$4:$C$9664,"&gt;="&amp;C247,Discontinuities!$C$4:$C$9664,"&lt;"&amp;D247,Discontinuities!$E$4:$E$9664,"=FLT")</f>
        <v>0</v>
      </c>
      <c r="AA247" s="132"/>
      <c r="AB247" s="159">
        <f>IFERROR(ROUND((Data_Geotech[[#This Row],[Fault (m)]]+Data_Geotech[[#This Row],[Broken Core (m)]]+Data_Geotech[[#This Row],[Lost Core (m)]])*30,0),0)</f>
        <v>0</v>
      </c>
      <c r="AC247" s="135">
        <f>IF(Data_Geotech[[#This Row],[Added fractures 
(BC, FLT, LC)]]+Data_Geotech[[#This Row],[Fracture per interval]]=0,99,1/((Data_Geotech[[#This Row],[Fracture per interval]]+Data_Geotech[[#This Row],[Added fractures 
(BC, FLT, LC)]])/Data_Geotech[[#This Row],[Run (m)]]))</f>
        <v>99</v>
      </c>
      <c r="AD247" s="160" t="str" cm="1">
        <f t="array" ref="AD247">IFERROR(_xlfn.XLOOKUP(1,(A247=PLT!$A$4:$A$8886)*(Geotech!C247&lt;=PLT!$F$4:$F$8886)*(Geotech!D247&gt;=PLT!$F$4:$F$8886)*("Valid"=PLT!$P$4:$P$8886),PLT!$V$4:$V$8886),"")</f>
        <v/>
      </c>
      <c r="AE247" s="161" t="str" cm="1">
        <f t="array" ref="AE247">IFERROR(_xlfn.XLOOKUP(1,(A247=PLT!$A$4:$A$8886)*(Geotech!C247&lt;=PLT!$F$4:$F$8886)*(Geotech!D247&gt;=PLT!$F$4:$F$8886)*(PLT!$V$4:$V$8886&lt;&gt;AD247)*("Valid"=PLT!$P$4:$P$7190),PLT!$V$4:$V$8886),"")</f>
        <v/>
      </c>
      <c r="AF247" s="161" t="str" cm="1">
        <f t="array" ref="AF247">IFERROR(_xlfn.XLOOKUP(1,(A247=PLT!$A$4:$A$8886)*(Geotech!C247&lt;=PLT!$F$4:$F$8886)*(Geotech!D247&gt;=PLT!$F$4:$F$8886)*(PLT!$V$4:$V$8886&lt;&gt;AD247)*(PLT!$V$4:$V$8886&lt;&gt;AE247)*("Valid"=PLT!$P$4:$P$7190),PLT!$V$4:$V$8886),"")</f>
        <v/>
      </c>
      <c r="AG247" s="162" t="str">
        <f>IFERROR(IF(AVERAGE(AD247:AF247)&gt;References!$BO$23,References!$BP$23,
IF(AVERAGE(AD247:AF247)&gt;References!$BO$22,References!$BP$22,
IF(AVERAGE(AD247:AF247)&gt;References!$BO$21,References!$BP$21,
IF(AVERAGE(AD247:AF247)&gt;References!$BO$20,References!$BP$20,
IF(AVERAGE(AD247:AF247)&gt;References!$BO$19,References!$BP$19,
IF(AVERAGE(AD247:AF247)&gt;References!$BO$18,References!$BP$18,
0)))))),"")</f>
        <v/>
      </c>
      <c r="AH247" s="163" t="e">
        <f>VLOOKUP(Data_Geotech[[#This Row],[Field Intact Rock Strength]],Table_RMR76_Strength[],2,FALSE)</f>
        <v>#N/A</v>
      </c>
      <c r="AI247" s="163" t="e">
        <f>IF(Data_Geotech[[#This Row],[RQD (%)]]&lt;=25,3,IF(Data_Geotech[[#This Row],[RQD (%)]]&lt;=50,8,IF(Data_Geotech[[#This Row],[RQD (%)]]&lt;=75,13,IF(Data_Geotech[[#This Row],[RQD (%)]]&lt;=90,17,20))))</f>
        <v>#DIV/0!</v>
      </c>
      <c r="AJ247" s="136">
        <f>IF(Data_Geotech[[#This Row],[Joint spacing (m)]]&lt;=0.05,5,IF(Data_Geotech[[#This Row],[Joint spacing (m)]]&lt;=0.3,10,IF(Data_Geotech[[#This Row],[Joint spacing (m)]]&lt;=1,20,IF(Data_Geotech[[#This Row],[Joint spacing (m)]]&lt;=3,25,30))))</f>
        <v>30</v>
      </c>
      <c r="AK24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7" s="6"/>
      <c r="AM247" s="137" t="str">
        <f>IF(Data_Geotech[[#This Row],[FIRS Code]]="R",IFERROR(SUM(Data_Geotech[[#This Row],[RMR76 - Strength rating]:[RMR76 - Ground water rating]]),""),"")</f>
        <v/>
      </c>
      <c r="AN247" s="164" t="str">
        <f>IF(Data_Geotech[[#This Row],[FIRS Code]]="R",(2*Data_Geotech[[#This Row],[RMR76 - Joint condition rating]])+(IF(Data_Geotech[[#This Row],[RQD (%)]]&gt;80,80/2,Data_Geotech[[#This Row],[RQD (%)]]/2)),"")</f>
        <v/>
      </c>
      <c r="AO247" s="136" t="e">
        <f>LEFT(Data_Geotech[[#This Row],[Joint Set Rating]],FIND("-",Data_Geotech[[#This Row],[Joint Set Rating]],1)-2)</f>
        <v>#VALUE!</v>
      </c>
      <c r="AP24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7" s="143">
        <f t="shared" si="3"/>
        <v>1</v>
      </c>
      <c r="AR247" s="165" t="str">
        <f>IF(Data_Geotech[[#This Row],[FIRS Code]]="R",IFERROR((IF(Data_Geotech[[#This Row],[RQD (%)]]&lt;10,10,Data_Geotech[[#This Row],[RQD (%)]])/Data_Geotech[[#This Row],[Jn rating]])*Data_Geotech[[#This Row],[Jr/Ja]],""),"")</f>
        <v/>
      </c>
      <c r="AS247" s="138" t="str">
        <f>IF(Data_Geotech[[#This Row],[FIRS Code]]="R",IFERROR((IF(Data_Geotech[[#This Row],[RQD (%)]]&lt;10,10,Data_Geotech[[#This Row],[RQD (%)]])/Data_Geotech[[#This Row],[Jn rating]])*Data_Geotech[[#This Row],[Jr/Ja]]*Data_Geotech[[#This Row],[Jw/SRF]],""),"")</f>
        <v/>
      </c>
      <c r="AT247" s="12"/>
      <c r="AU247" s="13" t="e">
        <f>100-Data_Geotech[[#This Row],[RQD (%)]]</f>
        <v>#DIV/0!</v>
      </c>
      <c r="AV247" s="13" t="e">
        <f>100-Data_Geotech[[#This Row],[TCR (%)]]</f>
        <v>#DIV/0!</v>
      </c>
      <c r="AW247" s="62" t="e">
        <f>(Data_Geotech[[#This Row],[Fracture per interval]]+Data_Geotech[[#This Row],[Added fractures 
(BC, FLT, LC)]])/Data_Geotech[[#This Row],[TCR (m)]]</f>
        <v>#DIV/0!</v>
      </c>
      <c r="AX247" s="62" t="str">
        <f>MID(Data_Geotech[[#This Row],[Field Intact Rock Strength]],2,1)</f>
        <v/>
      </c>
      <c r="AY247" s="63" t="e">
        <f>7-MID(Data_Geotech[[#This Row],[Field Intact Rock Strength]],2,1)</f>
        <v>#VALUE!</v>
      </c>
      <c r="AZ247" s="63" t="e">
        <f>VLOOKUP(Data_Geotech[[#This Row],[Field Intact Rock Strength]],Table_FieldStrength[],2,FALSE)</f>
        <v>#N/A</v>
      </c>
      <c r="BA247" s="63" t="e">
        <f>VLOOKUP(Data_Geotech[[#This Row],[Field Intact Rock Strength]],Table_FieldStrength[],3,FALSE)</f>
        <v>#N/A</v>
      </c>
      <c r="BB247" s="63" t="e">
        <f>VLOOKUP(Data_Geotech[[#This Row],[Field Intact Rock Strength]],Table_FieldStrength[],4,FALSE)</f>
        <v>#N/A</v>
      </c>
      <c r="BC247" s="63" t="e">
        <f>100-Data_Geotech[[#This Row],[RMR76]]</f>
        <v>#VALUE!</v>
      </c>
      <c r="BD247" s="63" t="e">
        <f>LEFT(Data_Geotech[[#This Row],[Weathering/Alteration]],FIND("-",Data_Geotech[[#This Row],[Weathering/Alteration]])-2)</f>
        <v>#VALUE!</v>
      </c>
    </row>
    <row r="248" spans="2:56" hidden="1" x14ac:dyDescent="0.25">
      <c r="B248" s="16" t="e">
        <f>VLOOKUP(Data_Geotech[[#This Row],[Hole ID]],Data_Log[],2,FALSE)</f>
        <v>#N/A</v>
      </c>
      <c r="C248" s="5"/>
      <c r="D248" s="5"/>
      <c r="E248" s="5">
        <f>(Data_Geotech[[#This Row],[To (m)]]-Data_Geotech[[#This Row],[From (m)]])/2+Data_Geotech[[#This Row],[From (m)]]</f>
        <v>0</v>
      </c>
      <c r="F248" s="13">
        <f>Data_Geotech[[#This Row],[To (m)]]-Data_Geotech[[#This Row],[From (m)]]</f>
        <v>0</v>
      </c>
      <c r="G248" s="5"/>
      <c r="H248" s="61" t="e">
        <f>Data_Geotech[[#This Row],[TCR (m)]]/Data_Geotech[[#This Row],[Run (m)]]*100</f>
        <v>#DIV/0!</v>
      </c>
      <c r="I248" s="151"/>
      <c r="J248" s="151"/>
      <c r="K248" s="5"/>
      <c r="L248" s="61" t="e">
        <f>Data_Geotech[[#This Row],[RQD (m)]]/Data_Geotech[[#This Row],[Run Reel (m)]]*100</f>
        <v>#DIV/0!</v>
      </c>
      <c r="P248" s="115"/>
      <c r="Q248" s="5"/>
      <c r="R248" s="5"/>
      <c r="S248" s="5"/>
      <c r="T248" s="5"/>
      <c r="U248" s="5"/>
      <c r="V248" s="6"/>
      <c r="W248" s="92">
        <f>SUMIFS(Discontinuities!$D$4:$D$9664,Discontinuities!$A$4:$A$9664,A248,Discontinuities!$C$4:$C$9664,"&gt;="&amp;C248,Discontinuities!$C$4:$C$9664,"&lt;"&amp;D248)
-SUMIFS(Discontinuities!$D$4:$D$9664,Discontinuities!$A$4:$A$9664,A248,Discontinuities!$C$4:$C$9664,"&gt;="&amp;C248,Discontinuities!$C$4:$C$9664,"&lt;"&amp;D248,Discontinuities!$E$4:$E$9664,"=BC")
-SUMIFS(Discontinuities!$D$4:$D$9664,Discontinuities!$A$4:$A$9664,A248,Discontinuities!$C$4:$C$9664,"&gt;="&amp;C248,Discontinuities!$C$4:$C$9664,"&lt;"&amp;D248,Discontinuities!$E$4:$E$9664,"=LC")
-SUMIFS(Discontinuities!$D$4:$D$9664,Discontinuities!$A$4:$A$9664,A248,Discontinuities!$C$4:$C$9664,"&gt;="&amp;C248,Discontinuities!$C$4:$C$9664,"&lt;"&amp;D248,Discontinuities!$E$4:$E$9664,"=FLT")</f>
        <v>0</v>
      </c>
      <c r="AA248" s="132"/>
      <c r="AB248" s="159">
        <f>IFERROR(ROUND((Data_Geotech[[#This Row],[Fault (m)]]+Data_Geotech[[#This Row],[Broken Core (m)]]+Data_Geotech[[#This Row],[Lost Core (m)]])*30,0),0)</f>
        <v>0</v>
      </c>
      <c r="AC248" s="135">
        <f>IF(Data_Geotech[[#This Row],[Added fractures 
(BC, FLT, LC)]]+Data_Geotech[[#This Row],[Fracture per interval]]=0,99,1/((Data_Geotech[[#This Row],[Fracture per interval]]+Data_Geotech[[#This Row],[Added fractures 
(BC, FLT, LC)]])/Data_Geotech[[#This Row],[Run (m)]]))</f>
        <v>99</v>
      </c>
      <c r="AD248" s="160" t="str" cm="1">
        <f t="array" ref="AD248">IFERROR(_xlfn.XLOOKUP(1,(A248=PLT!$A$4:$A$8886)*(Geotech!C248&lt;=PLT!$F$4:$F$8886)*(Geotech!D248&gt;=PLT!$F$4:$F$8886)*("Valid"=PLT!$P$4:$P$8886),PLT!$V$4:$V$8886),"")</f>
        <v/>
      </c>
      <c r="AE248" s="161" t="str" cm="1">
        <f t="array" ref="AE248">IFERROR(_xlfn.XLOOKUP(1,(A248=PLT!$A$4:$A$8886)*(Geotech!C248&lt;=PLT!$F$4:$F$8886)*(Geotech!D248&gt;=PLT!$F$4:$F$8886)*(PLT!$V$4:$V$8886&lt;&gt;AD248)*("Valid"=PLT!$P$4:$P$7190),PLT!$V$4:$V$8886),"")</f>
        <v/>
      </c>
      <c r="AF248" s="161" t="str" cm="1">
        <f t="array" ref="AF248">IFERROR(_xlfn.XLOOKUP(1,(A248=PLT!$A$4:$A$8886)*(Geotech!C248&lt;=PLT!$F$4:$F$8886)*(Geotech!D248&gt;=PLT!$F$4:$F$8886)*(PLT!$V$4:$V$8886&lt;&gt;AD248)*(PLT!$V$4:$V$8886&lt;&gt;AE248)*("Valid"=PLT!$P$4:$P$7190),PLT!$V$4:$V$8886),"")</f>
        <v/>
      </c>
      <c r="AG248" s="162" t="str">
        <f>IFERROR(IF(AVERAGE(AD248:AF248)&gt;References!$BO$23,References!$BP$23,
IF(AVERAGE(AD248:AF248)&gt;References!$BO$22,References!$BP$22,
IF(AVERAGE(AD248:AF248)&gt;References!$BO$21,References!$BP$21,
IF(AVERAGE(AD248:AF248)&gt;References!$BO$20,References!$BP$20,
IF(AVERAGE(AD248:AF248)&gt;References!$BO$19,References!$BP$19,
IF(AVERAGE(AD248:AF248)&gt;References!$BO$18,References!$BP$18,
0)))))),"")</f>
        <v/>
      </c>
      <c r="AH248" s="163" t="e">
        <f>VLOOKUP(Data_Geotech[[#This Row],[Field Intact Rock Strength]],Table_RMR76_Strength[],2,FALSE)</f>
        <v>#N/A</v>
      </c>
      <c r="AI248" s="163" t="e">
        <f>IF(Data_Geotech[[#This Row],[RQD (%)]]&lt;=25,3,IF(Data_Geotech[[#This Row],[RQD (%)]]&lt;=50,8,IF(Data_Geotech[[#This Row],[RQD (%)]]&lt;=75,13,IF(Data_Geotech[[#This Row],[RQD (%)]]&lt;=90,17,20))))</f>
        <v>#DIV/0!</v>
      </c>
      <c r="AJ248" s="136">
        <f>IF(Data_Geotech[[#This Row],[Joint spacing (m)]]&lt;=0.05,5,IF(Data_Geotech[[#This Row],[Joint spacing (m)]]&lt;=0.3,10,IF(Data_Geotech[[#This Row],[Joint spacing (m)]]&lt;=1,20,IF(Data_Geotech[[#This Row],[Joint spacing (m)]]&lt;=3,25,30))))</f>
        <v>30</v>
      </c>
      <c r="AK24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8" s="6"/>
      <c r="AM248" s="137" t="str">
        <f>IF(Data_Geotech[[#This Row],[FIRS Code]]="R",IFERROR(SUM(Data_Geotech[[#This Row],[RMR76 - Strength rating]:[RMR76 - Ground water rating]]),""),"")</f>
        <v/>
      </c>
      <c r="AN248" s="164" t="str">
        <f>IF(Data_Geotech[[#This Row],[FIRS Code]]="R",(2*Data_Geotech[[#This Row],[RMR76 - Joint condition rating]])+(IF(Data_Geotech[[#This Row],[RQD (%)]]&gt;80,80/2,Data_Geotech[[#This Row],[RQD (%)]]/2)),"")</f>
        <v/>
      </c>
      <c r="AO248" s="136" t="e">
        <f>LEFT(Data_Geotech[[#This Row],[Joint Set Rating]],FIND("-",Data_Geotech[[#This Row],[Joint Set Rating]],1)-2)</f>
        <v>#VALUE!</v>
      </c>
      <c r="AP24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8" s="143">
        <f t="shared" si="3"/>
        <v>1</v>
      </c>
      <c r="AR248" s="165" t="str">
        <f>IF(Data_Geotech[[#This Row],[FIRS Code]]="R",IFERROR((IF(Data_Geotech[[#This Row],[RQD (%)]]&lt;10,10,Data_Geotech[[#This Row],[RQD (%)]])/Data_Geotech[[#This Row],[Jn rating]])*Data_Geotech[[#This Row],[Jr/Ja]],""),"")</f>
        <v/>
      </c>
      <c r="AS248" s="138" t="str">
        <f>IF(Data_Geotech[[#This Row],[FIRS Code]]="R",IFERROR((IF(Data_Geotech[[#This Row],[RQD (%)]]&lt;10,10,Data_Geotech[[#This Row],[RQD (%)]])/Data_Geotech[[#This Row],[Jn rating]])*Data_Geotech[[#This Row],[Jr/Ja]]*Data_Geotech[[#This Row],[Jw/SRF]],""),"")</f>
        <v/>
      </c>
      <c r="AT248" s="12"/>
      <c r="AU248" s="13" t="e">
        <f>100-Data_Geotech[[#This Row],[RQD (%)]]</f>
        <v>#DIV/0!</v>
      </c>
      <c r="AV248" s="13" t="e">
        <f>100-Data_Geotech[[#This Row],[TCR (%)]]</f>
        <v>#DIV/0!</v>
      </c>
      <c r="AW248" s="62" t="e">
        <f>(Data_Geotech[[#This Row],[Fracture per interval]]+Data_Geotech[[#This Row],[Added fractures 
(BC, FLT, LC)]])/Data_Geotech[[#This Row],[TCR (m)]]</f>
        <v>#DIV/0!</v>
      </c>
      <c r="AX248" s="62" t="str">
        <f>MID(Data_Geotech[[#This Row],[Field Intact Rock Strength]],2,1)</f>
        <v/>
      </c>
      <c r="AY248" s="63" t="e">
        <f>7-MID(Data_Geotech[[#This Row],[Field Intact Rock Strength]],2,1)</f>
        <v>#VALUE!</v>
      </c>
      <c r="AZ248" s="63" t="e">
        <f>VLOOKUP(Data_Geotech[[#This Row],[Field Intact Rock Strength]],Table_FieldStrength[],2,FALSE)</f>
        <v>#N/A</v>
      </c>
      <c r="BA248" s="63" t="e">
        <f>VLOOKUP(Data_Geotech[[#This Row],[Field Intact Rock Strength]],Table_FieldStrength[],3,FALSE)</f>
        <v>#N/A</v>
      </c>
      <c r="BB248" s="63" t="e">
        <f>VLOOKUP(Data_Geotech[[#This Row],[Field Intact Rock Strength]],Table_FieldStrength[],4,FALSE)</f>
        <v>#N/A</v>
      </c>
      <c r="BC248" s="63" t="e">
        <f>100-Data_Geotech[[#This Row],[RMR76]]</f>
        <v>#VALUE!</v>
      </c>
      <c r="BD248" s="63" t="e">
        <f>LEFT(Data_Geotech[[#This Row],[Weathering/Alteration]],FIND("-",Data_Geotech[[#This Row],[Weathering/Alteration]])-2)</f>
        <v>#VALUE!</v>
      </c>
    </row>
    <row r="249" spans="2:56" hidden="1" x14ac:dyDescent="0.25">
      <c r="B249" s="16" t="e">
        <f>VLOOKUP(Data_Geotech[[#This Row],[Hole ID]],Data_Log[],2,FALSE)</f>
        <v>#N/A</v>
      </c>
      <c r="C249" s="5"/>
      <c r="D249" s="5"/>
      <c r="E249" s="5">
        <f>(Data_Geotech[[#This Row],[To (m)]]-Data_Geotech[[#This Row],[From (m)]])/2+Data_Geotech[[#This Row],[From (m)]]</f>
        <v>0</v>
      </c>
      <c r="F249" s="13">
        <f>Data_Geotech[[#This Row],[To (m)]]-Data_Geotech[[#This Row],[From (m)]]</f>
        <v>0</v>
      </c>
      <c r="G249" s="5"/>
      <c r="H249" s="61" t="e">
        <f>Data_Geotech[[#This Row],[TCR (m)]]/Data_Geotech[[#This Row],[Run (m)]]*100</f>
        <v>#DIV/0!</v>
      </c>
      <c r="I249" s="151"/>
      <c r="J249" s="151"/>
      <c r="K249" s="5"/>
      <c r="L249" s="61" t="e">
        <f>Data_Geotech[[#This Row],[RQD (m)]]/Data_Geotech[[#This Row],[Run Reel (m)]]*100</f>
        <v>#DIV/0!</v>
      </c>
      <c r="P249" s="115"/>
      <c r="Q249" s="5"/>
      <c r="R249" s="5"/>
      <c r="S249" s="5"/>
      <c r="T249" s="5"/>
      <c r="U249" s="5"/>
      <c r="V249" s="6"/>
      <c r="W249" s="92">
        <f>SUMIFS(Discontinuities!$D$4:$D$9664,Discontinuities!$A$4:$A$9664,A249,Discontinuities!$C$4:$C$9664,"&gt;="&amp;C249,Discontinuities!$C$4:$C$9664,"&lt;"&amp;D249)
-SUMIFS(Discontinuities!$D$4:$D$9664,Discontinuities!$A$4:$A$9664,A249,Discontinuities!$C$4:$C$9664,"&gt;="&amp;C249,Discontinuities!$C$4:$C$9664,"&lt;"&amp;D249,Discontinuities!$E$4:$E$9664,"=BC")
-SUMIFS(Discontinuities!$D$4:$D$9664,Discontinuities!$A$4:$A$9664,A249,Discontinuities!$C$4:$C$9664,"&gt;="&amp;C249,Discontinuities!$C$4:$C$9664,"&lt;"&amp;D249,Discontinuities!$E$4:$E$9664,"=LC")
-SUMIFS(Discontinuities!$D$4:$D$9664,Discontinuities!$A$4:$A$9664,A249,Discontinuities!$C$4:$C$9664,"&gt;="&amp;C249,Discontinuities!$C$4:$C$9664,"&lt;"&amp;D249,Discontinuities!$E$4:$E$9664,"=FLT")</f>
        <v>0</v>
      </c>
      <c r="AA249" s="132"/>
      <c r="AB249" s="159">
        <f>IFERROR(ROUND((Data_Geotech[[#This Row],[Fault (m)]]+Data_Geotech[[#This Row],[Broken Core (m)]]+Data_Geotech[[#This Row],[Lost Core (m)]])*30,0),0)</f>
        <v>0</v>
      </c>
      <c r="AC249" s="135">
        <f>IF(Data_Geotech[[#This Row],[Added fractures 
(BC, FLT, LC)]]+Data_Geotech[[#This Row],[Fracture per interval]]=0,99,1/((Data_Geotech[[#This Row],[Fracture per interval]]+Data_Geotech[[#This Row],[Added fractures 
(BC, FLT, LC)]])/Data_Geotech[[#This Row],[Run (m)]]))</f>
        <v>99</v>
      </c>
      <c r="AD249" s="160" t="str" cm="1">
        <f t="array" ref="AD249">IFERROR(_xlfn.XLOOKUP(1,(A249=PLT!$A$4:$A$8886)*(Geotech!C249&lt;=PLT!$F$4:$F$8886)*(Geotech!D249&gt;=PLT!$F$4:$F$8886)*("Valid"=PLT!$P$4:$P$8886),PLT!$V$4:$V$8886),"")</f>
        <v/>
      </c>
      <c r="AE249" s="161" t="str" cm="1">
        <f t="array" ref="AE249">IFERROR(_xlfn.XLOOKUP(1,(A249=PLT!$A$4:$A$8886)*(Geotech!C249&lt;=PLT!$F$4:$F$8886)*(Geotech!D249&gt;=PLT!$F$4:$F$8886)*(PLT!$V$4:$V$8886&lt;&gt;AD249)*("Valid"=PLT!$P$4:$P$7190),PLT!$V$4:$V$8886),"")</f>
        <v/>
      </c>
      <c r="AF249" s="161" t="str" cm="1">
        <f t="array" ref="AF249">IFERROR(_xlfn.XLOOKUP(1,(A249=PLT!$A$4:$A$8886)*(Geotech!C249&lt;=PLT!$F$4:$F$8886)*(Geotech!D249&gt;=PLT!$F$4:$F$8886)*(PLT!$V$4:$V$8886&lt;&gt;AD249)*(PLT!$V$4:$V$8886&lt;&gt;AE249)*("Valid"=PLT!$P$4:$P$7190),PLT!$V$4:$V$8886),"")</f>
        <v/>
      </c>
      <c r="AG249" s="162" t="str">
        <f>IFERROR(IF(AVERAGE(AD249:AF249)&gt;References!$BO$23,References!$BP$23,
IF(AVERAGE(AD249:AF249)&gt;References!$BO$22,References!$BP$22,
IF(AVERAGE(AD249:AF249)&gt;References!$BO$21,References!$BP$21,
IF(AVERAGE(AD249:AF249)&gt;References!$BO$20,References!$BP$20,
IF(AVERAGE(AD249:AF249)&gt;References!$BO$19,References!$BP$19,
IF(AVERAGE(AD249:AF249)&gt;References!$BO$18,References!$BP$18,
0)))))),"")</f>
        <v/>
      </c>
      <c r="AH249" s="163" t="e">
        <f>VLOOKUP(Data_Geotech[[#This Row],[Field Intact Rock Strength]],Table_RMR76_Strength[],2,FALSE)</f>
        <v>#N/A</v>
      </c>
      <c r="AI249" s="163" t="e">
        <f>IF(Data_Geotech[[#This Row],[RQD (%)]]&lt;=25,3,IF(Data_Geotech[[#This Row],[RQD (%)]]&lt;=50,8,IF(Data_Geotech[[#This Row],[RQD (%)]]&lt;=75,13,IF(Data_Geotech[[#This Row],[RQD (%)]]&lt;=90,17,20))))</f>
        <v>#DIV/0!</v>
      </c>
      <c r="AJ249" s="136">
        <f>IF(Data_Geotech[[#This Row],[Joint spacing (m)]]&lt;=0.05,5,IF(Data_Geotech[[#This Row],[Joint spacing (m)]]&lt;=0.3,10,IF(Data_Geotech[[#This Row],[Joint spacing (m)]]&lt;=1,20,IF(Data_Geotech[[#This Row],[Joint spacing (m)]]&lt;=3,25,30))))</f>
        <v>30</v>
      </c>
      <c r="AK24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49" s="6"/>
      <c r="AM249" s="137" t="str">
        <f>IF(Data_Geotech[[#This Row],[FIRS Code]]="R",IFERROR(SUM(Data_Geotech[[#This Row],[RMR76 - Strength rating]:[RMR76 - Ground water rating]]),""),"")</f>
        <v/>
      </c>
      <c r="AN249" s="164" t="str">
        <f>IF(Data_Geotech[[#This Row],[FIRS Code]]="R",(2*Data_Geotech[[#This Row],[RMR76 - Joint condition rating]])+(IF(Data_Geotech[[#This Row],[RQD (%)]]&gt;80,80/2,Data_Geotech[[#This Row],[RQD (%)]]/2)),"")</f>
        <v/>
      </c>
      <c r="AO249" s="136" t="e">
        <f>LEFT(Data_Geotech[[#This Row],[Joint Set Rating]],FIND("-",Data_Geotech[[#This Row],[Joint Set Rating]],1)-2)</f>
        <v>#VALUE!</v>
      </c>
      <c r="AP24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49" s="143">
        <f t="shared" si="3"/>
        <v>1</v>
      </c>
      <c r="AR249" s="165" t="str">
        <f>IF(Data_Geotech[[#This Row],[FIRS Code]]="R",IFERROR((IF(Data_Geotech[[#This Row],[RQD (%)]]&lt;10,10,Data_Geotech[[#This Row],[RQD (%)]])/Data_Geotech[[#This Row],[Jn rating]])*Data_Geotech[[#This Row],[Jr/Ja]],""),"")</f>
        <v/>
      </c>
      <c r="AS249" s="138" t="str">
        <f>IF(Data_Geotech[[#This Row],[FIRS Code]]="R",IFERROR((IF(Data_Geotech[[#This Row],[RQD (%)]]&lt;10,10,Data_Geotech[[#This Row],[RQD (%)]])/Data_Geotech[[#This Row],[Jn rating]])*Data_Geotech[[#This Row],[Jr/Ja]]*Data_Geotech[[#This Row],[Jw/SRF]],""),"")</f>
        <v/>
      </c>
      <c r="AT249" s="12"/>
      <c r="AU249" s="13" t="e">
        <f>100-Data_Geotech[[#This Row],[RQD (%)]]</f>
        <v>#DIV/0!</v>
      </c>
      <c r="AV249" s="13" t="e">
        <f>100-Data_Geotech[[#This Row],[TCR (%)]]</f>
        <v>#DIV/0!</v>
      </c>
      <c r="AW249" s="62" t="e">
        <f>(Data_Geotech[[#This Row],[Fracture per interval]]+Data_Geotech[[#This Row],[Added fractures 
(BC, FLT, LC)]])/Data_Geotech[[#This Row],[TCR (m)]]</f>
        <v>#DIV/0!</v>
      </c>
      <c r="AX249" s="62" t="str">
        <f>MID(Data_Geotech[[#This Row],[Field Intact Rock Strength]],2,1)</f>
        <v/>
      </c>
      <c r="AY249" s="63" t="e">
        <f>7-MID(Data_Geotech[[#This Row],[Field Intact Rock Strength]],2,1)</f>
        <v>#VALUE!</v>
      </c>
      <c r="AZ249" s="63" t="e">
        <f>VLOOKUP(Data_Geotech[[#This Row],[Field Intact Rock Strength]],Table_FieldStrength[],2,FALSE)</f>
        <v>#N/A</v>
      </c>
      <c r="BA249" s="63" t="e">
        <f>VLOOKUP(Data_Geotech[[#This Row],[Field Intact Rock Strength]],Table_FieldStrength[],3,FALSE)</f>
        <v>#N/A</v>
      </c>
      <c r="BB249" s="63" t="e">
        <f>VLOOKUP(Data_Geotech[[#This Row],[Field Intact Rock Strength]],Table_FieldStrength[],4,FALSE)</f>
        <v>#N/A</v>
      </c>
      <c r="BC249" s="63" t="e">
        <f>100-Data_Geotech[[#This Row],[RMR76]]</f>
        <v>#VALUE!</v>
      </c>
      <c r="BD249" s="63" t="e">
        <f>LEFT(Data_Geotech[[#This Row],[Weathering/Alteration]],FIND("-",Data_Geotech[[#This Row],[Weathering/Alteration]])-2)</f>
        <v>#VALUE!</v>
      </c>
    </row>
    <row r="250" spans="2:56" hidden="1" x14ac:dyDescent="0.25">
      <c r="B250" s="16" t="e">
        <f>VLOOKUP(Data_Geotech[[#This Row],[Hole ID]],Data_Log[],2,FALSE)</f>
        <v>#N/A</v>
      </c>
      <c r="C250" s="5"/>
      <c r="D250" s="5"/>
      <c r="E250" s="5">
        <f>(Data_Geotech[[#This Row],[To (m)]]-Data_Geotech[[#This Row],[From (m)]])/2+Data_Geotech[[#This Row],[From (m)]]</f>
        <v>0</v>
      </c>
      <c r="F250" s="13">
        <f>Data_Geotech[[#This Row],[To (m)]]-Data_Geotech[[#This Row],[From (m)]]</f>
        <v>0</v>
      </c>
      <c r="G250" s="5"/>
      <c r="H250" s="61" t="e">
        <f>Data_Geotech[[#This Row],[TCR (m)]]/Data_Geotech[[#This Row],[Run (m)]]*100</f>
        <v>#DIV/0!</v>
      </c>
      <c r="I250" s="151"/>
      <c r="J250" s="151"/>
      <c r="K250" s="5"/>
      <c r="L250" s="61" t="e">
        <f>Data_Geotech[[#This Row],[RQD (m)]]/Data_Geotech[[#This Row],[Run Reel (m)]]*100</f>
        <v>#DIV/0!</v>
      </c>
      <c r="P250" s="115"/>
      <c r="Q250" s="5"/>
      <c r="R250" s="5"/>
      <c r="S250" s="5"/>
      <c r="T250" s="5"/>
      <c r="U250" s="5"/>
      <c r="V250" s="6"/>
      <c r="W250" s="92">
        <f>SUMIFS(Discontinuities!$D$4:$D$9664,Discontinuities!$A$4:$A$9664,A250,Discontinuities!$C$4:$C$9664,"&gt;="&amp;C250,Discontinuities!$C$4:$C$9664,"&lt;"&amp;D250)
-SUMIFS(Discontinuities!$D$4:$D$9664,Discontinuities!$A$4:$A$9664,A250,Discontinuities!$C$4:$C$9664,"&gt;="&amp;C250,Discontinuities!$C$4:$C$9664,"&lt;"&amp;D250,Discontinuities!$E$4:$E$9664,"=BC")
-SUMIFS(Discontinuities!$D$4:$D$9664,Discontinuities!$A$4:$A$9664,A250,Discontinuities!$C$4:$C$9664,"&gt;="&amp;C250,Discontinuities!$C$4:$C$9664,"&lt;"&amp;D250,Discontinuities!$E$4:$E$9664,"=LC")
-SUMIFS(Discontinuities!$D$4:$D$9664,Discontinuities!$A$4:$A$9664,A250,Discontinuities!$C$4:$C$9664,"&gt;="&amp;C250,Discontinuities!$C$4:$C$9664,"&lt;"&amp;D250,Discontinuities!$E$4:$E$9664,"=FLT")</f>
        <v>0</v>
      </c>
      <c r="AA250" s="132"/>
      <c r="AB250" s="159">
        <f>IFERROR(ROUND((Data_Geotech[[#This Row],[Fault (m)]]+Data_Geotech[[#This Row],[Broken Core (m)]]+Data_Geotech[[#This Row],[Lost Core (m)]])*30,0),0)</f>
        <v>0</v>
      </c>
      <c r="AC250" s="135">
        <f>IF(Data_Geotech[[#This Row],[Added fractures 
(BC, FLT, LC)]]+Data_Geotech[[#This Row],[Fracture per interval]]=0,99,1/((Data_Geotech[[#This Row],[Fracture per interval]]+Data_Geotech[[#This Row],[Added fractures 
(BC, FLT, LC)]])/Data_Geotech[[#This Row],[Run (m)]]))</f>
        <v>99</v>
      </c>
      <c r="AD250" s="160" t="str" cm="1">
        <f t="array" ref="AD250">IFERROR(_xlfn.XLOOKUP(1,(A250=PLT!$A$4:$A$8886)*(Geotech!C250&lt;=PLT!$F$4:$F$8886)*(Geotech!D250&gt;=PLT!$F$4:$F$8886)*("Valid"=PLT!$P$4:$P$8886),PLT!$V$4:$V$8886),"")</f>
        <v/>
      </c>
      <c r="AE250" s="161" t="str" cm="1">
        <f t="array" ref="AE250">IFERROR(_xlfn.XLOOKUP(1,(A250=PLT!$A$4:$A$8886)*(Geotech!C250&lt;=PLT!$F$4:$F$8886)*(Geotech!D250&gt;=PLT!$F$4:$F$8886)*(PLT!$V$4:$V$8886&lt;&gt;AD250)*("Valid"=PLT!$P$4:$P$7190),PLT!$V$4:$V$8886),"")</f>
        <v/>
      </c>
      <c r="AF250" s="161" t="str" cm="1">
        <f t="array" ref="AF250">IFERROR(_xlfn.XLOOKUP(1,(A250=PLT!$A$4:$A$8886)*(Geotech!C250&lt;=PLT!$F$4:$F$8886)*(Geotech!D250&gt;=PLT!$F$4:$F$8886)*(PLT!$V$4:$V$8886&lt;&gt;AD250)*(PLT!$V$4:$V$8886&lt;&gt;AE250)*("Valid"=PLT!$P$4:$P$7190),PLT!$V$4:$V$8886),"")</f>
        <v/>
      </c>
      <c r="AG250" s="162" t="str">
        <f>IFERROR(IF(AVERAGE(AD250:AF250)&gt;References!$BO$23,References!$BP$23,
IF(AVERAGE(AD250:AF250)&gt;References!$BO$22,References!$BP$22,
IF(AVERAGE(AD250:AF250)&gt;References!$BO$21,References!$BP$21,
IF(AVERAGE(AD250:AF250)&gt;References!$BO$20,References!$BP$20,
IF(AVERAGE(AD250:AF250)&gt;References!$BO$19,References!$BP$19,
IF(AVERAGE(AD250:AF250)&gt;References!$BO$18,References!$BP$18,
0)))))),"")</f>
        <v/>
      </c>
      <c r="AH250" s="163" t="e">
        <f>VLOOKUP(Data_Geotech[[#This Row],[Field Intact Rock Strength]],Table_RMR76_Strength[],2,FALSE)</f>
        <v>#N/A</v>
      </c>
      <c r="AI250" s="163" t="e">
        <f>IF(Data_Geotech[[#This Row],[RQD (%)]]&lt;=25,3,IF(Data_Geotech[[#This Row],[RQD (%)]]&lt;=50,8,IF(Data_Geotech[[#This Row],[RQD (%)]]&lt;=75,13,IF(Data_Geotech[[#This Row],[RQD (%)]]&lt;=90,17,20))))</f>
        <v>#DIV/0!</v>
      </c>
      <c r="AJ250" s="136">
        <f>IF(Data_Geotech[[#This Row],[Joint spacing (m)]]&lt;=0.05,5,IF(Data_Geotech[[#This Row],[Joint spacing (m)]]&lt;=0.3,10,IF(Data_Geotech[[#This Row],[Joint spacing (m)]]&lt;=1,20,IF(Data_Geotech[[#This Row],[Joint spacing (m)]]&lt;=3,25,30))))</f>
        <v>30</v>
      </c>
      <c r="AK25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0" s="6"/>
      <c r="AM250" s="137" t="str">
        <f>IF(Data_Geotech[[#This Row],[FIRS Code]]="R",IFERROR(SUM(Data_Geotech[[#This Row],[RMR76 - Strength rating]:[RMR76 - Ground water rating]]),""),"")</f>
        <v/>
      </c>
      <c r="AN250" s="164" t="str">
        <f>IF(Data_Geotech[[#This Row],[FIRS Code]]="R",(2*Data_Geotech[[#This Row],[RMR76 - Joint condition rating]])+(IF(Data_Geotech[[#This Row],[RQD (%)]]&gt;80,80/2,Data_Geotech[[#This Row],[RQD (%)]]/2)),"")</f>
        <v/>
      </c>
      <c r="AO250" s="136" t="e">
        <f>LEFT(Data_Geotech[[#This Row],[Joint Set Rating]],FIND("-",Data_Geotech[[#This Row],[Joint Set Rating]],1)-2)</f>
        <v>#VALUE!</v>
      </c>
      <c r="AP25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0" s="143">
        <f t="shared" ref="AQ250:AQ281" si="4">1/1</f>
        <v>1</v>
      </c>
      <c r="AR250" s="165" t="str">
        <f>IF(Data_Geotech[[#This Row],[FIRS Code]]="R",IFERROR((IF(Data_Geotech[[#This Row],[RQD (%)]]&lt;10,10,Data_Geotech[[#This Row],[RQD (%)]])/Data_Geotech[[#This Row],[Jn rating]])*Data_Geotech[[#This Row],[Jr/Ja]],""),"")</f>
        <v/>
      </c>
      <c r="AS250" s="138" t="str">
        <f>IF(Data_Geotech[[#This Row],[FIRS Code]]="R",IFERROR((IF(Data_Geotech[[#This Row],[RQD (%)]]&lt;10,10,Data_Geotech[[#This Row],[RQD (%)]])/Data_Geotech[[#This Row],[Jn rating]])*Data_Geotech[[#This Row],[Jr/Ja]]*Data_Geotech[[#This Row],[Jw/SRF]],""),"")</f>
        <v/>
      </c>
      <c r="AT250" s="12"/>
      <c r="AU250" s="13" t="e">
        <f>100-Data_Geotech[[#This Row],[RQD (%)]]</f>
        <v>#DIV/0!</v>
      </c>
      <c r="AV250" s="13" t="e">
        <f>100-Data_Geotech[[#This Row],[TCR (%)]]</f>
        <v>#DIV/0!</v>
      </c>
      <c r="AW250" s="62" t="e">
        <f>(Data_Geotech[[#This Row],[Fracture per interval]]+Data_Geotech[[#This Row],[Added fractures 
(BC, FLT, LC)]])/Data_Geotech[[#This Row],[TCR (m)]]</f>
        <v>#DIV/0!</v>
      </c>
      <c r="AX250" s="62" t="str">
        <f>MID(Data_Geotech[[#This Row],[Field Intact Rock Strength]],2,1)</f>
        <v/>
      </c>
      <c r="AY250" s="63" t="e">
        <f>7-MID(Data_Geotech[[#This Row],[Field Intact Rock Strength]],2,1)</f>
        <v>#VALUE!</v>
      </c>
      <c r="AZ250" s="63" t="e">
        <f>VLOOKUP(Data_Geotech[[#This Row],[Field Intact Rock Strength]],Table_FieldStrength[],2,FALSE)</f>
        <v>#N/A</v>
      </c>
      <c r="BA250" s="63" t="e">
        <f>VLOOKUP(Data_Geotech[[#This Row],[Field Intact Rock Strength]],Table_FieldStrength[],3,FALSE)</f>
        <v>#N/A</v>
      </c>
      <c r="BB250" s="63" t="e">
        <f>VLOOKUP(Data_Geotech[[#This Row],[Field Intact Rock Strength]],Table_FieldStrength[],4,FALSE)</f>
        <v>#N/A</v>
      </c>
      <c r="BC250" s="63" t="e">
        <f>100-Data_Geotech[[#This Row],[RMR76]]</f>
        <v>#VALUE!</v>
      </c>
      <c r="BD250" s="63" t="e">
        <f>LEFT(Data_Geotech[[#This Row],[Weathering/Alteration]],FIND("-",Data_Geotech[[#This Row],[Weathering/Alteration]])-2)</f>
        <v>#VALUE!</v>
      </c>
    </row>
    <row r="251" spans="2:56" hidden="1" x14ac:dyDescent="0.25">
      <c r="B251" s="16" t="e">
        <f>VLOOKUP(Data_Geotech[[#This Row],[Hole ID]],Data_Log[],2,FALSE)</f>
        <v>#N/A</v>
      </c>
      <c r="C251" s="5"/>
      <c r="D251" s="5"/>
      <c r="E251" s="5">
        <f>(Data_Geotech[[#This Row],[To (m)]]-Data_Geotech[[#This Row],[From (m)]])/2+Data_Geotech[[#This Row],[From (m)]]</f>
        <v>0</v>
      </c>
      <c r="F251" s="13">
        <f>Data_Geotech[[#This Row],[To (m)]]-Data_Geotech[[#This Row],[From (m)]]</f>
        <v>0</v>
      </c>
      <c r="G251" s="5"/>
      <c r="H251" s="61" t="e">
        <f>Data_Geotech[[#This Row],[TCR (m)]]/Data_Geotech[[#This Row],[Run (m)]]*100</f>
        <v>#DIV/0!</v>
      </c>
      <c r="I251" s="151"/>
      <c r="J251" s="151"/>
      <c r="K251" s="5"/>
      <c r="L251" s="61" t="e">
        <f>Data_Geotech[[#This Row],[RQD (m)]]/Data_Geotech[[#This Row],[Run Reel (m)]]*100</f>
        <v>#DIV/0!</v>
      </c>
      <c r="P251" s="115"/>
      <c r="Q251" s="5"/>
      <c r="R251" s="5"/>
      <c r="S251" s="5"/>
      <c r="T251" s="5"/>
      <c r="U251" s="5"/>
      <c r="V251" s="6"/>
      <c r="W251" s="92">
        <f>SUMIFS(Discontinuities!$D$4:$D$9664,Discontinuities!$A$4:$A$9664,A251,Discontinuities!$C$4:$C$9664,"&gt;="&amp;C251,Discontinuities!$C$4:$C$9664,"&lt;"&amp;D251)
-SUMIFS(Discontinuities!$D$4:$D$9664,Discontinuities!$A$4:$A$9664,A251,Discontinuities!$C$4:$C$9664,"&gt;="&amp;C251,Discontinuities!$C$4:$C$9664,"&lt;"&amp;D251,Discontinuities!$E$4:$E$9664,"=BC")
-SUMIFS(Discontinuities!$D$4:$D$9664,Discontinuities!$A$4:$A$9664,A251,Discontinuities!$C$4:$C$9664,"&gt;="&amp;C251,Discontinuities!$C$4:$C$9664,"&lt;"&amp;D251,Discontinuities!$E$4:$E$9664,"=LC")
-SUMIFS(Discontinuities!$D$4:$D$9664,Discontinuities!$A$4:$A$9664,A251,Discontinuities!$C$4:$C$9664,"&gt;="&amp;C251,Discontinuities!$C$4:$C$9664,"&lt;"&amp;D251,Discontinuities!$E$4:$E$9664,"=FLT")</f>
        <v>0</v>
      </c>
      <c r="AA251" s="132"/>
      <c r="AB251" s="159">
        <f>IFERROR(ROUND((Data_Geotech[[#This Row],[Fault (m)]]+Data_Geotech[[#This Row],[Broken Core (m)]]+Data_Geotech[[#This Row],[Lost Core (m)]])*30,0),0)</f>
        <v>0</v>
      </c>
      <c r="AC251" s="135">
        <f>IF(Data_Geotech[[#This Row],[Added fractures 
(BC, FLT, LC)]]+Data_Geotech[[#This Row],[Fracture per interval]]=0,99,1/((Data_Geotech[[#This Row],[Fracture per interval]]+Data_Geotech[[#This Row],[Added fractures 
(BC, FLT, LC)]])/Data_Geotech[[#This Row],[Run (m)]]))</f>
        <v>99</v>
      </c>
      <c r="AD251" s="160" t="str" cm="1">
        <f t="array" ref="AD251">IFERROR(_xlfn.XLOOKUP(1,(A251=PLT!$A$4:$A$8886)*(Geotech!C251&lt;=PLT!$F$4:$F$8886)*(Geotech!D251&gt;=PLT!$F$4:$F$8886)*("Valid"=PLT!$P$4:$P$8886),PLT!$V$4:$V$8886),"")</f>
        <v/>
      </c>
      <c r="AE251" s="161" t="str" cm="1">
        <f t="array" ref="AE251">IFERROR(_xlfn.XLOOKUP(1,(A251=PLT!$A$4:$A$8886)*(Geotech!C251&lt;=PLT!$F$4:$F$8886)*(Geotech!D251&gt;=PLT!$F$4:$F$8886)*(PLT!$V$4:$V$8886&lt;&gt;AD251)*("Valid"=PLT!$P$4:$P$7190),PLT!$V$4:$V$8886),"")</f>
        <v/>
      </c>
      <c r="AF251" s="161" t="str" cm="1">
        <f t="array" ref="AF251">IFERROR(_xlfn.XLOOKUP(1,(A251=PLT!$A$4:$A$8886)*(Geotech!C251&lt;=PLT!$F$4:$F$8886)*(Geotech!D251&gt;=PLT!$F$4:$F$8886)*(PLT!$V$4:$V$8886&lt;&gt;AD251)*(PLT!$V$4:$V$8886&lt;&gt;AE251)*("Valid"=PLT!$P$4:$P$7190),PLT!$V$4:$V$8886),"")</f>
        <v/>
      </c>
      <c r="AG251" s="162" t="str">
        <f>IFERROR(IF(AVERAGE(AD251:AF251)&gt;References!$BO$23,References!$BP$23,
IF(AVERAGE(AD251:AF251)&gt;References!$BO$22,References!$BP$22,
IF(AVERAGE(AD251:AF251)&gt;References!$BO$21,References!$BP$21,
IF(AVERAGE(AD251:AF251)&gt;References!$BO$20,References!$BP$20,
IF(AVERAGE(AD251:AF251)&gt;References!$BO$19,References!$BP$19,
IF(AVERAGE(AD251:AF251)&gt;References!$BO$18,References!$BP$18,
0)))))),"")</f>
        <v/>
      </c>
      <c r="AH251" s="163" t="e">
        <f>VLOOKUP(Data_Geotech[[#This Row],[Field Intact Rock Strength]],Table_RMR76_Strength[],2,FALSE)</f>
        <v>#N/A</v>
      </c>
      <c r="AI251" s="163" t="e">
        <f>IF(Data_Geotech[[#This Row],[RQD (%)]]&lt;=25,3,IF(Data_Geotech[[#This Row],[RQD (%)]]&lt;=50,8,IF(Data_Geotech[[#This Row],[RQD (%)]]&lt;=75,13,IF(Data_Geotech[[#This Row],[RQD (%)]]&lt;=90,17,20))))</f>
        <v>#DIV/0!</v>
      </c>
      <c r="AJ251" s="136">
        <f>IF(Data_Geotech[[#This Row],[Joint spacing (m)]]&lt;=0.05,5,IF(Data_Geotech[[#This Row],[Joint spacing (m)]]&lt;=0.3,10,IF(Data_Geotech[[#This Row],[Joint spacing (m)]]&lt;=1,20,IF(Data_Geotech[[#This Row],[Joint spacing (m)]]&lt;=3,25,30))))</f>
        <v>30</v>
      </c>
      <c r="AK25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1" s="6"/>
      <c r="AM251" s="137" t="str">
        <f>IF(Data_Geotech[[#This Row],[FIRS Code]]="R",IFERROR(SUM(Data_Geotech[[#This Row],[RMR76 - Strength rating]:[RMR76 - Ground water rating]]),""),"")</f>
        <v/>
      </c>
      <c r="AN251" s="164" t="str">
        <f>IF(Data_Geotech[[#This Row],[FIRS Code]]="R",(2*Data_Geotech[[#This Row],[RMR76 - Joint condition rating]])+(IF(Data_Geotech[[#This Row],[RQD (%)]]&gt;80,80/2,Data_Geotech[[#This Row],[RQD (%)]]/2)),"")</f>
        <v/>
      </c>
      <c r="AO251" s="136" t="e">
        <f>LEFT(Data_Geotech[[#This Row],[Joint Set Rating]],FIND("-",Data_Geotech[[#This Row],[Joint Set Rating]],1)-2)</f>
        <v>#VALUE!</v>
      </c>
      <c r="AP25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1" s="143">
        <f t="shared" si="4"/>
        <v>1</v>
      </c>
      <c r="AR251" s="165" t="str">
        <f>IF(Data_Geotech[[#This Row],[FIRS Code]]="R",IFERROR((IF(Data_Geotech[[#This Row],[RQD (%)]]&lt;10,10,Data_Geotech[[#This Row],[RQD (%)]])/Data_Geotech[[#This Row],[Jn rating]])*Data_Geotech[[#This Row],[Jr/Ja]],""),"")</f>
        <v/>
      </c>
      <c r="AS251" s="138" t="str">
        <f>IF(Data_Geotech[[#This Row],[FIRS Code]]="R",IFERROR((IF(Data_Geotech[[#This Row],[RQD (%)]]&lt;10,10,Data_Geotech[[#This Row],[RQD (%)]])/Data_Geotech[[#This Row],[Jn rating]])*Data_Geotech[[#This Row],[Jr/Ja]]*Data_Geotech[[#This Row],[Jw/SRF]],""),"")</f>
        <v/>
      </c>
      <c r="AT251" s="12"/>
      <c r="AU251" s="13" t="e">
        <f>100-Data_Geotech[[#This Row],[RQD (%)]]</f>
        <v>#DIV/0!</v>
      </c>
      <c r="AV251" s="13" t="e">
        <f>100-Data_Geotech[[#This Row],[TCR (%)]]</f>
        <v>#DIV/0!</v>
      </c>
      <c r="AW251" s="62" t="e">
        <f>(Data_Geotech[[#This Row],[Fracture per interval]]+Data_Geotech[[#This Row],[Added fractures 
(BC, FLT, LC)]])/Data_Geotech[[#This Row],[TCR (m)]]</f>
        <v>#DIV/0!</v>
      </c>
      <c r="AX251" s="62" t="str">
        <f>MID(Data_Geotech[[#This Row],[Field Intact Rock Strength]],2,1)</f>
        <v/>
      </c>
      <c r="AY251" s="63" t="e">
        <f>7-MID(Data_Geotech[[#This Row],[Field Intact Rock Strength]],2,1)</f>
        <v>#VALUE!</v>
      </c>
      <c r="AZ251" s="63" t="e">
        <f>VLOOKUP(Data_Geotech[[#This Row],[Field Intact Rock Strength]],Table_FieldStrength[],2,FALSE)</f>
        <v>#N/A</v>
      </c>
      <c r="BA251" s="63" t="e">
        <f>VLOOKUP(Data_Geotech[[#This Row],[Field Intact Rock Strength]],Table_FieldStrength[],3,FALSE)</f>
        <v>#N/A</v>
      </c>
      <c r="BB251" s="63" t="e">
        <f>VLOOKUP(Data_Geotech[[#This Row],[Field Intact Rock Strength]],Table_FieldStrength[],4,FALSE)</f>
        <v>#N/A</v>
      </c>
      <c r="BC251" s="63" t="e">
        <f>100-Data_Geotech[[#This Row],[RMR76]]</f>
        <v>#VALUE!</v>
      </c>
      <c r="BD251" s="63" t="e">
        <f>LEFT(Data_Geotech[[#This Row],[Weathering/Alteration]],FIND("-",Data_Geotech[[#This Row],[Weathering/Alteration]])-2)</f>
        <v>#VALUE!</v>
      </c>
    </row>
    <row r="252" spans="2:56" hidden="1" x14ac:dyDescent="0.25">
      <c r="B252" s="16" t="e">
        <f>VLOOKUP(Data_Geotech[[#This Row],[Hole ID]],Data_Log[],2,FALSE)</f>
        <v>#N/A</v>
      </c>
      <c r="C252" s="5"/>
      <c r="D252" s="5"/>
      <c r="E252" s="5">
        <f>(Data_Geotech[[#This Row],[To (m)]]-Data_Geotech[[#This Row],[From (m)]])/2+Data_Geotech[[#This Row],[From (m)]]</f>
        <v>0</v>
      </c>
      <c r="F252" s="13">
        <f>Data_Geotech[[#This Row],[To (m)]]-Data_Geotech[[#This Row],[From (m)]]</f>
        <v>0</v>
      </c>
      <c r="G252" s="5"/>
      <c r="H252" s="61" t="e">
        <f>Data_Geotech[[#This Row],[TCR (m)]]/Data_Geotech[[#This Row],[Run (m)]]*100</f>
        <v>#DIV/0!</v>
      </c>
      <c r="I252" s="151"/>
      <c r="J252" s="151"/>
      <c r="K252" s="5"/>
      <c r="L252" s="61" t="e">
        <f>Data_Geotech[[#This Row],[RQD (m)]]/Data_Geotech[[#This Row],[Run Reel (m)]]*100</f>
        <v>#DIV/0!</v>
      </c>
      <c r="P252" s="115"/>
      <c r="Q252" s="5"/>
      <c r="R252" s="5"/>
      <c r="S252" s="5"/>
      <c r="T252" s="5"/>
      <c r="U252" s="5"/>
      <c r="V252" s="6"/>
      <c r="W252" s="92">
        <f>SUMIFS(Discontinuities!$D$4:$D$9664,Discontinuities!$A$4:$A$9664,A252,Discontinuities!$C$4:$C$9664,"&gt;="&amp;C252,Discontinuities!$C$4:$C$9664,"&lt;"&amp;D252)
-SUMIFS(Discontinuities!$D$4:$D$9664,Discontinuities!$A$4:$A$9664,A252,Discontinuities!$C$4:$C$9664,"&gt;="&amp;C252,Discontinuities!$C$4:$C$9664,"&lt;"&amp;D252,Discontinuities!$E$4:$E$9664,"=BC")
-SUMIFS(Discontinuities!$D$4:$D$9664,Discontinuities!$A$4:$A$9664,A252,Discontinuities!$C$4:$C$9664,"&gt;="&amp;C252,Discontinuities!$C$4:$C$9664,"&lt;"&amp;D252,Discontinuities!$E$4:$E$9664,"=LC")
-SUMIFS(Discontinuities!$D$4:$D$9664,Discontinuities!$A$4:$A$9664,A252,Discontinuities!$C$4:$C$9664,"&gt;="&amp;C252,Discontinuities!$C$4:$C$9664,"&lt;"&amp;D252,Discontinuities!$E$4:$E$9664,"=FLT")</f>
        <v>0</v>
      </c>
      <c r="AA252" s="132"/>
      <c r="AB252" s="159">
        <f>IFERROR(ROUND((Data_Geotech[[#This Row],[Fault (m)]]+Data_Geotech[[#This Row],[Broken Core (m)]]+Data_Geotech[[#This Row],[Lost Core (m)]])*30,0),0)</f>
        <v>0</v>
      </c>
      <c r="AC252" s="135">
        <f>IF(Data_Geotech[[#This Row],[Added fractures 
(BC, FLT, LC)]]+Data_Geotech[[#This Row],[Fracture per interval]]=0,99,1/((Data_Geotech[[#This Row],[Fracture per interval]]+Data_Geotech[[#This Row],[Added fractures 
(BC, FLT, LC)]])/Data_Geotech[[#This Row],[Run (m)]]))</f>
        <v>99</v>
      </c>
      <c r="AD252" s="160" t="str" cm="1">
        <f t="array" ref="AD252">IFERROR(_xlfn.XLOOKUP(1,(A252=PLT!$A$4:$A$8886)*(Geotech!C252&lt;=PLT!$F$4:$F$8886)*(Geotech!D252&gt;=PLT!$F$4:$F$8886)*("Valid"=PLT!$P$4:$P$8886),PLT!$V$4:$V$8886),"")</f>
        <v/>
      </c>
      <c r="AE252" s="161" t="str" cm="1">
        <f t="array" ref="AE252">IFERROR(_xlfn.XLOOKUP(1,(A252=PLT!$A$4:$A$8886)*(Geotech!C252&lt;=PLT!$F$4:$F$8886)*(Geotech!D252&gt;=PLT!$F$4:$F$8886)*(PLT!$V$4:$V$8886&lt;&gt;AD252)*("Valid"=PLT!$P$4:$P$7190),PLT!$V$4:$V$8886),"")</f>
        <v/>
      </c>
      <c r="AF252" s="161" t="str" cm="1">
        <f t="array" ref="AF252">IFERROR(_xlfn.XLOOKUP(1,(A252=PLT!$A$4:$A$8886)*(Geotech!C252&lt;=PLT!$F$4:$F$8886)*(Geotech!D252&gt;=PLT!$F$4:$F$8886)*(PLT!$V$4:$V$8886&lt;&gt;AD252)*(PLT!$V$4:$V$8886&lt;&gt;AE252)*("Valid"=PLT!$P$4:$P$7190),PLT!$V$4:$V$8886),"")</f>
        <v/>
      </c>
      <c r="AG252" s="162" t="str">
        <f>IFERROR(IF(AVERAGE(AD252:AF252)&gt;References!$BO$23,References!$BP$23,
IF(AVERAGE(AD252:AF252)&gt;References!$BO$22,References!$BP$22,
IF(AVERAGE(AD252:AF252)&gt;References!$BO$21,References!$BP$21,
IF(AVERAGE(AD252:AF252)&gt;References!$BO$20,References!$BP$20,
IF(AVERAGE(AD252:AF252)&gt;References!$BO$19,References!$BP$19,
IF(AVERAGE(AD252:AF252)&gt;References!$BO$18,References!$BP$18,
0)))))),"")</f>
        <v/>
      </c>
      <c r="AH252" s="163" t="e">
        <f>VLOOKUP(Data_Geotech[[#This Row],[Field Intact Rock Strength]],Table_RMR76_Strength[],2,FALSE)</f>
        <v>#N/A</v>
      </c>
      <c r="AI252" s="163" t="e">
        <f>IF(Data_Geotech[[#This Row],[RQD (%)]]&lt;=25,3,IF(Data_Geotech[[#This Row],[RQD (%)]]&lt;=50,8,IF(Data_Geotech[[#This Row],[RQD (%)]]&lt;=75,13,IF(Data_Geotech[[#This Row],[RQD (%)]]&lt;=90,17,20))))</f>
        <v>#DIV/0!</v>
      </c>
      <c r="AJ252" s="136">
        <f>IF(Data_Geotech[[#This Row],[Joint spacing (m)]]&lt;=0.05,5,IF(Data_Geotech[[#This Row],[Joint spacing (m)]]&lt;=0.3,10,IF(Data_Geotech[[#This Row],[Joint spacing (m)]]&lt;=1,20,IF(Data_Geotech[[#This Row],[Joint spacing (m)]]&lt;=3,25,30))))</f>
        <v>30</v>
      </c>
      <c r="AK25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2" s="6"/>
      <c r="AM252" s="137" t="str">
        <f>IF(Data_Geotech[[#This Row],[FIRS Code]]="R",IFERROR(SUM(Data_Geotech[[#This Row],[RMR76 - Strength rating]:[RMR76 - Ground water rating]]),""),"")</f>
        <v/>
      </c>
      <c r="AN252" s="164" t="str">
        <f>IF(Data_Geotech[[#This Row],[FIRS Code]]="R",(2*Data_Geotech[[#This Row],[RMR76 - Joint condition rating]])+(IF(Data_Geotech[[#This Row],[RQD (%)]]&gt;80,80/2,Data_Geotech[[#This Row],[RQD (%)]]/2)),"")</f>
        <v/>
      </c>
      <c r="AO252" s="136" t="e">
        <f>LEFT(Data_Geotech[[#This Row],[Joint Set Rating]],FIND("-",Data_Geotech[[#This Row],[Joint Set Rating]],1)-2)</f>
        <v>#VALUE!</v>
      </c>
      <c r="AP25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2" s="143">
        <f t="shared" si="4"/>
        <v>1</v>
      </c>
      <c r="AR252" s="165" t="str">
        <f>IF(Data_Geotech[[#This Row],[FIRS Code]]="R",IFERROR((IF(Data_Geotech[[#This Row],[RQD (%)]]&lt;10,10,Data_Geotech[[#This Row],[RQD (%)]])/Data_Geotech[[#This Row],[Jn rating]])*Data_Geotech[[#This Row],[Jr/Ja]],""),"")</f>
        <v/>
      </c>
      <c r="AS252" s="138" t="str">
        <f>IF(Data_Geotech[[#This Row],[FIRS Code]]="R",IFERROR((IF(Data_Geotech[[#This Row],[RQD (%)]]&lt;10,10,Data_Geotech[[#This Row],[RQD (%)]])/Data_Geotech[[#This Row],[Jn rating]])*Data_Geotech[[#This Row],[Jr/Ja]]*Data_Geotech[[#This Row],[Jw/SRF]],""),"")</f>
        <v/>
      </c>
      <c r="AT252" s="12"/>
      <c r="AU252" s="13" t="e">
        <f>100-Data_Geotech[[#This Row],[RQD (%)]]</f>
        <v>#DIV/0!</v>
      </c>
      <c r="AV252" s="13" t="e">
        <f>100-Data_Geotech[[#This Row],[TCR (%)]]</f>
        <v>#DIV/0!</v>
      </c>
      <c r="AW252" s="62" t="e">
        <f>(Data_Geotech[[#This Row],[Fracture per interval]]+Data_Geotech[[#This Row],[Added fractures 
(BC, FLT, LC)]])/Data_Geotech[[#This Row],[TCR (m)]]</f>
        <v>#DIV/0!</v>
      </c>
      <c r="AX252" s="62" t="str">
        <f>MID(Data_Geotech[[#This Row],[Field Intact Rock Strength]],2,1)</f>
        <v/>
      </c>
      <c r="AY252" s="63" t="e">
        <f>7-MID(Data_Geotech[[#This Row],[Field Intact Rock Strength]],2,1)</f>
        <v>#VALUE!</v>
      </c>
      <c r="AZ252" s="63" t="e">
        <f>VLOOKUP(Data_Geotech[[#This Row],[Field Intact Rock Strength]],Table_FieldStrength[],2,FALSE)</f>
        <v>#N/A</v>
      </c>
      <c r="BA252" s="63" t="e">
        <f>VLOOKUP(Data_Geotech[[#This Row],[Field Intact Rock Strength]],Table_FieldStrength[],3,FALSE)</f>
        <v>#N/A</v>
      </c>
      <c r="BB252" s="63" t="e">
        <f>VLOOKUP(Data_Geotech[[#This Row],[Field Intact Rock Strength]],Table_FieldStrength[],4,FALSE)</f>
        <v>#N/A</v>
      </c>
      <c r="BC252" s="63" t="e">
        <f>100-Data_Geotech[[#This Row],[RMR76]]</f>
        <v>#VALUE!</v>
      </c>
      <c r="BD252" s="63" t="e">
        <f>LEFT(Data_Geotech[[#This Row],[Weathering/Alteration]],FIND("-",Data_Geotech[[#This Row],[Weathering/Alteration]])-2)</f>
        <v>#VALUE!</v>
      </c>
    </row>
    <row r="253" spans="2:56" hidden="1" x14ac:dyDescent="0.25">
      <c r="B253" s="16" t="e">
        <f>VLOOKUP(Data_Geotech[[#This Row],[Hole ID]],Data_Log[],2,FALSE)</f>
        <v>#N/A</v>
      </c>
      <c r="C253" s="5"/>
      <c r="D253" s="5"/>
      <c r="E253" s="5">
        <f>(Data_Geotech[[#This Row],[To (m)]]-Data_Geotech[[#This Row],[From (m)]])/2+Data_Geotech[[#This Row],[From (m)]]</f>
        <v>0</v>
      </c>
      <c r="F253" s="13">
        <f>Data_Geotech[[#This Row],[To (m)]]-Data_Geotech[[#This Row],[From (m)]]</f>
        <v>0</v>
      </c>
      <c r="G253" s="5"/>
      <c r="H253" s="61" t="e">
        <f>Data_Geotech[[#This Row],[TCR (m)]]/Data_Geotech[[#This Row],[Run (m)]]*100</f>
        <v>#DIV/0!</v>
      </c>
      <c r="I253" s="151"/>
      <c r="J253" s="151"/>
      <c r="K253" s="5"/>
      <c r="L253" s="61" t="e">
        <f>Data_Geotech[[#This Row],[RQD (m)]]/Data_Geotech[[#This Row],[Run Reel (m)]]*100</f>
        <v>#DIV/0!</v>
      </c>
      <c r="P253" s="115"/>
      <c r="Q253" s="5"/>
      <c r="R253" s="5"/>
      <c r="S253" s="5"/>
      <c r="T253" s="5"/>
      <c r="U253" s="5"/>
      <c r="V253" s="6"/>
      <c r="W253" s="92">
        <f>SUMIFS(Discontinuities!$D$4:$D$9664,Discontinuities!$A$4:$A$9664,A253,Discontinuities!$C$4:$C$9664,"&gt;="&amp;C253,Discontinuities!$C$4:$C$9664,"&lt;"&amp;D253)
-SUMIFS(Discontinuities!$D$4:$D$9664,Discontinuities!$A$4:$A$9664,A253,Discontinuities!$C$4:$C$9664,"&gt;="&amp;C253,Discontinuities!$C$4:$C$9664,"&lt;"&amp;D253,Discontinuities!$E$4:$E$9664,"=BC")
-SUMIFS(Discontinuities!$D$4:$D$9664,Discontinuities!$A$4:$A$9664,A253,Discontinuities!$C$4:$C$9664,"&gt;="&amp;C253,Discontinuities!$C$4:$C$9664,"&lt;"&amp;D253,Discontinuities!$E$4:$E$9664,"=LC")
-SUMIFS(Discontinuities!$D$4:$D$9664,Discontinuities!$A$4:$A$9664,A253,Discontinuities!$C$4:$C$9664,"&gt;="&amp;C253,Discontinuities!$C$4:$C$9664,"&lt;"&amp;D253,Discontinuities!$E$4:$E$9664,"=FLT")</f>
        <v>0</v>
      </c>
      <c r="AA253" s="132"/>
      <c r="AB253" s="159">
        <f>IFERROR(ROUND((Data_Geotech[[#This Row],[Fault (m)]]+Data_Geotech[[#This Row],[Broken Core (m)]]+Data_Geotech[[#This Row],[Lost Core (m)]])*30,0),0)</f>
        <v>0</v>
      </c>
      <c r="AC253" s="135">
        <f>IF(Data_Geotech[[#This Row],[Added fractures 
(BC, FLT, LC)]]+Data_Geotech[[#This Row],[Fracture per interval]]=0,99,1/((Data_Geotech[[#This Row],[Fracture per interval]]+Data_Geotech[[#This Row],[Added fractures 
(BC, FLT, LC)]])/Data_Geotech[[#This Row],[Run (m)]]))</f>
        <v>99</v>
      </c>
      <c r="AD253" s="160" t="str" cm="1">
        <f t="array" ref="AD253">IFERROR(_xlfn.XLOOKUP(1,(A253=PLT!$A$4:$A$8886)*(Geotech!C253&lt;=PLT!$F$4:$F$8886)*(Geotech!D253&gt;=PLT!$F$4:$F$8886)*("Valid"=PLT!$P$4:$P$8886),PLT!$V$4:$V$8886),"")</f>
        <v/>
      </c>
      <c r="AE253" s="161" t="str" cm="1">
        <f t="array" ref="AE253">IFERROR(_xlfn.XLOOKUP(1,(A253=PLT!$A$4:$A$8886)*(Geotech!C253&lt;=PLT!$F$4:$F$8886)*(Geotech!D253&gt;=PLT!$F$4:$F$8886)*(PLT!$V$4:$V$8886&lt;&gt;AD253)*("Valid"=PLT!$P$4:$P$7190),PLT!$V$4:$V$8886),"")</f>
        <v/>
      </c>
      <c r="AF253" s="161" t="str" cm="1">
        <f t="array" ref="AF253">IFERROR(_xlfn.XLOOKUP(1,(A253=PLT!$A$4:$A$8886)*(Geotech!C253&lt;=PLT!$F$4:$F$8886)*(Geotech!D253&gt;=PLT!$F$4:$F$8886)*(PLT!$V$4:$V$8886&lt;&gt;AD253)*(PLT!$V$4:$V$8886&lt;&gt;AE253)*("Valid"=PLT!$P$4:$P$7190),PLT!$V$4:$V$8886),"")</f>
        <v/>
      </c>
      <c r="AG253" s="162" t="str">
        <f>IFERROR(IF(AVERAGE(AD253:AF253)&gt;References!$BO$23,References!$BP$23,
IF(AVERAGE(AD253:AF253)&gt;References!$BO$22,References!$BP$22,
IF(AVERAGE(AD253:AF253)&gt;References!$BO$21,References!$BP$21,
IF(AVERAGE(AD253:AF253)&gt;References!$BO$20,References!$BP$20,
IF(AVERAGE(AD253:AF253)&gt;References!$BO$19,References!$BP$19,
IF(AVERAGE(AD253:AF253)&gt;References!$BO$18,References!$BP$18,
0)))))),"")</f>
        <v/>
      </c>
      <c r="AH253" s="163" t="e">
        <f>VLOOKUP(Data_Geotech[[#This Row],[Field Intact Rock Strength]],Table_RMR76_Strength[],2,FALSE)</f>
        <v>#N/A</v>
      </c>
      <c r="AI253" s="163" t="e">
        <f>IF(Data_Geotech[[#This Row],[RQD (%)]]&lt;=25,3,IF(Data_Geotech[[#This Row],[RQD (%)]]&lt;=50,8,IF(Data_Geotech[[#This Row],[RQD (%)]]&lt;=75,13,IF(Data_Geotech[[#This Row],[RQD (%)]]&lt;=90,17,20))))</f>
        <v>#DIV/0!</v>
      </c>
      <c r="AJ253" s="136">
        <f>IF(Data_Geotech[[#This Row],[Joint spacing (m)]]&lt;=0.05,5,IF(Data_Geotech[[#This Row],[Joint spacing (m)]]&lt;=0.3,10,IF(Data_Geotech[[#This Row],[Joint spacing (m)]]&lt;=1,20,IF(Data_Geotech[[#This Row],[Joint spacing (m)]]&lt;=3,25,30))))</f>
        <v>30</v>
      </c>
      <c r="AK25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3" s="6"/>
      <c r="AM253" s="137" t="str">
        <f>IF(Data_Geotech[[#This Row],[FIRS Code]]="R",IFERROR(SUM(Data_Geotech[[#This Row],[RMR76 - Strength rating]:[RMR76 - Ground water rating]]),""),"")</f>
        <v/>
      </c>
      <c r="AN253" s="164" t="str">
        <f>IF(Data_Geotech[[#This Row],[FIRS Code]]="R",(2*Data_Geotech[[#This Row],[RMR76 - Joint condition rating]])+(IF(Data_Geotech[[#This Row],[RQD (%)]]&gt;80,80/2,Data_Geotech[[#This Row],[RQD (%)]]/2)),"")</f>
        <v/>
      </c>
      <c r="AO253" s="136" t="e">
        <f>LEFT(Data_Geotech[[#This Row],[Joint Set Rating]],FIND("-",Data_Geotech[[#This Row],[Joint Set Rating]],1)-2)</f>
        <v>#VALUE!</v>
      </c>
      <c r="AP25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3" s="143">
        <f t="shared" si="4"/>
        <v>1</v>
      </c>
      <c r="AR253" s="165" t="str">
        <f>IF(Data_Geotech[[#This Row],[FIRS Code]]="R",IFERROR((IF(Data_Geotech[[#This Row],[RQD (%)]]&lt;10,10,Data_Geotech[[#This Row],[RQD (%)]])/Data_Geotech[[#This Row],[Jn rating]])*Data_Geotech[[#This Row],[Jr/Ja]],""),"")</f>
        <v/>
      </c>
      <c r="AS253" s="138" t="str">
        <f>IF(Data_Geotech[[#This Row],[FIRS Code]]="R",IFERROR((IF(Data_Geotech[[#This Row],[RQD (%)]]&lt;10,10,Data_Geotech[[#This Row],[RQD (%)]])/Data_Geotech[[#This Row],[Jn rating]])*Data_Geotech[[#This Row],[Jr/Ja]]*Data_Geotech[[#This Row],[Jw/SRF]],""),"")</f>
        <v/>
      </c>
      <c r="AT253" s="12"/>
      <c r="AU253" s="13" t="e">
        <f>100-Data_Geotech[[#This Row],[RQD (%)]]</f>
        <v>#DIV/0!</v>
      </c>
      <c r="AV253" s="13" t="e">
        <f>100-Data_Geotech[[#This Row],[TCR (%)]]</f>
        <v>#DIV/0!</v>
      </c>
      <c r="AW253" s="62" t="e">
        <f>(Data_Geotech[[#This Row],[Fracture per interval]]+Data_Geotech[[#This Row],[Added fractures 
(BC, FLT, LC)]])/Data_Geotech[[#This Row],[TCR (m)]]</f>
        <v>#DIV/0!</v>
      </c>
      <c r="AX253" s="62" t="str">
        <f>MID(Data_Geotech[[#This Row],[Field Intact Rock Strength]],2,1)</f>
        <v/>
      </c>
      <c r="AY253" s="63" t="e">
        <f>7-MID(Data_Geotech[[#This Row],[Field Intact Rock Strength]],2,1)</f>
        <v>#VALUE!</v>
      </c>
      <c r="AZ253" s="63" t="e">
        <f>VLOOKUP(Data_Geotech[[#This Row],[Field Intact Rock Strength]],Table_FieldStrength[],2,FALSE)</f>
        <v>#N/A</v>
      </c>
      <c r="BA253" s="63" t="e">
        <f>VLOOKUP(Data_Geotech[[#This Row],[Field Intact Rock Strength]],Table_FieldStrength[],3,FALSE)</f>
        <v>#N/A</v>
      </c>
      <c r="BB253" s="63" t="e">
        <f>VLOOKUP(Data_Geotech[[#This Row],[Field Intact Rock Strength]],Table_FieldStrength[],4,FALSE)</f>
        <v>#N/A</v>
      </c>
      <c r="BC253" s="63" t="e">
        <f>100-Data_Geotech[[#This Row],[RMR76]]</f>
        <v>#VALUE!</v>
      </c>
      <c r="BD253" s="63" t="e">
        <f>LEFT(Data_Geotech[[#This Row],[Weathering/Alteration]],FIND("-",Data_Geotech[[#This Row],[Weathering/Alteration]])-2)</f>
        <v>#VALUE!</v>
      </c>
    </row>
    <row r="254" spans="2:56" hidden="1" x14ac:dyDescent="0.25">
      <c r="B254" s="16" t="e">
        <f>VLOOKUP(Data_Geotech[[#This Row],[Hole ID]],Data_Log[],2,FALSE)</f>
        <v>#N/A</v>
      </c>
      <c r="C254" s="5"/>
      <c r="D254" s="5"/>
      <c r="E254" s="5">
        <f>(Data_Geotech[[#This Row],[To (m)]]-Data_Geotech[[#This Row],[From (m)]])/2+Data_Geotech[[#This Row],[From (m)]]</f>
        <v>0</v>
      </c>
      <c r="F254" s="13">
        <f>Data_Geotech[[#This Row],[To (m)]]-Data_Geotech[[#This Row],[From (m)]]</f>
        <v>0</v>
      </c>
      <c r="G254" s="5"/>
      <c r="H254" s="61" t="e">
        <f>Data_Geotech[[#This Row],[TCR (m)]]/Data_Geotech[[#This Row],[Run (m)]]*100</f>
        <v>#DIV/0!</v>
      </c>
      <c r="I254" s="151"/>
      <c r="J254" s="151"/>
      <c r="K254" s="5"/>
      <c r="L254" s="61" t="e">
        <f>Data_Geotech[[#This Row],[RQD (m)]]/Data_Geotech[[#This Row],[Run Reel (m)]]*100</f>
        <v>#DIV/0!</v>
      </c>
      <c r="P254" s="115"/>
      <c r="Q254" s="5"/>
      <c r="R254" s="5"/>
      <c r="S254" s="5"/>
      <c r="T254" s="5"/>
      <c r="U254" s="5"/>
      <c r="V254" s="6"/>
      <c r="W254" s="92">
        <f>SUMIFS(Discontinuities!$D$4:$D$9664,Discontinuities!$A$4:$A$9664,A254,Discontinuities!$C$4:$C$9664,"&gt;="&amp;C254,Discontinuities!$C$4:$C$9664,"&lt;"&amp;D254)
-SUMIFS(Discontinuities!$D$4:$D$9664,Discontinuities!$A$4:$A$9664,A254,Discontinuities!$C$4:$C$9664,"&gt;="&amp;C254,Discontinuities!$C$4:$C$9664,"&lt;"&amp;D254,Discontinuities!$E$4:$E$9664,"=BC")
-SUMIFS(Discontinuities!$D$4:$D$9664,Discontinuities!$A$4:$A$9664,A254,Discontinuities!$C$4:$C$9664,"&gt;="&amp;C254,Discontinuities!$C$4:$C$9664,"&lt;"&amp;D254,Discontinuities!$E$4:$E$9664,"=LC")
-SUMIFS(Discontinuities!$D$4:$D$9664,Discontinuities!$A$4:$A$9664,A254,Discontinuities!$C$4:$C$9664,"&gt;="&amp;C254,Discontinuities!$C$4:$C$9664,"&lt;"&amp;D254,Discontinuities!$E$4:$E$9664,"=FLT")</f>
        <v>0</v>
      </c>
      <c r="AA254" s="132"/>
      <c r="AB254" s="159">
        <f>IFERROR(ROUND((Data_Geotech[[#This Row],[Fault (m)]]+Data_Geotech[[#This Row],[Broken Core (m)]]+Data_Geotech[[#This Row],[Lost Core (m)]])*30,0),0)</f>
        <v>0</v>
      </c>
      <c r="AC254" s="135">
        <f>IF(Data_Geotech[[#This Row],[Added fractures 
(BC, FLT, LC)]]+Data_Geotech[[#This Row],[Fracture per interval]]=0,99,1/((Data_Geotech[[#This Row],[Fracture per interval]]+Data_Geotech[[#This Row],[Added fractures 
(BC, FLT, LC)]])/Data_Geotech[[#This Row],[Run (m)]]))</f>
        <v>99</v>
      </c>
      <c r="AD254" s="160" t="str" cm="1">
        <f t="array" ref="AD254">IFERROR(_xlfn.XLOOKUP(1,(A254=PLT!$A$4:$A$8886)*(Geotech!C254&lt;=PLT!$F$4:$F$8886)*(Geotech!D254&gt;=PLT!$F$4:$F$8886)*("Valid"=PLT!$P$4:$P$8886),PLT!$V$4:$V$8886),"")</f>
        <v/>
      </c>
      <c r="AE254" s="161" t="str" cm="1">
        <f t="array" ref="AE254">IFERROR(_xlfn.XLOOKUP(1,(A254=PLT!$A$4:$A$8886)*(Geotech!C254&lt;=PLT!$F$4:$F$8886)*(Geotech!D254&gt;=PLT!$F$4:$F$8886)*(PLT!$V$4:$V$8886&lt;&gt;AD254)*("Valid"=PLT!$P$4:$P$7190),PLT!$V$4:$V$8886),"")</f>
        <v/>
      </c>
      <c r="AF254" s="161" t="str" cm="1">
        <f t="array" ref="AF254">IFERROR(_xlfn.XLOOKUP(1,(A254=PLT!$A$4:$A$8886)*(Geotech!C254&lt;=PLT!$F$4:$F$8886)*(Geotech!D254&gt;=PLT!$F$4:$F$8886)*(PLT!$V$4:$V$8886&lt;&gt;AD254)*(PLT!$V$4:$V$8886&lt;&gt;AE254)*("Valid"=PLT!$P$4:$P$7190),PLT!$V$4:$V$8886),"")</f>
        <v/>
      </c>
      <c r="AG254" s="162" t="str">
        <f>IFERROR(IF(AVERAGE(AD254:AF254)&gt;References!$BO$23,References!$BP$23,
IF(AVERAGE(AD254:AF254)&gt;References!$BO$22,References!$BP$22,
IF(AVERAGE(AD254:AF254)&gt;References!$BO$21,References!$BP$21,
IF(AVERAGE(AD254:AF254)&gt;References!$BO$20,References!$BP$20,
IF(AVERAGE(AD254:AF254)&gt;References!$BO$19,References!$BP$19,
IF(AVERAGE(AD254:AF254)&gt;References!$BO$18,References!$BP$18,
0)))))),"")</f>
        <v/>
      </c>
      <c r="AH254" s="163" t="e">
        <f>VLOOKUP(Data_Geotech[[#This Row],[Field Intact Rock Strength]],Table_RMR76_Strength[],2,FALSE)</f>
        <v>#N/A</v>
      </c>
      <c r="AI254" s="163" t="e">
        <f>IF(Data_Geotech[[#This Row],[RQD (%)]]&lt;=25,3,IF(Data_Geotech[[#This Row],[RQD (%)]]&lt;=50,8,IF(Data_Geotech[[#This Row],[RQD (%)]]&lt;=75,13,IF(Data_Geotech[[#This Row],[RQD (%)]]&lt;=90,17,20))))</f>
        <v>#DIV/0!</v>
      </c>
      <c r="AJ254" s="136">
        <f>IF(Data_Geotech[[#This Row],[Joint spacing (m)]]&lt;=0.05,5,IF(Data_Geotech[[#This Row],[Joint spacing (m)]]&lt;=0.3,10,IF(Data_Geotech[[#This Row],[Joint spacing (m)]]&lt;=1,20,IF(Data_Geotech[[#This Row],[Joint spacing (m)]]&lt;=3,25,30))))</f>
        <v>30</v>
      </c>
      <c r="AK25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4" s="6"/>
      <c r="AM254" s="137" t="str">
        <f>IF(Data_Geotech[[#This Row],[FIRS Code]]="R",IFERROR(SUM(Data_Geotech[[#This Row],[RMR76 - Strength rating]:[RMR76 - Ground water rating]]),""),"")</f>
        <v/>
      </c>
      <c r="AN254" s="164" t="str">
        <f>IF(Data_Geotech[[#This Row],[FIRS Code]]="R",(2*Data_Geotech[[#This Row],[RMR76 - Joint condition rating]])+(IF(Data_Geotech[[#This Row],[RQD (%)]]&gt;80,80/2,Data_Geotech[[#This Row],[RQD (%)]]/2)),"")</f>
        <v/>
      </c>
      <c r="AO254" s="136" t="e">
        <f>LEFT(Data_Geotech[[#This Row],[Joint Set Rating]],FIND("-",Data_Geotech[[#This Row],[Joint Set Rating]],1)-2)</f>
        <v>#VALUE!</v>
      </c>
      <c r="AP25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4" s="143">
        <f t="shared" si="4"/>
        <v>1</v>
      </c>
      <c r="AR254" s="165" t="str">
        <f>IF(Data_Geotech[[#This Row],[FIRS Code]]="R",IFERROR((IF(Data_Geotech[[#This Row],[RQD (%)]]&lt;10,10,Data_Geotech[[#This Row],[RQD (%)]])/Data_Geotech[[#This Row],[Jn rating]])*Data_Geotech[[#This Row],[Jr/Ja]],""),"")</f>
        <v/>
      </c>
      <c r="AS254" s="138" t="str">
        <f>IF(Data_Geotech[[#This Row],[FIRS Code]]="R",IFERROR((IF(Data_Geotech[[#This Row],[RQD (%)]]&lt;10,10,Data_Geotech[[#This Row],[RQD (%)]])/Data_Geotech[[#This Row],[Jn rating]])*Data_Geotech[[#This Row],[Jr/Ja]]*Data_Geotech[[#This Row],[Jw/SRF]],""),"")</f>
        <v/>
      </c>
      <c r="AT254" s="12"/>
      <c r="AU254" s="13" t="e">
        <f>100-Data_Geotech[[#This Row],[RQD (%)]]</f>
        <v>#DIV/0!</v>
      </c>
      <c r="AV254" s="13" t="e">
        <f>100-Data_Geotech[[#This Row],[TCR (%)]]</f>
        <v>#DIV/0!</v>
      </c>
      <c r="AW254" s="62" t="e">
        <f>(Data_Geotech[[#This Row],[Fracture per interval]]+Data_Geotech[[#This Row],[Added fractures 
(BC, FLT, LC)]])/Data_Geotech[[#This Row],[TCR (m)]]</f>
        <v>#DIV/0!</v>
      </c>
      <c r="AX254" s="62" t="str">
        <f>MID(Data_Geotech[[#This Row],[Field Intact Rock Strength]],2,1)</f>
        <v/>
      </c>
      <c r="AY254" s="63" t="e">
        <f>7-MID(Data_Geotech[[#This Row],[Field Intact Rock Strength]],2,1)</f>
        <v>#VALUE!</v>
      </c>
      <c r="AZ254" s="63" t="e">
        <f>VLOOKUP(Data_Geotech[[#This Row],[Field Intact Rock Strength]],Table_FieldStrength[],2,FALSE)</f>
        <v>#N/A</v>
      </c>
      <c r="BA254" s="63" t="e">
        <f>VLOOKUP(Data_Geotech[[#This Row],[Field Intact Rock Strength]],Table_FieldStrength[],3,FALSE)</f>
        <v>#N/A</v>
      </c>
      <c r="BB254" s="63" t="e">
        <f>VLOOKUP(Data_Geotech[[#This Row],[Field Intact Rock Strength]],Table_FieldStrength[],4,FALSE)</f>
        <v>#N/A</v>
      </c>
      <c r="BC254" s="63" t="e">
        <f>100-Data_Geotech[[#This Row],[RMR76]]</f>
        <v>#VALUE!</v>
      </c>
      <c r="BD254" s="63" t="e">
        <f>LEFT(Data_Geotech[[#This Row],[Weathering/Alteration]],FIND("-",Data_Geotech[[#This Row],[Weathering/Alteration]])-2)</f>
        <v>#VALUE!</v>
      </c>
    </row>
    <row r="255" spans="2:56" hidden="1" x14ac:dyDescent="0.25">
      <c r="B255" s="16" t="e">
        <f>VLOOKUP(Data_Geotech[[#This Row],[Hole ID]],Data_Log[],2,FALSE)</f>
        <v>#N/A</v>
      </c>
      <c r="C255" s="5"/>
      <c r="D255" s="5"/>
      <c r="E255" s="5">
        <f>(Data_Geotech[[#This Row],[To (m)]]-Data_Geotech[[#This Row],[From (m)]])/2+Data_Geotech[[#This Row],[From (m)]]</f>
        <v>0</v>
      </c>
      <c r="F255" s="13">
        <f>Data_Geotech[[#This Row],[To (m)]]-Data_Geotech[[#This Row],[From (m)]]</f>
        <v>0</v>
      </c>
      <c r="G255" s="5"/>
      <c r="H255" s="61" t="e">
        <f>Data_Geotech[[#This Row],[TCR (m)]]/Data_Geotech[[#This Row],[Run (m)]]*100</f>
        <v>#DIV/0!</v>
      </c>
      <c r="I255" s="151"/>
      <c r="J255" s="151"/>
      <c r="K255" s="5"/>
      <c r="L255" s="61" t="e">
        <f>Data_Geotech[[#This Row],[RQD (m)]]/Data_Geotech[[#This Row],[Run Reel (m)]]*100</f>
        <v>#DIV/0!</v>
      </c>
      <c r="P255" s="115"/>
      <c r="Q255" s="5"/>
      <c r="R255" s="5"/>
      <c r="S255" s="5"/>
      <c r="T255" s="5"/>
      <c r="U255" s="5"/>
      <c r="V255" s="6"/>
      <c r="W255" s="92">
        <f>SUMIFS(Discontinuities!$D$4:$D$9664,Discontinuities!$A$4:$A$9664,A255,Discontinuities!$C$4:$C$9664,"&gt;="&amp;C255,Discontinuities!$C$4:$C$9664,"&lt;"&amp;D255)
-SUMIFS(Discontinuities!$D$4:$D$9664,Discontinuities!$A$4:$A$9664,A255,Discontinuities!$C$4:$C$9664,"&gt;="&amp;C255,Discontinuities!$C$4:$C$9664,"&lt;"&amp;D255,Discontinuities!$E$4:$E$9664,"=BC")
-SUMIFS(Discontinuities!$D$4:$D$9664,Discontinuities!$A$4:$A$9664,A255,Discontinuities!$C$4:$C$9664,"&gt;="&amp;C255,Discontinuities!$C$4:$C$9664,"&lt;"&amp;D255,Discontinuities!$E$4:$E$9664,"=LC")
-SUMIFS(Discontinuities!$D$4:$D$9664,Discontinuities!$A$4:$A$9664,A255,Discontinuities!$C$4:$C$9664,"&gt;="&amp;C255,Discontinuities!$C$4:$C$9664,"&lt;"&amp;D255,Discontinuities!$E$4:$E$9664,"=FLT")</f>
        <v>0</v>
      </c>
      <c r="AA255" s="132"/>
      <c r="AB255" s="159">
        <f>IFERROR(ROUND((Data_Geotech[[#This Row],[Fault (m)]]+Data_Geotech[[#This Row],[Broken Core (m)]]+Data_Geotech[[#This Row],[Lost Core (m)]])*30,0),0)</f>
        <v>0</v>
      </c>
      <c r="AC255" s="135">
        <f>IF(Data_Geotech[[#This Row],[Added fractures 
(BC, FLT, LC)]]+Data_Geotech[[#This Row],[Fracture per interval]]=0,99,1/((Data_Geotech[[#This Row],[Fracture per interval]]+Data_Geotech[[#This Row],[Added fractures 
(BC, FLT, LC)]])/Data_Geotech[[#This Row],[Run (m)]]))</f>
        <v>99</v>
      </c>
      <c r="AD255" s="160" t="str" cm="1">
        <f t="array" ref="AD255">IFERROR(_xlfn.XLOOKUP(1,(A255=PLT!$A$4:$A$8886)*(Geotech!C255&lt;=PLT!$F$4:$F$8886)*(Geotech!D255&gt;=PLT!$F$4:$F$8886)*("Valid"=PLT!$P$4:$P$8886),PLT!$V$4:$V$8886),"")</f>
        <v/>
      </c>
      <c r="AE255" s="161" t="str" cm="1">
        <f t="array" ref="AE255">IFERROR(_xlfn.XLOOKUP(1,(A255=PLT!$A$4:$A$8886)*(Geotech!C255&lt;=PLT!$F$4:$F$8886)*(Geotech!D255&gt;=PLT!$F$4:$F$8886)*(PLT!$V$4:$V$8886&lt;&gt;AD255)*("Valid"=PLT!$P$4:$P$7190),PLT!$V$4:$V$8886),"")</f>
        <v/>
      </c>
      <c r="AF255" s="161" t="str" cm="1">
        <f t="array" ref="AF255">IFERROR(_xlfn.XLOOKUP(1,(A255=PLT!$A$4:$A$8886)*(Geotech!C255&lt;=PLT!$F$4:$F$8886)*(Geotech!D255&gt;=PLT!$F$4:$F$8886)*(PLT!$V$4:$V$8886&lt;&gt;AD255)*(PLT!$V$4:$V$8886&lt;&gt;AE255)*("Valid"=PLT!$P$4:$P$7190),PLT!$V$4:$V$8886),"")</f>
        <v/>
      </c>
      <c r="AG255" s="162" t="str">
        <f>IFERROR(IF(AVERAGE(AD255:AF255)&gt;References!$BO$23,References!$BP$23,
IF(AVERAGE(AD255:AF255)&gt;References!$BO$22,References!$BP$22,
IF(AVERAGE(AD255:AF255)&gt;References!$BO$21,References!$BP$21,
IF(AVERAGE(AD255:AF255)&gt;References!$BO$20,References!$BP$20,
IF(AVERAGE(AD255:AF255)&gt;References!$BO$19,References!$BP$19,
IF(AVERAGE(AD255:AF255)&gt;References!$BO$18,References!$BP$18,
0)))))),"")</f>
        <v/>
      </c>
      <c r="AH255" s="163" t="e">
        <f>VLOOKUP(Data_Geotech[[#This Row],[Field Intact Rock Strength]],Table_RMR76_Strength[],2,FALSE)</f>
        <v>#N/A</v>
      </c>
      <c r="AI255" s="163" t="e">
        <f>IF(Data_Geotech[[#This Row],[RQD (%)]]&lt;=25,3,IF(Data_Geotech[[#This Row],[RQD (%)]]&lt;=50,8,IF(Data_Geotech[[#This Row],[RQD (%)]]&lt;=75,13,IF(Data_Geotech[[#This Row],[RQD (%)]]&lt;=90,17,20))))</f>
        <v>#DIV/0!</v>
      </c>
      <c r="AJ255" s="136">
        <f>IF(Data_Geotech[[#This Row],[Joint spacing (m)]]&lt;=0.05,5,IF(Data_Geotech[[#This Row],[Joint spacing (m)]]&lt;=0.3,10,IF(Data_Geotech[[#This Row],[Joint spacing (m)]]&lt;=1,20,IF(Data_Geotech[[#This Row],[Joint spacing (m)]]&lt;=3,25,30))))</f>
        <v>30</v>
      </c>
      <c r="AK25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5" s="6"/>
      <c r="AM255" s="137" t="str">
        <f>IF(Data_Geotech[[#This Row],[FIRS Code]]="R",IFERROR(SUM(Data_Geotech[[#This Row],[RMR76 - Strength rating]:[RMR76 - Ground water rating]]),""),"")</f>
        <v/>
      </c>
      <c r="AN255" s="164" t="str">
        <f>IF(Data_Geotech[[#This Row],[FIRS Code]]="R",(2*Data_Geotech[[#This Row],[RMR76 - Joint condition rating]])+(IF(Data_Geotech[[#This Row],[RQD (%)]]&gt;80,80/2,Data_Geotech[[#This Row],[RQD (%)]]/2)),"")</f>
        <v/>
      </c>
      <c r="AO255" s="136" t="e">
        <f>LEFT(Data_Geotech[[#This Row],[Joint Set Rating]],FIND("-",Data_Geotech[[#This Row],[Joint Set Rating]],1)-2)</f>
        <v>#VALUE!</v>
      </c>
      <c r="AP25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5" s="143">
        <f t="shared" si="4"/>
        <v>1</v>
      </c>
      <c r="AR255" s="165" t="str">
        <f>IF(Data_Geotech[[#This Row],[FIRS Code]]="R",IFERROR((IF(Data_Geotech[[#This Row],[RQD (%)]]&lt;10,10,Data_Geotech[[#This Row],[RQD (%)]])/Data_Geotech[[#This Row],[Jn rating]])*Data_Geotech[[#This Row],[Jr/Ja]],""),"")</f>
        <v/>
      </c>
      <c r="AS255" s="138" t="str">
        <f>IF(Data_Geotech[[#This Row],[FIRS Code]]="R",IFERROR((IF(Data_Geotech[[#This Row],[RQD (%)]]&lt;10,10,Data_Geotech[[#This Row],[RQD (%)]])/Data_Geotech[[#This Row],[Jn rating]])*Data_Geotech[[#This Row],[Jr/Ja]]*Data_Geotech[[#This Row],[Jw/SRF]],""),"")</f>
        <v/>
      </c>
      <c r="AT255" s="12"/>
      <c r="AU255" s="13" t="e">
        <f>100-Data_Geotech[[#This Row],[RQD (%)]]</f>
        <v>#DIV/0!</v>
      </c>
      <c r="AV255" s="13" t="e">
        <f>100-Data_Geotech[[#This Row],[TCR (%)]]</f>
        <v>#DIV/0!</v>
      </c>
      <c r="AW255" s="62" t="e">
        <f>(Data_Geotech[[#This Row],[Fracture per interval]]+Data_Geotech[[#This Row],[Added fractures 
(BC, FLT, LC)]])/Data_Geotech[[#This Row],[TCR (m)]]</f>
        <v>#DIV/0!</v>
      </c>
      <c r="AX255" s="62" t="str">
        <f>MID(Data_Geotech[[#This Row],[Field Intact Rock Strength]],2,1)</f>
        <v/>
      </c>
      <c r="AY255" s="63" t="e">
        <f>7-MID(Data_Geotech[[#This Row],[Field Intact Rock Strength]],2,1)</f>
        <v>#VALUE!</v>
      </c>
      <c r="AZ255" s="63" t="e">
        <f>VLOOKUP(Data_Geotech[[#This Row],[Field Intact Rock Strength]],Table_FieldStrength[],2,FALSE)</f>
        <v>#N/A</v>
      </c>
      <c r="BA255" s="63" t="e">
        <f>VLOOKUP(Data_Geotech[[#This Row],[Field Intact Rock Strength]],Table_FieldStrength[],3,FALSE)</f>
        <v>#N/A</v>
      </c>
      <c r="BB255" s="63" t="e">
        <f>VLOOKUP(Data_Geotech[[#This Row],[Field Intact Rock Strength]],Table_FieldStrength[],4,FALSE)</f>
        <v>#N/A</v>
      </c>
      <c r="BC255" s="63" t="e">
        <f>100-Data_Geotech[[#This Row],[RMR76]]</f>
        <v>#VALUE!</v>
      </c>
      <c r="BD255" s="63" t="e">
        <f>LEFT(Data_Geotech[[#This Row],[Weathering/Alteration]],FIND("-",Data_Geotech[[#This Row],[Weathering/Alteration]])-2)</f>
        <v>#VALUE!</v>
      </c>
    </row>
    <row r="256" spans="2:56" hidden="1" x14ac:dyDescent="0.25">
      <c r="B256" s="16" t="e">
        <f>VLOOKUP(Data_Geotech[[#This Row],[Hole ID]],Data_Log[],2,FALSE)</f>
        <v>#N/A</v>
      </c>
      <c r="C256" s="5"/>
      <c r="D256" s="5"/>
      <c r="E256" s="5">
        <f>(Data_Geotech[[#This Row],[To (m)]]-Data_Geotech[[#This Row],[From (m)]])/2+Data_Geotech[[#This Row],[From (m)]]</f>
        <v>0</v>
      </c>
      <c r="F256" s="13">
        <f>Data_Geotech[[#This Row],[To (m)]]-Data_Geotech[[#This Row],[From (m)]]</f>
        <v>0</v>
      </c>
      <c r="G256" s="5"/>
      <c r="H256" s="61" t="e">
        <f>Data_Geotech[[#This Row],[TCR (m)]]/Data_Geotech[[#This Row],[Run (m)]]*100</f>
        <v>#DIV/0!</v>
      </c>
      <c r="I256" s="151"/>
      <c r="J256" s="151"/>
      <c r="K256" s="5"/>
      <c r="L256" s="61" t="e">
        <f>Data_Geotech[[#This Row],[RQD (m)]]/Data_Geotech[[#This Row],[Run Reel (m)]]*100</f>
        <v>#DIV/0!</v>
      </c>
      <c r="P256" s="115"/>
      <c r="Q256" s="5"/>
      <c r="R256" s="5"/>
      <c r="S256" s="5"/>
      <c r="T256" s="5"/>
      <c r="U256" s="5"/>
      <c r="V256" s="6"/>
      <c r="W256" s="92">
        <f>SUMIFS(Discontinuities!$D$4:$D$9664,Discontinuities!$A$4:$A$9664,A256,Discontinuities!$C$4:$C$9664,"&gt;="&amp;C256,Discontinuities!$C$4:$C$9664,"&lt;"&amp;D256)
-SUMIFS(Discontinuities!$D$4:$D$9664,Discontinuities!$A$4:$A$9664,A256,Discontinuities!$C$4:$C$9664,"&gt;="&amp;C256,Discontinuities!$C$4:$C$9664,"&lt;"&amp;D256,Discontinuities!$E$4:$E$9664,"=BC")
-SUMIFS(Discontinuities!$D$4:$D$9664,Discontinuities!$A$4:$A$9664,A256,Discontinuities!$C$4:$C$9664,"&gt;="&amp;C256,Discontinuities!$C$4:$C$9664,"&lt;"&amp;D256,Discontinuities!$E$4:$E$9664,"=LC")
-SUMIFS(Discontinuities!$D$4:$D$9664,Discontinuities!$A$4:$A$9664,A256,Discontinuities!$C$4:$C$9664,"&gt;="&amp;C256,Discontinuities!$C$4:$C$9664,"&lt;"&amp;D256,Discontinuities!$E$4:$E$9664,"=FLT")</f>
        <v>0</v>
      </c>
      <c r="AA256" s="132"/>
      <c r="AB256" s="159">
        <f>IFERROR(ROUND((Data_Geotech[[#This Row],[Fault (m)]]+Data_Geotech[[#This Row],[Broken Core (m)]]+Data_Geotech[[#This Row],[Lost Core (m)]])*30,0),0)</f>
        <v>0</v>
      </c>
      <c r="AC256" s="135">
        <f>IF(Data_Geotech[[#This Row],[Added fractures 
(BC, FLT, LC)]]+Data_Geotech[[#This Row],[Fracture per interval]]=0,99,1/((Data_Geotech[[#This Row],[Fracture per interval]]+Data_Geotech[[#This Row],[Added fractures 
(BC, FLT, LC)]])/Data_Geotech[[#This Row],[Run (m)]]))</f>
        <v>99</v>
      </c>
      <c r="AD256" s="160" t="str" cm="1">
        <f t="array" ref="AD256">IFERROR(_xlfn.XLOOKUP(1,(A256=PLT!$A$4:$A$8886)*(Geotech!C256&lt;=PLT!$F$4:$F$8886)*(Geotech!D256&gt;=PLT!$F$4:$F$8886)*("Valid"=PLT!$P$4:$P$8886),PLT!$V$4:$V$8886),"")</f>
        <v/>
      </c>
      <c r="AE256" s="161" t="str" cm="1">
        <f t="array" ref="AE256">IFERROR(_xlfn.XLOOKUP(1,(A256=PLT!$A$4:$A$8886)*(Geotech!C256&lt;=PLT!$F$4:$F$8886)*(Geotech!D256&gt;=PLT!$F$4:$F$8886)*(PLT!$V$4:$V$8886&lt;&gt;AD256)*("Valid"=PLT!$P$4:$P$7190),PLT!$V$4:$V$8886),"")</f>
        <v/>
      </c>
      <c r="AF256" s="161" t="str" cm="1">
        <f t="array" ref="AF256">IFERROR(_xlfn.XLOOKUP(1,(A256=PLT!$A$4:$A$8886)*(Geotech!C256&lt;=PLT!$F$4:$F$8886)*(Geotech!D256&gt;=PLT!$F$4:$F$8886)*(PLT!$V$4:$V$8886&lt;&gt;AD256)*(PLT!$V$4:$V$8886&lt;&gt;AE256)*("Valid"=PLT!$P$4:$P$7190),PLT!$V$4:$V$8886),"")</f>
        <v/>
      </c>
      <c r="AG256" s="162" t="str">
        <f>IFERROR(IF(AVERAGE(AD256:AF256)&gt;References!$BO$23,References!$BP$23,
IF(AVERAGE(AD256:AF256)&gt;References!$BO$22,References!$BP$22,
IF(AVERAGE(AD256:AF256)&gt;References!$BO$21,References!$BP$21,
IF(AVERAGE(AD256:AF256)&gt;References!$BO$20,References!$BP$20,
IF(AVERAGE(AD256:AF256)&gt;References!$BO$19,References!$BP$19,
IF(AVERAGE(AD256:AF256)&gt;References!$BO$18,References!$BP$18,
0)))))),"")</f>
        <v/>
      </c>
      <c r="AH256" s="163" t="e">
        <f>VLOOKUP(Data_Geotech[[#This Row],[Field Intact Rock Strength]],Table_RMR76_Strength[],2,FALSE)</f>
        <v>#N/A</v>
      </c>
      <c r="AI256" s="163" t="e">
        <f>IF(Data_Geotech[[#This Row],[RQD (%)]]&lt;=25,3,IF(Data_Geotech[[#This Row],[RQD (%)]]&lt;=50,8,IF(Data_Geotech[[#This Row],[RQD (%)]]&lt;=75,13,IF(Data_Geotech[[#This Row],[RQD (%)]]&lt;=90,17,20))))</f>
        <v>#DIV/0!</v>
      </c>
      <c r="AJ256" s="136">
        <f>IF(Data_Geotech[[#This Row],[Joint spacing (m)]]&lt;=0.05,5,IF(Data_Geotech[[#This Row],[Joint spacing (m)]]&lt;=0.3,10,IF(Data_Geotech[[#This Row],[Joint spacing (m)]]&lt;=1,20,IF(Data_Geotech[[#This Row],[Joint spacing (m)]]&lt;=3,25,30))))</f>
        <v>30</v>
      </c>
      <c r="AK25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6" s="6"/>
      <c r="AM256" s="137" t="str">
        <f>IF(Data_Geotech[[#This Row],[FIRS Code]]="R",IFERROR(SUM(Data_Geotech[[#This Row],[RMR76 - Strength rating]:[RMR76 - Ground water rating]]),""),"")</f>
        <v/>
      </c>
      <c r="AN256" s="164" t="str">
        <f>IF(Data_Geotech[[#This Row],[FIRS Code]]="R",(2*Data_Geotech[[#This Row],[RMR76 - Joint condition rating]])+(IF(Data_Geotech[[#This Row],[RQD (%)]]&gt;80,80/2,Data_Geotech[[#This Row],[RQD (%)]]/2)),"")</f>
        <v/>
      </c>
      <c r="AO256" s="136" t="e">
        <f>LEFT(Data_Geotech[[#This Row],[Joint Set Rating]],FIND("-",Data_Geotech[[#This Row],[Joint Set Rating]],1)-2)</f>
        <v>#VALUE!</v>
      </c>
      <c r="AP25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6" s="143">
        <f t="shared" si="4"/>
        <v>1</v>
      </c>
      <c r="AR256" s="165" t="str">
        <f>IF(Data_Geotech[[#This Row],[FIRS Code]]="R",IFERROR((IF(Data_Geotech[[#This Row],[RQD (%)]]&lt;10,10,Data_Geotech[[#This Row],[RQD (%)]])/Data_Geotech[[#This Row],[Jn rating]])*Data_Geotech[[#This Row],[Jr/Ja]],""),"")</f>
        <v/>
      </c>
      <c r="AS256" s="138" t="str">
        <f>IF(Data_Geotech[[#This Row],[FIRS Code]]="R",IFERROR((IF(Data_Geotech[[#This Row],[RQD (%)]]&lt;10,10,Data_Geotech[[#This Row],[RQD (%)]])/Data_Geotech[[#This Row],[Jn rating]])*Data_Geotech[[#This Row],[Jr/Ja]]*Data_Geotech[[#This Row],[Jw/SRF]],""),"")</f>
        <v/>
      </c>
      <c r="AT256" s="12"/>
      <c r="AU256" s="13" t="e">
        <f>100-Data_Geotech[[#This Row],[RQD (%)]]</f>
        <v>#DIV/0!</v>
      </c>
      <c r="AV256" s="13" t="e">
        <f>100-Data_Geotech[[#This Row],[TCR (%)]]</f>
        <v>#DIV/0!</v>
      </c>
      <c r="AW256" s="62" t="e">
        <f>(Data_Geotech[[#This Row],[Fracture per interval]]+Data_Geotech[[#This Row],[Added fractures 
(BC, FLT, LC)]])/Data_Geotech[[#This Row],[TCR (m)]]</f>
        <v>#DIV/0!</v>
      </c>
      <c r="AX256" s="62" t="str">
        <f>MID(Data_Geotech[[#This Row],[Field Intact Rock Strength]],2,1)</f>
        <v/>
      </c>
      <c r="AY256" s="63" t="e">
        <f>7-MID(Data_Geotech[[#This Row],[Field Intact Rock Strength]],2,1)</f>
        <v>#VALUE!</v>
      </c>
      <c r="AZ256" s="63" t="e">
        <f>VLOOKUP(Data_Geotech[[#This Row],[Field Intact Rock Strength]],Table_FieldStrength[],2,FALSE)</f>
        <v>#N/A</v>
      </c>
      <c r="BA256" s="63" t="e">
        <f>VLOOKUP(Data_Geotech[[#This Row],[Field Intact Rock Strength]],Table_FieldStrength[],3,FALSE)</f>
        <v>#N/A</v>
      </c>
      <c r="BB256" s="63" t="e">
        <f>VLOOKUP(Data_Geotech[[#This Row],[Field Intact Rock Strength]],Table_FieldStrength[],4,FALSE)</f>
        <v>#N/A</v>
      </c>
      <c r="BC256" s="63" t="e">
        <f>100-Data_Geotech[[#This Row],[RMR76]]</f>
        <v>#VALUE!</v>
      </c>
      <c r="BD256" s="63" t="e">
        <f>LEFT(Data_Geotech[[#This Row],[Weathering/Alteration]],FIND("-",Data_Geotech[[#This Row],[Weathering/Alteration]])-2)</f>
        <v>#VALUE!</v>
      </c>
    </row>
    <row r="257" spans="2:56" hidden="1" x14ac:dyDescent="0.25">
      <c r="B257" s="16" t="e">
        <f>VLOOKUP(Data_Geotech[[#This Row],[Hole ID]],Data_Log[],2,FALSE)</f>
        <v>#N/A</v>
      </c>
      <c r="C257" s="5"/>
      <c r="D257" s="5"/>
      <c r="E257" s="5">
        <f>(Data_Geotech[[#This Row],[To (m)]]-Data_Geotech[[#This Row],[From (m)]])/2+Data_Geotech[[#This Row],[From (m)]]</f>
        <v>0</v>
      </c>
      <c r="F257" s="13">
        <f>Data_Geotech[[#This Row],[To (m)]]-Data_Geotech[[#This Row],[From (m)]]</f>
        <v>0</v>
      </c>
      <c r="G257" s="5"/>
      <c r="H257" s="61" t="e">
        <f>Data_Geotech[[#This Row],[TCR (m)]]/Data_Geotech[[#This Row],[Run (m)]]*100</f>
        <v>#DIV/0!</v>
      </c>
      <c r="I257" s="151"/>
      <c r="J257" s="151"/>
      <c r="K257" s="5"/>
      <c r="L257" s="61" t="e">
        <f>Data_Geotech[[#This Row],[RQD (m)]]/Data_Geotech[[#This Row],[Run Reel (m)]]*100</f>
        <v>#DIV/0!</v>
      </c>
      <c r="P257" s="115"/>
      <c r="Q257" s="5"/>
      <c r="R257" s="5"/>
      <c r="S257" s="5"/>
      <c r="T257" s="5"/>
      <c r="U257" s="5"/>
      <c r="V257" s="6"/>
      <c r="W257" s="92">
        <f>SUMIFS(Discontinuities!$D$4:$D$9664,Discontinuities!$A$4:$A$9664,A257,Discontinuities!$C$4:$C$9664,"&gt;="&amp;C257,Discontinuities!$C$4:$C$9664,"&lt;"&amp;D257)
-SUMIFS(Discontinuities!$D$4:$D$9664,Discontinuities!$A$4:$A$9664,A257,Discontinuities!$C$4:$C$9664,"&gt;="&amp;C257,Discontinuities!$C$4:$C$9664,"&lt;"&amp;D257,Discontinuities!$E$4:$E$9664,"=BC")
-SUMIFS(Discontinuities!$D$4:$D$9664,Discontinuities!$A$4:$A$9664,A257,Discontinuities!$C$4:$C$9664,"&gt;="&amp;C257,Discontinuities!$C$4:$C$9664,"&lt;"&amp;D257,Discontinuities!$E$4:$E$9664,"=LC")
-SUMIFS(Discontinuities!$D$4:$D$9664,Discontinuities!$A$4:$A$9664,A257,Discontinuities!$C$4:$C$9664,"&gt;="&amp;C257,Discontinuities!$C$4:$C$9664,"&lt;"&amp;D257,Discontinuities!$E$4:$E$9664,"=FLT")</f>
        <v>0</v>
      </c>
      <c r="AA257" s="132"/>
      <c r="AB257" s="159">
        <f>IFERROR(ROUND((Data_Geotech[[#This Row],[Fault (m)]]+Data_Geotech[[#This Row],[Broken Core (m)]]+Data_Geotech[[#This Row],[Lost Core (m)]])*30,0),0)</f>
        <v>0</v>
      </c>
      <c r="AC257" s="135">
        <f>IF(Data_Geotech[[#This Row],[Added fractures 
(BC, FLT, LC)]]+Data_Geotech[[#This Row],[Fracture per interval]]=0,99,1/((Data_Geotech[[#This Row],[Fracture per interval]]+Data_Geotech[[#This Row],[Added fractures 
(BC, FLT, LC)]])/Data_Geotech[[#This Row],[Run (m)]]))</f>
        <v>99</v>
      </c>
      <c r="AD257" s="160" t="str" cm="1">
        <f t="array" ref="AD257">IFERROR(_xlfn.XLOOKUP(1,(A257=PLT!$A$4:$A$8886)*(Geotech!C257&lt;=PLT!$F$4:$F$8886)*(Geotech!D257&gt;=PLT!$F$4:$F$8886)*("Valid"=PLT!$P$4:$P$8886),PLT!$V$4:$V$8886),"")</f>
        <v/>
      </c>
      <c r="AE257" s="161" t="str" cm="1">
        <f t="array" ref="AE257">IFERROR(_xlfn.XLOOKUP(1,(A257=PLT!$A$4:$A$8886)*(Geotech!C257&lt;=PLT!$F$4:$F$8886)*(Geotech!D257&gt;=PLT!$F$4:$F$8886)*(PLT!$V$4:$V$8886&lt;&gt;AD257)*("Valid"=PLT!$P$4:$P$7190),PLT!$V$4:$V$8886),"")</f>
        <v/>
      </c>
      <c r="AF257" s="161" t="str" cm="1">
        <f t="array" ref="AF257">IFERROR(_xlfn.XLOOKUP(1,(A257=PLT!$A$4:$A$8886)*(Geotech!C257&lt;=PLT!$F$4:$F$8886)*(Geotech!D257&gt;=PLT!$F$4:$F$8886)*(PLT!$V$4:$V$8886&lt;&gt;AD257)*(PLT!$V$4:$V$8886&lt;&gt;AE257)*("Valid"=PLT!$P$4:$P$7190),PLT!$V$4:$V$8886),"")</f>
        <v/>
      </c>
      <c r="AG257" s="162" t="str">
        <f>IFERROR(IF(AVERAGE(AD257:AF257)&gt;References!$BO$23,References!$BP$23,
IF(AVERAGE(AD257:AF257)&gt;References!$BO$22,References!$BP$22,
IF(AVERAGE(AD257:AF257)&gt;References!$BO$21,References!$BP$21,
IF(AVERAGE(AD257:AF257)&gt;References!$BO$20,References!$BP$20,
IF(AVERAGE(AD257:AF257)&gt;References!$BO$19,References!$BP$19,
IF(AVERAGE(AD257:AF257)&gt;References!$BO$18,References!$BP$18,
0)))))),"")</f>
        <v/>
      </c>
      <c r="AH257" s="163" t="e">
        <f>VLOOKUP(Data_Geotech[[#This Row],[Field Intact Rock Strength]],Table_RMR76_Strength[],2,FALSE)</f>
        <v>#N/A</v>
      </c>
      <c r="AI257" s="163" t="e">
        <f>IF(Data_Geotech[[#This Row],[RQD (%)]]&lt;=25,3,IF(Data_Geotech[[#This Row],[RQD (%)]]&lt;=50,8,IF(Data_Geotech[[#This Row],[RQD (%)]]&lt;=75,13,IF(Data_Geotech[[#This Row],[RQD (%)]]&lt;=90,17,20))))</f>
        <v>#DIV/0!</v>
      </c>
      <c r="AJ257" s="136">
        <f>IF(Data_Geotech[[#This Row],[Joint spacing (m)]]&lt;=0.05,5,IF(Data_Geotech[[#This Row],[Joint spacing (m)]]&lt;=0.3,10,IF(Data_Geotech[[#This Row],[Joint spacing (m)]]&lt;=1,20,IF(Data_Geotech[[#This Row],[Joint spacing (m)]]&lt;=3,25,30))))</f>
        <v>30</v>
      </c>
      <c r="AK25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7" s="6"/>
      <c r="AM257" s="137" t="str">
        <f>IF(Data_Geotech[[#This Row],[FIRS Code]]="R",IFERROR(SUM(Data_Geotech[[#This Row],[RMR76 - Strength rating]:[RMR76 - Ground water rating]]),""),"")</f>
        <v/>
      </c>
      <c r="AN257" s="164" t="str">
        <f>IF(Data_Geotech[[#This Row],[FIRS Code]]="R",(2*Data_Geotech[[#This Row],[RMR76 - Joint condition rating]])+(IF(Data_Geotech[[#This Row],[RQD (%)]]&gt;80,80/2,Data_Geotech[[#This Row],[RQD (%)]]/2)),"")</f>
        <v/>
      </c>
      <c r="AO257" s="136" t="e">
        <f>LEFT(Data_Geotech[[#This Row],[Joint Set Rating]],FIND("-",Data_Geotech[[#This Row],[Joint Set Rating]],1)-2)</f>
        <v>#VALUE!</v>
      </c>
      <c r="AP25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7" s="143">
        <f t="shared" si="4"/>
        <v>1</v>
      </c>
      <c r="AR257" s="165" t="str">
        <f>IF(Data_Geotech[[#This Row],[FIRS Code]]="R",IFERROR((IF(Data_Geotech[[#This Row],[RQD (%)]]&lt;10,10,Data_Geotech[[#This Row],[RQD (%)]])/Data_Geotech[[#This Row],[Jn rating]])*Data_Geotech[[#This Row],[Jr/Ja]],""),"")</f>
        <v/>
      </c>
      <c r="AS257" s="138" t="str">
        <f>IF(Data_Geotech[[#This Row],[FIRS Code]]="R",IFERROR((IF(Data_Geotech[[#This Row],[RQD (%)]]&lt;10,10,Data_Geotech[[#This Row],[RQD (%)]])/Data_Geotech[[#This Row],[Jn rating]])*Data_Geotech[[#This Row],[Jr/Ja]]*Data_Geotech[[#This Row],[Jw/SRF]],""),"")</f>
        <v/>
      </c>
      <c r="AT257" s="12"/>
      <c r="AU257" s="13" t="e">
        <f>100-Data_Geotech[[#This Row],[RQD (%)]]</f>
        <v>#DIV/0!</v>
      </c>
      <c r="AV257" s="13" t="e">
        <f>100-Data_Geotech[[#This Row],[TCR (%)]]</f>
        <v>#DIV/0!</v>
      </c>
      <c r="AW257" s="62" t="e">
        <f>(Data_Geotech[[#This Row],[Fracture per interval]]+Data_Geotech[[#This Row],[Added fractures 
(BC, FLT, LC)]])/Data_Geotech[[#This Row],[TCR (m)]]</f>
        <v>#DIV/0!</v>
      </c>
      <c r="AX257" s="62" t="str">
        <f>MID(Data_Geotech[[#This Row],[Field Intact Rock Strength]],2,1)</f>
        <v/>
      </c>
      <c r="AY257" s="63" t="e">
        <f>7-MID(Data_Geotech[[#This Row],[Field Intact Rock Strength]],2,1)</f>
        <v>#VALUE!</v>
      </c>
      <c r="AZ257" s="63" t="e">
        <f>VLOOKUP(Data_Geotech[[#This Row],[Field Intact Rock Strength]],Table_FieldStrength[],2,FALSE)</f>
        <v>#N/A</v>
      </c>
      <c r="BA257" s="63" t="e">
        <f>VLOOKUP(Data_Geotech[[#This Row],[Field Intact Rock Strength]],Table_FieldStrength[],3,FALSE)</f>
        <v>#N/A</v>
      </c>
      <c r="BB257" s="63" t="e">
        <f>VLOOKUP(Data_Geotech[[#This Row],[Field Intact Rock Strength]],Table_FieldStrength[],4,FALSE)</f>
        <v>#N/A</v>
      </c>
      <c r="BC257" s="63" t="e">
        <f>100-Data_Geotech[[#This Row],[RMR76]]</f>
        <v>#VALUE!</v>
      </c>
      <c r="BD257" s="63" t="e">
        <f>LEFT(Data_Geotech[[#This Row],[Weathering/Alteration]],FIND("-",Data_Geotech[[#This Row],[Weathering/Alteration]])-2)</f>
        <v>#VALUE!</v>
      </c>
    </row>
    <row r="258" spans="2:56" hidden="1" x14ac:dyDescent="0.25">
      <c r="B258" s="16" t="e">
        <f>VLOOKUP(Data_Geotech[[#This Row],[Hole ID]],Data_Log[],2,FALSE)</f>
        <v>#N/A</v>
      </c>
      <c r="C258" s="5"/>
      <c r="D258" s="5"/>
      <c r="E258" s="5">
        <f>(Data_Geotech[[#This Row],[To (m)]]-Data_Geotech[[#This Row],[From (m)]])/2+Data_Geotech[[#This Row],[From (m)]]</f>
        <v>0</v>
      </c>
      <c r="F258" s="13">
        <f>Data_Geotech[[#This Row],[To (m)]]-Data_Geotech[[#This Row],[From (m)]]</f>
        <v>0</v>
      </c>
      <c r="G258" s="5"/>
      <c r="H258" s="61" t="e">
        <f>Data_Geotech[[#This Row],[TCR (m)]]/Data_Geotech[[#This Row],[Run (m)]]*100</f>
        <v>#DIV/0!</v>
      </c>
      <c r="I258" s="151"/>
      <c r="J258" s="151"/>
      <c r="K258" s="5"/>
      <c r="L258" s="61" t="e">
        <f>Data_Geotech[[#This Row],[RQD (m)]]/Data_Geotech[[#This Row],[Run Reel (m)]]*100</f>
        <v>#DIV/0!</v>
      </c>
      <c r="P258" s="115"/>
      <c r="Q258" s="5"/>
      <c r="R258" s="5"/>
      <c r="S258" s="5"/>
      <c r="T258" s="5"/>
      <c r="U258" s="5"/>
      <c r="V258" s="6"/>
      <c r="W258" s="92">
        <f>SUMIFS(Discontinuities!$D$4:$D$9664,Discontinuities!$A$4:$A$9664,A258,Discontinuities!$C$4:$C$9664,"&gt;="&amp;C258,Discontinuities!$C$4:$C$9664,"&lt;"&amp;D258)
-SUMIFS(Discontinuities!$D$4:$D$9664,Discontinuities!$A$4:$A$9664,A258,Discontinuities!$C$4:$C$9664,"&gt;="&amp;C258,Discontinuities!$C$4:$C$9664,"&lt;"&amp;D258,Discontinuities!$E$4:$E$9664,"=BC")
-SUMIFS(Discontinuities!$D$4:$D$9664,Discontinuities!$A$4:$A$9664,A258,Discontinuities!$C$4:$C$9664,"&gt;="&amp;C258,Discontinuities!$C$4:$C$9664,"&lt;"&amp;D258,Discontinuities!$E$4:$E$9664,"=LC")
-SUMIFS(Discontinuities!$D$4:$D$9664,Discontinuities!$A$4:$A$9664,A258,Discontinuities!$C$4:$C$9664,"&gt;="&amp;C258,Discontinuities!$C$4:$C$9664,"&lt;"&amp;D258,Discontinuities!$E$4:$E$9664,"=FLT")</f>
        <v>0</v>
      </c>
      <c r="AA258" s="132"/>
      <c r="AB258" s="159">
        <f>IFERROR(ROUND((Data_Geotech[[#This Row],[Fault (m)]]+Data_Geotech[[#This Row],[Broken Core (m)]]+Data_Geotech[[#This Row],[Lost Core (m)]])*30,0),0)</f>
        <v>0</v>
      </c>
      <c r="AC258" s="135">
        <f>IF(Data_Geotech[[#This Row],[Added fractures 
(BC, FLT, LC)]]+Data_Geotech[[#This Row],[Fracture per interval]]=0,99,1/((Data_Geotech[[#This Row],[Fracture per interval]]+Data_Geotech[[#This Row],[Added fractures 
(BC, FLT, LC)]])/Data_Geotech[[#This Row],[Run (m)]]))</f>
        <v>99</v>
      </c>
      <c r="AD258" s="160" t="str" cm="1">
        <f t="array" ref="AD258">IFERROR(_xlfn.XLOOKUP(1,(A258=PLT!$A$4:$A$8886)*(Geotech!C258&lt;=PLT!$F$4:$F$8886)*(Geotech!D258&gt;=PLT!$F$4:$F$8886)*("Valid"=PLT!$P$4:$P$8886),PLT!$V$4:$V$8886),"")</f>
        <v/>
      </c>
      <c r="AE258" s="161" t="str" cm="1">
        <f t="array" ref="AE258">IFERROR(_xlfn.XLOOKUP(1,(A258=PLT!$A$4:$A$8886)*(Geotech!C258&lt;=PLT!$F$4:$F$8886)*(Geotech!D258&gt;=PLT!$F$4:$F$8886)*(PLT!$V$4:$V$8886&lt;&gt;AD258)*("Valid"=PLT!$P$4:$P$7190),PLT!$V$4:$V$8886),"")</f>
        <v/>
      </c>
      <c r="AF258" s="161" t="str" cm="1">
        <f t="array" ref="AF258">IFERROR(_xlfn.XLOOKUP(1,(A258=PLT!$A$4:$A$8886)*(Geotech!C258&lt;=PLT!$F$4:$F$8886)*(Geotech!D258&gt;=PLT!$F$4:$F$8886)*(PLT!$V$4:$V$8886&lt;&gt;AD258)*(PLT!$V$4:$V$8886&lt;&gt;AE258)*("Valid"=PLT!$P$4:$P$7190),PLT!$V$4:$V$8886),"")</f>
        <v/>
      </c>
      <c r="AG258" s="162" t="str">
        <f>IFERROR(IF(AVERAGE(AD258:AF258)&gt;References!$BO$23,References!$BP$23,
IF(AVERAGE(AD258:AF258)&gt;References!$BO$22,References!$BP$22,
IF(AVERAGE(AD258:AF258)&gt;References!$BO$21,References!$BP$21,
IF(AVERAGE(AD258:AF258)&gt;References!$BO$20,References!$BP$20,
IF(AVERAGE(AD258:AF258)&gt;References!$BO$19,References!$BP$19,
IF(AVERAGE(AD258:AF258)&gt;References!$BO$18,References!$BP$18,
0)))))),"")</f>
        <v/>
      </c>
      <c r="AH258" s="163" t="e">
        <f>VLOOKUP(Data_Geotech[[#This Row],[Field Intact Rock Strength]],Table_RMR76_Strength[],2,FALSE)</f>
        <v>#N/A</v>
      </c>
      <c r="AI258" s="163" t="e">
        <f>IF(Data_Geotech[[#This Row],[RQD (%)]]&lt;=25,3,IF(Data_Geotech[[#This Row],[RQD (%)]]&lt;=50,8,IF(Data_Geotech[[#This Row],[RQD (%)]]&lt;=75,13,IF(Data_Geotech[[#This Row],[RQD (%)]]&lt;=90,17,20))))</f>
        <v>#DIV/0!</v>
      </c>
      <c r="AJ258" s="136">
        <f>IF(Data_Geotech[[#This Row],[Joint spacing (m)]]&lt;=0.05,5,IF(Data_Geotech[[#This Row],[Joint spacing (m)]]&lt;=0.3,10,IF(Data_Geotech[[#This Row],[Joint spacing (m)]]&lt;=1,20,IF(Data_Geotech[[#This Row],[Joint spacing (m)]]&lt;=3,25,30))))</f>
        <v>30</v>
      </c>
      <c r="AK25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8" s="6"/>
      <c r="AM258" s="137" t="str">
        <f>IF(Data_Geotech[[#This Row],[FIRS Code]]="R",IFERROR(SUM(Data_Geotech[[#This Row],[RMR76 - Strength rating]:[RMR76 - Ground water rating]]),""),"")</f>
        <v/>
      </c>
      <c r="AN258" s="164" t="str">
        <f>IF(Data_Geotech[[#This Row],[FIRS Code]]="R",(2*Data_Geotech[[#This Row],[RMR76 - Joint condition rating]])+(IF(Data_Geotech[[#This Row],[RQD (%)]]&gt;80,80/2,Data_Geotech[[#This Row],[RQD (%)]]/2)),"")</f>
        <v/>
      </c>
      <c r="AO258" s="136" t="e">
        <f>LEFT(Data_Geotech[[#This Row],[Joint Set Rating]],FIND("-",Data_Geotech[[#This Row],[Joint Set Rating]],1)-2)</f>
        <v>#VALUE!</v>
      </c>
      <c r="AP25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8" s="143">
        <f t="shared" si="4"/>
        <v>1</v>
      </c>
      <c r="AR258" s="165" t="str">
        <f>IF(Data_Geotech[[#This Row],[FIRS Code]]="R",IFERROR((IF(Data_Geotech[[#This Row],[RQD (%)]]&lt;10,10,Data_Geotech[[#This Row],[RQD (%)]])/Data_Geotech[[#This Row],[Jn rating]])*Data_Geotech[[#This Row],[Jr/Ja]],""),"")</f>
        <v/>
      </c>
      <c r="AS258" s="138" t="str">
        <f>IF(Data_Geotech[[#This Row],[FIRS Code]]="R",IFERROR((IF(Data_Geotech[[#This Row],[RQD (%)]]&lt;10,10,Data_Geotech[[#This Row],[RQD (%)]])/Data_Geotech[[#This Row],[Jn rating]])*Data_Geotech[[#This Row],[Jr/Ja]]*Data_Geotech[[#This Row],[Jw/SRF]],""),"")</f>
        <v/>
      </c>
      <c r="AT258" s="12"/>
      <c r="AU258" s="13" t="e">
        <f>100-Data_Geotech[[#This Row],[RQD (%)]]</f>
        <v>#DIV/0!</v>
      </c>
      <c r="AV258" s="13" t="e">
        <f>100-Data_Geotech[[#This Row],[TCR (%)]]</f>
        <v>#DIV/0!</v>
      </c>
      <c r="AW258" s="62" t="e">
        <f>(Data_Geotech[[#This Row],[Fracture per interval]]+Data_Geotech[[#This Row],[Added fractures 
(BC, FLT, LC)]])/Data_Geotech[[#This Row],[TCR (m)]]</f>
        <v>#DIV/0!</v>
      </c>
      <c r="AX258" s="62" t="str">
        <f>MID(Data_Geotech[[#This Row],[Field Intact Rock Strength]],2,1)</f>
        <v/>
      </c>
      <c r="AY258" s="63" t="e">
        <f>7-MID(Data_Geotech[[#This Row],[Field Intact Rock Strength]],2,1)</f>
        <v>#VALUE!</v>
      </c>
      <c r="AZ258" s="63" t="e">
        <f>VLOOKUP(Data_Geotech[[#This Row],[Field Intact Rock Strength]],Table_FieldStrength[],2,FALSE)</f>
        <v>#N/A</v>
      </c>
      <c r="BA258" s="63" t="e">
        <f>VLOOKUP(Data_Geotech[[#This Row],[Field Intact Rock Strength]],Table_FieldStrength[],3,FALSE)</f>
        <v>#N/A</v>
      </c>
      <c r="BB258" s="63" t="e">
        <f>VLOOKUP(Data_Geotech[[#This Row],[Field Intact Rock Strength]],Table_FieldStrength[],4,FALSE)</f>
        <v>#N/A</v>
      </c>
      <c r="BC258" s="63" t="e">
        <f>100-Data_Geotech[[#This Row],[RMR76]]</f>
        <v>#VALUE!</v>
      </c>
      <c r="BD258" s="63" t="e">
        <f>LEFT(Data_Geotech[[#This Row],[Weathering/Alteration]],FIND("-",Data_Geotech[[#This Row],[Weathering/Alteration]])-2)</f>
        <v>#VALUE!</v>
      </c>
    </row>
    <row r="259" spans="2:56" hidden="1" x14ac:dyDescent="0.25">
      <c r="B259" s="16" t="e">
        <f>VLOOKUP(Data_Geotech[[#This Row],[Hole ID]],Data_Log[],2,FALSE)</f>
        <v>#N/A</v>
      </c>
      <c r="C259" s="5"/>
      <c r="D259" s="5"/>
      <c r="E259" s="5">
        <f>(Data_Geotech[[#This Row],[To (m)]]-Data_Geotech[[#This Row],[From (m)]])/2+Data_Geotech[[#This Row],[From (m)]]</f>
        <v>0</v>
      </c>
      <c r="F259" s="13">
        <f>Data_Geotech[[#This Row],[To (m)]]-Data_Geotech[[#This Row],[From (m)]]</f>
        <v>0</v>
      </c>
      <c r="G259" s="5"/>
      <c r="H259" s="61" t="e">
        <f>Data_Geotech[[#This Row],[TCR (m)]]/Data_Geotech[[#This Row],[Run (m)]]*100</f>
        <v>#DIV/0!</v>
      </c>
      <c r="I259" s="151"/>
      <c r="J259" s="151"/>
      <c r="K259" s="5"/>
      <c r="L259" s="61" t="e">
        <f>Data_Geotech[[#This Row],[RQD (m)]]/Data_Geotech[[#This Row],[Run Reel (m)]]*100</f>
        <v>#DIV/0!</v>
      </c>
      <c r="P259" s="115"/>
      <c r="Q259" s="5"/>
      <c r="R259" s="5"/>
      <c r="S259" s="5"/>
      <c r="T259" s="5"/>
      <c r="U259" s="5"/>
      <c r="V259" s="6"/>
      <c r="W259" s="92">
        <f>SUMIFS(Discontinuities!$D$4:$D$9664,Discontinuities!$A$4:$A$9664,A259,Discontinuities!$C$4:$C$9664,"&gt;="&amp;C259,Discontinuities!$C$4:$C$9664,"&lt;"&amp;D259)
-SUMIFS(Discontinuities!$D$4:$D$9664,Discontinuities!$A$4:$A$9664,A259,Discontinuities!$C$4:$C$9664,"&gt;="&amp;C259,Discontinuities!$C$4:$C$9664,"&lt;"&amp;D259,Discontinuities!$E$4:$E$9664,"=BC")
-SUMIFS(Discontinuities!$D$4:$D$9664,Discontinuities!$A$4:$A$9664,A259,Discontinuities!$C$4:$C$9664,"&gt;="&amp;C259,Discontinuities!$C$4:$C$9664,"&lt;"&amp;D259,Discontinuities!$E$4:$E$9664,"=LC")
-SUMIFS(Discontinuities!$D$4:$D$9664,Discontinuities!$A$4:$A$9664,A259,Discontinuities!$C$4:$C$9664,"&gt;="&amp;C259,Discontinuities!$C$4:$C$9664,"&lt;"&amp;D259,Discontinuities!$E$4:$E$9664,"=FLT")</f>
        <v>0</v>
      </c>
      <c r="AA259" s="132"/>
      <c r="AB259" s="159">
        <f>IFERROR(ROUND((Data_Geotech[[#This Row],[Fault (m)]]+Data_Geotech[[#This Row],[Broken Core (m)]]+Data_Geotech[[#This Row],[Lost Core (m)]])*30,0),0)</f>
        <v>0</v>
      </c>
      <c r="AC259" s="135">
        <f>IF(Data_Geotech[[#This Row],[Added fractures 
(BC, FLT, LC)]]+Data_Geotech[[#This Row],[Fracture per interval]]=0,99,1/((Data_Geotech[[#This Row],[Fracture per interval]]+Data_Geotech[[#This Row],[Added fractures 
(BC, FLT, LC)]])/Data_Geotech[[#This Row],[Run (m)]]))</f>
        <v>99</v>
      </c>
      <c r="AD259" s="160" t="str" cm="1">
        <f t="array" ref="AD259">IFERROR(_xlfn.XLOOKUP(1,(A259=PLT!$A$4:$A$8886)*(Geotech!C259&lt;=PLT!$F$4:$F$8886)*(Geotech!D259&gt;=PLT!$F$4:$F$8886)*("Valid"=PLT!$P$4:$P$8886),PLT!$V$4:$V$8886),"")</f>
        <v/>
      </c>
      <c r="AE259" s="161" t="str" cm="1">
        <f t="array" ref="AE259">IFERROR(_xlfn.XLOOKUP(1,(A259=PLT!$A$4:$A$8886)*(Geotech!C259&lt;=PLT!$F$4:$F$8886)*(Geotech!D259&gt;=PLT!$F$4:$F$8886)*(PLT!$V$4:$V$8886&lt;&gt;AD259)*("Valid"=PLT!$P$4:$P$7190),PLT!$V$4:$V$8886),"")</f>
        <v/>
      </c>
      <c r="AF259" s="161" t="str" cm="1">
        <f t="array" ref="AF259">IFERROR(_xlfn.XLOOKUP(1,(A259=PLT!$A$4:$A$8886)*(Geotech!C259&lt;=PLT!$F$4:$F$8886)*(Geotech!D259&gt;=PLT!$F$4:$F$8886)*(PLT!$V$4:$V$8886&lt;&gt;AD259)*(PLT!$V$4:$V$8886&lt;&gt;AE259)*("Valid"=PLT!$P$4:$P$7190),PLT!$V$4:$V$8886),"")</f>
        <v/>
      </c>
      <c r="AG259" s="162" t="str">
        <f>IFERROR(IF(AVERAGE(AD259:AF259)&gt;References!$BO$23,References!$BP$23,
IF(AVERAGE(AD259:AF259)&gt;References!$BO$22,References!$BP$22,
IF(AVERAGE(AD259:AF259)&gt;References!$BO$21,References!$BP$21,
IF(AVERAGE(AD259:AF259)&gt;References!$BO$20,References!$BP$20,
IF(AVERAGE(AD259:AF259)&gt;References!$BO$19,References!$BP$19,
IF(AVERAGE(AD259:AF259)&gt;References!$BO$18,References!$BP$18,
0)))))),"")</f>
        <v/>
      </c>
      <c r="AH259" s="163" t="e">
        <f>VLOOKUP(Data_Geotech[[#This Row],[Field Intact Rock Strength]],Table_RMR76_Strength[],2,FALSE)</f>
        <v>#N/A</v>
      </c>
      <c r="AI259" s="163" t="e">
        <f>IF(Data_Geotech[[#This Row],[RQD (%)]]&lt;=25,3,IF(Data_Geotech[[#This Row],[RQD (%)]]&lt;=50,8,IF(Data_Geotech[[#This Row],[RQD (%)]]&lt;=75,13,IF(Data_Geotech[[#This Row],[RQD (%)]]&lt;=90,17,20))))</f>
        <v>#DIV/0!</v>
      </c>
      <c r="AJ259" s="136">
        <f>IF(Data_Geotech[[#This Row],[Joint spacing (m)]]&lt;=0.05,5,IF(Data_Geotech[[#This Row],[Joint spacing (m)]]&lt;=0.3,10,IF(Data_Geotech[[#This Row],[Joint spacing (m)]]&lt;=1,20,IF(Data_Geotech[[#This Row],[Joint spacing (m)]]&lt;=3,25,30))))</f>
        <v>30</v>
      </c>
      <c r="AK25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59" s="6"/>
      <c r="AM259" s="137" t="str">
        <f>IF(Data_Geotech[[#This Row],[FIRS Code]]="R",IFERROR(SUM(Data_Geotech[[#This Row],[RMR76 - Strength rating]:[RMR76 - Ground water rating]]),""),"")</f>
        <v/>
      </c>
      <c r="AN259" s="164" t="str">
        <f>IF(Data_Geotech[[#This Row],[FIRS Code]]="R",(2*Data_Geotech[[#This Row],[RMR76 - Joint condition rating]])+(IF(Data_Geotech[[#This Row],[RQD (%)]]&gt;80,80/2,Data_Geotech[[#This Row],[RQD (%)]]/2)),"")</f>
        <v/>
      </c>
      <c r="AO259" s="136" t="e">
        <f>LEFT(Data_Geotech[[#This Row],[Joint Set Rating]],FIND("-",Data_Geotech[[#This Row],[Joint Set Rating]],1)-2)</f>
        <v>#VALUE!</v>
      </c>
      <c r="AP25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59" s="143">
        <f t="shared" si="4"/>
        <v>1</v>
      </c>
      <c r="AR259" s="165" t="str">
        <f>IF(Data_Geotech[[#This Row],[FIRS Code]]="R",IFERROR((IF(Data_Geotech[[#This Row],[RQD (%)]]&lt;10,10,Data_Geotech[[#This Row],[RQD (%)]])/Data_Geotech[[#This Row],[Jn rating]])*Data_Geotech[[#This Row],[Jr/Ja]],""),"")</f>
        <v/>
      </c>
      <c r="AS259" s="138" t="str">
        <f>IF(Data_Geotech[[#This Row],[FIRS Code]]="R",IFERROR((IF(Data_Geotech[[#This Row],[RQD (%)]]&lt;10,10,Data_Geotech[[#This Row],[RQD (%)]])/Data_Geotech[[#This Row],[Jn rating]])*Data_Geotech[[#This Row],[Jr/Ja]]*Data_Geotech[[#This Row],[Jw/SRF]],""),"")</f>
        <v/>
      </c>
      <c r="AT259" s="12"/>
      <c r="AU259" s="13" t="e">
        <f>100-Data_Geotech[[#This Row],[RQD (%)]]</f>
        <v>#DIV/0!</v>
      </c>
      <c r="AV259" s="13" t="e">
        <f>100-Data_Geotech[[#This Row],[TCR (%)]]</f>
        <v>#DIV/0!</v>
      </c>
      <c r="AW259" s="62" t="e">
        <f>(Data_Geotech[[#This Row],[Fracture per interval]]+Data_Geotech[[#This Row],[Added fractures 
(BC, FLT, LC)]])/Data_Geotech[[#This Row],[TCR (m)]]</f>
        <v>#DIV/0!</v>
      </c>
      <c r="AX259" s="62" t="str">
        <f>MID(Data_Geotech[[#This Row],[Field Intact Rock Strength]],2,1)</f>
        <v/>
      </c>
      <c r="AY259" s="63" t="e">
        <f>7-MID(Data_Geotech[[#This Row],[Field Intact Rock Strength]],2,1)</f>
        <v>#VALUE!</v>
      </c>
      <c r="AZ259" s="63" t="e">
        <f>VLOOKUP(Data_Geotech[[#This Row],[Field Intact Rock Strength]],Table_FieldStrength[],2,FALSE)</f>
        <v>#N/A</v>
      </c>
      <c r="BA259" s="63" t="e">
        <f>VLOOKUP(Data_Geotech[[#This Row],[Field Intact Rock Strength]],Table_FieldStrength[],3,FALSE)</f>
        <v>#N/A</v>
      </c>
      <c r="BB259" s="63" t="e">
        <f>VLOOKUP(Data_Geotech[[#This Row],[Field Intact Rock Strength]],Table_FieldStrength[],4,FALSE)</f>
        <v>#N/A</v>
      </c>
      <c r="BC259" s="63" t="e">
        <f>100-Data_Geotech[[#This Row],[RMR76]]</f>
        <v>#VALUE!</v>
      </c>
      <c r="BD259" s="63" t="e">
        <f>LEFT(Data_Geotech[[#This Row],[Weathering/Alteration]],FIND("-",Data_Geotech[[#This Row],[Weathering/Alteration]])-2)</f>
        <v>#VALUE!</v>
      </c>
    </row>
    <row r="260" spans="2:56" hidden="1" x14ac:dyDescent="0.25">
      <c r="B260" s="16" t="e">
        <f>VLOOKUP(Data_Geotech[[#This Row],[Hole ID]],Data_Log[],2,FALSE)</f>
        <v>#N/A</v>
      </c>
      <c r="C260" s="5"/>
      <c r="D260" s="5"/>
      <c r="E260" s="5">
        <f>(Data_Geotech[[#This Row],[To (m)]]-Data_Geotech[[#This Row],[From (m)]])/2+Data_Geotech[[#This Row],[From (m)]]</f>
        <v>0</v>
      </c>
      <c r="F260" s="13">
        <f>Data_Geotech[[#This Row],[To (m)]]-Data_Geotech[[#This Row],[From (m)]]</f>
        <v>0</v>
      </c>
      <c r="G260" s="5"/>
      <c r="H260" s="61" t="e">
        <f>Data_Geotech[[#This Row],[TCR (m)]]/Data_Geotech[[#This Row],[Run (m)]]*100</f>
        <v>#DIV/0!</v>
      </c>
      <c r="I260" s="151"/>
      <c r="J260" s="151"/>
      <c r="K260" s="5"/>
      <c r="L260" s="61" t="e">
        <f>Data_Geotech[[#This Row],[RQD (m)]]/Data_Geotech[[#This Row],[Run Reel (m)]]*100</f>
        <v>#DIV/0!</v>
      </c>
      <c r="P260" s="115"/>
      <c r="Q260" s="5"/>
      <c r="R260" s="5"/>
      <c r="S260" s="5"/>
      <c r="T260" s="5"/>
      <c r="U260" s="5"/>
      <c r="V260" s="6"/>
      <c r="W260" s="92">
        <f>SUMIFS(Discontinuities!$D$4:$D$9664,Discontinuities!$A$4:$A$9664,A260,Discontinuities!$C$4:$C$9664,"&gt;="&amp;C260,Discontinuities!$C$4:$C$9664,"&lt;"&amp;D260)
-SUMIFS(Discontinuities!$D$4:$D$9664,Discontinuities!$A$4:$A$9664,A260,Discontinuities!$C$4:$C$9664,"&gt;="&amp;C260,Discontinuities!$C$4:$C$9664,"&lt;"&amp;D260,Discontinuities!$E$4:$E$9664,"=BC")
-SUMIFS(Discontinuities!$D$4:$D$9664,Discontinuities!$A$4:$A$9664,A260,Discontinuities!$C$4:$C$9664,"&gt;="&amp;C260,Discontinuities!$C$4:$C$9664,"&lt;"&amp;D260,Discontinuities!$E$4:$E$9664,"=LC")
-SUMIFS(Discontinuities!$D$4:$D$9664,Discontinuities!$A$4:$A$9664,A260,Discontinuities!$C$4:$C$9664,"&gt;="&amp;C260,Discontinuities!$C$4:$C$9664,"&lt;"&amp;D260,Discontinuities!$E$4:$E$9664,"=FLT")</f>
        <v>0</v>
      </c>
      <c r="AA260" s="132"/>
      <c r="AB260" s="159">
        <f>IFERROR(ROUND((Data_Geotech[[#This Row],[Fault (m)]]+Data_Geotech[[#This Row],[Broken Core (m)]]+Data_Geotech[[#This Row],[Lost Core (m)]])*30,0),0)</f>
        <v>0</v>
      </c>
      <c r="AC260" s="135">
        <f>IF(Data_Geotech[[#This Row],[Added fractures 
(BC, FLT, LC)]]+Data_Geotech[[#This Row],[Fracture per interval]]=0,99,1/((Data_Geotech[[#This Row],[Fracture per interval]]+Data_Geotech[[#This Row],[Added fractures 
(BC, FLT, LC)]])/Data_Geotech[[#This Row],[Run (m)]]))</f>
        <v>99</v>
      </c>
      <c r="AD260" s="160" t="str" cm="1">
        <f t="array" ref="AD260">IFERROR(_xlfn.XLOOKUP(1,(A260=PLT!$A$4:$A$8886)*(Geotech!C260&lt;=PLT!$F$4:$F$8886)*(Geotech!D260&gt;=PLT!$F$4:$F$8886)*("Valid"=PLT!$P$4:$P$8886),PLT!$V$4:$V$8886),"")</f>
        <v/>
      </c>
      <c r="AE260" s="161" t="str" cm="1">
        <f t="array" ref="AE260">IFERROR(_xlfn.XLOOKUP(1,(A260=PLT!$A$4:$A$8886)*(Geotech!C260&lt;=PLT!$F$4:$F$8886)*(Geotech!D260&gt;=PLT!$F$4:$F$8886)*(PLT!$V$4:$V$8886&lt;&gt;AD260)*("Valid"=PLT!$P$4:$P$7190),PLT!$V$4:$V$8886),"")</f>
        <v/>
      </c>
      <c r="AF260" s="161" t="str" cm="1">
        <f t="array" ref="AF260">IFERROR(_xlfn.XLOOKUP(1,(A260=PLT!$A$4:$A$8886)*(Geotech!C260&lt;=PLT!$F$4:$F$8886)*(Geotech!D260&gt;=PLT!$F$4:$F$8886)*(PLT!$V$4:$V$8886&lt;&gt;AD260)*(PLT!$V$4:$V$8886&lt;&gt;AE260)*("Valid"=PLT!$P$4:$P$7190),PLT!$V$4:$V$8886),"")</f>
        <v/>
      </c>
      <c r="AG260" s="162" t="str">
        <f>IFERROR(IF(AVERAGE(AD260:AF260)&gt;References!$BO$23,References!$BP$23,
IF(AVERAGE(AD260:AF260)&gt;References!$BO$22,References!$BP$22,
IF(AVERAGE(AD260:AF260)&gt;References!$BO$21,References!$BP$21,
IF(AVERAGE(AD260:AF260)&gt;References!$BO$20,References!$BP$20,
IF(AVERAGE(AD260:AF260)&gt;References!$BO$19,References!$BP$19,
IF(AVERAGE(AD260:AF260)&gt;References!$BO$18,References!$BP$18,
0)))))),"")</f>
        <v/>
      </c>
      <c r="AH260" s="163" t="e">
        <f>VLOOKUP(Data_Geotech[[#This Row],[Field Intact Rock Strength]],Table_RMR76_Strength[],2,FALSE)</f>
        <v>#N/A</v>
      </c>
      <c r="AI260" s="163" t="e">
        <f>IF(Data_Geotech[[#This Row],[RQD (%)]]&lt;=25,3,IF(Data_Geotech[[#This Row],[RQD (%)]]&lt;=50,8,IF(Data_Geotech[[#This Row],[RQD (%)]]&lt;=75,13,IF(Data_Geotech[[#This Row],[RQD (%)]]&lt;=90,17,20))))</f>
        <v>#DIV/0!</v>
      </c>
      <c r="AJ260" s="136">
        <f>IF(Data_Geotech[[#This Row],[Joint spacing (m)]]&lt;=0.05,5,IF(Data_Geotech[[#This Row],[Joint spacing (m)]]&lt;=0.3,10,IF(Data_Geotech[[#This Row],[Joint spacing (m)]]&lt;=1,20,IF(Data_Geotech[[#This Row],[Joint spacing (m)]]&lt;=3,25,30))))</f>
        <v>30</v>
      </c>
      <c r="AK26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0" s="6"/>
      <c r="AM260" s="137" t="str">
        <f>IF(Data_Geotech[[#This Row],[FIRS Code]]="R",IFERROR(SUM(Data_Geotech[[#This Row],[RMR76 - Strength rating]:[RMR76 - Ground water rating]]),""),"")</f>
        <v/>
      </c>
      <c r="AN260" s="164" t="str">
        <f>IF(Data_Geotech[[#This Row],[FIRS Code]]="R",(2*Data_Geotech[[#This Row],[RMR76 - Joint condition rating]])+(IF(Data_Geotech[[#This Row],[RQD (%)]]&gt;80,80/2,Data_Geotech[[#This Row],[RQD (%)]]/2)),"")</f>
        <v/>
      </c>
      <c r="AO260" s="136" t="e">
        <f>LEFT(Data_Geotech[[#This Row],[Joint Set Rating]],FIND("-",Data_Geotech[[#This Row],[Joint Set Rating]],1)-2)</f>
        <v>#VALUE!</v>
      </c>
      <c r="AP26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0" s="143">
        <f t="shared" si="4"/>
        <v>1</v>
      </c>
      <c r="AR260" s="165" t="str">
        <f>IF(Data_Geotech[[#This Row],[FIRS Code]]="R",IFERROR((IF(Data_Geotech[[#This Row],[RQD (%)]]&lt;10,10,Data_Geotech[[#This Row],[RQD (%)]])/Data_Geotech[[#This Row],[Jn rating]])*Data_Geotech[[#This Row],[Jr/Ja]],""),"")</f>
        <v/>
      </c>
      <c r="AS260" s="138" t="str">
        <f>IF(Data_Geotech[[#This Row],[FIRS Code]]="R",IFERROR((IF(Data_Geotech[[#This Row],[RQD (%)]]&lt;10,10,Data_Geotech[[#This Row],[RQD (%)]])/Data_Geotech[[#This Row],[Jn rating]])*Data_Geotech[[#This Row],[Jr/Ja]]*Data_Geotech[[#This Row],[Jw/SRF]],""),"")</f>
        <v/>
      </c>
      <c r="AT260" s="12"/>
      <c r="AU260" s="13" t="e">
        <f>100-Data_Geotech[[#This Row],[RQD (%)]]</f>
        <v>#DIV/0!</v>
      </c>
      <c r="AV260" s="13" t="e">
        <f>100-Data_Geotech[[#This Row],[TCR (%)]]</f>
        <v>#DIV/0!</v>
      </c>
      <c r="AW260" s="62" t="e">
        <f>(Data_Geotech[[#This Row],[Fracture per interval]]+Data_Geotech[[#This Row],[Added fractures 
(BC, FLT, LC)]])/Data_Geotech[[#This Row],[TCR (m)]]</f>
        <v>#DIV/0!</v>
      </c>
      <c r="AX260" s="62" t="str">
        <f>MID(Data_Geotech[[#This Row],[Field Intact Rock Strength]],2,1)</f>
        <v/>
      </c>
      <c r="AY260" s="63" t="e">
        <f>7-MID(Data_Geotech[[#This Row],[Field Intact Rock Strength]],2,1)</f>
        <v>#VALUE!</v>
      </c>
      <c r="AZ260" s="63" t="e">
        <f>VLOOKUP(Data_Geotech[[#This Row],[Field Intact Rock Strength]],Table_FieldStrength[],2,FALSE)</f>
        <v>#N/A</v>
      </c>
      <c r="BA260" s="63" t="e">
        <f>VLOOKUP(Data_Geotech[[#This Row],[Field Intact Rock Strength]],Table_FieldStrength[],3,FALSE)</f>
        <v>#N/A</v>
      </c>
      <c r="BB260" s="63" t="e">
        <f>VLOOKUP(Data_Geotech[[#This Row],[Field Intact Rock Strength]],Table_FieldStrength[],4,FALSE)</f>
        <v>#N/A</v>
      </c>
      <c r="BC260" s="63" t="e">
        <f>100-Data_Geotech[[#This Row],[RMR76]]</f>
        <v>#VALUE!</v>
      </c>
      <c r="BD260" s="63" t="e">
        <f>LEFT(Data_Geotech[[#This Row],[Weathering/Alteration]],FIND("-",Data_Geotech[[#This Row],[Weathering/Alteration]])-2)</f>
        <v>#VALUE!</v>
      </c>
    </row>
    <row r="261" spans="2:56" hidden="1" x14ac:dyDescent="0.25">
      <c r="B261" s="16" t="e">
        <f>VLOOKUP(Data_Geotech[[#This Row],[Hole ID]],Data_Log[],2,FALSE)</f>
        <v>#N/A</v>
      </c>
      <c r="C261" s="5"/>
      <c r="D261" s="5"/>
      <c r="E261" s="5">
        <f>(Data_Geotech[[#This Row],[To (m)]]-Data_Geotech[[#This Row],[From (m)]])/2+Data_Geotech[[#This Row],[From (m)]]</f>
        <v>0</v>
      </c>
      <c r="F261" s="13">
        <f>Data_Geotech[[#This Row],[To (m)]]-Data_Geotech[[#This Row],[From (m)]]</f>
        <v>0</v>
      </c>
      <c r="G261" s="5"/>
      <c r="H261" s="61" t="e">
        <f>Data_Geotech[[#This Row],[TCR (m)]]/Data_Geotech[[#This Row],[Run (m)]]*100</f>
        <v>#DIV/0!</v>
      </c>
      <c r="I261" s="151"/>
      <c r="J261" s="151"/>
      <c r="K261" s="5"/>
      <c r="L261" s="61" t="e">
        <f>Data_Geotech[[#This Row],[RQD (m)]]/Data_Geotech[[#This Row],[Run Reel (m)]]*100</f>
        <v>#DIV/0!</v>
      </c>
      <c r="P261" s="115"/>
      <c r="Q261" s="5"/>
      <c r="R261" s="5"/>
      <c r="S261" s="5"/>
      <c r="T261" s="5"/>
      <c r="U261" s="5"/>
      <c r="V261" s="6"/>
      <c r="W261" s="92">
        <f>SUMIFS(Discontinuities!$D$4:$D$9664,Discontinuities!$A$4:$A$9664,A261,Discontinuities!$C$4:$C$9664,"&gt;="&amp;C261,Discontinuities!$C$4:$C$9664,"&lt;"&amp;D261)
-SUMIFS(Discontinuities!$D$4:$D$9664,Discontinuities!$A$4:$A$9664,A261,Discontinuities!$C$4:$C$9664,"&gt;="&amp;C261,Discontinuities!$C$4:$C$9664,"&lt;"&amp;D261,Discontinuities!$E$4:$E$9664,"=BC")
-SUMIFS(Discontinuities!$D$4:$D$9664,Discontinuities!$A$4:$A$9664,A261,Discontinuities!$C$4:$C$9664,"&gt;="&amp;C261,Discontinuities!$C$4:$C$9664,"&lt;"&amp;D261,Discontinuities!$E$4:$E$9664,"=LC")
-SUMIFS(Discontinuities!$D$4:$D$9664,Discontinuities!$A$4:$A$9664,A261,Discontinuities!$C$4:$C$9664,"&gt;="&amp;C261,Discontinuities!$C$4:$C$9664,"&lt;"&amp;D261,Discontinuities!$E$4:$E$9664,"=FLT")</f>
        <v>0</v>
      </c>
      <c r="AA261" s="132"/>
      <c r="AB261" s="159">
        <f>IFERROR(ROUND((Data_Geotech[[#This Row],[Fault (m)]]+Data_Geotech[[#This Row],[Broken Core (m)]]+Data_Geotech[[#This Row],[Lost Core (m)]])*30,0),0)</f>
        <v>0</v>
      </c>
      <c r="AC261" s="135">
        <f>IF(Data_Geotech[[#This Row],[Added fractures 
(BC, FLT, LC)]]+Data_Geotech[[#This Row],[Fracture per interval]]=0,99,1/((Data_Geotech[[#This Row],[Fracture per interval]]+Data_Geotech[[#This Row],[Added fractures 
(BC, FLT, LC)]])/Data_Geotech[[#This Row],[Run (m)]]))</f>
        <v>99</v>
      </c>
      <c r="AD261" s="160" t="str" cm="1">
        <f t="array" ref="AD261">IFERROR(_xlfn.XLOOKUP(1,(A261=PLT!$A$4:$A$8886)*(Geotech!C261&lt;=PLT!$F$4:$F$8886)*(Geotech!D261&gt;=PLT!$F$4:$F$8886)*("Valid"=PLT!$P$4:$P$8886),PLT!$V$4:$V$8886),"")</f>
        <v/>
      </c>
      <c r="AE261" s="161" t="str" cm="1">
        <f t="array" ref="AE261">IFERROR(_xlfn.XLOOKUP(1,(A261=PLT!$A$4:$A$8886)*(Geotech!C261&lt;=PLT!$F$4:$F$8886)*(Geotech!D261&gt;=PLT!$F$4:$F$8886)*(PLT!$V$4:$V$8886&lt;&gt;AD261)*("Valid"=PLT!$P$4:$P$7190),PLT!$V$4:$V$8886),"")</f>
        <v/>
      </c>
      <c r="AF261" s="161" t="str" cm="1">
        <f t="array" ref="AF261">IFERROR(_xlfn.XLOOKUP(1,(A261=PLT!$A$4:$A$8886)*(Geotech!C261&lt;=PLT!$F$4:$F$8886)*(Geotech!D261&gt;=PLT!$F$4:$F$8886)*(PLT!$V$4:$V$8886&lt;&gt;AD261)*(PLT!$V$4:$V$8886&lt;&gt;AE261)*("Valid"=PLT!$P$4:$P$7190),PLT!$V$4:$V$8886),"")</f>
        <v/>
      </c>
      <c r="AG261" s="162" t="str">
        <f>IFERROR(IF(AVERAGE(AD261:AF261)&gt;References!$BO$23,References!$BP$23,
IF(AVERAGE(AD261:AF261)&gt;References!$BO$22,References!$BP$22,
IF(AVERAGE(AD261:AF261)&gt;References!$BO$21,References!$BP$21,
IF(AVERAGE(AD261:AF261)&gt;References!$BO$20,References!$BP$20,
IF(AVERAGE(AD261:AF261)&gt;References!$BO$19,References!$BP$19,
IF(AVERAGE(AD261:AF261)&gt;References!$BO$18,References!$BP$18,
0)))))),"")</f>
        <v/>
      </c>
      <c r="AH261" s="163" t="e">
        <f>VLOOKUP(Data_Geotech[[#This Row],[Field Intact Rock Strength]],Table_RMR76_Strength[],2,FALSE)</f>
        <v>#N/A</v>
      </c>
      <c r="AI261" s="163" t="e">
        <f>IF(Data_Geotech[[#This Row],[RQD (%)]]&lt;=25,3,IF(Data_Geotech[[#This Row],[RQD (%)]]&lt;=50,8,IF(Data_Geotech[[#This Row],[RQD (%)]]&lt;=75,13,IF(Data_Geotech[[#This Row],[RQD (%)]]&lt;=90,17,20))))</f>
        <v>#DIV/0!</v>
      </c>
      <c r="AJ261" s="136">
        <f>IF(Data_Geotech[[#This Row],[Joint spacing (m)]]&lt;=0.05,5,IF(Data_Geotech[[#This Row],[Joint spacing (m)]]&lt;=0.3,10,IF(Data_Geotech[[#This Row],[Joint spacing (m)]]&lt;=1,20,IF(Data_Geotech[[#This Row],[Joint spacing (m)]]&lt;=3,25,30))))</f>
        <v>30</v>
      </c>
      <c r="AK26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1" s="6"/>
      <c r="AM261" s="137" t="str">
        <f>IF(Data_Geotech[[#This Row],[FIRS Code]]="R",IFERROR(SUM(Data_Geotech[[#This Row],[RMR76 - Strength rating]:[RMR76 - Ground water rating]]),""),"")</f>
        <v/>
      </c>
      <c r="AN261" s="164" t="str">
        <f>IF(Data_Geotech[[#This Row],[FIRS Code]]="R",(2*Data_Geotech[[#This Row],[RMR76 - Joint condition rating]])+(IF(Data_Geotech[[#This Row],[RQD (%)]]&gt;80,80/2,Data_Geotech[[#This Row],[RQD (%)]]/2)),"")</f>
        <v/>
      </c>
      <c r="AO261" s="136" t="e">
        <f>LEFT(Data_Geotech[[#This Row],[Joint Set Rating]],FIND("-",Data_Geotech[[#This Row],[Joint Set Rating]],1)-2)</f>
        <v>#VALUE!</v>
      </c>
      <c r="AP26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1" s="143">
        <f t="shared" si="4"/>
        <v>1</v>
      </c>
      <c r="AR261" s="165" t="str">
        <f>IF(Data_Geotech[[#This Row],[FIRS Code]]="R",IFERROR((IF(Data_Geotech[[#This Row],[RQD (%)]]&lt;10,10,Data_Geotech[[#This Row],[RQD (%)]])/Data_Geotech[[#This Row],[Jn rating]])*Data_Geotech[[#This Row],[Jr/Ja]],""),"")</f>
        <v/>
      </c>
      <c r="AS261" s="138" t="str">
        <f>IF(Data_Geotech[[#This Row],[FIRS Code]]="R",IFERROR((IF(Data_Geotech[[#This Row],[RQD (%)]]&lt;10,10,Data_Geotech[[#This Row],[RQD (%)]])/Data_Geotech[[#This Row],[Jn rating]])*Data_Geotech[[#This Row],[Jr/Ja]]*Data_Geotech[[#This Row],[Jw/SRF]],""),"")</f>
        <v/>
      </c>
      <c r="AT261" s="12"/>
      <c r="AU261" s="13" t="e">
        <f>100-Data_Geotech[[#This Row],[RQD (%)]]</f>
        <v>#DIV/0!</v>
      </c>
      <c r="AV261" s="13" t="e">
        <f>100-Data_Geotech[[#This Row],[TCR (%)]]</f>
        <v>#DIV/0!</v>
      </c>
      <c r="AW261" s="62" t="e">
        <f>(Data_Geotech[[#This Row],[Fracture per interval]]+Data_Geotech[[#This Row],[Added fractures 
(BC, FLT, LC)]])/Data_Geotech[[#This Row],[TCR (m)]]</f>
        <v>#DIV/0!</v>
      </c>
      <c r="AX261" s="62" t="str">
        <f>MID(Data_Geotech[[#This Row],[Field Intact Rock Strength]],2,1)</f>
        <v/>
      </c>
      <c r="AY261" s="63" t="e">
        <f>7-MID(Data_Geotech[[#This Row],[Field Intact Rock Strength]],2,1)</f>
        <v>#VALUE!</v>
      </c>
      <c r="AZ261" s="63" t="e">
        <f>VLOOKUP(Data_Geotech[[#This Row],[Field Intact Rock Strength]],Table_FieldStrength[],2,FALSE)</f>
        <v>#N/A</v>
      </c>
      <c r="BA261" s="63" t="e">
        <f>VLOOKUP(Data_Geotech[[#This Row],[Field Intact Rock Strength]],Table_FieldStrength[],3,FALSE)</f>
        <v>#N/A</v>
      </c>
      <c r="BB261" s="63" t="e">
        <f>VLOOKUP(Data_Geotech[[#This Row],[Field Intact Rock Strength]],Table_FieldStrength[],4,FALSE)</f>
        <v>#N/A</v>
      </c>
      <c r="BC261" s="63" t="e">
        <f>100-Data_Geotech[[#This Row],[RMR76]]</f>
        <v>#VALUE!</v>
      </c>
      <c r="BD261" s="63" t="e">
        <f>LEFT(Data_Geotech[[#This Row],[Weathering/Alteration]],FIND("-",Data_Geotech[[#This Row],[Weathering/Alteration]])-2)</f>
        <v>#VALUE!</v>
      </c>
    </row>
    <row r="262" spans="2:56" hidden="1" x14ac:dyDescent="0.25">
      <c r="B262" s="16" t="e">
        <f>VLOOKUP(Data_Geotech[[#This Row],[Hole ID]],Data_Log[],2,FALSE)</f>
        <v>#N/A</v>
      </c>
      <c r="C262" s="5"/>
      <c r="D262" s="5"/>
      <c r="E262" s="5">
        <f>(Data_Geotech[[#This Row],[To (m)]]-Data_Geotech[[#This Row],[From (m)]])/2+Data_Geotech[[#This Row],[From (m)]]</f>
        <v>0</v>
      </c>
      <c r="F262" s="13">
        <f>Data_Geotech[[#This Row],[To (m)]]-Data_Geotech[[#This Row],[From (m)]]</f>
        <v>0</v>
      </c>
      <c r="G262" s="5"/>
      <c r="H262" s="61" t="e">
        <f>Data_Geotech[[#This Row],[TCR (m)]]/Data_Geotech[[#This Row],[Run (m)]]*100</f>
        <v>#DIV/0!</v>
      </c>
      <c r="I262" s="151"/>
      <c r="J262" s="151"/>
      <c r="K262" s="5"/>
      <c r="L262" s="61" t="e">
        <f>Data_Geotech[[#This Row],[RQD (m)]]/Data_Geotech[[#This Row],[Run Reel (m)]]*100</f>
        <v>#DIV/0!</v>
      </c>
      <c r="P262" s="115"/>
      <c r="Q262" s="5"/>
      <c r="R262" s="5"/>
      <c r="S262" s="5"/>
      <c r="T262" s="5"/>
      <c r="U262" s="5"/>
      <c r="V262" s="6"/>
      <c r="W262" s="92">
        <f>SUMIFS(Discontinuities!$D$4:$D$9664,Discontinuities!$A$4:$A$9664,A262,Discontinuities!$C$4:$C$9664,"&gt;="&amp;C262,Discontinuities!$C$4:$C$9664,"&lt;"&amp;D262)
-SUMIFS(Discontinuities!$D$4:$D$9664,Discontinuities!$A$4:$A$9664,A262,Discontinuities!$C$4:$C$9664,"&gt;="&amp;C262,Discontinuities!$C$4:$C$9664,"&lt;"&amp;D262,Discontinuities!$E$4:$E$9664,"=BC")
-SUMIFS(Discontinuities!$D$4:$D$9664,Discontinuities!$A$4:$A$9664,A262,Discontinuities!$C$4:$C$9664,"&gt;="&amp;C262,Discontinuities!$C$4:$C$9664,"&lt;"&amp;D262,Discontinuities!$E$4:$E$9664,"=LC")
-SUMIFS(Discontinuities!$D$4:$D$9664,Discontinuities!$A$4:$A$9664,A262,Discontinuities!$C$4:$C$9664,"&gt;="&amp;C262,Discontinuities!$C$4:$C$9664,"&lt;"&amp;D262,Discontinuities!$E$4:$E$9664,"=FLT")</f>
        <v>0</v>
      </c>
      <c r="AA262" s="132"/>
      <c r="AB262" s="159">
        <f>IFERROR(ROUND((Data_Geotech[[#This Row],[Fault (m)]]+Data_Geotech[[#This Row],[Broken Core (m)]]+Data_Geotech[[#This Row],[Lost Core (m)]])*30,0),0)</f>
        <v>0</v>
      </c>
      <c r="AC262" s="135">
        <f>IF(Data_Geotech[[#This Row],[Added fractures 
(BC, FLT, LC)]]+Data_Geotech[[#This Row],[Fracture per interval]]=0,99,1/((Data_Geotech[[#This Row],[Fracture per interval]]+Data_Geotech[[#This Row],[Added fractures 
(BC, FLT, LC)]])/Data_Geotech[[#This Row],[Run (m)]]))</f>
        <v>99</v>
      </c>
      <c r="AD262" s="160" t="str" cm="1">
        <f t="array" ref="AD262">IFERROR(_xlfn.XLOOKUP(1,(A262=PLT!$A$4:$A$8886)*(Geotech!C262&lt;=PLT!$F$4:$F$8886)*(Geotech!D262&gt;=PLT!$F$4:$F$8886)*("Valid"=PLT!$P$4:$P$8886),PLT!$V$4:$V$8886),"")</f>
        <v/>
      </c>
      <c r="AE262" s="161" t="str" cm="1">
        <f t="array" ref="AE262">IFERROR(_xlfn.XLOOKUP(1,(A262=PLT!$A$4:$A$8886)*(Geotech!C262&lt;=PLT!$F$4:$F$8886)*(Geotech!D262&gt;=PLT!$F$4:$F$8886)*(PLT!$V$4:$V$8886&lt;&gt;AD262)*("Valid"=PLT!$P$4:$P$7190),PLT!$V$4:$V$8886),"")</f>
        <v/>
      </c>
      <c r="AF262" s="161" t="str" cm="1">
        <f t="array" ref="AF262">IFERROR(_xlfn.XLOOKUP(1,(A262=PLT!$A$4:$A$8886)*(Geotech!C262&lt;=PLT!$F$4:$F$8886)*(Geotech!D262&gt;=PLT!$F$4:$F$8886)*(PLT!$V$4:$V$8886&lt;&gt;AD262)*(PLT!$V$4:$V$8886&lt;&gt;AE262)*("Valid"=PLT!$P$4:$P$7190),PLT!$V$4:$V$8886),"")</f>
        <v/>
      </c>
      <c r="AG262" s="162" t="str">
        <f>IFERROR(IF(AVERAGE(AD262:AF262)&gt;References!$BO$23,References!$BP$23,
IF(AVERAGE(AD262:AF262)&gt;References!$BO$22,References!$BP$22,
IF(AVERAGE(AD262:AF262)&gt;References!$BO$21,References!$BP$21,
IF(AVERAGE(AD262:AF262)&gt;References!$BO$20,References!$BP$20,
IF(AVERAGE(AD262:AF262)&gt;References!$BO$19,References!$BP$19,
IF(AVERAGE(AD262:AF262)&gt;References!$BO$18,References!$BP$18,
0)))))),"")</f>
        <v/>
      </c>
      <c r="AH262" s="163" t="e">
        <f>VLOOKUP(Data_Geotech[[#This Row],[Field Intact Rock Strength]],Table_RMR76_Strength[],2,FALSE)</f>
        <v>#N/A</v>
      </c>
      <c r="AI262" s="163" t="e">
        <f>IF(Data_Geotech[[#This Row],[RQD (%)]]&lt;=25,3,IF(Data_Geotech[[#This Row],[RQD (%)]]&lt;=50,8,IF(Data_Geotech[[#This Row],[RQD (%)]]&lt;=75,13,IF(Data_Geotech[[#This Row],[RQD (%)]]&lt;=90,17,20))))</f>
        <v>#DIV/0!</v>
      </c>
      <c r="AJ262" s="136">
        <f>IF(Data_Geotech[[#This Row],[Joint spacing (m)]]&lt;=0.05,5,IF(Data_Geotech[[#This Row],[Joint spacing (m)]]&lt;=0.3,10,IF(Data_Geotech[[#This Row],[Joint spacing (m)]]&lt;=1,20,IF(Data_Geotech[[#This Row],[Joint spacing (m)]]&lt;=3,25,30))))</f>
        <v>30</v>
      </c>
      <c r="AK26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2" s="6"/>
      <c r="AM262" s="137" t="str">
        <f>IF(Data_Geotech[[#This Row],[FIRS Code]]="R",IFERROR(SUM(Data_Geotech[[#This Row],[RMR76 - Strength rating]:[RMR76 - Ground water rating]]),""),"")</f>
        <v/>
      </c>
      <c r="AN262" s="164" t="str">
        <f>IF(Data_Geotech[[#This Row],[FIRS Code]]="R",(2*Data_Geotech[[#This Row],[RMR76 - Joint condition rating]])+(IF(Data_Geotech[[#This Row],[RQD (%)]]&gt;80,80/2,Data_Geotech[[#This Row],[RQD (%)]]/2)),"")</f>
        <v/>
      </c>
      <c r="AO262" s="136" t="e">
        <f>LEFT(Data_Geotech[[#This Row],[Joint Set Rating]],FIND("-",Data_Geotech[[#This Row],[Joint Set Rating]],1)-2)</f>
        <v>#VALUE!</v>
      </c>
      <c r="AP26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2" s="143">
        <f t="shared" si="4"/>
        <v>1</v>
      </c>
      <c r="AR262" s="165" t="str">
        <f>IF(Data_Geotech[[#This Row],[FIRS Code]]="R",IFERROR((IF(Data_Geotech[[#This Row],[RQD (%)]]&lt;10,10,Data_Geotech[[#This Row],[RQD (%)]])/Data_Geotech[[#This Row],[Jn rating]])*Data_Geotech[[#This Row],[Jr/Ja]],""),"")</f>
        <v/>
      </c>
      <c r="AS262" s="138" t="str">
        <f>IF(Data_Geotech[[#This Row],[FIRS Code]]="R",IFERROR((IF(Data_Geotech[[#This Row],[RQD (%)]]&lt;10,10,Data_Geotech[[#This Row],[RQD (%)]])/Data_Geotech[[#This Row],[Jn rating]])*Data_Geotech[[#This Row],[Jr/Ja]]*Data_Geotech[[#This Row],[Jw/SRF]],""),"")</f>
        <v/>
      </c>
      <c r="AT262" s="12"/>
      <c r="AU262" s="13" t="e">
        <f>100-Data_Geotech[[#This Row],[RQD (%)]]</f>
        <v>#DIV/0!</v>
      </c>
      <c r="AV262" s="13" t="e">
        <f>100-Data_Geotech[[#This Row],[TCR (%)]]</f>
        <v>#DIV/0!</v>
      </c>
      <c r="AW262" s="62" t="e">
        <f>(Data_Geotech[[#This Row],[Fracture per interval]]+Data_Geotech[[#This Row],[Added fractures 
(BC, FLT, LC)]])/Data_Geotech[[#This Row],[TCR (m)]]</f>
        <v>#DIV/0!</v>
      </c>
      <c r="AX262" s="62" t="str">
        <f>MID(Data_Geotech[[#This Row],[Field Intact Rock Strength]],2,1)</f>
        <v/>
      </c>
      <c r="AY262" s="63" t="e">
        <f>7-MID(Data_Geotech[[#This Row],[Field Intact Rock Strength]],2,1)</f>
        <v>#VALUE!</v>
      </c>
      <c r="AZ262" s="63" t="e">
        <f>VLOOKUP(Data_Geotech[[#This Row],[Field Intact Rock Strength]],Table_FieldStrength[],2,FALSE)</f>
        <v>#N/A</v>
      </c>
      <c r="BA262" s="63" t="e">
        <f>VLOOKUP(Data_Geotech[[#This Row],[Field Intact Rock Strength]],Table_FieldStrength[],3,FALSE)</f>
        <v>#N/A</v>
      </c>
      <c r="BB262" s="63" t="e">
        <f>VLOOKUP(Data_Geotech[[#This Row],[Field Intact Rock Strength]],Table_FieldStrength[],4,FALSE)</f>
        <v>#N/A</v>
      </c>
      <c r="BC262" s="63" t="e">
        <f>100-Data_Geotech[[#This Row],[RMR76]]</f>
        <v>#VALUE!</v>
      </c>
      <c r="BD262" s="63" t="e">
        <f>LEFT(Data_Geotech[[#This Row],[Weathering/Alteration]],FIND("-",Data_Geotech[[#This Row],[Weathering/Alteration]])-2)</f>
        <v>#VALUE!</v>
      </c>
    </row>
    <row r="263" spans="2:56" hidden="1" x14ac:dyDescent="0.25">
      <c r="B263" s="16" t="e">
        <f>VLOOKUP(Data_Geotech[[#This Row],[Hole ID]],Data_Log[],2,FALSE)</f>
        <v>#N/A</v>
      </c>
      <c r="C263" s="5"/>
      <c r="D263" s="5"/>
      <c r="E263" s="5">
        <f>(Data_Geotech[[#This Row],[To (m)]]-Data_Geotech[[#This Row],[From (m)]])/2+Data_Geotech[[#This Row],[From (m)]]</f>
        <v>0</v>
      </c>
      <c r="F263" s="13">
        <f>Data_Geotech[[#This Row],[To (m)]]-Data_Geotech[[#This Row],[From (m)]]</f>
        <v>0</v>
      </c>
      <c r="G263" s="5"/>
      <c r="H263" s="61" t="e">
        <f>Data_Geotech[[#This Row],[TCR (m)]]/Data_Geotech[[#This Row],[Run (m)]]*100</f>
        <v>#DIV/0!</v>
      </c>
      <c r="I263" s="151"/>
      <c r="J263" s="151"/>
      <c r="K263" s="5"/>
      <c r="L263" s="61" t="e">
        <f>Data_Geotech[[#This Row],[RQD (m)]]/Data_Geotech[[#This Row],[Run Reel (m)]]*100</f>
        <v>#DIV/0!</v>
      </c>
      <c r="P263" s="115"/>
      <c r="Q263" s="5"/>
      <c r="R263" s="5"/>
      <c r="S263" s="5"/>
      <c r="T263" s="5"/>
      <c r="U263" s="5"/>
      <c r="V263" s="6"/>
      <c r="W263" s="92">
        <f>SUMIFS(Discontinuities!$D$4:$D$9664,Discontinuities!$A$4:$A$9664,A263,Discontinuities!$C$4:$C$9664,"&gt;="&amp;C263,Discontinuities!$C$4:$C$9664,"&lt;"&amp;D263)
-SUMIFS(Discontinuities!$D$4:$D$9664,Discontinuities!$A$4:$A$9664,A263,Discontinuities!$C$4:$C$9664,"&gt;="&amp;C263,Discontinuities!$C$4:$C$9664,"&lt;"&amp;D263,Discontinuities!$E$4:$E$9664,"=BC")
-SUMIFS(Discontinuities!$D$4:$D$9664,Discontinuities!$A$4:$A$9664,A263,Discontinuities!$C$4:$C$9664,"&gt;="&amp;C263,Discontinuities!$C$4:$C$9664,"&lt;"&amp;D263,Discontinuities!$E$4:$E$9664,"=LC")
-SUMIFS(Discontinuities!$D$4:$D$9664,Discontinuities!$A$4:$A$9664,A263,Discontinuities!$C$4:$C$9664,"&gt;="&amp;C263,Discontinuities!$C$4:$C$9664,"&lt;"&amp;D263,Discontinuities!$E$4:$E$9664,"=FLT")</f>
        <v>0</v>
      </c>
      <c r="AA263" s="132"/>
      <c r="AB263" s="159">
        <f>IFERROR(ROUND((Data_Geotech[[#This Row],[Fault (m)]]+Data_Geotech[[#This Row],[Broken Core (m)]]+Data_Geotech[[#This Row],[Lost Core (m)]])*30,0),0)</f>
        <v>0</v>
      </c>
      <c r="AC263" s="135">
        <f>IF(Data_Geotech[[#This Row],[Added fractures 
(BC, FLT, LC)]]+Data_Geotech[[#This Row],[Fracture per interval]]=0,99,1/((Data_Geotech[[#This Row],[Fracture per interval]]+Data_Geotech[[#This Row],[Added fractures 
(BC, FLT, LC)]])/Data_Geotech[[#This Row],[Run (m)]]))</f>
        <v>99</v>
      </c>
      <c r="AD263" s="160" t="str" cm="1">
        <f t="array" ref="AD263">IFERROR(_xlfn.XLOOKUP(1,(A263=PLT!$A$4:$A$8886)*(Geotech!C263&lt;=PLT!$F$4:$F$8886)*(Geotech!D263&gt;=PLT!$F$4:$F$8886)*("Valid"=PLT!$P$4:$P$8886),PLT!$V$4:$V$8886),"")</f>
        <v/>
      </c>
      <c r="AE263" s="161" t="str" cm="1">
        <f t="array" ref="AE263">IFERROR(_xlfn.XLOOKUP(1,(A263=PLT!$A$4:$A$8886)*(Geotech!C263&lt;=PLT!$F$4:$F$8886)*(Geotech!D263&gt;=PLT!$F$4:$F$8886)*(PLT!$V$4:$V$8886&lt;&gt;AD263)*("Valid"=PLT!$P$4:$P$7190),PLT!$V$4:$V$8886),"")</f>
        <v/>
      </c>
      <c r="AF263" s="161" t="str" cm="1">
        <f t="array" ref="AF263">IFERROR(_xlfn.XLOOKUP(1,(A263=PLT!$A$4:$A$8886)*(Geotech!C263&lt;=PLT!$F$4:$F$8886)*(Geotech!D263&gt;=PLT!$F$4:$F$8886)*(PLT!$V$4:$V$8886&lt;&gt;AD263)*(PLT!$V$4:$V$8886&lt;&gt;AE263)*("Valid"=PLT!$P$4:$P$7190),PLT!$V$4:$V$8886),"")</f>
        <v/>
      </c>
      <c r="AG263" s="162" t="str">
        <f>IFERROR(IF(AVERAGE(AD263:AF263)&gt;References!$BO$23,References!$BP$23,
IF(AVERAGE(AD263:AF263)&gt;References!$BO$22,References!$BP$22,
IF(AVERAGE(AD263:AF263)&gt;References!$BO$21,References!$BP$21,
IF(AVERAGE(AD263:AF263)&gt;References!$BO$20,References!$BP$20,
IF(AVERAGE(AD263:AF263)&gt;References!$BO$19,References!$BP$19,
IF(AVERAGE(AD263:AF263)&gt;References!$BO$18,References!$BP$18,
0)))))),"")</f>
        <v/>
      </c>
      <c r="AH263" s="163" t="e">
        <f>VLOOKUP(Data_Geotech[[#This Row],[Field Intact Rock Strength]],Table_RMR76_Strength[],2,FALSE)</f>
        <v>#N/A</v>
      </c>
      <c r="AI263" s="163" t="e">
        <f>IF(Data_Geotech[[#This Row],[RQD (%)]]&lt;=25,3,IF(Data_Geotech[[#This Row],[RQD (%)]]&lt;=50,8,IF(Data_Geotech[[#This Row],[RQD (%)]]&lt;=75,13,IF(Data_Geotech[[#This Row],[RQD (%)]]&lt;=90,17,20))))</f>
        <v>#DIV/0!</v>
      </c>
      <c r="AJ263" s="136">
        <f>IF(Data_Geotech[[#This Row],[Joint spacing (m)]]&lt;=0.05,5,IF(Data_Geotech[[#This Row],[Joint spacing (m)]]&lt;=0.3,10,IF(Data_Geotech[[#This Row],[Joint spacing (m)]]&lt;=1,20,IF(Data_Geotech[[#This Row],[Joint spacing (m)]]&lt;=3,25,30))))</f>
        <v>30</v>
      </c>
      <c r="AK26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3" s="6"/>
      <c r="AM263" s="137" t="str">
        <f>IF(Data_Geotech[[#This Row],[FIRS Code]]="R",IFERROR(SUM(Data_Geotech[[#This Row],[RMR76 - Strength rating]:[RMR76 - Ground water rating]]),""),"")</f>
        <v/>
      </c>
      <c r="AN263" s="164" t="str">
        <f>IF(Data_Geotech[[#This Row],[FIRS Code]]="R",(2*Data_Geotech[[#This Row],[RMR76 - Joint condition rating]])+(IF(Data_Geotech[[#This Row],[RQD (%)]]&gt;80,80/2,Data_Geotech[[#This Row],[RQD (%)]]/2)),"")</f>
        <v/>
      </c>
      <c r="AO263" s="136" t="e">
        <f>LEFT(Data_Geotech[[#This Row],[Joint Set Rating]],FIND("-",Data_Geotech[[#This Row],[Joint Set Rating]],1)-2)</f>
        <v>#VALUE!</v>
      </c>
      <c r="AP26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3" s="143">
        <f t="shared" si="4"/>
        <v>1</v>
      </c>
      <c r="AR263" s="165" t="str">
        <f>IF(Data_Geotech[[#This Row],[FIRS Code]]="R",IFERROR((IF(Data_Geotech[[#This Row],[RQD (%)]]&lt;10,10,Data_Geotech[[#This Row],[RQD (%)]])/Data_Geotech[[#This Row],[Jn rating]])*Data_Geotech[[#This Row],[Jr/Ja]],""),"")</f>
        <v/>
      </c>
      <c r="AS263" s="138" t="str">
        <f>IF(Data_Geotech[[#This Row],[FIRS Code]]="R",IFERROR((IF(Data_Geotech[[#This Row],[RQD (%)]]&lt;10,10,Data_Geotech[[#This Row],[RQD (%)]])/Data_Geotech[[#This Row],[Jn rating]])*Data_Geotech[[#This Row],[Jr/Ja]]*Data_Geotech[[#This Row],[Jw/SRF]],""),"")</f>
        <v/>
      </c>
      <c r="AT263" s="12"/>
      <c r="AU263" s="13" t="e">
        <f>100-Data_Geotech[[#This Row],[RQD (%)]]</f>
        <v>#DIV/0!</v>
      </c>
      <c r="AV263" s="13" t="e">
        <f>100-Data_Geotech[[#This Row],[TCR (%)]]</f>
        <v>#DIV/0!</v>
      </c>
      <c r="AW263" s="62" t="e">
        <f>(Data_Geotech[[#This Row],[Fracture per interval]]+Data_Geotech[[#This Row],[Added fractures 
(BC, FLT, LC)]])/Data_Geotech[[#This Row],[TCR (m)]]</f>
        <v>#DIV/0!</v>
      </c>
      <c r="AX263" s="62" t="str">
        <f>MID(Data_Geotech[[#This Row],[Field Intact Rock Strength]],2,1)</f>
        <v/>
      </c>
      <c r="AY263" s="63" t="e">
        <f>7-MID(Data_Geotech[[#This Row],[Field Intact Rock Strength]],2,1)</f>
        <v>#VALUE!</v>
      </c>
      <c r="AZ263" s="63" t="e">
        <f>VLOOKUP(Data_Geotech[[#This Row],[Field Intact Rock Strength]],Table_FieldStrength[],2,FALSE)</f>
        <v>#N/A</v>
      </c>
      <c r="BA263" s="63" t="e">
        <f>VLOOKUP(Data_Geotech[[#This Row],[Field Intact Rock Strength]],Table_FieldStrength[],3,FALSE)</f>
        <v>#N/A</v>
      </c>
      <c r="BB263" s="63" t="e">
        <f>VLOOKUP(Data_Geotech[[#This Row],[Field Intact Rock Strength]],Table_FieldStrength[],4,FALSE)</f>
        <v>#N/A</v>
      </c>
      <c r="BC263" s="63" t="e">
        <f>100-Data_Geotech[[#This Row],[RMR76]]</f>
        <v>#VALUE!</v>
      </c>
      <c r="BD263" s="63" t="e">
        <f>LEFT(Data_Geotech[[#This Row],[Weathering/Alteration]],FIND("-",Data_Geotech[[#This Row],[Weathering/Alteration]])-2)</f>
        <v>#VALUE!</v>
      </c>
    </row>
    <row r="264" spans="2:56" hidden="1" x14ac:dyDescent="0.25">
      <c r="B264" s="16" t="e">
        <f>VLOOKUP(Data_Geotech[[#This Row],[Hole ID]],Data_Log[],2,FALSE)</f>
        <v>#N/A</v>
      </c>
      <c r="C264" s="5"/>
      <c r="D264" s="5"/>
      <c r="E264" s="5">
        <f>(Data_Geotech[[#This Row],[To (m)]]-Data_Geotech[[#This Row],[From (m)]])/2+Data_Geotech[[#This Row],[From (m)]]</f>
        <v>0</v>
      </c>
      <c r="F264" s="13">
        <f>Data_Geotech[[#This Row],[To (m)]]-Data_Geotech[[#This Row],[From (m)]]</f>
        <v>0</v>
      </c>
      <c r="G264" s="5"/>
      <c r="H264" s="61" t="e">
        <f>Data_Geotech[[#This Row],[TCR (m)]]/Data_Geotech[[#This Row],[Run (m)]]*100</f>
        <v>#DIV/0!</v>
      </c>
      <c r="I264" s="151"/>
      <c r="J264" s="151"/>
      <c r="K264" s="5"/>
      <c r="L264" s="61" t="e">
        <f>Data_Geotech[[#This Row],[RQD (m)]]/Data_Geotech[[#This Row],[Run Reel (m)]]*100</f>
        <v>#DIV/0!</v>
      </c>
      <c r="P264" s="115"/>
      <c r="Q264" s="5"/>
      <c r="R264" s="5"/>
      <c r="S264" s="5"/>
      <c r="T264" s="5"/>
      <c r="U264" s="5"/>
      <c r="V264" s="6"/>
      <c r="W264" s="92">
        <f>SUMIFS(Discontinuities!$D$4:$D$9664,Discontinuities!$A$4:$A$9664,A264,Discontinuities!$C$4:$C$9664,"&gt;="&amp;C264,Discontinuities!$C$4:$C$9664,"&lt;"&amp;D264)
-SUMIFS(Discontinuities!$D$4:$D$9664,Discontinuities!$A$4:$A$9664,A264,Discontinuities!$C$4:$C$9664,"&gt;="&amp;C264,Discontinuities!$C$4:$C$9664,"&lt;"&amp;D264,Discontinuities!$E$4:$E$9664,"=BC")
-SUMIFS(Discontinuities!$D$4:$D$9664,Discontinuities!$A$4:$A$9664,A264,Discontinuities!$C$4:$C$9664,"&gt;="&amp;C264,Discontinuities!$C$4:$C$9664,"&lt;"&amp;D264,Discontinuities!$E$4:$E$9664,"=LC")
-SUMIFS(Discontinuities!$D$4:$D$9664,Discontinuities!$A$4:$A$9664,A264,Discontinuities!$C$4:$C$9664,"&gt;="&amp;C264,Discontinuities!$C$4:$C$9664,"&lt;"&amp;D264,Discontinuities!$E$4:$E$9664,"=FLT")</f>
        <v>0</v>
      </c>
      <c r="AA264" s="132"/>
      <c r="AB264" s="159">
        <f>IFERROR(ROUND((Data_Geotech[[#This Row],[Fault (m)]]+Data_Geotech[[#This Row],[Broken Core (m)]]+Data_Geotech[[#This Row],[Lost Core (m)]])*30,0),0)</f>
        <v>0</v>
      </c>
      <c r="AC264" s="135">
        <f>IF(Data_Geotech[[#This Row],[Added fractures 
(BC, FLT, LC)]]+Data_Geotech[[#This Row],[Fracture per interval]]=0,99,1/((Data_Geotech[[#This Row],[Fracture per interval]]+Data_Geotech[[#This Row],[Added fractures 
(BC, FLT, LC)]])/Data_Geotech[[#This Row],[Run (m)]]))</f>
        <v>99</v>
      </c>
      <c r="AD264" s="160" t="str" cm="1">
        <f t="array" ref="AD264">IFERROR(_xlfn.XLOOKUP(1,(A264=PLT!$A$4:$A$8886)*(Geotech!C264&lt;=PLT!$F$4:$F$8886)*(Geotech!D264&gt;=PLT!$F$4:$F$8886)*("Valid"=PLT!$P$4:$P$8886),PLT!$V$4:$V$8886),"")</f>
        <v/>
      </c>
      <c r="AE264" s="161" t="str" cm="1">
        <f t="array" ref="AE264">IFERROR(_xlfn.XLOOKUP(1,(A264=PLT!$A$4:$A$8886)*(Geotech!C264&lt;=PLT!$F$4:$F$8886)*(Geotech!D264&gt;=PLT!$F$4:$F$8886)*(PLT!$V$4:$V$8886&lt;&gt;AD264)*("Valid"=PLT!$P$4:$P$7190),PLT!$V$4:$V$8886),"")</f>
        <v/>
      </c>
      <c r="AF264" s="161" t="str" cm="1">
        <f t="array" ref="AF264">IFERROR(_xlfn.XLOOKUP(1,(A264=PLT!$A$4:$A$8886)*(Geotech!C264&lt;=PLT!$F$4:$F$8886)*(Geotech!D264&gt;=PLT!$F$4:$F$8886)*(PLT!$V$4:$V$8886&lt;&gt;AD264)*(PLT!$V$4:$V$8886&lt;&gt;AE264)*("Valid"=PLT!$P$4:$P$7190),PLT!$V$4:$V$8886),"")</f>
        <v/>
      </c>
      <c r="AG264" s="162" t="str">
        <f>IFERROR(IF(AVERAGE(AD264:AF264)&gt;References!$BO$23,References!$BP$23,
IF(AVERAGE(AD264:AF264)&gt;References!$BO$22,References!$BP$22,
IF(AVERAGE(AD264:AF264)&gt;References!$BO$21,References!$BP$21,
IF(AVERAGE(AD264:AF264)&gt;References!$BO$20,References!$BP$20,
IF(AVERAGE(AD264:AF264)&gt;References!$BO$19,References!$BP$19,
IF(AVERAGE(AD264:AF264)&gt;References!$BO$18,References!$BP$18,
0)))))),"")</f>
        <v/>
      </c>
      <c r="AH264" s="163" t="e">
        <f>VLOOKUP(Data_Geotech[[#This Row],[Field Intact Rock Strength]],Table_RMR76_Strength[],2,FALSE)</f>
        <v>#N/A</v>
      </c>
      <c r="AI264" s="163" t="e">
        <f>IF(Data_Geotech[[#This Row],[RQD (%)]]&lt;=25,3,IF(Data_Geotech[[#This Row],[RQD (%)]]&lt;=50,8,IF(Data_Geotech[[#This Row],[RQD (%)]]&lt;=75,13,IF(Data_Geotech[[#This Row],[RQD (%)]]&lt;=90,17,20))))</f>
        <v>#DIV/0!</v>
      </c>
      <c r="AJ264" s="136">
        <f>IF(Data_Geotech[[#This Row],[Joint spacing (m)]]&lt;=0.05,5,IF(Data_Geotech[[#This Row],[Joint spacing (m)]]&lt;=0.3,10,IF(Data_Geotech[[#This Row],[Joint spacing (m)]]&lt;=1,20,IF(Data_Geotech[[#This Row],[Joint spacing (m)]]&lt;=3,25,30))))</f>
        <v>30</v>
      </c>
      <c r="AK26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4" s="6"/>
      <c r="AM264" s="137" t="str">
        <f>IF(Data_Geotech[[#This Row],[FIRS Code]]="R",IFERROR(SUM(Data_Geotech[[#This Row],[RMR76 - Strength rating]:[RMR76 - Ground water rating]]),""),"")</f>
        <v/>
      </c>
      <c r="AN264" s="164" t="str">
        <f>IF(Data_Geotech[[#This Row],[FIRS Code]]="R",(2*Data_Geotech[[#This Row],[RMR76 - Joint condition rating]])+(IF(Data_Geotech[[#This Row],[RQD (%)]]&gt;80,80/2,Data_Geotech[[#This Row],[RQD (%)]]/2)),"")</f>
        <v/>
      </c>
      <c r="AO264" s="136" t="e">
        <f>LEFT(Data_Geotech[[#This Row],[Joint Set Rating]],FIND("-",Data_Geotech[[#This Row],[Joint Set Rating]],1)-2)</f>
        <v>#VALUE!</v>
      </c>
      <c r="AP26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4" s="143">
        <f t="shared" si="4"/>
        <v>1</v>
      </c>
      <c r="AR264" s="165" t="str">
        <f>IF(Data_Geotech[[#This Row],[FIRS Code]]="R",IFERROR((IF(Data_Geotech[[#This Row],[RQD (%)]]&lt;10,10,Data_Geotech[[#This Row],[RQD (%)]])/Data_Geotech[[#This Row],[Jn rating]])*Data_Geotech[[#This Row],[Jr/Ja]],""),"")</f>
        <v/>
      </c>
      <c r="AS264" s="138" t="str">
        <f>IF(Data_Geotech[[#This Row],[FIRS Code]]="R",IFERROR((IF(Data_Geotech[[#This Row],[RQD (%)]]&lt;10,10,Data_Geotech[[#This Row],[RQD (%)]])/Data_Geotech[[#This Row],[Jn rating]])*Data_Geotech[[#This Row],[Jr/Ja]]*Data_Geotech[[#This Row],[Jw/SRF]],""),"")</f>
        <v/>
      </c>
      <c r="AT264" s="12"/>
      <c r="AU264" s="13" t="e">
        <f>100-Data_Geotech[[#This Row],[RQD (%)]]</f>
        <v>#DIV/0!</v>
      </c>
      <c r="AV264" s="13" t="e">
        <f>100-Data_Geotech[[#This Row],[TCR (%)]]</f>
        <v>#DIV/0!</v>
      </c>
      <c r="AW264" s="62" t="e">
        <f>(Data_Geotech[[#This Row],[Fracture per interval]]+Data_Geotech[[#This Row],[Added fractures 
(BC, FLT, LC)]])/Data_Geotech[[#This Row],[TCR (m)]]</f>
        <v>#DIV/0!</v>
      </c>
      <c r="AX264" s="62" t="str">
        <f>MID(Data_Geotech[[#This Row],[Field Intact Rock Strength]],2,1)</f>
        <v/>
      </c>
      <c r="AY264" s="63" t="e">
        <f>7-MID(Data_Geotech[[#This Row],[Field Intact Rock Strength]],2,1)</f>
        <v>#VALUE!</v>
      </c>
      <c r="AZ264" s="63" t="e">
        <f>VLOOKUP(Data_Geotech[[#This Row],[Field Intact Rock Strength]],Table_FieldStrength[],2,FALSE)</f>
        <v>#N/A</v>
      </c>
      <c r="BA264" s="63" t="e">
        <f>VLOOKUP(Data_Geotech[[#This Row],[Field Intact Rock Strength]],Table_FieldStrength[],3,FALSE)</f>
        <v>#N/A</v>
      </c>
      <c r="BB264" s="63" t="e">
        <f>VLOOKUP(Data_Geotech[[#This Row],[Field Intact Rock Strength]],Table_FieldStrength[],4,FALSE)</f>
        <v>#N/A</v>
      </c>
      <c r="BC264" s="63" t="e">
        <f>100-Data_Geotech[[#This Row],[RMR76]]</f>
        <v>#VALUE!</v>
      </c>
      <c r="BD264" s="63" t="e">
        <f>LEFT(Data_Geotech[[#This Row],[Weathering/Alteration]],FIND("-",Data_Geotech[[#This Row],[Weathering/Alteration]])-2)</f>
        <v>#VALUE!</v>
      </c>
    </row>
    <row r="265" spans="2:56" hidden="1" x14ac:dyDescent="0.25">
      <c r="B265" s="16" t="e">
        <f>VLOOKUP(Data_Geotech[[#This Row],[Hole ID]],Data_Log[],2,FALSE)</f>
        <v>#N/A</v>
      </c>
      <c r="C265" s="5"/>
      <c r="D265" s="5"/>
      <c r="E265" s="5">
        <f>(Data_Geotech[[#This Row],[To (m)]]-Data_Geotech[[#This Row],[From (m)]])/2+Data_Geotech[[#This Row],[From (m)]]</f>
        <v>0</v>
      </c>
      <c r="F265" s="13">
        <f>Data_Geotech[[#This Row],[To (m)]]-Data_Geotech[[#This Row],[From (m)]]</f>
        <v>0</v>
      </c>
      <c r="G265" s="5"/>
      <c r="H265" s="61" t="e">
        <f>Data_Geotech[[#This Row],[TCR (m)]]/Data_Geotech[[#This Row],[Run (m)]]*100</f>
        <v>#DIV/0!</v>
      </c>
      <c r="I265" s="151"/>
      <c r="J265" s="151"/>
      <c r="K265" s="5"/>
      <c r="L265" s="61" t="e">
        <f>Data_Geotech[[#This Row],[RQD (m)]]/Data_Geotech[[#This Row],[Run Reel (m)]]*100</f>
        <v>#DIV/0!</v>
      </c>
      <c r="P265" s="115"/>
      <c r="Q265" s="5"/>
      <c r="R265" s="5"/>
      <c r="S265" s="5"/>
      <c r="T265" s="5"/>
      <c r="U265" s="5"/>
      <c r="V265" s="6"/>
      <c r="W265" s="92">
        <f>SUMIFS(Discontinuities!$D$4:$D$9664,Discontinuities!$A$4:$A$9664,A265,Discontinuities!$C$4:$C$9664,"&gt;="&amp;C265,Discontinuities!$C$4:$C$9664,"&lt;"&amp;D265)
-SUMIFS(Discontinuities!$D$4:$D$9664,Discontinuities!$A$4:$A$9664,A265,Discontinuities!$C$4:$C$9664,"&gt;="&amp;C265,Discontinuities!$C$4:$C$9664,"&lt;"&amp;D265,Discontinuities!$E$4:$E$9664,"=BC")
-SUMIFS(Discontinuities!$D$4:$D$9664,Discontinuities!$A$4:$A$9664,A265,Discontinuities!$C$4:$C$9664,"&gt;="&amp;C265,Discontinuities!$C$4:$C$9664,"&lt;"&amp;D265,Discontinuities!$E$4:$E$9664,"=LC")
-SUMIFS(Discontinuities!$D$4:$D$9664,Discontinuities!$A$4:$A$9664,A265,Discontinuities!$C$4:$C$9664,"&gt;="&amp;C265,Discontinuities!$C$4:$C$9664,"&lt;"&amp;D265,Discontinuities!$E$4:$E$9664,"=FLT")</f>
        <v>0</v>
      </c>
      <c r="AA265" s="132"/>
      <c r="AB265" s="159">
        <f>IFERROR(ROUND((Data_Geotech[[#This Row],[Fault (m)]]+Data_Geotech[[#This Row],[Broken Core (m)]]+Data_Geotech[[#This Row],[Lost Core (m)]])*30,0),0)</f>
        <v>0</v>
      </c>
      <c r="AC265" s="135">
        <f>IF(Data_Geotech[[#This Row],[Added fractures 
(BC, FLT, LC)]]+Data_Geotech[[#This Row],[Fracture per interval]]=0,99,1/((Data_Geotech[[#This Row],[Fracture per interval]]+Data_Geotech[[#This Row],[Added fractures 
(BC, FLT, LC)]])/Data_Geotech[[#This Row],[Run (m)]]))</f>
        <v>99</v>
      </c>
      <c r="AD265" s="160" t="str" cm="1">
        <f t="array" ref="AD265">IFERROR(_xlfn.XLOOKUP(1,(A265=PLT!$A$4:$A$8886)*(Geotech!C265&lt;=PLT!$F$4:$F$8886)*(Geotech!D265&gt;=PLT!$F$4:$F$8886)*("Valid"=PLT!$P$4:$P$8886),PLT!$V$4:$V$8886),"")</f>
        <v/>
      </c>
      <c r="AE265" s="161" t="str" cm="1">
        <f t="array" ref="AE265">IFERROR(_xlfn.XLOOKUP(1,(A265=PLT!$A$4:$A$8886)*(Geotech!C265&lt;=PLT!$F$4:$F$8886)*(Geotech!D265&gt;=PLT!$F$4:$F$8886)*(PLT!$V$4:$V$8886&lt;&gt;AD265)*("Valid"=PLT!$P$4:$P$7190),PLT!$V$4:$V$8886),"")</f>
        <v/>
      </c>
      <c r="AF265" s="161" t="str" cm="1">
        <f t="array" ref="AF265">IFERROR(_xlfn.XLOOKUP(1,(A265=PLT!$A$4:$A$8886)*(Geotech!C265&lt;=PLT!$F$4:$F$8886)*(Geotech!D265&gt;=PLT!$F$4:$F$8886)*(PLT!$V$4:$V$8886&lt;&gt;AD265)*(PLT!$V$4:$V$8886&lt;&gt;AE265)*("Valid"=PLT!$P$4:$P$7190),PLT!$V$4:$V$8886),"")</f>
        <v/>
      </c>
      <c r="AG265" s="162" t="str">
        <f>IFERROR(IF(AVERAGE(AD265:AF265)&gt;References!$BO$23,References!$BP$23,
IF(AVERAGE(AD265:AF265)&gt;References!$BO$22,References!$BP$22,
IF(AVERAGE(AD265:AF265)&gt;References!$BO$21,References!$BP$21,
IF(AVERAGE(AD265:AF265)&gt;References!$BO$20,References!$BP$20,
IF(AVERAGE(AD265:AF265)&gt;References!$BO$19,References!$BP$19,
IF(AVERAGE(AD265:AF265)&gt;References!$BO$18,References!$BP$18,
0)))))),"")</f>
        <v/>
      </c>
      <c r="AH265" s="163" t="e">
        <f>VLOOKUP(Data_Geotech[[#This Row],[Field Intact Rock Strength]],Table_RMR76_Strength[],2,FALSE)</f>
        <v>#N/A</v>
      </c>
      <c r="AI265" s="163" t="e">
        <f>IF(Data_Geotech[[#This Row],[RQD (%)]]&lt;=25,3,IF(Data_Geotech[[#This Row],[RQD (%)]]&lt;=50,8,IF(Data_Geotech[[#This Row],[RQD (%)]]&lt;=75,13,IF(Data_Geotech[[#This Row],[RQD (%)]]&lt;=90,17,20))))</f>
        <v>#DIV/0!</v>
      </c>
      <c r="AJ265" s="136">
        <f>IF(Data_Geotech[[#This Row],[Joint spacing (m)]]&lt;=0.05,5,IF(Data_Geotech[[#This Row],[Joint spacing (m)]]&lt;=0.3,10,IF(Data_Geotech[[#This Row],[Joint spacing (m)]]&lt;=1,20,IF(Data_Geotech[[#This Row],[Joint spacing (m)]]&lt;=3,25,30))))</f>
        <v>30</v>
      </c>
      <c r="AK26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5" s="6"/>
      <c r="AM265" s="137" t="str">
        <f>IF(Data_Geotech[[#This Row],[FIRS Code]]="R",IFERROR(SUM(Data_Geotech[[#This Row],[RMR76 - Strength rating]:[RMR76 - Ground water rating]]),""),"")</f>
        <v/>
      </c>
      <c r="AN265" s="164" t="str">
        <f>IF(Data_Geotech[[#This Row],[FIRS Code]]="R",(2*Data_Geotech[[#This Row],[RMR76 - Joint condition rating]])+(IF(Data_Geotech[[#This Row],[RQD (%)]]&gt;80,80/2,Data_Geotech[[#This Row],[RQD (%)]]/2)),"")</f>
        <v/>
      </c>
      <c r="AO265" s="136" t="e">
        <f>LEFT(Data_Geotech[[#This Row],[Joint Set Rating]],FIND("-",Data_Geotech[[#This Row],[Joint Set Rating]],1)-2)</f>
        <v>#VALUE!</v>
      </c>
      <c r="AP26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5" s="143">
        <f t="shared" si="4"/>
        <v>1</v>
      </c>
      <c r="AR265" s="165" t="str">
        <f>IF(Data_Geotech[[#This Row],[FIRS Code]]="R",IFERROR((IF(Data_Geotech[[#This Row],[RQD (%)]]&lt;10,10,Data_Geotech[[#This Row],[RQD (%)]])/Data_Geotech[[#This Row],[Jn rating]])*Data_Geotech[[#This Row],[Jr/Ja]],""),"")</f>
        <v/>
      </c>
      <c r="AS265" s="138" t="str">
        <f>IF(Data_Geotech[[#This Row],[FIRS Code]]="R",IFERROR((IF(Data_Geotech[[#This Row],[RQD (%)]]&lt;10,10,Data_Geotech[[#This Row],[RQD (%)]])/Data_Geotech[[#This Row],[Jn rating]])*Data_Geotech[[#This Row],[Jr/Ja]]*Data_Geotech[[#This Row],[Jw/SRF]],""),"")</f>
        <v/>
      </c>
      <c r="AT265" s="12"/>
      <c r="AU265" s="13" t="e">
        <f>100-Data_Geotech[[#This Row],[RQD (%)]]</f>
        <v>#DIV/0!</v>
      </c>
      <c r="AV265" s="13" t="e">
        <f>100-Data_Geotech[[#This Row],[TCR (%)]]</f>
        <v>#DIV/0!</v>
      </c>
      <c r="AW265" s="62" t="e">
        <f>(Data_Geotech[[#This Row],[Fracture per interval]]+Data_Geotech[[#This Row],[Added fractures 
(BC, FLT, LC)]])/Data_Geotech[[#This Row],[TCR (m)]]</f>
        <v>#DIV/0!</v>
      </c>
      <c r="AX265" s="62" t="str">
        <f>MID(Data_Geotech[[#This Row],[Field Intact Rock Strength]],2,1)</f>
        <v/>
      </c>
      <c r="AY265" s="63" t="e">
        <f>7-MID(Data_Geotech[[#This Row],[Field Intact Rock Strength]],2,1)</f>
        <v>#VALUE!</v>
      </c>
      <c r="AZ265" s="63" t="e">
        <f>VLOOKUP(Data_Geotech[[#This Row],[Field Intact Rock Strength]],Table_FieldStrength[],2,FALSE)</f>
        <v>#N/A</v>
      </c>
      <c r="BA265" s="63" t="e">
        <f>VLOOKUP(Data_Geotech[[#This Row],[Field Intact Rock Strength]],Table_FieldStrength[],3,FALSE)</f>
        <v>#N/A</v>
      </c>
      <c r="BB265" s="63" t="e">
        <f>VLOOKUP(Data_Geotech[[#This Row],[Field Intact Rock Strength]],Table_FieldStrength[],4,FALSE)</f>
        <v>#N/A</v>
      </c>
      <c r="BC265" s="63" t="e">
        <f>100-Data_Geotech[[#This Row],[RMR76]]</f>
        <v>#VALUE!</v>
      </c>
      <c r="BD265" s="63" t="e">
        <f>LEFT(Data_Geotech[[#This Row],[Weathering/Alteration]],FIND("-",Data_Geotech[[#This Row],[Weathering/Alteration]])-2)</f>
        <v>#VALUE!</v>
      </c>
    </row>
    <row r="266" spans="2:56" hidden="1" x14ac:dyDescent="0.25">
      <c r="B266" s="16" t="e">
        <f>VLOOKUP(Data_Geotech[[#This Row],[Hole ID]],Data_Log[],2,FALSE)</f>
        <v>#N/A</v>
      </c>
      <c r="C266" s="5"/>
      <c r="D266" s="5"/>
      <c r="E266" s="5">
        <f>(Data_Geotech[[#This Row],[To (m)]]-Data_Geotech[[#This Row],[From (m)]])/2+Data_Geotech[[#This Row],[From (m)]]</f>
        <v>0</v>
      </c>
      <c r="F266" s="13">
        <f>Data_Geotech[[#This Row],[To (m)]]-Data_Geotech[[#This Row],[From (m)]]</f>
        <v>0</v>
      </c>
      <c r="G266" s="5"/>
      <c r="H266" s="61" t="e">
        <f>Data_Geotech[[#This Row],[TCR (m)]]/Data_Geotech[[#This Row],[Run (m)]]*100</f>
        <v>#DIV/0!</v>
      </c>
      <c r="I266" s="151"/>
      <c r="J266" s="151"/>
      <c r="K266" s="5"/>
      <c r="L266" s="61" t="e">
        <f>Data_Geotech[[#This Row],[RQD (m)]]/Data_Geotech[[#This Row],[Run Reel (m)]]*100</f>
        <v>#DIV/0!</v>
      </c>
      <c r="P266" s="115"/>
      <c r="Q266" s="5"/>
      <c r="R266" s="5"/>
      <c r="S266" s="5"/>
      <c r="T266" s="5"/>
      <c r="U266" s="5"/>
      <c r="V266" s="6"/>
      <c r="W266" s="92">
        <f>SUMIFS(Discontinuities!$D$4:$D$9664,Discontinuities!$A$4:$A$9664,A266,Discontinuities!$C$4:$C$9664,"&gt;="&amp;C266,Discontinuities!$C$4:$C$9664,"&lt;"&amp;D266)
-SUMIFS(Discontinuities!$D$4:$D$9664,Discontinuities!$A$4:$A$9664,A266,Discontinuities!$C$4:$C$9664,"&gt;="&amp;C266,Discontinuities!$C$4:$C$9664,"&lt;"&amp;D266,Discontinuities!$E$4:$E$9664,"=BC")
-SUMIFS(Discontinuities!$D$4:$D$9664,Discontinuities!$A$4:$A$9664,A266,Discontinuities!$C$4:$C$9664,"&gt;="&amp;C266,Discontinuities!$C$4:$C$9664,"&lt;"&amp;D266,Discontinuities!$E$4:$E$9664,"=LC")
-SUMIFS(Discontinuities!$D$4:$D$9664,Discontinuities!$A$4:$A$9664,A266,Discontinuities!$C$4:$C$9664,"&gt;="&amp;C266,Discontinuities!$C$4:$C$9664,"&lt;"&amp;D266,Discontinuities!$E$4:$E$9664,"=FLT")</f>
        <v>0</v>
      </c>
      <c r="AA266" s="132"/>
      <c r="AB266" s="159">
        <f>IFERROR(ROUND((Data_Geotech[[#This Row],[Fault (m)]]+Data_Geotech[[#This Row],[Broken Core (m)]]+Data_Geotech[[#This Row],[Lost Core (m)]])*30,0),0)</f>
        <v>0</v>
      </c>
      <c r="AC266" s="135">
        <f>IF(Data_Geotech[[#This Row],[Added fractures 
(BC, FLT, LC)]]+Data_Geotech[[#This Row],[Fracture per interval]]=0,99,1/((Data_Geotech[[#This Row],[Fracture per interval]]+Data_Geotech[[#This Row],[Added fractures 
(BC, FLT, LC)]])/Data_Geotech[[#This Row],[Run (m)]]))</f>
        <v>99</v>
      </c>
      <c r="AD266" s="160" t="str" cm="1">
        <f t="array" ref="AD266">IFERROR(_xlfn.XLOOKUP(1,(A266=PLT!$A$4:$A$8886)*(Geotech!C266&lt;=PLT!$F$4:$F$8886)*(Geotech!D266&gt;=PLT!$F$4:$F$8886)*("Valid"=PLT!$P$4:$P$8886),PLT!$V$4:$V$8886),"")</f>
        <v/>
      </c>
      <c r="AE266" s="161" t="str" cm="1">
        <f t="array" ref="AE266">IFERROR(_xlfn.XLOOKUP(1,(A266=PLT!$A$4:$A$8886)*(Geotech!C266&lt;=PLT!$F$4:$F$8886)*(Geotech!D266&gt;=PLT!$F$4:$F$8886)*(PLT!$V$4:$V$8886&lt;&gt;AD266)*("Valid"=PLT!$P$4:$P$7190),PLT!$V$4:$V$8886),"")</f>
        <v/>
      </c>
      <c r="AF266" s="161" t="str" cm="1">
        <f t="array" ref="AF266">IFERROR(_xlfn.XLOOKUP(1,(A266=PLT!$A$4:$A$8886)*(Geotech!C266&lt;=PLT!$F$4:$F$8886)*(Geotech!D266&gt;=PLT!$F$4:$F$8886)*(PLT!$V$4:$V$8886&lt;&gt;AD266)*(PLT!$V$4:$V$8886&lt;&gt;AE266)*("Valid"=PLT!$P$4:$P$7190),PLT!$V$4:$V$8886),"")</f>
        <v/>
      </c>
      <c r="AG266" s="162" t="str">
        <f>IFERROR(IF(AVERAGE(AD266:AF266)&gt;References!$BO$23,References!$BP$23,
IF(AVERAGE(AD266:AF266)&gt;References!$BO$22,References!$BP$22,
IF(AVERAGE(AD266:AF266)&gt;References!$BO$21,References!$BP$21,
IF(AVERAGE(AD266:AF266)&gt;References!$BO$20,References!$BP$20,
IF(AVERAGE(AD266:AF266)&gt;References!$BO$19,References!$BP$19,
IF(AVERAGE(AD266:AF266)&gt;References!$BO$18,References!$BP$18,
0)))))),"")</f>
        <v/>
      </c>
      <c r="AH266" s="163" t="e">
        <f>VLOOKUP(Data_Geotech[[#This Row],[Field Intact Rock Strength]],Table_RMR76_Strength[],2,FALSE)</f>
        <v>#N/A</v>
      </c>
      <c r="AI266" s="163" t="e">
        <f>IF(Data_Geotech[[#This Row],[RQD (%)]]&lt;=25,3,IF(Data_Geotech[[#This Row],[RQD (%)]]&lt;=50,8,IF(Data_Geotech[[#This Row],[RQD (%)]]&lt;=75,13,IF(Data_Geotech[[#This Row],[RQD (%)]]&lt;=90,17,20))))</f>
        <v>#DIV/0!</v>
      </c>
      <c r="AJ266" s="136">
        <f>IF(Data_Geotech[[#This Row],[Joint spacing (m)]]&lt;=0.05,5,IF(Data_Geotech[[#This Row],[Joint spacing (m)]]&lt;=0.3,10,IF(Data_Geotech[[#This Row],[Joint spacing (m)]]&lt;=1,20,IF(Data_Geotech[[#This Row],[Joint spacing (m)]]&lt;=3,25,30))))</f>
        <v>30</v>
      </c>
      <c r="AK26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6" s="6"/>
      <c r="AM266" s="137" t="str">
        <f>IF(Data_Geotech[[#This Row],[FIRS Code]]="R",IFERROR(SUM(Data_Geotech[[#This Row],[RMR76 - Strength rating]:[RMR76 - Ground water rating]]),""),"")</f>
        <v/>
      </c>
      <c r="AN266" s="164" t="str">
        <f>IF(Data_Geotech[[#This Row],[FIRS Code]]="R",(2*Data_Geotech[[#This Row],[RMR76 - Joint condition rating]])+(IF(Data_Geotech[[#This Row],[RQD (%)]]&gt;80,80/2,Data_Geotech[[#This Row],[RQD (%)]]/2)),"")</f>
        <v/>
      </c>
      <c r="AO266" s="136" t="e">
        <f>LEFT(Data_Geotech[[#This Row],[Joint Set Rating]],FIND("-",Data_Geotech[[#This Row],[Joint Set Rating]],1)-2)</f>
        <v>#VALUE!</v>
      </c>
      <c r="AP26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6" s="143">
        <f t="shared" si="4"/>
        <v>1</v>
      </c>
      <c r="AR266" s="165" t="str">
        <f>IF(Data_Geotech[[#This Row],[FIRS Code]]="R",IFERROR((IF(Data_Geotech[[#This Row],[RQD (%)]]&lt;10,10,Data_Geotech[[#This Row],[RQD (%)]])/Data_Geotech[[#This Row],[Jn rating]])*Data_Geotech[[#This Row],[Jr/Ja]],""),"")</f>
        <v/>
      </c>
      <c r="AS266" s="138" t="str">
        <f>IF(Data_Geotech[[#This Row],[FIRS Code]]="R",IFERROR((IF(Data_Geotech[[#This Row],[RQD (%)]]&lt;10,10,Data_Geotech[[#This Row],[RQD (%)]])/Data_Geotech[[#This Row],[Jn rating]])*Data_Geotech[[#This Row],[Jr/Ja]]*Data_Geotech[[#This Row],[Jw/SRF]],""),"")</f>
        <v/>
      </c>
      <c r="AT266" s="12"/>
      <c r="AU266" s="13" t="e">
        <f>100-Data_Geotech[[#This Row],[RQD (%)]]</f>
        <v>#DIV/0!</v>
      </c>
      <c r="AV266" s="13" t="e">
        <f>100-Data_Geotech[[#This Row],[TCR (%)]]</f>
        <v>#DIV/0!</v>
      </c>
      <c r="AW266" s="62" t="e">
        <f>(Data_Geotech[[#This Row],[Fracture per interval]]+Data_Geotech[[#This Row],[Added fractures 
(BC, FLT, LC)]])/Data_Geotech[[#This Row],[TCR (m)]]</f>
        <v>#DIV/0!</v>
      </c>
      <c r="AX266" s="62" t="str">
        <f>MID(Data_Geotech[[#This Row],[Field Intact Rock Strength]],2,1)</f>
        <v/>
      </c>
      <c r="AY266" s="63" t="e">
        <f>7-MID(Data_Geotech[[#This Row],[Field Intact Rock Strength]],2,1)</f>
        <v>#VALUE!</v>
      </c>
      <c r="AZ266" s="63" t="e">
        <f>VLOOKUP(Data_Geotech[[#This Row],[Field Intact Rock Strength]],Table_FieldStrength[],2,FALSE)</f>
        <v>#N/A</v>
      </c>
      <c r="BA266" s="63" t="e">
        <f>VLOOKUP(Data_Geotech[[#This Row],[Field Intact Rock Strength]],Table_FieldStrength[],3,FALSE)</f>
        <v>#N/A</v>
      </c>
      <c r="BB266" s="63" t="e">
        <f>VLOOKUP(Data_Geotech[[#This Row],[Field Intact Rock Strength]],Table_FieldStrength[],4,FALSE)</f>
        <v>#N/A</v>
      </c>
      <c r="BC266" s="63" t="e">
        <f>100-Data_Geotech[[#This Row],[RMR76]]</f>
        <v>#VALUE!</v>
      </c>
      <c r="BD266" s="63" t="e">
        <f>LEFT(Data_Geotech[[#This Row],[Weathering/Alteration]],FIND("-",Data_Geotech[[#This Row],[Weathering/Alteration]])-2)</f>
        <v>#VALUE!</v>
      </c>
    </row>
    <row r="267" spans="2:56" hidden="1" x14ac:dyDescent="0.25">
      <c r="B267" s="16" t="e">
        <f>VLOOKUP(Data_Geotech[[#This Row],[Hole ID]],Data_Log[],2,FALSE)</f>
        <v>#N/A</v>
      </c>
      <c r="C267" s="5"/>
      <c r="D267" s="5"/>
      <c r="E267" s="5">
        <f>(Data_Geotech[[#This Row],[To (m)]]-Data_Geotech[[#This Row],[From (m)]])/2+Data_Geotech[[#This Row],[From (m)]]</f>
        <v>0</v>
      </c>
      <c r="F267" s="13">
        <f>Data_Geotech[[#This Row],[To (m)]]-Data_Geotech[[#This Row],[From (m)]]</f>
        <v>0</v>
      </c>
      <c r="G267" s="5"/>
      <c r="H267" s="61" t="e">
        <f>Data_Geotech[[#This Row],[TCR (m)]]/Data_Geotech[[#This Row],[Run (m)]]*100</f>
        <v>#DIV/0!</v>
      </c>
      <c r="I267" s="151"/>
      <c r="J267" s="151"/>
      <c r="K267" s="5"/>
      <c r="L267" s="61" t="e">
        <f>Data_Geotech[[#This Row],[RQD (m)]]/Data_Geotech[[#This Row],[Run Reel (m)]]*100</f>
        <v>#DIV/0!</v>
      </c>
      <c r="P267" s="115"/>
      <c r="Q267" s="5"/>
      <c r="R267" s="5"/>
      <c r="S267" s="5"/>
      <c r="T267" s="5"/>
      <c r="U267" s="5"/>
      <c r="V267" s="6"/>
      <c r="W267" s="92">
        <f>SUMIFS(Discontinuities!$D$4:$D$9664,Discontinuities!$A$4:$A$9664,A267,Discontinuities!$C$4:$C$9664,"&gt;="&amp;C267,Discontinuities!$C$4:$C$9664,"&lt;"&amp;D267)
-SUMIFS(Discontinuities!$D$4:$D$9664,Discontinuities!$A$4:$A$9664,A267,Discontinuities!$C$4:$C$9664,"&gt;="&amp;C267,Discontinuities!$C$4:$C$9664,"&lt;"&amp;D267,Discontinuities!$E$4:$E$9664,"=BC")
-SUMIFS(Discontinuities!$D$4:$D$9664,Discontinuities!$A$4:$A$9664,A267,Discontinuities!$C$4:$C$9664,"&gt;="&amp;C267,Discontinuities!$C$4:$C$9664,"&lt;"&amp;D267,Discontinuities!$E$4:$E$9664,"=LC")
-SUMIFS(Discontinuities!$D$4:$D$9664,Discontinuities!$A$4:$A$9664,A267,Discontinuities!$C$4:$C$9664,"&gt;="&amp;C267,Discontinuities!$C$4:$C$9664,"&lt;"&amp;D267,Discontinuities!$E$4:$E$9664,"=FLT")</f>
        <v>0</v>
      </c>
      <c r="AA267" s="132"/>
      <c r="AB267" s="159">
        <f>IFERROR(ROUND((Data_Geotech[[#This Row],[Fault (m)]]+Data_Geotech[[#This Row],[Broken Core (m)]]+Data_Geotech[[#This Row],[Lost Core (m)]])*30,0),0)</f>
        <v>0</v>
      </c>
      <c r="AC267" s="135">
        <f>IF(Data_Geotech[[#This Row],[Added fractures 
(BC, FLT, LC)]]+Data_Geotech[[#This Row],[Fracture per interval]]=0,99,1/((Data_Geotech[[#This Row],[Fracture per interval]]+Data_Geotech[[#This Row],[Added fractures 
(BC, FLT, LC)]])/Data_Geotech[[#This Row],[Run (m)]]))</f>
        <v>99</v>
      </c>
      <c r="AD267" s="160" t="str" cm="1">
        <f t="array" ref="AD267">IFERROR(_xlfn.XLOOKUP(1,(A267=PLT!$A$4:$A$8886)*(Geotech!C267&lt;=PLT!$F$4:$F$8886)*(Geotech!D267&gt;=PLT!$F$4:$F$8886)*("Valid"=PLT!$P$4:$P$8886),PLT!$V$4:$V$8886),"")</f>
        <v/>
      </c>
      <c r="AE267" s="161" t="str" cm="1">
        <f t="array" ref="AE267">IFERROR(_xlfn.XLOOKUP(1,(A267=PLT!$A$4:$A$8886)*(Geotech!C267&lt;=PLT!$F$4:$F$8886)*(Geotech!D267&gt;=PLT!$F$4:$F$8886)*(PLT!$V$4:$V$8886&lt;&gt;AD267)*("Valid"=PLT!$P$4:$P$7190),PLT!$V$4:$V$8886),"")</f>
        <v/>
      </c>
      <c r="AF267" s="161" t="str" cm="1">
        <f t="array" ref="AF267">IFERROR(_xlfn.XLOOKUP(1,(A267=PLT!$A$4:$A$8886)*(Geotech!C267&lt;=PLT!$F$4:$F$8886)*(Geotech!D267&gt;=PLT!$F$4:$F$8886)*(PLT!$V$4:$V$8886&lt;&gt;AD267)*(PLT!$V$4:$V$8886&lt;&gt;AE267)*("Valid"=PLT!$P$4:$P$7190),PLT!$V$4:$V$8886),"")</f>
        <v/>
      </c>
      <c r="AG267" s="162" t="str">
        <f>IFERROR(IF(AVERAGE(AD267:AF267)&gt;References!$BO$23,References!$BP$23,
IF(AVERAGE(AD267:AF267)&gt;References!$BO$22,References!$BP$22,
IF(AVERAGE(AD267:AF267)&gt;References!$BO$21,References!$BP$21,
IF(AVERAGE(AD267:AF267)&gt;References!$BO$20,References!$BP$20,
IF(AVERAGE(AD267:AF267)&gt;References!$BO$19,References!$BP$19,
IF(AVERAGE(AD267:AF267)&gt;References!$BO$18,References!$BP$18,
0)))))),"")</f>
        <v/>
      </c>
      <c r="AH267" s="163" t="e">
        <f>VLOOKUP(Data_Geotech[[#This Row],[Field Intact Rock Strength]],Table_RMR76_Strength[],2,FALSE)</f>
        <v>#N/A</v>
      </c>
      <c r="AI267" s="163" t="e">
        <f>IF(Data_Geotech[[#This Row],[RQD (%)]]&lt;=25,3,IF(Data_Geotech[[#This Row],[RQD (%)]]&lt;=50,8,IF(Data_Geotech[[#This Row],[RQD (%)]]&lt;=75,13,IF(Data_Geotech[[#This Row],[RQD (%)]]&lt;=90,17,20))))</f>
        <v>#DIV/0!</v>
      </c>
      <c r="AJ267" s="136">
        <f>IF(Data_Geotech[[#This Row],[Joint spacing (m)]]&lt;=0.05,5,IF(Data_Geotech[[#This Row],[Joint spacing (m)]]&lt;=0.3,10,IF(Data_Geotech[[#This Row],[Joint spacing (m)]]&lt;=1,20,IF(Data_Geotech[[#This Row],[Joint spacing (m)]]&lt;=3,25,30))))</f>
        <v>30</v>
      </c>
      <c r="AK26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7" s="6"/>
      <c r="AM267" s="137" t="str">
        <f>IF(Data_Geotech[[#This Row],[FIRS Code]]="R",IFERROR(SUM(Data_Geotech[[#This Row],[RMR76 - Strength rating]:[RMR76 - Ground water rating]]),""),"")</f>
        <v/>
      </c>
      <c r="AN267" s="164" t="str">
        <f>IF(Data_Geotech[[#This Row],[FIRS Code]]="R",(2*Data_Geotech[[#This Row],[RMR76 - Joint condition rating]])+(IF(Data_Geotech[[#This Row],[RQD (%)]]&gt;80,80/2,Data_Geotech[[#This Row],[RQD (%)]]/2)),"")</f>
        <v/>
      </c>
      <c r="AO267" s="136" t="e">
        <f>LEFT(Data_Geotech[[#This Row],[Joint Set Rating]],FIND("-",Data_Geotech[[#This Row],[Joint Set Rating]],1)-2)</f>
        <v>#VALUE!</v>
      </c>
      <c r="AP26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7" s="143">
        <f t="shared" si="4"/>
        <v>1</v>
      </c>
      <c r="AR267" s="165" t="str">
        <f>IF(Data_Geotech[[#This Row],[FIRS Code]]="R",IFERROR((IF(Data_Geotech[[#This Row],[RQD (%)]]&lt;10,10,Data_Geotech[[#This Row],[RQD (%)]])/Data_Geotech[[#This Row],[Jn rating]])*Data_Geotech[[#This Row],[Jr/Ja]],""),"")</f>
        <v/>
      </c>
      <c r="AS267" s="138" t="str">
        <f>IF(Data_Geotech[[#This Row],[FIRS Code]]="R",IFERROR((IF(Data_Geotech[[#This Row],[RQD (%)]]&lt;10,10,Data_Geotech[[#This Row],[RQD (%)]])/Data_Geotech[[#This Row],[Jn rating]])*Data_Geotech[[#This Row],[Jr/Ja]]*Data_Geotech[[#This Row],[Jw/SRF]],""),"")</f>
        <v/>
      </c>
      <c r="AT267" s="12"/>
      <c r="AU267" s="13" t="e">
        <f>100-Data_Geotech[[#This Row],[RQD (%)]]</f>
        <v>#DIV/0!</v>
      </c>
      <c r="AV267" s="13" t="e">
        <f>100-Data_Geotech[[#This Row],[TCR (%)]]</f>
        <v>#DIV/0!</v>
      </c>
      <c r="AW267" s="62" t="e">
        <f>(Data_Geotech[[#This Row],[Fracture per interval]]+Data_Geotech[[#This Row],[Added fractures 
(BC, FLT, LC)]])/Data_Geotech[[#This Row],[TCR (m)]]</f>
        <v>#DIV/0!</v>
      </c>
      <c r="AX267" s="62" t="str">
        <f>MID(Data_Geotech[[#This Row],[Field Intact Rock Strength]],2,1)</f>
        <v/>
      </c>
      <c r="AY267" s="63" t="e">
        <f>7-MID(Data_Geotech[[#This Row],[Field Intact Rock Strength]],2,1)</f>
        <v>#VALUE!</v>
      </c>
      <c r="AZ267" s="63" t="e">
        <f>VLOOKUP(Data_Geotech[[#This Row],[Field Intact Rock Strength]],Table_FieldStrength[],2,FALSE)</f>
        <v>#N/A</v>
      </c>
      <c r="BA267" s="63" t="e">
        <f>VLOOKUP(Data_Geotech[[#This Row],[Field Intact Rock Strength]],Table_FieldStrength[],3,FALSE)</f>
        <v>#N/A</v>
      </c>
      <c r="BB267" s="63" t="e">
        <f>VLOOKUP(Data_Geotech[[#This Row],[Field Intact Rock Strength]],Table_FieldStrength[],4,FALSE)</f>
        <v>#N/A</v>
      </c>
      <c r="BC267" s="63" t="e">
        <f>100-Data_Geotech[[#This Row],[RMR76]]</f>
        <v>#VALUE!</v>
      </c>
      <c r="BD267" s="63" t="e">
        <f>LEFT(Data_Geotech[[#This Row],[Weathering/Alteration]],FIND("-",Data_Geotech[[#This Row],[Weathering/Alteration]])-2)</f>
        <v>#VALUE!</v>
      </c>
    </row>
    <row r="268" spans="2:56" hidden="1" x14ac:dyDescent="0.25">
      <c r="B268" s="16" t="e">
        <f>VLOOKUP(Data_Geotech[[#This Row],[Hole ID]],Data_Log[],2,FALSE)</f>
        <v>#N/A</v>
      </c>
      <c r="C268" s="5"/>
      <c r="D268" s="5"/>
      <c r="E268" s="5">
        <f>(Data_Geotech[[#This Row],[To (m)]]-Data_Geotech[[#This Row],[From (m)]])/2+Data_Geotech[[#This Row],[From (m)]]</f>
        <v>0</v>
      </c>
      <c r="F268" s="13">
        <f>Data_Geotech[[#This Row],[To (m)]]-Data_Geotech[[#This Row],[From (m)]]</f>
        <v>0</v>
      </c>
      <c r="G268" s="5"/>
      <c r="H268" s="61" t="e">
        <f>Data_Geotech[[#This Row],[TCR (m)]]/Data_Geotech[[#This Row],[Run (m)]]*100</f>
        <v>#DIV/0!</v>
      </c>
      <c r="I268" s="151"/>
      <c r="J268" s="151"/>
      <c r="K268" s="5"/>
      <c r="L268" s="61" t="e">
        <f>Data_Geotech[[#This Row],[RQD (m)]]/Data_Geotech[[#This Row],[Run Reel (m)]]*100</f>
        <v>#DIV/0!</v>
      </c>
      <c r="P268" s="115"/>
      <c r="Q268" s="5"/>
      <c r="R268" s="5"/>
      <c r="S268" s="5"/>
      <c r="T268" s="5"/>
      <c r="U268" s="5"/>
      <c r="V268" s="6"/>
      <c r="W268" s="92">
        <f>SUMIFS(Discontinuities!$D$4:$D$9664,Discontinuities!$A$4:$A$9664,A268,Discontinuities!$C$4:$C$9664,"&gt;="&amp;C268,Discontinuities!$C$4:$C$9664,"&lt;"&amp;D268)
-SUMIFS(Discontinuities!$D$4:$D$9664,Discontinuities!$A$4:$A$9664,A268,Discontinuities!$C$4:$C$9664,"&gt;="&amp;C268,Discontinuities!$C$4:$C$9664,"&lt;"&amp;D268,Discontinuities!$E$4:$E$9664,"=BC")
-SUMIFS(Discontinuities!$D$4:$D$9664,Discontinuities!$A$4:$A$9664,A268,Discontinuities!$C$4:$C$9664,"&gt;="&amp;C268,Discontinuities!$C$4:$C$9664,"&lt;"&amp;D268,Discontinuities!$E$4:$E$9664,"=LC")
-SUMIFS(Discontinuities!$D$4:$D$9664,Discontinuities!$A$4:$A$9664,A268,Discontinuities!$C$4:$C$9664,"&gt;="&amp;C268,Discontinuities!$C$4:$C$9664,"&lt;"&amp;D268,Discontinuities!$E$4:$E$9664,"=FLT")</f>
        <v>0</v>
      </c>
      <c r="AA268" s="132"/>
      <c r="AB268" s="159">
        <f>IFERROR(ROUND((Data_Geotech[[#This Row],[Fault (m)]]+Data_Geotech[[#This Row],[Broken Core (m)]]+Data_Geotech[[#This Row],[Lost Core (m)]])*30,0),0)</f>
        <v>0</v>
      </c>
      <c r="AC268" s="135">
        <f>IF(Data_Geotech[[#This Row],[Added fractures 
(BC, FLT, LC)]]+Data_Geotech[[#This Row],[Fracture per interval]]=0,99,1/((Data_Geotech[[#This Row],[Fracture per interval]]+Data_Geotech[[#This Row],[Added fractures 
(BC, FLT, LC)]])/Data_Geotech[[#This Row],[Run (m)]]))</f>
        <v>99</v>
      </c>
      <c r="AD268" s="160" t="str" cm="1">
        <f t="array" ref="AD268">IFERROR(_xlfn.XLOOKUP(1,(A268=PLT!$A$4:$A$8886)*(Geotech!C268&lt;=PLT!$F$4:$F$8886)*(Geotech!D268&gt;=PLT!$F$4:$F$8886)*("Valid"=PLT!$P$4:$P$8886),PLT!$V$4:$V$8886),"")</f>
        <v/>
      </c>
      <c r="AE268" s="161" t="str" cm="1">
        <f t="array" ref="AE268">IFERROR(_xlfn.XLOOKUP(1,(A268=PLT!$A$4:$A$8886)*(Geotech!C268&lt;=PLT!$F$4:$F$8886)*(Geotech!D268&gt;=PLT!$F$4:$F$8886)*(PLT!$V$4:$V$8886&lt;&gt;AD268)*("Valid"=PLT!$P$4:$P$7190),PLT!$V$4:$V$8886),"")</f>
        <v/>
      </c>
      <c r="AF268" s="161" t="str" cm="1">
        <f t="array" ref="AF268">IFERROR(_xlfn.XLOOKUP(1,(A268=PLT!$A$4:$A$8886)*(Geotech!C268&lt;=PLT!$F$4:$F$8886)*(Geotech!D268&gt;=PLT!$F$4:$F$8886)*(PLT!$V$4:$V$8886&lt;&gt;AD268)*(PLT!$V$4:$V$8886&lt;&gt;AE268)*("Valid"=PLT!$P$4:$P$7190),PLT!$V$4:$V$8886),"")</f>
        <v/>
      </c>
      <c r="AG268" s="162" t="str">
        <f>IFERROR(IF(AVERAGE(AD268:AF268)&gt;References!$BO$23,References!$BP$23,
IF(AVERAGE(AD268:AF268)&gt;References!$BO$22,References!$BP$22,
IF(AVERAGE(AD268:AF268)&gt;References!$BO$21,References!$BP$21,
IF(AVERAGE(AD268:AF268)&gt;References!$BO$20,References!$BP$20,
IF(AVERAGE(AD268:AF268)&gt;References!$BO$19,References!$BP$19,
IF(AVERAGE(AD268:AF268)&gt;References!$BO$18,References!$BP$18,
0)))))),"")</f>
        <v/>
      </c>
      <c r="AH268" s="163" t="e">
        <f>VLOOKUP(Data_Geotech[[#This Row],[Field Intact Rock Strength]],Table_RMR76_Strength[],2,FALSE)</f>
        <v>#N/A</v>
      </c>
      <c r="AI268" s="163" t="e">
        <f>IF(Data_Geotech[[#This Row],[RQD (%)]]&lt;=25,3,IF(Data_Geotech[[#This Row],[RQD (%)]]&lt;=50,8,IF(Data_Geotech[[#This Row],[RQD (%)]]&lt;=75,13,IF(Data_Geotech[[#This Row],[RQD (%)]]&lt;=90,17,20))))</f>
        <v>#DIV/0!</v>
      </c>
      <c r="AJ268" s="136">
        <f>IF(Data_Geotech[[#This Row],[Joint spacing (m)]]&lt;=0.05,5,IF(Data_Geotech[[#This Row],[Joint spacing (m)]]&lt;=0.3,10,IF(Data_Geotech[[#This Row],[Joint spacing (m)]]&lt;=1,20,IF(Data_Geotech[[#This Row],[Joint spacing (m)]]&lt;=3,25,30))))</f>
        <v>30</v>
      </c>
      <c r="AK26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8" s="6"/>
      <c r="AM268" s="137" t="str">
        <f>IF(Data_Geotech[[#This Row],[FIRS Code]]="R",IFERROR(SUM(Data_Geotech[[#This Row],[RMR76 - Strength rating]:[RMR76 - Ground water rating]]),""),"")</f>
        <v/>
      </c>
      <c r="AN268" s="164" t="str">
        <f>IF(Data_Geotech[[#This Row],[FIRS Code]]="R",(2*Data_Geotech[[#This Row],[RMR76 - Joint condition rating]])+(IF(Data_Geotech[[#This Row],[RQD (%)]]&gt;80,80/2,Data_Geotech[[#This Row],[RQD (%)]]/2)),"")</f>
        <v/>
      </c>
      <c r="AO268" s="136" t="e">
        <f>LEFT(Data_Geotech[[#This Row],[Joint Set Rating]],FIND("-",Data_Geotech[[#This Row],[Joint Set Rating]],1)-2)</f>
        <v>#VALUE!</v>
      </c>
      <c r="AP26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8" s="143">
        <f t="shared" si="4"/>
        <v>1</v>
      </c>
      <c r="AR268" s="165" t="str">
        <f>IF(Data_Geotech[[#This Row],[FIRS Code]]="R",IFERROR((IF(Data_Geotech[[#This Row],[RQD (%)]]&lt;10,10,Data_Geotech[[#This Row],[RQD (%)]])/Data_Geotech[[#This Row],[Jn rating]])*Data_Geotech[[#This Row],[Jr/Ja]],""),"")</f>
        <v/>
      </c>
      <c r="AS268" s="138" t="str">
        <f>IF(Data_Geotech[[#This Row],[FIRS Code]]="R",IFERROR((IF(Data_Geotech[[#This Row],[RQD (%)]]&lt;10,10,Data_Geotech[[#This Row],[RQD (%)]])/Data_Geotech[[#This Row],[Jn rating]])*Data_Geotech[[#This Row],[Jr/Ja]]*Data_Geotech[[#This Row],[Jw/SRF]],""),"")</f>
        <v/>
      </c>
      <c r="AT268" s="12"/>
      <c r="AU268" s="13" t="e">
        <f>100-Data_Geotech[[#This Row],[RQD (%)]]</f>
        <v>#DIV/0!</v>
      </c>
      <c r="AV268" s="13" t="e">
        <f>100-Data_Geotech[[#This Row],[TCR (%)]]</f>
        <v>#DIV/0!</v>
      </c>
      <c r="AW268" s="62" t="e">
        <f>(Data_Geotech[[#This Row],[Fracture per interval]]+Data_Geotech[[#This Row],[Added fractures 
(BC, FLT, LC)]])/Data_Geotech[[#This Row],[TCR (m)]]</f>
        <v>#DIV/0!</v>
      </c>
      <c r="AX268" s="62" t="str">
        <f>MID(Data_Geotech[[#This Row],[Field Intact Rock Strength]],2,1)</f>
        <v/>
      </c>
      <c r="AY268" s="63" t="e">
        <f>7-MID(Data_Geotech[[#This Row],[Field Intact Rock Strength]],2,1)</f>
        <v>#VALUE!</v>
      </c>
      <c r="AZ268" s="63" t="e">
        <f>VLOOKUP(Data_Geotech[[#This Row],[Field Intact Rock Strength]],Table_FieldStrength[],2,FALSE)</f>
        <v>#N/A</v>
      </c>
      <c r="BA268" s="63" t="e">
        <f>VLOOKUP(Data_Geotech[[#This Row],[Field Intact Rock Strength]],Table_FieldStrength[],3,FALSE)</f>
        <v>#N/A</v>
      </c>
      <c r="BB268" s="63" t="e">
        <f>VLOOKUP(Data_Geotech[[#This Row],[Field Intact Rock Strength]],Table_FieldStrength[],4,FALSE)</f>
        <v>#N/A</v>
      </c>
      <c r="BC268" s="63" t="e">
        <f>100-Data_Geotech[[#This Row],[RMR76]]</f>
        <v>#VALUE!</v>
      </c>
      <c r="BD268" s="63" t="e">
        <f>LEFT(Data_Geotech[[#This Row],[Weathering/Alteration]],FIND("-",Data_Geotech[[#This Row],[Weathering/Alteration]])-2)</f>
        <v>#VALUE!</v>
      </c>
    </row>
    <row r="269" spans="2:56" hidden="1" x14ac:dyDescent="0.25">
      <c r="B269" s="16" t="e">
        <f>VLOOKUP(Data_Geotech[[#This Row],[Hole ID]],Data_Log[],2,FALSE)</f>
        <v>#N/A</v>
      </c>
      <c r="C269" s="5"/>
      <c r="D269" s="5"/>
      <c r="E269" s="5">
        <f>(Data_Geotech[[#This Row],[To (m)]]-Data_Geotech[[#This Row],[From (m)]])/2+Data_Geotech[[#This Row],[From (m)]]</f>
        <v>0</v>
      </c>
      <c r="F269" s="13">
        <f>Data_Geotech[[#This Row],[To (m)]]-Data_Geotech[[#This Row],[From (m)]]</f>
        <v>0</v>
      </c>
      <c r="G269" s="5"/>
      <c r="H269" s="61" t="e">
        <f>Data_Geotech[[#This Row],[TCR (m)]]/Data_Geotech[[#This Row],[Run (m)]]*100</f>
        <v>#DIV/0!</v>
      </c>
      <c r="I269" s="151"/>
      <c r="J269" s="151"/>
      <c r="K269" s="5"/>
      <c r="L269" s="61" t="e">
        <f>Data_Geotech[[#This Row],[RQD (m)]]/Data_Geotech[[#This Row],[Run Reel (m)]]*100</f>
        <v>#DIV/0!</v>
      </c>
      <c r="P269" s="115"/>
      <c r="Q269" s="5"/>
      <c r="R269" s="5"/>
      <c r="S269" s="5"/>
      <c r="T269" s="5"/>
      <c r="U269" s="5"/>
      <c r="V269" s="6"/>
      <c r="W269" s="92">
        <f>SUMIFS(Discontinuities!$D$4:$D$9664,Discontinuities!$A$4:$A$9664,A269,Discontinuities!$C$4:$C$9664,"&gt;="&amp;C269,Discontinuities!$C$4:$C$9664,"&lt;"&amp;D269)
-SUMIFS(Discontinuities!$D$4:$D$9664,Discontinuities!$A$4:$A$9664,A269,Discontinuities!$C$4:$C$9664,"&gt;="&amp;C269,Discontinuities!$C$4:$C$9664,"&lt;"&amp;D269,Discontinuities!$E$4:$E$9664,"=BC")
-SUMIFS(Discontinuities!$D$4:$D$9664,Discontinuities!$A$4:$A$9664,A269,Discontinuities!$C$4:$C$9664,"&gt;="&amp;C269,Discontinuities!$C$4:$C$9664,"&lt;"&amp;D269,Discontinuities!$E$4:$E$9664,"=LC")
-SUMIFS(Discontinuities!$D$4:$D$9664,Discontinuities!$A$4:$A$9664,A269,Discontinuities!$C$4:$C$9664,"&gt;="&amp;C269,Discontinuities!$C$4:$C$9664,"&lt;"&amp;D269,Discontinuities!$E$4:$E$9664,"=FLT")</f>
        <v>0</v>
      </c>
      <c r="AA269" s="132"/>
      <c r="AB269" s="159">
        <f>IFERROR(ROUND((Data_Geotech[[#This Row],[Fault (m)]]+Data_Geotech[[#This Row],[Broken Core (m)]]+Data_Geotech[[#This Row],[Lost Core (m)]])*30,0),0)</f>
        <v>0</v>
      </c>
      <c r="AC269" s="135">
        <f>IF(Data_Geotech[[#This Row],[Added fractures 
(BC, FLT, LC)]]+Data_Geotech[[#This Row],[Fracture per interval]]=0,99,1/((Data_Geotech[[#This Row],[Fracture per interval]]+Data_Geotech[[#This Row],[Added fractures 
(BC, FLT, LC)]])/Data_Geotech[[#This Row],[Run (m)]]))</f>
        <v>99</v>
      </c>
      <c r="AD269" s="160" t="str" cm="1">
        <f t="array" ref="AD269">IFERROR(_xlfn.XLOOKUP(1,(A269=PLT!$A$4:$A$8886)*(Geotech!C269&lt;=PLT!$F$4:$F$8886)*(Geotech!D269&gt;=PLT!$F$4:$F$8886)*("Valid"=PLT!$P$4:$P$8886),PLT!$V$4:$V$8886),"")</f>
        <v/>
      </c>
      <c r="AE269" s="161" t="str" cm="1">
        <f t="array" ref="AE269">IFERROR(_xlfn.XLOOKUP(1,(A269=PLT!$A$4:$A$8886)*(Geotech!C269&lt;=PLT!$F$4:$F$8886)*(Geotech!D269&gt;=PLT!$F$4:$F$8886)*(PLT!$V$4:$V$8886&lt;&gt;AD269)*("Valid"=PLT!$P$4:$P$7190),PLT!$V$4:$V$8886),"")</f>
        <v/>
      </c>
      <c r="AF269" s="161" t="str" cm="1">
        <f t="array" ref="AF269">IFERROR(_xlfn.XLOOKUP(1,(A269=PLT!$A$4:$A$8886)*(Geotech!C269&lt;=PLT!$F$4:$F$8886)*(Geotech!D269&gt;=PLT!$F$4:$F$8886)*(PLT!$V$4:$V$8886&lt;&gt;AD269)*(PLT!$V$4:$V$8886&lt;&gt;AE269)*("Valid"=PLT!$P$4:$P$7190),PLT!$V$4:$V$8886),"")</f>
        <v/>
      </c>
      <c r="AG269" s="162" t="str">
        <f>IFERROR(IF(AVERAGE(AD269:AF269)&gt;References!$BO$23,References!$BP$23,
IF(AVERAGE(AD269:AF269)&gt;References!$BO$22,References!$BP$22,
IF(AVERAGE(AD269:AF269)&gt;References!$BO$21,References!$BP$21,
IF(AVERAGE(AD269:AF269)&gt;References!$BO$20,References!$BP$20,
IF(AVERAGE(AD269:AF269)&gt;References!$BO$19,References!$BP$19,
IF(AVERAGE(AD269:AF269)&gt;References!$BO$18,References!$BP$18,
0)))))),"")</f>
        <v/>
      </c>
      <c r="AH269" s="163" t="e">
        <f>VLOOKUP(Data_Geotech[[#This Row],[Field Intact Rock Strength]],Table_RMR76_Strength[],2,FALSE)</f>
        <v>#N/A</v>
      </c>
      <c r="AI269" s="163" t="e">
        <f>IF(Data_Geotech[[#This Row],[RQD (%)]]&lt;=25,3,IF(Data_Geotech[[#This Row],[RQD (%)]]&lt;=50,8,IF(Data_Geotech[[#This Row],[RQD (%)]]&lt;=75,13,IF(Data_Geotech[[#This Row],[RQD (%)]]&lt;=90,17,20))))</f>
        <v>#DIV/0!</v>
      </c>
      <c r="AJ269" s="136">
        <f>IF(Data_Geotech[[#This Row],[Joint spacing (m)]]&lt;=0.05,5,IF(Data_Geotech[[#This Row],[Joint spacing (m)]]&lt;=0.3,10,IF(Data_Geotech[[#This Row],[Joint spacing (m)]]&lt;=1,20,IF(Data_Geotech[[#This Row],[Joint spacing (m)]]&lt;=3,25,30))))</f>
        <v>30</v>
      </c>
      <c r="AK26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69" s="6"/>
      <c r="AM269" s="137" t="str">
        <f>IF(Data_Geotech[[#This Row],[FIRS Code]]="R",IFERROR(SUM(Data_Geotech[[#This Row],[RMR76 - Strength rating]:[RMR76 - Ground water rating]]),""),"")</f>
        <v/>
      </c>
      <c r="AN269" s="164" t="str">
        <f>IF(Data_Geotech[[#This Row],[FIRS Code]]="R",(2*Data_Geotech[[#This Row],[RMR76 - Joint condition rating]])+(IF(Data_Geotech[[#This Row],[RQD (%)]]&gt;80,80/2,Data_Geotech[[#This Row],[RQD (%)]]/2)),"")</f>
        <v/>
      </c>
      <c r="AO269" s="136" t="e">
        <f>LEFT(Data_Geotech[[#This Row],[Joint Set Rating]],FIND("-",Data_Geotech[[#This Row],[Joint Set Rating]],1)-2)</f>
        <v>#VALUE!</v>
      </c>
      <c r="AP26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69" s="143">
        <f t="shared" si="4"/>
        <v>1</v>
      </c>
      <c r="AR269" s="165" t="str">
        <f>IF(Data_Geotech[[#This Row],[FIRS Code]]="R",IFERROR((IF(Data_Geotech[[#This Row],[RQD (%)]]&lt;10,10,Data_Geotech[[#This Row],[RQD (%)]])/Data_Geotech[[#This Row],[Jn rating]])*Data_Geotech[[#This Row],[Jr/Ja]],""),"")</f>
        <v/>
      </c>
      <c r="AS269" s="138" t="str">
        <f>IF(Data_Geotech[[#This Row],[FIRS Code]]="R",IFERROR((IF(Data_Geotech[[#This Row],[RQD (%)]]&lt;10,10,Data_Geotech[[#This Row],[RQD (%)]])/Data_Geotech[[#This Row],[Jn rating]])*Data_Geotech[[#This Row],[Jr/Ja]]*Data_Geotech[[#This Row],[Jw/SRF]],""),"")</f>
        <v/>
      </c>
      <c r="AT269" s="12"/>
      <c r="AU269" s="13" t="e">
        <f>100-Data_Geotech[[#This Row],[RQD (%)]]</f>
        <v>#DIV/0!</v>
      </c>
      <c r="AV269" s="13" t="e">
        <f>100-Data_Geotech[[#This Row],[TCR (%)]]</f>
        <v>#DIV/0!</v>
      </c>
      <c r="AW269" s="62" t="e">
        <f>(Data_Geotech[[#This Row],[Fracture per interval]]+Data_Geotech[[#This Row],[Added fractures 
(BC, FLT, LC)]])/Data_Geotech[[#This Row],[TCR (m)]]</f>
        <v>#DIV/0!</v>
      </c>
      <c r="AX269" s="62" t="str">
        <f>MID(Data_Geotech[[#This Row],[Field Intact Rock Strength]],2,1)</f>
        <v/>
      </c>
      <c r="AY269" s="63" t="e">
        <f>7-MID(Data_Geotech[[#This Row],[Field Intact Rock Strength]],2,1)</f>
        <v>#VALUE!</v>
      </c>
      <c r="AZ269" s="63" t="e">
        <f>VLOOKUP(Data_Geotech[[#This Row],[Field Intact Rock Strength]],Table_FieldStrength[],2,FALSE)</f>
        <v>#N/A</v>
      </c>
      <c r="BA269" s="63" t="e">
        <f>VLOOKUP(Data_Geotech[[#This Row],[Field Intact Rock Strength]],Table_FieldStrength[],3,FALSE)</f>
        <v>#N/A</v>
      </c>
      <c r="BB269" s="63" t="e">
        <f>VLOOKUP(Data_Geotech[[#This Row],[Field Intact Rock Strength]],Table_FieldStrength[],4,FALSE)</f>
        <v>#N/A</v>
      </c>
      <c r="BC269" s="63" t="e">
        <f>100-Data_Geotech[[#This Row],[RMR76]]</f>
        <v>#VALUE!</v>
      </c>
      <c r="BD269" s="63" t="e">
        <f>LEFT(Data_Geotech[[#This Row],[Weathering/Alteration]],FIND("-",Data_Geotech[[#This Row],[Weathering/Alteration]])-2)</f>
        <v>#VALUE!</v>
      </c>
    </row>
    <row r="270" spans="2:56" hidden="1" x14ac:dyDescent="0.25">
      <c r="B270" s="16" t="e">
        <f>VLOOKUP(Data_Geotech[[#This Row],[Hole ID]],Data_Log[],2,FALSE)</f>
        <v>#N/A</v>
      </c>
      <c r="C270" s="5"/>
      <c r="D270" s="5"/>
      <c r="E270" s="5">
        <f>(Data_Geotech[[#This Row],[To (m)]]-Data_Geotech[[#This Row],[From (m)]])/2+Data_Geotech[[#This Row],[From (m)]]</f>
        <v>0</v>
      </c>
      <c r="F270" s="13">
        <f>Data_Geotech[[#This Row],[To (m)]]-Data_Geotech[[#This Row],[From (m)]]</f>
        <v>0</v>
      </c>
      <c r="G270" s="5"/>
      <c r="H270" s="61" t="e">
        <f>Data_Geotech[[#This Row],[TCR (m)]]/Data_Geotech[[#This Row],[Run (m)]]*100</f>
        <v>#DIV/0!</v>
      </c>
      <c r="I270" s="151"/>
      <c r="J270" s="151"/>
      <c r="K270" s="5"/>
      <c r="L270" s="61" t="e">
        <f>Data_Geotech[[#This Row],[RQD (m)]]/Data_Geotech[[#This Row],[Run Reel (m)]]*100</f>
        <v>#DIV/0!</v>
      </c>
      <c r="P270" s="115"/>
      <c r="Q270" s="5"/>
      <c r="R270" s="5"/>
      <c r="S270" s="5"/>
      <c r="T270" s="5"/>
      <c r="U270" s="5"/>
      <c r="V270" s="6"/>
      <c r="W270" s="92">
        <f>SUMIFS(Discontinuities!$D$4:$D$9664,Discontinuities!$A$4:$A$9664,A270,Discontinuities!$C$4:$C$9664,"&gt;="&amp;C270,Discontinuities!$C$4:$C$9664,"&lt;"&amp;D270)
-SUMIFS(Discontinuities!$D$4:$D$9664,Discontinuities!$A$4:$A$9664,A270,Discontinuities!$C$4:$C$9664,"&gt;="&amp;C270,Discontinuities!$C$4:$C$9664,"&lt;"&amp;D270,Discontinuities!$E$4:$E$9664,"=BC")
-SUMIFS(Discontinuities!$D$4:$D$9664,Discontinuities!$A$4:$A$9664,A270,Discontinuities!$C$4:$C$9664,"&gt;="&amp;C270,Discontinuities!$C$4:$C$9664,"&lt;"&amp;D270,Discontinuities!$E$4:$E$9664,"=LC")
-SUMIFS(Discontinuities!$D$4:$D$9664,Discontinuities!$A$4:$A$9664,A270,Discontinuities!$C$4:$C$9664,"&gt;="&amp;C270,Discontinuities!$C$4:$C$9664,"&lt;"&amp;D270,Discontinuities!$E$4:$E$9664,"=FLT")</f>
        <v>0</v>
      </c>
      <c r="AA270" s="132"/>
      <c r="AB270" s="159">
        <f>IFERROR(ROUND((Data_Geotech[[#This Row],[Fault (m)]]+Data_Geotech[[#This Row],[Broken Core (m)]]+Data_Geotech[[#This Row],[Lost Core (m)]])*30,0),0)</f>
        <v>0</v>
      </c>
      <c r="AC270" s="135">
        <f>IF(Data_Geotech[[#This Row],[Added fractures 
(BC, FLT, LC)]]+Data_Geotech[[#This Row],[Fracture per interval]]=0,99,1/((Data_Geotech[[#This Row],[Fracture per interval]]+Data_Geotech[[#This Row],[Added fractures 
(BC, FLT, LC)]])/Data_Geotech[[#This Row],[Run (m)]]))</f>
        <v>99</v>
      </c>
      <c r="AD270" s="160" t="str" cm="1">
        <f t="array" ref="AD270">IFERROR(_xlfn.XLOOKUP(1,(A270=PLT!$A$4:$A$8886)*(Geotech!C270&lt;=PLT!$F$4:$F$8886)*(Geotech!D270&gt;=PLT!$F$4:$F$8886)*("Valid"=PLT!$P$4:$P$8886),PLT!$V$4:$V$8886),"")</f>
        <v/>
      </c>
      <c r="AE270" s="161" t="str" cm="1">
        <f t="array" ref="AE270">IFERROR(_xlfn.XLOOKUP(1,(A270=PLT!$A$4:$A$8886)*(Geotech!C270&lt;=PLT!$F$4:$F$8886)*(Geotech!D270&gt;=PLT!$F$4:$F$8886)*(PLT!$V$4:$V$8886&lt;&gt;AD270)*("Valid"=PLT!$P$4:$P$7190),PLT!$V$4:$V$8886),"")</f>
        <v/>
      </c>
      <c r="AF270" s="161" t="str" cm="1">
        <f t="array" ref="AF270">IFERROR(_xlfn.XLOOKUP(1,(A270=PLT!$A$4:$A$8886)*(Geotech!C270&lt;=PLT!$F$4:$F$8886)*(Geotech!D270&gt;=PLT!$F$4:$F$8886)*(PLT!$V$4:$V$8886&lt;&gt;AD270)*(PLT!$V$4:$V$8886&lt;&gt;AE270)*("Valid"=PLT!$P$4:$P$7190),PLT!$V$4:$V$8886),"")</f>
        <v/>
      </c>
      <c r="AG270" s="162" t="str">
        <f>IFERROR(IF(AVERAGE(AD270:AF270)&gt;References!$BO$23,References!$BP$23,
IF(AVERAGE(AD270:AF270)&gt;References!$BO$22,References!$BP$22,
IF(AVERAGE(AD270:AF270)&gt;References!$BO$21,References!$BP$21,
IF(AVERAGE(AD270:AF270)&gt;References!$BO$20,References!$BP$20,
IF(AVERAGE(AD270:AF270)&gt;References!$BO$19,References!$BP$19,
IF(AVERAGE(AD270:AF270)&gt;References!$BO$18,References!$BP$18,
0)))))),"")</f>
        <v/>
      </c>
      <c r="AH270" s="163" t="e">
        <f>VLOOKUP(Data_Geotech[[#This Row],[Field Intact Rock Strength]],Table_RMR76_Strength[],2,FALSE)</f>
        <v>#N/A</v>
      </c>
      <c r="AI270" s="163" t="e">
        <f>IF(Data_Geotech[[#This Row],[RQD (%)]]&lt;=25,3,IF(Data_Geotech[[#This Row],[RQD (%)]]&lt;=50,8,IF(Data_Geotech[[#This Row],[RQD (%)]]&lt;=75,13,IF(Data_Geotech[[#This Row],[RQD (%)]]&lt;=90,17,20))))</f>
        <v>#DIV/0!</v>
      </c>
      <c r="AJ270" s="136">
        <f>IF(Data_Geotech[[#This Row],[Joint spacing (m)]]&lt;=0.05,5,IF(Data_Geotech[[#This Row],[Joint spacing (m)]]&lt;=0.3,10,IF(Data_Geotech[[#This Row],[Joint spacing (m)]]&lt;=1,20,IF(Data_Geotech[[#This Row],[Joint spacing (m)]]&lt;=3,25,30))))</f>
        <v>30</v>
      </c>
      <c r="AK27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0" s="6"/>
      <c r="AM270" s="137" t="str">
        <f>IF(Data_Geotech[[#This Row],[FIRS Code]]="R",IFERROR(SUM(Data_Geotech[[#This Row],[RMR76 - Strength rating]:[RMR76 - Ground water rating]]),""),"")</f>
        <v/>
      </c>
      <c r="AN270" s="164" t="str">
        <f>IF(Data_Geotech[[#This Row],[FIRS Code]]="R",(2*Data_Geotech[[#This Row],[RMR76 - Joint condition rating]])+(IF(Data_Geotech[[#This Row],[RQD (%)]]&gt;80,80/2,Data_Geotech[[#This Row],[RQD (%)]]/2)),"")</f>
        <v/>
      </c>
      <c r="AO270" s="136" t="e">
        <f>LEFT(Data_Geotech[[#This Row],[Joint Set Rating]],FIND("-",Data_Geotech[[#This Row],[Joint Set Rating]],1)-2)</f>
        <v>#VALUE!</v>
      </c>
      <c r="AP27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0" s="143">
        <f t="shared" si="4"/>
        <v>1</v>
      </c>
      <c r="AR270" s="165" t="str">
        <f>IF(Data_Geotech[[#This Row],[FIRS Code]]="R",IFERROR((IF(Data_Geotech[[#This Row],[RQD (%)]]&lt;10,10,Data_Geotech[[#This Row],[RQD (%)]])/Data_Geotech[[#This Row],[Jn rating]])*Data_Geotech[[#This Row],[Jr/Ja]],""),"")</f>
        <v/>
      </c>
      <c r="AS270" s="138" t="str">
        <f>IF(Data_Geotech[[#This Row],[FIRS Code]]="R",IFERROR((IF(Data_Geotech[[#This Row],[RQD (%)]]&lt;10,10,Data_Geotech[[#This Row],[RQD (%)]])/Data_Geotech[[#This Row],[Jn rating]])*Data_Geotech[[#This Row],[Jr/Ja]]*Data_Geotech[[#This Row],[Jw/SRF]],""),"")</f>
        <v/>
      </c>
      <c r="AT270" s="12"/>
      <c r="AU270" s="13" t="e">
        <f>100-Data_Geotech[[#This Row],[RQD (%)]]</f>
        <v>#DIV/0!</v>
      </c>
      <c r="AV270" s="13" t="e">
        <f>100-Data_Geotech[[#This Row],[TCR (%)]]</f>
        <v>#DIV/0!</v>
      </c>
      <c r="AW270" s="62" t="e">
        <f>(Data_Geotech[[#This Row],[Fracture per interval]]+Data_Geotech[[#This Row],[Added fractures 
(BC, FLT, LC)]])/Data_Geotech[[#This Row],[TCR (m)]]</f>
        <v>#DIV/0!</v>
      </c>
      <c r="AX270" s="62" t="str">
        <f>MID(Data_Geotech[[#This Row],[Field Intact Rock Strength]],2,1)</f>
        <v/>
      </c>
      <c r="AY270" s="63" t="e">
        <f>7-MID(Data_Geotech[[#This Row],[Field Intact Rock Strength]],2,1)</f>
        <v>#VALUE!</v>
      </c>
      <c r="AZ270" s="63" t="e">
        <f>VLOOKUP(Data_Geotech[[#This Row],[Field Intact Rock Strength]],Table_FieldStrength[],2,FALSE)</f>
        <v>#N/A</v>
      </c>
      <c r="BA270" s="63" t="e">
        <f>VLOOKUP(Data_Geotech[[#This Row],[Field Intact Rock Strength]],Table_FieldStrength[],3,FALSE)</f>
        <v>#N/A</v>
      </c>
      <c r="BB270" s="63" t="e">
        <f>VLOOKUP(Data_Geotech[[#This Row],[Field Intact Rock Strength]],Table_FieldStrength[],4,FALSE)</f>
        <v>#N/A</v>
      </c>
      <c r="BC270" s="63" t="e">
        <f>100-Data_Geotech[[#This Row],[RMR76]]</f>
        <v>#VALUE!</v>
      </c>
      <c r="BD270" s="63" t="e">
        <f>LEFT(Data_Geotech[[#This Row],[Weathering/Alteration]],FIND("-",Data_Geotech[[#This Row],[Weathering/Alteration]])-2)</f>
        <v>#VALUE!</v>
      </c>
    </row>
    <row r="271" spans="2:56" hidden="1" x14ac:dyDescent="0.25">
      <c r="B271" s="16" t="e">
        <f>VLOOKUP(Data_Geotech[[#This Row],[Hole ID]],Data_Log[],2,FALSE)</f>
        <v>#N/A</v>
      </c>
      <c r="C271" s="5"/>
      <c r="D271" s="5"/>
      <c r="E271" s="5">
        <f>(Data_Geotech[[#This Row],[To (m)]]-Data_Geotech[[#This Row],[From (m)]])/2+Data_Geotech[[#This Row],[From (m)]]</f>
        <v>0</v>
      </c>
      <c r="F271" s="13">
        <f>Data_Geotech[[#This Row],[To (m)]]-Data_Geotech[[#This Row],[From (m)]]</f>
        <v>0</v>
      </c>
      <c r="G271" s="5"/>
      <c r="H271" s="61" t="e">
        <f>Data_Geotech[[#This Row],[TCR (m)]]/Data_Geotech[[#This Row],[Run (m)]]*100</f>
        <v>#DIV/0!</v>
      </c>
      <c r="I271" s="151"/>
      <c r="J271" s="151"/>
      <c r="K271" s="5"/>
      <c r="L271" s="61" t="e">
        <f>Data_Geotech[[#This Row],[RQD (m)]]/Data_Geotech[[#This Row],[Run Reel (m)]]*100</f>
        <v>#DIV/0!</v>
      </c>
      <c r="P271" s="115"/>
      <c r="Q271" s="5"/>
      <c r="R271" s="5"/>
      <c r="S271" s="5"/>
      <c r="T271" s="5"/>
      <c r="U271" s="5"/>
      <c r="V271" s="6"/>
      <c r="W271" s="92">
        <f>SUMIFS(Discontinuities!$D$4:$D$9664,Discontinuities!$A$4:$A$9664,A271,Discontinuities!$C$4:$C$9664,"&gt;="&amp;C271,Discontinuities!$C$4:$C$9664,"&lt;"&amp;D271)
-SUMIFS(Discontinuities!$D$4:$D$9664,Discontinuities!$A$4:$A$9664,A271,Discontinuities!$C$4:$C$9664,"&gt;="&amp;C271,Discontinuities!$C$4:$C$9664,"&lt;"&amp;D271,Discontinuities!$E$4:$E$9664,"=BC")
-SUMIFS(Discontinuities!$D$4:$D$9664,Discontinuities!$A$4:$A$9664,A271,Discontinuities!$C$4:$C$9664,"&gt;="&amp;C271,Discontinuities!$C$4:$C$9664,"&lt;"&amp;D271,Discontinuities!$E$4:$E$9664,"=LC")
-SUMIFS(Discontinuities!$D$4:$D$9664,Discontinuities!$A$4:$A$9664,A271,Discontinuities!$C$4:$C$9664,"&gt;="&amp;C271,Discontinuities!$C$4:$C$9664,"&lt;"&amp;D271,Discontinuities!$E$4:$E$9664,"=FLT")</f>
        <v>0</v>
      </c>
      <c r="AA271" s="132"/>
      <c r="AB271" s="159">
        <f>IFERROR(ROUND((Data_Geotech[[#This Row],[Fault (m)]]+Data_Geotech[[#This Row],[Broken Core (m)]]+Data_Geotech[[#This Row],[Lost Core (m)]])*30,0),0)</f>
        <v>0</v>
      </c>
      <c r="AC271" s="135">
        <f>IF(Data_Geotech[[#This Row],[Added fractures 
(BC, FLT, LC)]]+Data_Geotech[[#This Row],[Fracture per interval]]=0,99,1/((Data_Geotech[[#This Row],[Fracture per interval]]+Data_Geotech[[#This Row],[Added fractures 
(BC, FLT, LC)]])/Data_Geotech[[#This Row],[Run (m)]]))</f>
        <v>99</v>
      </c>
      <c r="AD271" s="160" t="str" cm="1">
        <f t="array" ref="AD271">IFERROR(_xlfn.XLOOKUP(1,(A271=PLT!$A$4:$A$8886)*(Geotech!C271&lt;=PLT!$F$4:$F$8886)*(Geotech!D271&gt;=PLT!$F$4:$F$8886)*("Valid"=PLT!$P$4:$P$8886),PLT!$V$4:$V$8886),"")</f>
        <v/>
      </c>
      <c r="AE271" s="161" t="str" cm="1">
        <f t="array" ref="AE271">IFERROR(_xlfn.XLOOKUP(1,(A271=PLT!$A$4:$A$8886)*(Geotech!C271&lt;=PLT!$F$4:$F$8886)*(Geotech!D271&gt;=PLT!$F$4:$F$8886)*(PLT!$V$4:$V$8886&lt;&gt;AD271)*("Valid"=PLT!$P$4:$P$7190),PLT!$V$4:$V$8886),"")</f>
        <v/>
      </c>
      <c r="AF271" s="161" t="str" cm="1">
        <f t="array" ref="AF271">IFERROR(_xlfn.XLOOKUP(1,(A271=PLT!$A$4:$A$8886)*(Geotech!C271&lt;=PLT!$F$4:$F$8886)*(Geotech!D271&gt;=PLT!$F$4:$F$8886)*(PLT!$V$4:$V$8886&lt;&gt;AD271)*(PLT!$V$4:$V$8886&lt;&gt;AE271)*("Valid"=PLT!$P$4:$P$7190),PLT!$V$4:$V$8886),"")</f>
        <v/>
      </c>
      <c r="AG271" s="162" t="str">
        <f>IFERROR(IF(AVERAGE(AD271:AF271)&gt;References!$BO$23,References!$BP$23,
IF(AVERAGE(AD271:AF271)&gt;References!$BO$22,References!$BP$22,
IF(AVERAGE(AD271:AF271)&gt;References!$BO$21,References!$BP$21,
IF(AVERAGE(AD271:AF271)&gt;References!$BO$20,References!$BP$20,
IF(AVERAGE(AD271:AF271)&gt;References!$BO$19,References!$BP$19,
IF(AVERAGE(AD271:AF271)&gt;References!$BO$18,References!$BP$18,
0)))))),"")</f>
        <v/>
      </c>
      <c r="AH271" s="163" t="e">
        <f>VLOOKUP(Data_Geotech[[#This Row],[Field Intact Rock Strength]],Table_RMR76_Strength[],2,FALSE)</f>
        <v>#N/A</v>
      </c>
      <c r="AI271" s="163" t="e">
        <f>IF(Data_Geotech[[#This Row],[RQD (%)]]&lt;=25,3,IF(Data_Geotech[[#This Row],[RQD (%)]]&lt;=50,8,IF(Data_Geotech[[#This Row],[RQD (%)]]&lt;=75,13,IF(Data_Geotech[[#This Row],[RQD (%)]]&lt;=90,17,20))))</f>
        <v>#DIV/0!</v>
      </c>
      <c r="AJ271" s="136">
        <f>IF(Data_Geotech[[#This Row],[Joint spacing (m)]]&lt;=0.05,5,IF(Data_Geotech[[#This Row],[Joint spacing (m)]]&lt;=0.3,10,IF(Data_Geotech[[#This Row],[Joint spacing (m)]]&lt;=1,20,IF(Data_Geotech[[#This Row],[Joint spacing (m)]]&lt;=3,25,30))))</f>
        <v>30</v>
      </c>
      <c r="AK27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1" s="6"/>
      <c r="AM271" s="137" t="str">
        <f>IF(Data_Geotech[[#This Row],[FIRS Code]]="R",IFERROR(SUM(Data_Geotech[[#This Row],[RMR76 - Strength rating]:[RMR76 - Ground water rating]]),""),"")</f>
        <v/>
      </c>
      <c r="AN271" s="164" t="str">
        <f>IF(Data_Geotech[[#This Row],[FIRS Code]]="R",(2*Data_Geotech[[#This Row],[RMR76 - Joint condition rating]])+(IF(Data_Geotech[[#This Row],[RQD (%)]]&gt;80,80/2,Data_Geotech[[#This Row],[RQD (%)]]/2)),"")</f>
        <v/>
      </c>
      <c r="AO271" s="136" t="e">
        <f>LEFT(Data_Geotech[[#This Row],[Joint Set Rating]],FIND("-",Data_Geotech[[#This Row],[Joint Set Rating]],1)-2)</f>
        <v>#VALUE!</v>
      </c>
      <c r="AP27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1" s="143">
        <f t="shared" si="4"/>
        <v>1</v>
      </c>
      <c r="AR271" s="165" t="str">
        <f>IF(Data_Geotech[[#This Row],[FIRS Code]]="R",IFERROR((IF(Data_Geotech[[#This Row],[RQD (%)]]&lt;10,10,Data_Geotech[[#This Row],[RQD (%)]])/Data_Geotech[[#This Row],[Jn rating]])*Data_Geotech[[#This Row],[Jr/Ja]],""),"")</f>
        <v/>
      </c>
      <c r="AS271" s="138" t="str">
        <f>IF(Data_Geotech[[#This Row],[FIRS Code]]="R",IFERROR((IF(Data_Geotech[[#This Row],[RQD (%)]]&lt;10,10,Data_Geotech[[#This Row],[RQD (%)]])/Data_Geotech[[#This Row],[Jn rating]])*Data_Geotech[[#This Row],[Jr/Ja]]*Data_Geotech[[#This Row],[Jw/SRF]],""),"")</f>
        <v/>
      </c>
      <c r="AT271" s="12"/>
      <c r="AU271" s="13" t="e">
        <f>100-Data_Geotech[[#This Row],[RQD (%)]]</f>
        <v>#DIV/0!</v>
      </c>
      <c r="AV271" s="13" t="e">
        <f>100-Data_Geotech[[#This Row],[TCR (%)]]</f>
        <v>#DIV/0!</v>
      </c>
      <c r="AW271" s="62" t="e">
        <f>(Data_Geotech[[#This Row],[Fracture per interval]]+Data_Geotech[[#This Row],[Added fractures 
(BC, FLT, LC)]])/Data_Geotech[[#This Row],[TCR (m)]]</f>
        <v>#DIV/0!</v>
      </c>
      <c r="AX271" s="62" t="str">
        <f>MID(Data_Geotech[[#This Row],[Field Intact Rock Strength]],2,1)</f>
        <v/>
      </c>
      <c r="AY271" s="63" t="e">
        <f>7-MID(Data_Geotech[[#This Row],[Field Intact Rock Strength]],2,1)</f>
        <v>#VALUE!</v>
      </c>
      <c r="AZ271" s="63" t="e">
        <f>VLOOKUP(Data_Geotech[[#This Row],[Field Intact Rock Strength]],Table_FieldStrength[],2,FALSE)</f>
        <v>#N/A</v>
      </c>
      <c r="BA271" s="63" t="e">
        <f>VLOOKUP(Data_Geotech[[#This Row],[Field Intact Rock Strength]],Table_FieldStrength[],3,FALSE)</f>
        <v>#N/A</v>
      </c>
      <c r="BB271" s="63" t="e">
        <f>VLOOKUP(Data_Geotech[[#This Row],[Field Intact Rock Strength]],Table_FieldStrength[],4,FALSE)</f>
        <v>#N/A</v>
      </c>
      <c r="BC271" s="63" t="e">
        <f>100-Data_Geotech[[#This Row],[RMR76]]</f>
        <v>#VALUE!</v>
      </c>
      <c r="BD271" s="63" t="e">
        <f>LEFT(Data_Geotech[[#This Row],[Weathering/Alteration]],FIND("-",Data_Geotech[[#This Row],[Weathering/Alteration]])-2)</f>
        <v>#VALUE!</v>
      </c>
    </row>
    <row r="272" spans="2:56" hidden="1" x14ac:dyDescent="0.25">
      <c r="B272" s="16" t="e">
        <f>VLOOKUP(Data_Geotech[[#This Row],[Hole ID]],Data_Log[],2,FALSE)</f>
        <v>#N/A</v>
      </c>
      <c r="C272" s="5"/>
      <c r="D272" s="5"/>
      <c r="E272" s="5">
        <f>(Data_Geotech[[#This Row],[To (m)]]-Data_Geotech[[#This Row],[From (m)]])/2+Data_Geotech[[#This Row],[From (m)]]</f>
        <v>0</v>
      </c>
      <c r="F272" s="13">
        <f>Data_Geotech[[#This Row],[To (m)]]-Data_Geotech[[#This Row],[From (m)]]</f>
        <v>0</v>
      </c>
      <c r="G272" s="5"/>
      <c r="H272" s="61" t="e">
        <f>Data_Geotech[[#This Row],[TCR (m)]]/Data_Geotech[[#This Row],[Run (m)]]*100</f>
        <v>#DIV/0!</v>
      </c>
      <c r="I272" s="151"/>
      <c r="J272" s="151"/>
      <c r="K272" s="5"/>
      <c r="L272" s="61" t="e">
        <f>Data_Geotech[[#This Row],[RQD (m)]]/Data_Geotech[[#This Row],[Run Reel (m)]]*100</f>
        <v>#DIV/0!</v>
      </c>
      <c r="P272" s="115"/>
      <c r="Q272" s="5"/>
      <c r="R272" s="5"/>
      <c r="S272" s="5"/>
      <c r="T272" s="5"/>
      <c r="U272" s="5"/>
      <c r="V272" s="6"/>
      <c r="W272" s="92">
        <f>SUMIFS(Discontinuities!$D$4:$D$9664,Discontinuities!$A$4:$A$9664,A272,Discontinuities!$C$4:$C$9664,"&gt;="&amp;C272,Discontinuities!$C$4:$C$9664,"&lt;"&amp;D272)
-SUMIFS(Discontinuities!$D$4:$D$9664,Discontinuities!$A$4:$A$9664,A272,Discontinuities!$C$4:$C$9664,"&gt;="&amp;C272,Discontinuities!$C$4:$C$9664,"&lt;"&amp;D272,Discontinuities!$E$4:$E$9664,"=BC")
-SUMIFS(Discontinuities!$D$4:$D$9664,Discontinuities!$A$4:$A$9664,A272,Discontinuities!$C$4:$C$9664,"&gt;="&amp;C272,Discontinuities!$C$4:$C$9664,"&lt;"&amp;D272,Discontinuities!$E$4:$E$9664,"=LC")
-SUMIFS(Discontinuities!$D$4:$D$9664,Discontinuities!$A$4:$A$9664,A272,Discontinuities!$C$4:$C$9664,"&gt;="&amp;C272,Discontinuities!$C$4:$C$9664,"&lt;"&amp;D272,Discontinuities!$E$4:$E$9664,"=FLT")</f>
        <v>0</v>
      </c>
      <c r="AA272" s="132"/>
      <c r="AB272" s="159">
        <f>IFERROR(ROUND((Data_Geotech[[#This Row],[Fault (m)]]+Data_Geotech[[#This Row],[Broken Core (m)]]+Data_Geotech[[#This Row],[Lost Core (m)]])*30,0),0)</f>
        <v>0</v>
      </c>
      <c r="AC272" s="135">
        <f>IF(Data_Geotech[[#This Row],[Added fractures 
(BC, FLT, LC)]]+Data_Geotech[[#This Row],[Fracture per interval]]=0,99,1/((Data_Geotech[[#This Row],[Fracture per interval]]+Data_Geotech[[#This Row],[Added fractures 
(BC, FLT, LC)]])/Data_Geotech[[#This Row],[Run (m)]]))</f>
        <v>99</v>
      </c>
      <c r="AD272" s="160" t="str" cm="1">
        <f t="array" ref="AD272">IFERROR(_xlfn.XLOOKUP(1,(A272=PLT!$A$4:$A$8886)*(Geotech!C272&lt;=PLT!$F$4:$F$8886)*(Geotech!D272&gt;=PLT!$F$4:$F$8886)*("Valid"=PLT!$P$4:$P$8886),PLT!$V$4:$V$8886),"")</f>
        <v/>
      </c>
      <c r="AE272" s="161" t="str" cm="1">
        <f t="array" ref="AE272">IFERROR(_xlfn.XLOOKUP(1,(A272=PLT!$A$4:$A$8886)*(Geotech!C272&lt;=PLT!$F$4:$F$8886)*(Geotech!D272&gt;=PLT!$F$4:$F$8886)*(PLT!$V$4:$V$8886&lt;&gt;AD272)*("Valid"=PLT!$P$4:$P$7190),PLT!$V$4:$V$8886),"")</f>
        <v/>
      </c>
      <c r="AF272" s="161" t="str" cm="1">
        <f t="array" ref="AF272">IFERROR(_xlfn.XLOOKUP(1,(A272=PLT!$A$4:$A$8886)*(Geotech!C272&lt;=PLT!$F$4:$F$8886)*(Geotech!D272&gt;=PLT!$F$4:$F$8886)*(PLT!$V$4:$V$8886&lt;&gt;AD272)*(PLT!$V$4:$V$8886&lt;&gt;AE272)*("Valid"=PLT!$P$4:$P$7190),PLT!$V$4:$V$8886),"")</f>
        <v/>
      </c>
      <c r="AG272" s="162" t="str">
        <f>IFERROR(IF(AVERAGE(AD272:AF272)&gt;References!$BO$23,References!$BP$23,
IF(AVERAGE(AD272:AF272)&gt;References!$BO$22,References!$BP$22,
IF(AVERAGE(AD272:AF272)&gt;References!$BO$21,References!$BP$21,
IF(AVERAGE(AD272:AF272)&gt;References!$BO$20,References!$BP$20,
IF(AVERAGE(AD272:AF272)&gt;References!$BO$19,References!$BP$19,
IF(AVERAGE(AD272:AF272)&gt;References!$BO$18,References!$BP$18,
0)))))),"")</f>
        <v/>
      </c>
      <c r="AH272" s="163" t="e">
        <f>VLOOKUP(Data_Geotech[[#This Row],[Field Intact Rock Strength]],Table_RMR76_Strength[],2,FALSE)</f>
        <v>#N/A</v>
      </c>
      <c r="AI272" s="163" t="e">
        <f>IF(Data_Geotech[[#This Row],[RQD (%)]]&lt;=25,3,IF(Data_Geotech[[#This Row],[RQD (%)]]&lt;=50,8,IF(Data_Geotech[[#This Row],[RQD (%)]]&lt;=75,13,IF(Data_Geotech[[#This Row],[RQD (%)]]&lt;=90,17,20))))</f>
        <v>#DIV/0!</v>
      </c>
      <c r="AJ272" s="136">
        <f>IF(Data_Geotech[[#This Row],[Joint spacing (m)]]&lt;=0.05,5,IF(Data_Geotech[[#This Row],[Joint spacing (m)]]&lt;=0.3,10,IF(Data_Geotech[[#This Row],[Joint spacing (m)]]&lt;=1,20,IF(Data_Geotech[[#This Row],[Joint spacing (m)]]&lt;=3,25,30))))</f>
        <v>30</v>
      </c>
      <c r="AK27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2" s="6"/>
      <c r="AM272" s="137" t="str">
        <f>IF(Data_Geotech[[#This Row],[FIRS Code]]="R",IFERROR(SUM(Data_Geotech[[#This Row],[RMR76 - Strength rating]:[RMR76 - Ground water rating]]),""),"")</f>
        <v/>
      </c>
      <c r="AN272" s="164" t="str">
        <f>IF(Data_Geotech[[#This Row],[FIRS Code]]="R",(2*Data_Geotech[[#This Row],[RMR76 - Joint condition rating]])+(IF(Data_Geotech[[#This Row],[RQD (%)]]&gt;80,80/2,Data_Geotech[[#This Row],[RQD (%)]]/2)),"")</f>
        <v/>
      </c>
      <c r="AO272" s="136" t="e">
        <f>LEFT(Data_Geotech[[#This Row],[Joint Set Rating]],FIND("-",Data_Geotech[[#This Row],[Joint Set Rating]],1)-2)</f>
        <v>#VALUE!</v>
      </c>
      <c r="AP27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2" s="143">
        <f t="shared" si="4"/>
        <v>1</v>
      </c>
      <c r="AR272" s="165" t="str">
        <f>IF(Data_Geotech[[#This Row],[FIRS Code]]="R",IFERROR((IF(Data_Geotech[[#This Row],[RQD (%)]]&lt;10,10,Data_Geotech[[#This Row],[RQD (%)]])/Data_Geotech[[#This Row],[Jn rating]])*Data_Geotech[[#This Row],[Jr/Ja]],""),"")</f>
        <v/>
      </c>
      <c r="AS272" s="138" t="str">
        <f>IF(Data_Geotech[[#This Row],[FIRS Code]]="R",IFERROR((IF(Data_Geotech[[#This Row],[RQD (%)]]&lt;10,10,Data_Geotech[[#This Row],[RQD (%)]])/Data_Geotech[[#This Row],[Jn rating]])*Data_Geotech[[#This Row],[Jr/Ja]]*Data_Geotech[[#This Row],[Jw/SRF]],""),"")</f>
        <v/>
      </c>
      <c r="AT272" s="12"/>
      <c r="AU272" s="13" t="e">
        <f>100-Data_Geotech[[#This Row],[RQD (%)]]</f>
        <v>#DIV/0!</v>
      </c>
      <c r="AV272" s="13" t="e">
        <f>100-Data_Geotech[[#This Row],[TCR (%)]]</f>
        <v>#DIV/0!</v>
      </c>
      <c r="AW272" s="62" t="e">
        <f>(Data_Geotech[[#This Row],[Fracture per interval]]+Data_Geotech[[#This Row],[Added fractures 
(BC, FLT, LC)]])/Data_Geotech[[#This Row],[TCR (m)]]</f>
        <v>#DIV/0!</v>
      </c>
      <c r="AX272" s="62" t="str">
        <f>MID(Data_Geotech[[#This Row],[Field Intact Rock Strength]],2,1)</f>
        <v/>
      </c>
      <c r="AY272" s="63" t="e">
        <f>7-MID(Data_Geotech[[#This Row],[Field Intact Rock Strength]],2,1)</f>
        <v>#VALUE!</v>
      </c>
      <c r="AZ272" s="63" t="e">
        <f>VLOOKUP(Data_Geotech[[#This Row],[Field Intact Rock Strength]],Table_FieldStrength[],2,FALSE)</f>
        <v>#N/A</v>
      </c>
      <c r="BA272" s="63" t="e">
        <f>VLOOKUP(Data_Geotech[[#This Row],[Field Intact Rock Strength]],Table_FieldStrength[],3,FALSE)</f>
        <v>#N/A</v>
      </c>
      <c r="BB272" s="63" t="e">
        <f>VLOOKUP(Data_Geotech[[#This Row],[Field Intact Rock Strength]],Table_FieldStrength[],4,FALSE)</f>
        <v>#N/A</v>
      </c>
      <c r="BC272" s="63" t="e">
        <f>100-Data_Geotech[[#This Row],[RMR76]]</f>
        <v>#VALUE!</v>
      </c>
      <c r="BD272" s="63" t="e">
        <f>LEFT(Data_Geotech[[#This Row],[Weathering/Alteration]],FIND("-",Data_Geotech[[#This Row],[Weathering/Alteration]])-2)</f>
        <v>#VALUE!</v>
      </c>
    </row>
    <row r="273" spans="1:56" hidden="1" x14ac:dyDescent="0.25">
      <c r="B273" s="16" t="e">
        <f>VLOOKUP(Data_Geotech[[#This Row],[Hole ID]],Data_Log[],2,FALSE)</f>
        <v>#N/A</v>
      </c>
      <c r="C273" s="5"/>
      <c r="D273" s="5"/>
      <c r="E273" s="5">
        <f>(Data_Geotech[[#This Row],[To (m)]]-Data_Geotech[[#This Row],[From (m)]])/2+Data_Geotech[[#This Row],[From (m)]]</f>
        <v>0</v>
      </c>
      <c r="F273" s="13">
        <f>Data_Geotech[[#This Row],[To (m)]]-Data_Geotech[[#This Row],[From (m)]]</f>
        <v>0</v>
      </c>
      <c r="G273" s="5"/>
      <c r="H273" s="61" t="e">
        <f>Data_Geotech[[#This Row],[TCR (m)]]/Data_Geotech[[#This Row],[Run (m)]]*100</f>
        <v>#DIV/0!</v>
      </c>
      <c r="I273" s="151"/>
      <c r="J273" s="151"/>
      <c r="K273" s="5"/>
      <c r="L273" s="61" t="e">
        <f>Data_Geotech[[#This Row],[RQD (m)]]/Data_Geotech[[#This Row],[Run Reel (m)]]*100</f>
        <v>#DIV/0!</v>
      </c>
      <c r="P273" s="115"/>
      <c r="Q273" s="5"/>
      <c r="R273" s="5"/>
      <c r="S273" s="5"/>
      <c r="T273" s="5"/>
      <c r="U273" s="5"/>
      <c r="V273" s="6"/>
      <c r="W273" s="92">
        <f>SUMIFS(Discontinuities!$D$4:$D$9664,Discontinuities!$A$4:$A$9664,A273,Discontinuities!$C$4:$C$9664,"&gt;="&amp;C273,Discontinuities!$C$4:$C$9664,"&lt;"&amp;D273)
-SUMIFS(Discontinuities!$D$4:$D$9664,Discontinuities!$A$4:$A$9664,A273,Discontinuities!$C$4:$C$9664,"&gt;="&amp;C273,Discontinuities!$C$4:$C$9664,"&lt;"&amp;D273,Discontinuities!$E$4:$E$9664,"=BC")
-SUMIFS(Discontinuities!$D$4:$D$9664,Discontinuities!$A$4:$A$9664,A273,Discontinuities!$C$4:$C$9664,"&gt;="&amp;C273,Discontinuities!$C$4:$C$9664,"&lt;"&amp;D273,Discontinuities!$E$4:$E$9664,"=LC")
-SUMIFS(Discontinuities!$D$4:$D$9664,Discontinuities!$A$4:$A$9664,A273,Discontinuities!$C$4:$C$9664,"&gt;="&amp;C273,Discontinuities!$C$4:$C$9664,"&lt;"&amp;D273,Discontinuities!$E$4:$E$9664,"=FLT")</f>
        <v>0</v>
      </c>
      <c r="AA273" s="132"/>
      <c r="AB273" s="159">
        <f>IFERROR(ROUND((Data_Geotech[[#This Row],[Fault (m)]]+Data_Geotech[[#This Row],[Broken Core (m)]]+Data_Geotech[[#This Row],[Lost Core (m)]])*30,0),0)</f>
        <v>0</v>
      </c>
      <c r="AC273" s="135">
        <f>IF(Data_Geotech[[#This Row],[Added fractures 
(BC, FLT, LC)]]+Data_Geotech[[#This Row],[Fracture per interval]]=0,99,1/((Data_Geotech[[#This Row],[Fracture per interval]]+Data_Geotech[[#This Row],[Added fractures 
(BC, FLT, LC)]])/Data_Geotech[[#This Row],[Run (m)]]))</f>
        <v>99</v>
      </c>
      <c r="AD273" s="160" t="str" cm="1">
        <f t="array" ref="AD273">IFERROR(_xlfn.XLOOKUP(1,(A273=PLT!$A$4:$A$8886)*(Geotech!C273&lt;=PLT!$F$4:$F$8886)*(Geotech!D273&gt;=PLT!$F$4:$F$8886)*("Valid"=PLT!$P$4:$P$8886),PLT!$V$4:$V$8886),"")</f>
        <v/>
      </c>
      <c r="AE273" s="161" t="str" cm="1">
        <f t="array" ref="AE273">IFERROR(_xlfn.XLOOKUP(1,(A273=PLT!$A$4:$A$8886)*(Geotech!C273&lt;=PLT!$F$4:$F$8886)*(Geotech!D273&gt;=PLT!$F$4:$F$8886)*(PLT!$V$4:$V$8886&lt;&gt;AD273)*("Valid"=PLT!$P$4:$P$7190),PLT!$V$4:$V$8886),"")</f>
        <v/>
      </c>
      <c r="AF273" s="161" t="str" cm="1">
        <f t="array" ref="AF273">IFERROR(_xlfn.XLOOKUP(1,(A273=PLT!$A$4:$A$8886)*(Geotech!C273&lt;=PLT!$F$4:$F$8886)*(Geotech!D273&gt;=PLT!$F$4:$F$8886)*(PLT!$V$4:$V$8886&lt;&gt;AD273)*(PLT!$V$4:$V$8886&lt;&gt;AE273)*("Valid"=PLT!$P$4:$P$7190),PLT!$V$4:$V$8886),"")</f>
        <v/>
      </c>
      <c r="AG273" s="162" t="str">
        <f>IFERROR(IF(AVERAGE(AD273:AF273)&gt;References!$BO$23,References!$BP$23,
IF(AVERAGE(AD273:AF273)&gt;References!$BO$22,References!$BP$22,
IF(AVERAGE(AD273:AF273)&gt;References!$BO$21,References!$BP$21,
IF(AVERAGE(AD273:AF273)&gt;References!$BO$20,References!$BP$20,
IF(AVERAGE(AD273:AF273)&gt;References!$BO$19,References!$BP$19,
IF(AVERAGE(AD273:AF273)&gt;References!$BO$18,References!$BP$18,
0)))))),"")</f>
        <v/>
      </c>
      <c r="AH273" s="163" t="e">
        <f>VLOOKUP(Data_Geotech[[#This Row],[Field Intact Rock Strength]],Table_RMR76_Strength[],2,FALSE)</f>
        <v>#N/A</v>
      </c>
      <c r="AI273" s="163" t="e">
        <f>IF(Data_Geotech[[#This Row],[RQD (%)]]&lt;=25,3,IF(Data_Geotech[[#This Row],[RQD (%)]]&lt;=50,8,IF(Data_Geotech[[#This Row],[RQD (%)]]&lt;=75,13,IF(Data_Geotech[[#This Row],[RQD (%)]]&lt;=90,17,20))))</f>
        <v>#DIV/0!</v>
      </c>
      <c r="AJ273" s="136">
        <f>IF(Data_Geotech[[#This Row],[Joint spacing (m)]]&lt;=0.05,5,IF(Data_Geotech[[#This Row],[Joint spacing (m)]]&lt;=0.3,10,IF(Data_Geotech[[#This Row],[Joint spacing (m)]]&lt;=1,20,IF(Data_Geotech[[#This Row],[Joint spacing (m)]]&lt;=3,25,30))))</f>
        <v>30</v>
      </c>
      <c r="AK27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3" s="6"/>
      <c r="AM273" s="137" t="str">
        <f>IF(Data_Geotech[[#This Row],[FIRS Code]]="R",IFERROR(SUM(Data_Geotech[[#This Row],[RMR76 - Strength rating]:[RMR76 - Ground water rating]]),""),"")</f>
        <v/>
      </c>
      <c r="AN273" s="164" t="str">
        <f>IF(Data_Geotech[[#This Row],[FIRS Code]]="R",(2*Data_Geotech[[#This Row],[RMR76 - Joint condition rating]])+(IF(Data_Geotech[[#This Row],[RQD (%)]]&gt;80,80/2,Data_Geotech[[#This Row],[RQD (%)]]/2)),"")</f>
        <v/>
      </c>
      <c r="AO273" s="136" t="e">
        <f>LEFT(Data_Geotech[[#This Row],[Joint Set Rating]],FIND("-",Data_Geotech[[#This Row],[Joint Set Rating]],1)-2)</f>
        <v>#VALUE!</v>
      </c>
      <c r="AP27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3" s="143">
        <f t="shared" si="4"/>
        <v>1</v>
      </c>
      <c r="AR273" s="165" t="str">
        <f>IF(Data_Geotech[[#This Row],[FIRS Code]]="R",IFERROR((IF(Data_Geotech[[#This Row],[RQD (%)]]&lt;10,10,Data_Geotech[[#This Row],[RQD (%)]])/Data_Geotech[[#This Row],[Jn rating]])*Data_Geotech[[#This Row],[Jr/Ja]],""),"")</f>
        <v/>
      </c>
      <c r="AS273" s="138" t="str">
        <f>IF(Data_Geotech[[#This Row],[FIRS Code]]="R",IFERROR((IF(Data_Geotech[[#This Row],[RQD (%)]]&lt;10,10,Data_Geotech[[#This Row],[RQD (%)]])/Data_Geotech[[#This Row],[Jn rating]])*Data_Geotech[[#This Row],[Jr/Ja]]*Data_Geotech[[#This Row],[Jw/SRF]],""),"")</f>
        <v/>
      </c>
      <c r="AT273" s="12"/>
      <c r="AU273" s="13" t="e">
        <f>100-Data_Geotech[[#This Row],[RQD (%)]]</f>
        <v>#DIV/0!</v>
      </c>
      <c r="AV273" s="13" t="e">
        <f>100-Data_Geotech[[#This Row],[TCR (%)]]</f>
        <v>#DIV/0!</v>
      </c>
      <c r="AW273" s="62" t="e">
        <f>(Data_Geotech[[#This Row],[Fracture per interval]]+Data_Geotech[[#This Row],[Added fractures 
(BC, FLT, LC)]])/Data_Geotech[[#This Row],[TCR (m)]]</f>
        <v>#DIV/0!</v>
      </c>
      <c r="AX273" s="62" t="str">
        <f>MID(Data_Geotech[[#This Row],[Field Intact Rock Strength]],2,1)</f>
        <v/>
      </c>
      <c r="AY273" s="63" t="e">
        <f>7-MID(Data_Geotech[[#This Row],[Field Intact Rock Strength]],2,1)</f>
        <v>#VALUE!</v>
      </c>
      <c r="AZ273" s="63" t="e">
        <f>VLOOKUP(Data_Geotech[[#This Row],[Field Intact Rock Strength]],Table_FieldStrength[],2,FALSE)</f>
        <v>#N/A</v>
      </c>
      <c r="BA273" s="63" t="e">
        <f>VLOOKUP(Data_Geotech[[#This Row],[Field Intact Rock Strength]],Table_FieldStrength[],3,FALSE)</f>
        <v>#N/A</v>
      </c>
      <c r="BB273" s="63" t="e">
        <f>VLOOKUP(Data_Geotech[[#This Row],[Field Intact Rock Strength]],Table_FieldStrength[],4,FALSE)</f>
        <v>#N/A</v>
      </c>
      <c r="BC273" s="63" t="e">
        <f>100-Data_Geotech[[#This Row],[RMR76]]</f>
        <v>#VALUE!</v>
      </c>
      <c r="BD273" s="63" t="e">
        <f>LEFT(Data_Geotech[[#This Row],[Weathering/Alteration]],FIND("-",Data_Geotech[[#This Row],[Weathering/Alteration]])-2)</f>
        <v>#VALUE!</v>
      </c>
    </row>
    <row r="274" spans="1:56" hidden="1" x14ac:dyDescent="0.25">
      <c r="B274" s="16" t="e">
        <f>VLOOKUP(Data_Geotech[[#This Row],[Hole ID]],Data_Log[],2,FALSE)</f>
        <v>#N/A</v>
      </c>
      <c r="C274" s="5"/>
      <c r="D274" s="5"/>
      <c r="E274" s="5">
        <f>(Data_Geotech[[#This Row],[To (m)]]-Data_Geotech[[#This Row],[From (m)]])/2+Data_Geotech[[#This Row],[From (m)]]</f>
        <v>0</v>
      </c>
      <c r="F274" s="13">
        <f>Data_Geotech[[#This Row],[To (m)]]-Data_Geotech[[#This Row],[From (m)]]</f>
        <v>0</v>
      </c>
      <c r="G274" s="5"/>
      <c r="H274" s="61" t="e">
        <f>Data_Geotech[[#This Row],[TCR (m)]]/Data_Geotech[[#This Row],[Run (m)]]*100</f>
        <v>#DIV/0!</v>
      </c>
      <c r="I274" s="151"/>
      <c r="J274" s="151"/>
      <c r="K274" s="5"/>
      <c r="L274" s="61" t="e">
        <f>Data_Geotech[[#This Row],[RQD (m)]]/Data_Geotech[[#This Row],[Run Reel (m)]]*100</f>
        <v>#DIV/0!</v>
      </c>
      <c r="P274" s="115"/>
      <c r="Q274" s="5"/>
      <c r="R274" s="5"/>
      <c r="S274" s="5"/>
      <c r="T274" s="5"/>
      <c r="U274" s="5"/>
      <c r="V274" s="6"/>
      <c r="W274" s="92">
        <f>SUMIFS(Discontinuities!$D$4:$D$9664,Discontinuities!$A$4:$A$9664,A274,Discontinuities!$C$4:$C$9664,"&gt;="&amp;C274,Discontinuities!$C$4:$C$9664,"&lt;"&amp;D274)
-SUMIFS(Discontinuities!$D$4:$D$9664,Discontinuities!$A$4:$A$9664,A274,Discontinuities!$C$4:$C$9664,"&gt;="&amp;C274,Discontinuities!$C$4:$C$9664,"&lt;"&amp;D274,Discontinuities!$E$4:$E$9664,"=BC")
-SUMIFS(Discontinuities!$D$4:$D$9664,Discontinuities!$A$4:$A$9664,A274,Discontinuities!$C$4:$C$9664,"&gt;="&amp;C274,Discontinuities!$C$4:$C$9664,"&lt;"&amp;D274,Discontinuities!$E$4:$E$9664,"=LC")
-SUMIFS(Discontinuities!$D$4:$D$9664,Discontinuities!$A$4:$A$9664,A274,Discontinuities!$C$4:$C$9664,"&gt;="&amp;C274,Discontinuities!$C$4:$C$9664,"&lt;"&amp;D274,Discontinuities!$E$4:$E$9664,"=FLT")</f>
        <v>0</v>
      </c>
      <c r="AA274" s="132"/>
      <c r="AB274" s="159">
        <f>IFERROR(ROUND((Data_Geotech[[#This Row],[Fault (m)]]+Data_Geotech[[#This Row],[Broken Core (m)]]+Data_Geotech[[#This Row],[Lost Core (m)]])*30,0),0)</f>
        <v>0</v>
      </c>
      <c r="AC274" s="135">
        <f>IF(Data_Geotech[[#This Row],[Added fractures 
(BC, FLT, LC)]]+Data_Geotech[[#This Row],[Fracture per interval]]=0,99,1/((Data_Geotech[[#This Row],[Fracture per interval]]+Data_Geotech[[#This Row],[Added fractures 
(BC, FLT, LC)]])/Data_Geotech[[#This Row],[Run (m)]]))</f>
        <v>99</v>
      </c>
      <c r="AD274" s="160" t="str" cm="1">
        <f t="array" ref="AD274">IFERROR(_xlfn.XLOOKUP(1,(A274=PLT!$A$4:$A$8886)*(Geotech!C274&lt;=PLT!$F$4:$F$8886)*(Geotech!D274&gt;=PLT!$F$4:$F$8886)*("Valid"=PLT!$P$4:$P$8886),PLT!$V$4:$V$8886),"")</f>
        <v/>
      </c>
      <c r="AE274" s="161" t="str" cm="1">
        <f t="array" ref="AE274">IFERROR(_xlfn.XLOOKUP(1,(A274=PLT!$A$4:$A$8886)*(Geotech!C274&lt;=PLT!$F$4:$F$8886)*(Geotech!D274&gt;=PLT!$F$4:$F$8886)*(PLT!$V$4:$V$8886&lt;&gt;AD274)*("Valid"=PLT!$P$4:$P$7190),PLT!$V$4:$V$8886),"")</f>
        <v/>
      </c>
      <c r="AF274" s="161" t="str" cm="1">
        <f t="array" ref="AF274">IFERROR(_xlfn.XLOOKUP(1,(A274=PLT!$A$4:$A$8886)*(Geotech!C274&lt;=PLT!$F$4:$F$8886)*(Geotech!D274&gt;=PLT!$F$4:$F$8886)*(PLT!$V$4:$V$8886&lt;&gt;AD274)*(PLT!$V$4:$V$8886&lt;&gt;AE274)*("Valid"=PLT!$P$4:$P$7190),PLT!$V$4:$V$8886),"")</f>
        <v/>
      </c>
      <c r="AG274" s="162" t="str">
        <f>IFERROR(IF(AVERAGE(AD274:AF274)&gt;References!$BO$23,References!$BP$23,
IF(AVERAGE(AD274:AF274)&gt;References!$BO$22,References!$BP$22,
IF(AVERAGE(AD274:AF274)&gt;References!$BO$21,References!$BP$21,
IF(AVERAGE(AD274:AF274)&gt;References!$BO$20,References!$BP$20,
IF(AVERAGE(AD274:AF274)&gt;References!$BO$19,References!$BP$19,
IF(AVERAGE(AD274:AF274)&gt;References!$BO$18,References!$BP$18,
0)))))),"")</f>
        <v/>
      </c>
      <c r="AH274" s="163" t="e">
        <f>VLOOKUP(Data_Geotech[[#This Row],[Field Intact Rock Strength]],Table_RMR76_Strength[],2,FALSE)</f>
        <v>#N/A</v>
      </c>
      <c r="AI274" s="163" t="e">
        <f>IF(Data_Geotech[[#This Row],[RQD (%)]]&lt;=25,3,IF(Data_Geotech[[#This Row],[RQD (%)]]&lt;=50,8,IF(Data_Geotech[[#This Row],[RQD (%)]]&lt;=75,13,IF(Data_Geotech[[#This Row],[RQD (%)]]&lt;=90,17,20))))</f>
        <v>#DIV/0!</v>
      </c>
      <c r="AJ274" s="136">
        <f>IF(Data_Geotech[[#This Row],[Joint spacing (m)]]&lt;=0.05,5,IF(Data_Geotech[[#This Row],[Joint spacing (m)]]&lt;=0.3,10,IF(Data_Geotech[[#This Row],[Joint spacing (m)]]&lt;=1,20,IF(Data_Geotech[[#This Row],[Joint spacing (m)]]&lt;=3,25,30))))</f>
        <v>30</v>
      </c>
      <c r="AK27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4" s="6"/>
      <c r="AM274" s="137" t="str">
        <f>IF(Data_Geotech[[#This Row],[FIRS Code]]="R",IFERROR(SUM(Data_Geotech[[#This Row],[RMR76 - Strength rating]:[RMR76 - Ground water rating]]),""),"")</f>
        <v/>
      </c>
      <c r="AN274" s="164" t="str">
        <f>IF(Data_Geotech[[#This Row],[FIRS Code]]="R",(2*Data_Geotech[[#This Row],[RMR76 - Joint condition rating]])+(IF(Data_Geotech[[#This Row],[RQD (%)]]&gt;80,80/2,Data_Geotech[[#This Row],[RQD (%)]]/2)),"")</f>
        <v/>
      </c>
      <c r="AO274" s="136" t="e">
        <f>LEFT(Data_Geotech[[#This Row],[Joint Set Rating]],FIND("-",Data_Geotech[[#This Row],[Joint Set Rating]],1)-2)</f>
        <v>#VALUE!</v>
      </c>
      <c r="AP27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4" s="143">
        <f t="shared" si="4"/>
        <v>1</v>
      </c>
      <c r="AR274" s="165" t="str">
        <f>IF(Data_Geotech[[#This Row],[FIRS Code]]="R",IFERROR((IF(Data_Geotech[[#This Row],[RQD (%)]]&lt;10,10,Data_Geotech[[#This Row],[RQD (%)]])/Data_Geotech[[#This Row],[Jn rating]])*Data_Geotech[[#This Row],[Jr/Ja]],""),"")</f>
        <v/>
      </c>
      <c r="AS274" s="138" t="str">
        <f>IF(Data_Geotech[[#This Row],[FIRS Code]]="R",IFERROR((IF(Data_Geotech[[#This Row],[RQD (%)]]&lt;10,10,Data_Geotech[[#This Row],[RQD (%)]])/Data_Geotech[[#This Row],[Jn rating]])*Data_Geotech[[#This Row],[Jr/Ja]]*Data_Geotech[[#This Row],[Jw/SRF]],""),"")</f>
        <v/>
      </c>
      <c r="AT274" s="12"/>
      <c r="AU274" s="13" t="e">
        <f>100-Data_Geotech[[#This Row],[RQD (%)]]</f>
        <v>#DIV/0!</v>
      </c>
      <c r="AV274" s="13" t="e">
        <f>100-Data_Geotech[[#This Row],[TCR (%)]]</f>
        <v>#DIV/0!</v>
      </c>
      <c r="AW274" s="62" t="e">
        <f>(Data_Geotech[[#This Row],[Fracture per interval]]+Data_Geotech[[#This Row],[Added fractures 
(BC, FLT, LC)]])/Data_Geotech[[#This Row],[TCR (m)]]</f>
        <v>#DIV/0!</v>
      </c>
      <c r="AX274" s="62" t="str">
        <f>MID(Data_Geotech[[#This Row],[Field Intact Rock Strength]],2,1)</f>
        <v/>
      </c>
      <c r="AY274" s="63" t="e">
        <f>7-MID(Data_Geotech[[#This Row],[Field Intact Rock Strength]],2,1)</f>
        <v>#VALUE!</v>
      </c>
      <c r="AZ274" s="63" t="e">
        <f>VLOOKUP(Data_Geotech[[#This Row],[Field Intact Rock Strength]],Table_FieldStrength[],2,FALSE)</f>
        <v>#N/A</v>
      </c>
      <c r="BA274" s="63" t="e">
        <f>VLOOKUP(Data_Geotech[[#This Row],[Field Intact Rock Strength]],Table_FieldStrength[],3,FALSE)</f>
        <v>#N/A</v>
      </c>
      <c r="BB274" s="63" t="e">
        <f>VLOOKUP(Data_Geotech[[#This Row],[Field Intact Rock Strength]],Table_FieldStrength[],4,FALSE)</f>
        <v>#N/A</v>
      </c>
      <c r="BC274" s="63" t="e">
        <f>100-Data_Geotech[[#This Row],[RMR76]]</f>
        <v>#VALUE!</v>
      </c>
      <c r="BD274" s="63" t="e">
        <f>LEFT(Data_Geotech[[#This Row],[Weathering/Alteration]],FIND("-",Data_Geotech[[#This Row],[Weathering/Alteration]])-2)</f>
        <v>#VALUE!</v>
      </c>
    </row>
    <row r="275" spans="1:56" hidden="1" x14ac:dyDescent="0.25">
      <c r="B275" s="16" t="e">
        <f>VLOOKUP(Data_Geotech[[#This Row],[Hole ID]],Data_Log[],2,FALSE)</f>
        <v>#N/A</v>
      </c>
      <c r="C275" s="5"/>
      <c r="D275" s="5"/>
      <c r="E275" s="5">
        <f>(Data_Geotech[[#This Row],[To (m)]]-Data_Geotech[[#This Row],[From (m)]])/2+Data_Geotech[[#This Row],[From (m)]]</f>
        <v>0</v>
      </c>
      <c r="F275" s="13">
        <f>Data_Geotech[[#This Row],[To (m)]]-Data_Geotech[[#This Row],[From (m)]]</f>
        <v>0</v>
      </c>
      <c r="G275" s="5"/>
      <c r="H275" s="61" t="e">
        <f>Data_Geotech[[#This Row],[TCR (m)]]/Data_Geotech[[#This Row],[Run (m)]]*100</f>
        <v>#DIV/0!</v>
      </c>
      <c r="I275" s="151"/>
      <c r="J275" s="151"/>
      <c r="K275" s="5"/>
      <c r="L275" s="61" t="e">
        <f>Data_Geotech[[#This Row],[RQD (m)]]/Data_Geotech[[#This Row],[Run Reel (m)]]*100</f>
        <v>#DIV/0!</v>
      </c>
      <c r="P275" s="115"/>
      <c r="Q275" s="5"/>
      <c r="R275" s="5"/>
      <c r="S275" s="5"/>
      <c r="T275" s="5"/>
      <c r="U275" s="5"/>
      <c r="V275" s="6"/>
      <c r="W275" s="92">
        <f>SUMIFS(Discontinuities!$D$4:$D$9664,Discontinuities!$A$4:$A$9664,A275,Discontinuities!$C$4:$C$9664,"&gt;="&amp;C275,Discontinuities!$C$4:$C$9664,"&lt;"&amp;D275)
-SUMIFS(Discontinuities!$D$4:$D$9664,Discontinuities!$A$4:$A$9664,A275,Discontinuities!$C$4:$C$9664,"&gt;="&amp;C275,Discontinuities!$C$4:$C$9664,"&lt;"&amp;D275,Discontinuities!$E$4:$E$9664,"=BC")
-SUMIFS(Discontinuities!$D$4:$D$9664,Discontinuities!$A$4:$A$9664,A275,Discontinuities!$C$4:$C$9664,"&gt;="&amp;C275,Discontinuities!$C$4:$C$9664,"&lt;"&amp;D275,Discontinuities!$E$4:$E$9664,"=LC")
-SUMIFS(Discontinuities!$D$4:$D$9664,Discontinuities!$A$4:$A$9664,A275,Discontinuities!$C$4:$C$9664,"&gt;="&amp;C275,Discontinuities!$C$4:$C$9664,"&lt;"&amp;D275,Discontinuities!$E$4:$E$9664,"=FLT")</f>
        <v>0</v>
      </c>
      <c r="AA275" s="132"/>
      <c r="AB275" s="159">
        <f>IFERROR(ROUND((Data_Geotech[[#This Row],[Fault (m)]]+Data_Geotech[[#This Row],[Broken Core (m)]]+Data_Geotech[[#This Row],[Lost Core (m)]])*30,0),0)</f>
        <v>0</v>
      </c>
      <c r="AC275" s="135">
        <f>IF(Data_Geotech[[#This Row],[Added fractures 
(BC, FLT, LC)]]+Data_Geotech[[#This Row],[Fracture per interval]]=0,99,1/((Data_Geotech[[#This Row],[Fracture per interval]]+Data_Geotech[[#This Row],[Added fractures 
(BC, FLT, LC)]])/Data_Geotech[[#This Row],[Run (m)]]))</f>
        <v>99</v>
      </c>
      <c r="AD275" s="160" t="str" cm="1">
        <f t="array" ref="AD275">IFERROR(_xlfn.XLOOKUP(1,(A275=PLT!$A$4:$A$8886)*(Geotech!C275&lt;=PLT!$F$4:$F$8886)*(Geotech!D275&gt;=PLT!$F$4:$F$8886)*("Valid"=PLT!$P$4:$P$8886),PLT!$V$4:$V$8886),"")</f>
        <v/>
      </c>
      <c r="AE275" s="161" t="str" cm="1">
        <f t="array" ref="AE275">IFERROR(_xlfn.XLOOKUP(1,(A275=PLT!$A$4:$A$8886)*(Geotech!C275&lt;=PLT!$F$4:$F$8886)*(Geotech!D275&gt;=PLT!$F$4:$F$8886)*(PLT!$V$4:$V$8886&lt;&gt;AD275)*("Valid"=PLT!$P$4:$P$7190),PLT!$V$4:$V$8886),"")</f>
        <v/>
      </c>
      <c r="AF275" s="161" t="str" cm="1">
        <f t="array" ref="AF275">IFERROR(_xlfn.XLOOKUP(1,(A275=PLT!$A$4:$A$8886)*(Geotech!C275&lt;=PLT!$F$4:$F$8886)*(Geotech!D275&gt;=PLT!$F$4:$F$8886)*(PLT!$V$4:$V$8886&lt;&gt;AD275)*(PLT!$V$4:$V$8886&lt;&gt;AE275)*("Valid"=PLT!$P$4:$P$7190),PLT!$V$4:$V$8886),"")</f>
        <v/>
      </c>
      <c r="AG275" s="162" t="str">
        <f>IFERROR(IF(AVERAGE(AD275:AF275)&gt;References!$BO$23,References!$BP$23,
IF(AVERAGE(AD275:AF275)&gt;References!$BO$22,References!$BP$22,
IF(AVERAGE(AD275:AF275)&gt;References!$BO$21,References!$BP$21,
IF(AVERAGE(AD275:AF275)&gt;References!$BO$20,References!$BP$20,
IF(AVERAGE(AD275:AF275)&gt;References!$BO$19,References!$BP$19,
IF(AVERAGE(AD275:AF275)&gt;References!$BO$18,References!$BP$18,
0)))))),"")</f>
        <v/>
      </c>
      <c r="AH275" s="163" t="e">
        <f>VLOOKUP(Data_Geotech[[#This Row],[Field Intact Rock Strength]],Table_RMR76_Strength[],2,FALSE)</f>
        <v>#N/A</v>
      </c>
      <c r="AI275" s="163" t="e">
        <f>IF(Data_Geotech[[#This Row],[RQD (%)]]&lt;=25,3,IF(Data_Geotech[[#This Row],[RQD (%)]]&lt;=50,8,IF(Data_Geotech[[#This Row],[RQD (%)]]&lt;=75,13,IF(Data_Geotech[[#This Row],[RQD (%)]]&lt;=90,17,20))))</f>
        <v>#DIV/0!</v>
      </c>
      <c r="AJ275" s="136">
        <f>IF(Data_Geotech[[#This Row],[Joint spacing (m)]]&lt;=0.05,5,IF(Data_Geotech[[#This Row],[Joint spacing (m)]]&lt;=0.3,10,IF(Data_Geotech[[#This Row],[Joint spacing (m)]]&lt;=1,20,IF(Data_Geotech[[#This Row],[Joint spacing (m)]]&lt;=3,25,30))))</f>
        <v>30</v>
      </c>
      <c r="AK27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5" s="6"/>
      <c r="AM275" s="137" t="str">
        <f>IF(Data_Geotech[[#This Row],[FIRS Code]]="R",IFERROR(SUM(Data_Geotech[[#This Row],[RMR76 - Strength rating]:[RMR76 - Ground water rating]]),""),"")</f>
        <v/>
      </c>
      <c r="AN275" s="164" t="str">
        <f>IF(Data_Geotech[[#This Row],[FIRS Code]]="R",(2*Data_Geotech[[#This Row],[RMR76 - Joint condition rating]])+(IF(Data_Geotech[[#This Row],[RQD (%)]]&gt;80,80/2,Data_Geotech[[#This Row],[RQD (%)]]/2)),"")</f>
        <v/>
      </c>
      <c r="AO275" s="136" t="e">
        <f>LEFT(Data_Geotech[[#This Row],[Joint Set Rating]],FIND("-",Data_Geotech[[#This Row],[Joint Set Rating]],1)-2)</f>
        <v>#VALUE!</v>
      </c>
      <c r="AP27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5" s="143">
        <f t="shared" si="4"/>
        <v>1</v>
      </c>
      <c r="AR275" s="165" t="str">
        <f>IF(Data_Geotech[[#This Row],[FIRS Code]]="R",IFERROR((IF(Data_Geotech[[#This Row],[RQD (%)]]&lt;10,10,Data_Geotech[[#This Row],[RQD (%)]])/Data_Geotech[[#This Row],[Jn rating]])*Data_Geotech[[#This Row],[Jr/Ja]],""),"")</f>
        <v/>
      </c>
      <c r="AS275" s="138" t="str">
        <f>IF(Data_Geotech[[#This Row],[FIRS Code]]="R",IFERROR((IF(Data_Geotech[[#This Row],[RQD (%)]]&lt;10,10,Data_Geotech[[#This Row],[RQD (%)]])/Data_Geotech[[#This Row],[Jn rating]])*Data_Geotech[[#This Row],[Jr/Ja]]*Data_Geotech[[#This Row],[Jw/SRF]],""),"")</f>
        <v/>
      </c>
      <c r="AT275" s="12"/>
      <c r="AU275" s="13" t="e">
        <f>100-Data_Geotech[[#This Row],[RQD (%)]]</f>
        <v>#DIV/0!</v>
      </c>
      <c r="AV275" s="13" t="e">
        <f>100-Data_Geotech[[#This Row],[TCR (%)]]</f>
        <v>#DIV/0!</v>
      </c>
      <c r="AW275" s="62" t="e">
        <f>(Data_Geotech[[#This Row],[Fracture per interval]]+Data_Geotech[[#This Row],[Added fractures 
(BC, FLT, LC)]])/Data_Geotech[[#This Row],[TCR (m)]]</f>
        <v>#DIV/0!</v>
      </c>
      <c r="AX275" s="62" t="str">
        <f>MID(Data_Geotech[[#This Row],[Field Intact Rock Strength]],2,1)</f>
        <v/>
      </c>
      <c r="AY275" s="63" t="e">
        <f>7-MID(Data_Geotech[[#This Row],[Field Intact Rock Strength]],2,1)</f>
        <v>#VALUE!</v>
      </c>
      <c r="AZ275" s="63" t="e">
        <f>VLOOKUP(Data_Geotech[[#This Row],[Field Intact Rock Strength]],Table_FieldStrength[],2,FALSE)</f>
        <v>#N/A</v>
      </c>
      <c r="BA275" s="63" t="e">
        <f>VLOOKUP(Data_Geotech[[#This Row],[Field Intact Rock Strength]],Table_FieldStrength[],3,FALSE)</f>
        <v>#N/A</v>
      </c>
      <c r="BB275" s="63" t="e">
        <f>VLOOKUP(Data_Geotech[[#This Row],[Field Intact Rock Strength]],Table_FieldStrength[],4,FALSE)</f>
        <v>#N/A</v>
      </c>
      <c r="BC275" s="63" t="e">
        <f>100-Data_Geotech[[#This Row],[RMR76]]</f>
        <v>#VALUE!</v>
      </c>
      <c r="BD275" s="63" t="e">
        <f>LEFT(Data_Geotech[[#This Row],[Weathering/Alteration]],FIND("-",Data_Geotech[[#This Row],[Weathering/Alteration]])-2)</f>
        <v>#VALUE!</v>
      </c>
    </row>
    <row r="276" spans="1:56" hidden="1" x14ac:dyDescent="0.25">
      <c r="B276" s="16" t="e">
        <f>VLOOKUP(Data_Geotech[[#This Row],[Hole ID]],Data_Log[],2,FALSE)</f>
        <v>#N/A</v>
      </c>
      <c r="C276" s="5"/>
      <c r="D276" s="5"/>
      <c r="E276" s="5">
        <f>(Data_Geotech[[#This Row],[To (m)]]-Data_Geotech[[#This Row],[From (m)]])/2+Data_Geotech[[#This Row],[From (m)]]</f>
        <v>0</v>
      </c>
      <c r="F276" s="13">
        <f>Data_Geotech[[#This Row],[To (m)]]-Data_Geotech[[#This Row],[From (m)]]</f>
        <v>0</v>
      </c>
      <c r="G276" s="5"/>
      <c r="H276" s="61" t="e">
        <f>Data_Geotech[[#This Row],[TCR (m)]]/Data_Geotech[[#This Row],[Run (m)]]*100</f>
        <v>#DIV/0!</v>
      </c>
      <c r="I276" s="151"/>
      <c r="J276" s="151"/>
      <c r="K276" s="5"/>
      <c r="L276" s="61" t="e">
        <f>Data_Geotech[[#This Row],[RQD (m)]]/Data_Geotech[[#This Row],[Run Reel (m)]]*100</f>
        <v>#DIV/0!</v>
      </c>
      <c r="P276" s="115"/>
      <c r="Q276" s="5"/>
      <c r="R276" s="5"/>
      <c r="S276" s="5"/>
      <c r="T276" s="5"/>
      <c r="U276" s="5"/>
      <c r="V276" s="6"/>
      <c r="W276" s="92">
        <f>SUMIFS(Discontinuities!$D$4:$D$9664,Discontinuities!$A$4:$A$9664,A276,Discontinuities!$C$4:$C$9664,"&gt;="&amp;C276,Discontinuities!$C$4:$C$9664,"&lt;"&amp;D276)
-SUMIFS(Discontinuities!$D$4:$D$9664,Discontinuities!$A$4:$A$9664,A276,Discontinuities!$C$4:$C$9664,"&gt;="&amp;C276,Discontinuities!$C$4:$C$9664,"&lt;"&amp;D276,Discontinuities!$E$4:$E$9664,"=BC")
-SUMIFS(Discontinuities!$D$4:$D$9664,Discontinuities!$A$4:$A$9664,A276,Discontinuities!$C$4:$C$9664,"&gt;="&amp;C276,Discontinuities!$C$4:$C$9664,"&lt;"&amp;D276,Discontinuities!$E$4:$E$9664,"=LC")
-SUMIFS(Discontinuities!$D$4:$D$9664,Discontinuities!$A$4:$A$9664,A276,Discontinuities!$C$4:$C$9664,"&gt;="&amp;C276,Discontinuities!$C$4:$C$9664,"&lt;"&amp;D276,Discontinuities!$E$4:$E$9664,"=FLT")</f>
        <v>0</v>
      </c>
      <c r="AA276" s="132"/>
      <c r="AB276" s="159">
        <f>IFERROR(ROUND((Data_Geotech[[#This Row],[Fault (m)]]+Data_Geotech[[#This Row],[Broken Core (m)]]+Data_Geotech[[#This Row],[Lost Core (m)]])*30,0),0)</f>
        <v>0</v>
      </c>
      <c r="AC276" s="135">
        <f>IF(Data_Geotech[[#This Row],[Added fractures 
(BC, FLT, LC)]]+Data_Geotech[[#This Row],[Fracture per interval]]=0,99,1/((Data_Geotech[[#This Row],[Fracture per interval]]+Data_Geotech[[#This Row],[Added fractures 
(BC, FLT, LC)]])/Data_Geotech[[#This Row],[Run (m)]]))</f>
        <v>99</v>
      </c>
      <c r="AD276" s="160" t="str" cm="1">
        <f t="array" ref="AD276">IFERROR(_xlfn.XLOOKUP(1,(A276=PLT!$A$4:$A$8886)*(Geotech!C276&lt;=PLT!$F$4:$F$8886)*(Geotech!D276&gt;=PLT!$F$4:$F$8886)*("Valid"=PLT!$P$4:$P$8886),PLT!$V$4:$V$8886),"")</f>
        <v/>
      </c>
      <c r="AE276" s="161" t="str" cm="1">
        <f t="array" ref="AE276">IFERROR(_xlfn.XLOOKUP(1,(A276=PLT!$A$4:$A$8886)*(Geotech!C276&lt;=PLT!$F$4:$F$8886)*(Geotech!D276&gt;=PLT!$F$4:$F$8886)*(PLT!$V$4:$V$8886&lt;&gt;AD276)*("Valid"=PLT!$P$4:$P$7190),PLT!$V$4:$V$8886),"")</f>
        <v/>
      </c>
      <c r="AF276" s="161" t="str" cm="1">
        <f t="array" ref="AF276">IFERROR(_xlfn.XLOOKUP(1,(A276=PLT!$A$4:$A$8886)*(Geotech!C276&lt;=PLT!$F$4:$F$8886)*(Geotech!D276&gt;=PLT!$F$4:$F$8886)*(PLT!$V$4:$V$8886&lt;&gt;AD276)*(PLT!$V$4:$V$8886&lt;&gt;AE276)*("Valid"=PLT!$P$4:$P$7190),PLT!$V$4:$V$8886),"")</f>
        <v/>
      </c>
      <c r="AG276" s="162" t="str">
        <f>IFERROR(IF(AVERAGE(AD276:AF276)&gt;References!$BO$23,References!$BP$23,
IF(AVERAGE(AD276:AF276)&gt;References!$BO$22,References!$BP$22,
IF(AVERAGE(AD276:AF276)&gt;References!$BO$21,References!$BP$21,
IF(AVERAGE(AD276:AF276)&gt;References!$BO$20,References!$BP$20,
IF(AVERAGE(AD276:AF276)&gt;References!$BO$19,References!$BP$19,
IF(AVERAGE(AD276:AF276)&gt;References!$BO$18,References!$BP$18,
0)))))),"")</f>
        <v/>
      </c>
      <c r="AH276" s="163" t="e">
        <f>VLOOKUP(Data_Geotech[[#This Row],[Field Intact Rock Strength]],Table_RMR76_Strength[],2,FALSE)</f>
        <v>#N/A</v>
      </c>
      <c r="AI276" s="163" t="e">
        <f>IF(Data_Geotech[[#This Row],[RQD (%)]]&lt;=25,3,IF(Data_Geotech[[#This Row],[RQD (%)]]&lt;=50,8,IF(Data_Geotech[[#This Row],[RQD (%)]]&lt;=75,13,IF(Data_Geotech[[#This Row],[RQD (%)]]&lt;=90,17,20))))</f>
        <v>#DIV/0!</v>
      </c>
      <c r="AJ276" s="136">
        <f>IF(Data_Geotech[[#This Row],[Joint spacing (m)]]&lt;=0.05,5,IF(Data_Geotech[[#This Row],[Joint spacing (m)]]&lt;=0.3,10,IF(Data_Geotech[[#This Row],[Joint spacing (m)]]&lt;=1,20,IF(Data_Geotech[[#This Row],[Joint spacing (m)]]&lt;=3,25,30))))</f>
        <v>30</v>
      </c>
      <c r="AK27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6" s="6"/>
      <c r="AM276" s="137" t="str">
        <f>IF(Data_Geotech[[#This Row],[FIRS Code]]="R",IFERROR(SUM(Data_Geotech[[#This Row],[RMR76 - Strength rating]:[RMR76 - Ground water rating]]),""),"")</f>
        <v/>
      </c>
      <c r="AN276" s="164" t="str">
        <f>IF(Data_Geotech[[#This Row],[FIRS Code]]="R",(2*Data_Geotech[[#This Row],[RMR76 - Joint condition rating]])+(IF(Data_Geotech[[#This Row],[RQD (%)]]&gt;80,80/2,Data_Geotech[[#This Row],[RQD (%)]]/2)),"")</f>
        <v/>
      </c>
      <c r="AO276" s="136" t="e">
        <f>LEFT(Data_Geotech[[#This Row],[Joint Set Rating]],FIND("-",Data_Geotech[[#This Row],[Joint Set Rating]],1)-2)</f>
        <v>#VALUE!</v>
      </c>
      <c r="AP27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6" s="143">
        <f t="shared" si="4"/>
        <v>1</v>
      </c>
      <c r="AR276" s="165" t="str">
        <f>IF(Data_Geotech[[#This Row],[FIRS Code]]="R",IFERROR((IF(Data_Geotech[[#This Row],[RQD (%)]]&lt;10,10,Data_Geotech[[#This Row],[RQD (%)]])/Data_Geotech[[#This Row],[Jn rating]])*Data_Geotech[[#This Row],[Jr/Ja]],""),"")</f>
        <v/>
      </c>
      <c r="AS276" s="138" t="str">
        <f>IF(Data_Geotech[[#This Row],[FIRS Code]]="R",IFERROR((IF(Data_Geotech[[#This Row],[RQD (%)]]&lt;10,10,Data_Geotech[[#This Row],[RQD (%)]])/Data_Geotech[[#This Row],[Jn rating]])*Data_Geotech[[#This Row],[Jr/Ja]]*Data_Geotech[[#This Row],[Jw/SRF]],""),"")</f>
        <v/>
      </c>
      <c r="AT276" s="12"/>
      <c r="AU276" s="13" t="e">
        <f>100-Data_Geotech[[#This Row],[RQD (%)]]</f>
        <v>#DIV/0!</v>
      </c>
      <c r="AV276" s="13" t="e">
        <f>100-Data_Geotech[[#This Row],[TCR (%)]]</f>
        <v>#DIV/0!</v>
      </c>
      <c r="AW276" s="62" t="e">
        <f>(Data_Geotech[[#This Row],[Fracture per interval]]+Data_Geotech[[#This Row],[Added fractures 
(BC, FLT, LC)]])/Data_Geotech[[#This Row],[TCR (m)]]</f>
        <v>#DIV/0!</v>
      </c>
      <c r="AX276" s="62" t="str">
        <f>MID(Data_Geotech[[#This Row],[Field Intact Rock Strength]],2,1)</f>
        <v/>
      </c>
      <c r="AY276" s="63" t="e">
        <f>7-MID(Data_Geotech[[#This Row],[Field Intact Rock Strength]],2,1)</f>
        <v>#VALUE!</v>
      </c>
      <c r="AZ276" s="63" t="e">
        <f>VLOOKUP(Data_Geotech[[#This Row],[Field Intact Rock Strength]],Table_FieldStrength[],2,FALSE)</f>
        <v>#N/A</v>
      </c>
      <c r="BA276" s="63" t="e">
        <f>VLOOKUP(Data_Geotech[[#This Row],[Field Intact Rock Strength]],Table_FieldStrength[],3,FALSE)</f>
        <v>#N/A</v>
      </c>
      <c r="BB276" s="63" t="e">
        <f>VLOOKUP(Data_Geotech[[#This Row],[Field Intact Rock Strength]],Table_FieldStrength[],4,FALSE)</f>
        <v>#N/A</v>
      </c>
      <c r="BC276" s="63" t="e">
        <f>100-Data_Geotech[[#This Row],[RMR76]]</f>
        <v>#VALUE!</v>
      </c>
      <c r="BD276" s="63" t="e">
        <f>LEFT(Data_Geotech[[#This Row],[Weathering/Alteration]],FIND("-",Data_Geotech[[#This Row],[Weathering/Alteration]])-2)</f>
        <v>#VALUE!</v>
      </c>
    </row>
    <row r="277" spans="1:56" hidden="1" x14ac:dyDescent="0.25">
      <c r="B277" s="16" t="e">
        <f>VLOOKUP(Data_Geotech[[#This Row],[Hole ID]],Data_Log[],2,FALSE)</f>
        <v>#N/A</v>
      </c>
      <c r="C277" s="5"/>
      <c r="D277" s="5"/>
      <c r="E277" s="5">
        <f>(Data_Geotech[[#This Row],[To (m)]]-Data_Geotech[[#This Row],[From (m)]])/2+Data_Geotech[[#This Row],[From (m)]]</f>
        <v>0</v>
      </c>
      <c r="F277" s="13">
        <f>Data_Geotech[[#This Row],[To (m)]]-Data_Geotech[[#This Row],[From (m)]]</f>
        <v>0</v>
      </c>
      <c r="G277" s="5"/>
      <c r="H277" s="61" t="e">
        <f>Data_Geotech[[#This Row],[TCR (m)]]/Data_Geotech[[#This Row],[Run (m)]]*100</f>
        <v>#DIV/0!</v>
      </c>
      <c r="I277" s="151"/>
      <c r="J277" s="151"/>
      <c r="K277" s="5"/>
      <c r="L277" s="61" t="e">
        <f>Data_Geotech[[#This Row],[RQD (m)]]/Data_Geotech[[#This Row],[Run Reel (m)]]*100</f>
        <v>#DIV/0!</v>
      </c>
      <c r="P277" s="115"/>
      <c r="Q277" s="5"/>
      <c r="R277" s="5"/>
      <c r="S277" s="5"/>
      <c r="T277" s="5"/>
      <c r="U277" s="5"/>
      <c r="V277" s="6"/>
      <c r="W277" s="92">
        <f>SUMIFS(Discontinuities!$D$4:$D$9664,Discontinuities!$A$4:$A$9664,A277,Discontinuities!$C$4:$C$9664,"&gt;="&amp;C277,Discontinuities!$C$4:$C$9664,"&lt;"&amp;D277)
-SUMIFS(Discontinuities!$D$4:$D$9664,Discontinuities!$A$4:$A$9664,A277,Discontinuities!$C$4:$C$9664,"&gt;="&amp;C277,Discontinuities!$C$4:$C$9664,"&lt;"&amp;D277,Discontinuities!$E$4:$E$9664,"=BC")
-SUMIFS(Discontinuities!$D$4:$D$9664,Discontinuities!$A$4:$A$9664,A277,Discontinuities!$C$4:$C$9664,"&gt;="&amp;C277,Discontinuities!$C$4:$C$9664,"&lt;"&amp;D277,Discontinuities!$E$4:$E$9664,"=LC")
-SUMIFS(Discontinuities!$D$4:$D$9664,Discontinuities!$A$4:$A$9664,A277,Discontinuities!$C$4:$C$9664,"&gt;="&amp;C277,Discontinuities!$C$4:$C$9664,"&lt;"&amp;D277,Discontinuities!$E$4:$E$9664,"=FLT")</f>
        <v>0</v>
      </c>
      <c r="AA277" s="132"/>
      <c r="AB277" s="159">
        <f>IFERROR(ROUND((Data_Geotech[[#This Row],[Fault (m)]]+Data_Geotech[[#This Row],[Broken Core (m)]]+Data_Geotech[[#This Row],[Lost Core (m)]])*30,0),0)</f>
        <v>0</v>
      </c>
      <c r="AC277" s="135">
        <f>IF(Data_Geotech[[#This Row],[Added fractures 
(BC, FLT, LC)]]+Data_Geotech[[#This Row],[Fracture per interval]]=0,99,1/((Data_Geotech[[#This Row],[Fracture per interval]]+Data_Geotech[[#This Row],[Added fractures 
(BC, FLT, LC)]])/Data_Geotech[[#This Row],[Run (m)]]))</f>
        <v>99</v>
      </c>
      <c r="AD277" s="160" t="str" cm="1">
        <f t="array" ref="AD277">IFERROR(_xlfn.XLOOKUP(1,(A277=PLT!$A$4:$A$8886)*(Geotech!C277&lt;=PLT!$F$4:$F$8886)*(Geotech!D277&gt;=PLT!$F$4:$F$8886)*("Valid"=PLT!$P$4:$P$8886),PLT!$V$4:$V$8886),"")</f>
        <v/>
      </c>
      <c r="AE277" s="161" t="str" cm="1">
        <f t="array" ref="AE277">IFERROR(_xlfn.XLOOKUP(1,(A277=PLT!$A$4:$A$8886)*(Geotech!C277&lt;=PLT!$F$4:$F$8886)*(Geotech!D277&gt;=PLT!$F$4:$F$8886)*(PLT!$V$4:$V$8886&lt;&gt;AD277)*("Valid"=PLT!$P$4:$P$7190),PLT!$V$4:$V$8886),"")</f>
        <v/>
      </c>
      <c r="AF277" s="161" t="str" cm="1">
        <f t="array" ref="AF277">IFERROR(_xlfn.XLOOKUP(1,(A277=PLT!$A$4:$A$8886)*(Geotech!C277&lt;=PLT!$F$4:$F$8886)*(Geotech!D277&gt;=PLT!$F$4:$F$8886)*(PLT!$V$4:$V$8886&lt;&gt;AD277)*(PLT!$V$4:$V$8886&lt;&gt;AE277)*("Valid"=PLT!$P$4:$P$7190),PLT!$V$4:$V$8886),"")</f>
        <v/>
      </c>
      <c r="AG277" s="162" t="str">
        <f>IFERROR(IF(AVERAGE(AD277:AF277)&gt;References!$BO$23,References!$BP$23,
IF(AVERAGE(AD277:AF277)&gt;References!$BO$22,References!$BP$22,
IF(AVERAGE(AD277:AF277)&gt;References!$BO$21,References!$BP$21,
IF(AVERAGE(AD277:AF277)&gt;References!$BO$20,References!$BP$20,
IF(AVERAGE(AD277:AF277)&gt;References!$BO$19,References!$BP$19,
IF(AVERAGE(AD277:AF277)&gt;References!$BO$18,References!$BP$18,
0)))))),"")</f>
        <v/>
      </c>
      <c r="AH277" s="163" t="e">
        <f>VLOOKUP(Data_Geotech[[#This Row],[Field Intact Rock Strength]],Table_RMR76_Strength[],2,FALSE)</f>
        <v>#N/A</v>
      </c>
      <c r="AI277" s="163" t="e">
        <f>IF(Data_Geotech[[#This Row],[RQD (%)]]&lt;=25,3,IF(Data_Geotech[[#This Row],[RQD (%)]]&lt;=50,8,IF(Data_Geotech[[#This Row],[RQD (%)]]&lt;=75,13,IF(Data_Geotech[[#This Row],[RQD (%)]]&lt;=90,17,20))))</f>
        <v>#DIV/0!</v>
      </c>
      <c r="AJ277" s="136">
        <f>IF(Data_Geotech[[#This Row],[Joint spacing (m)]]&lt;=0.05,5,IF(Data_Geotech[[#This Row],[Joint spacing (m)]]&lt;=0.3,10,IF(Data_Geotech[[#This Row],[Joint spacing (m)]]&lt;=1,20,IF(Data_Geotech[[#This Row],[Joint spacing (m)]]&lt;=3,25,30))))</f>
        <v>30</v>
      </c>
      <c r="AK27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7" s="6"/>
      <c r="AM277" s="137" t="str">
        <f>IF(Data_Geotech[[#This Row],[FIRS Code]]="R",IFERROR(SUM(Data_Geotech[[#This Row],[RMR76 - Strength rating]:[RMR76 - Ground water rating]]),""),"")</f>
        <v/>
      </c>
      <c r="AN277" s="164" t="str">
        <f>IF(Data_Geotech[[#This Row],[FIRS Code]]="R",(2*Data_Geotech[[#This Row],[RMR76 - Joint condition rating]])+(IF(Data_Geotech[[#This Row],[RQD (%)]]&gt;80,80/2,Data_Geotech[[#This Row],[RQD (%)]]/2)),"")</f>
        <v/>
      </c>
      <c r="AO277" s="136" t="e">
        <f>LEFT(Data_Geotech[[#This Row],[Joint Set Rating]],FIND("-",Data_Geotech[[#This Row],[Joint Set Rating]],1)-2)</f>
        <v>#VALUE!</v>
      </c>
      <c r="AP27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7" s="143">
        <f t="shared" si="4"/>
        <v>1</v>
      </c>
      <c r="AR277" s="165" t="str">
        <f>IF(Data_Geotech[[#This Row],[FIRS Code]]="R",IFERROR((IF(Data_Geotech[[#This Row],[RQD (%)]]&lt;10,10,Data_Geotech[[#This Row],[RQD (%)]])/Data_Geotech[[#This Row],[Jn rating]])*Data_Geotech[[#This Row],[Jr/Ja]],""),"")</f>
        <v/>
      </c>
      <c r="AS277" s="138" t="str">
        <f>IF(Data_Geotech[[#This Row],[FIRS Code]]="R",IFERROR((IF(Data_Geotech[[#This Row],[RQD (%)]]&lt;10,10,Data_Geotech[[#This Row],[RQD (%)]])/Data_Geotech[[#This Row],[Jn rating]])*Data_Geotech[[#This Row],[Jr/Ja]]*Data_Geotech[[#This Row],[Jw/SRF]],""),"")</f>
        <v/>
      </c>
      <c r="AT277" s="12"/>
      <c r="AU277" s="13" t="e">
        <f>100-Data_Geotech[[#This Row],[RQD (%)]]</f>
        <v>#DIV/0!</v>
      </c>
      <c r="AV277" s="13" t="e">
        <f>100-Data_Geotech[[#This Row],[TCR (%)]]</f>
        <v>#DIV/0!</v>
      </c>
      <c r="AW277" s="62" t="e">
        <f>(Data_Geotech[[#This Row],[Fracture per interval]]+Data_Geotech[[#This Row],[Added fractures 
(BC, FLT, LC)]])/Data_Geotech[[#This Row],[TCR (m)]]</f>
        <v>#DIV/0!</v>
      </c>
      <c r="AX277" s="62" t="str">
        <f>MID(Data_Geotech[[#This Row],[Field Intact Rock Strength]],2,1)</f>
        <v/>
      </c>
      <c r="AY277" s="63" t="e">
        <f>7-MID(Data_Geotech[[#This Row],[Field Intact Rock Strength]],2,1)</f>
        <v>#VALUE!</v>
      </c>
      <c r="AZ277" s="63" t="e">
        <f>VLOOKUP(Data_Geotech[[#This Row],[Field Intact Rock Strength]],Table_FieldStrength[],2,FALSE)</f>
        <v>#N/A</v>
      </c>
      <c r="BA277" s="63" t="e">
        <f>VLOOKUP(Data_Geotech[[#This Row],[Field Intact Rock Strength]],Table_FieldStrength[],3,FALSE)</f>
        <v>#N/A</v>
      </c>
      <c r="BB277" s="63" t="e">
        <f>VLOOKUP(Data_Geotech[[#This Row],[Field Intact Rock Strength]],Table_FieldStrength[],4,FALSE)</f>
        <v>#N/A</v>
      </c>
      <c r="BC277" s="63" t="e">
        <f>100-Data_Geotech[[#This Row],[RMR76]]</f>
        <v>#VALUE!</v>
      </c>
      <c r="BD277" s="63" t="e">
        <f>LEFT(Data_Geotech[[#This Row],[Weathering/Alteration]],FIND("-",Data_Geotech[[#This Row],[Weathering/Alteration]])-2)</f>
        <v>#VALUE!</v>
      </c>
    </row>
    <row r="278" spans="1:56" hidden="1" x14ac:dyDescent="0.25">
      <c r="B278" s="16" t="e">
        <f>VLOOKUP(Data_Geotech[[#This Row],[Hole ID]],Data_Log[],2,FALSE)</f>
        <v>#N/A</v>
      </c>
      <c r="C278" s="5"/>
      <c r="D278" s="5"/>
      <c r="E278" s="5">
        <f>(Data_Geotech[[#This Row],[To (m)]]-Data_Geotech[[#This Row],[From (m)]])/2+Data_Geotech[[#This Row],[From (m)]]</f>
        <v>0</v>
      </c>
      <c r="F278" s="13">
        <f>Data_Geotech[[#This Row],[To (m)]]-Data_Geotech[[#This Row],[From (m)]]</f>
        <v>0</v>
      </c>
      <c r="G278" s="5"/>
      <c r="H278" s="61" t="e">
        <f>Data_Geotech[[#This Row],[TCR (m)]]/Data_Geotech[[#This Row],[Run (m)]]*100</f>
        <v>#DIV/0!</v>
      </c>
      <c r="I278" s="151"/>
      <c r="J278" s="151"/>
      <c r="K278" s="5"/>
      <c r="L278" s="61" t="e">
        <f>Data_Geotech[[#This Row],[RQD (m)]]/Data_Geotech[[#This Row],[Run Reel (m)]]*100</f>
        <v>#DIV/0!</v>
      </c>
      <c r="P278" s="115"/>
      <c r="Q278" s="5"/>
      <c r="R278" s="5"/>
      <c r="S278" s="5"/>
      <c r="T278" s="5"/>
      <c r="U278" s="5"/>
      <c r="V278" s="6"/>
      <c r="W278" s="92">
        <f>SUMIFS(Discontinuities!$D$4:$D$9664,Discontinuities!$A$4:$A$9664,A278,Discontinuities!$C$4:$C$9664,"&gt;="&amp;C278,Discontinuities!$C$4:$C$9664,"&lt;"&amp;D278)
-SUMIFS(Discontinuities!$D$4:$D$9664,Discontinuities!$A$4:$A$9664,A278,Discontinuities!$C$4:$C$9664,"&gt;="&amp;C278,Discontinuities!$C$4:$C$9664,"&lt;"&amp;D278,Discontinuities!$E$4:$E$9664,"=BC")
-SUMIFS(Discontinuities!$D$4:$D$9664,Discontinuities!$A$4:$A$9664,A278,Discontinuities!$C$4:$C$9664,"&gt;="&amp;C278,Discontinuities!$C$4:$C$9664,"&lt;"&amp;D278,Discontinuities!$E$4:$E$9664,"=LC")
-SUMIFS(Discontinuities!$D$4:$D$9664,Discontinuities!$A$4:$A$9664,A278,Discontinuities!$C$4:$C$9664,"&gt;="&amp;C278,Discontinuities!$C$4:$C$9664,"&lt;"&amp;D278,Discontinuities!$E$4:$E$9664,"=FLT")</f>
        <v>0</v>
      </c>
      <c r="AA278" s="132"/>
      <c r="AB278" s="159">
        <f>IFERROR(ROUND((Data_Geotech[[#This Row],[Fault (m)]]+Data_Geotech[[#This Row],[Broken Core (m)]]+Data_Geotech[[#This Row],[Lost Core (m)]])*30,0),0)</f>
        <v>0</v>
      </c>
      <c r="AC278" s="135">
        <f>IF(Data_Geotech[[#This Row],[Added fractures 
(BC, FLT, LC)]]+Data_Geotech[[#This Row],[Fracture per interval]]=0,99,1/((Data_Geotech[[#This Row],[Fracture per interval]]+Data_Geotech[[#This Row],[Added fractures 
(BC, FLT, LC)]])/Data_Geotech[[#This Row],[Run (m)]]))</f>
        <v>99</v>
      </c>
      <c r="AD278" s="160" t="str" cm="1">
        <f t="array" ref="AD278">IFERROR(_xlfn.XLOOKUP(1,(A278=PLT!$A$4:$A$8886)*(Geotech!C278&lt;=PLT!$F$4:$F$8886)*(Geotech!D278&gt;=PLT!$F$4:$F$8886)*("Valid"=PLT!$P$4:$P$8886),PLT!$V$4:$V$8886),"")</f>
        <v/>
      </c>
      <c r="AE278" s="161" t="str" cm="1">
        <f t="array" ref="AE278">IFERROR(_xlfn.XLOOKUP(1,(A278=PLT!$A$4:$A$8886)*(Geotech!C278&lt;=PLT!$F$4:$F$8886)*(Geotech!D278&gt;=PLT!$F$4:$F$8886)*(PLT!$V$4:$V$8886&lt;&gt;AD278)*("Valid"=PLT!$P$4:$P$7190),PLT!$V$4:$V$8886),"")</f>
        <v/>
      </c>
      <c r="AF278" s="161" t="str" cm="1">
        <f t="array" ref="AF278">IFERROR(_xlfn.XLOOKUP(1,(A278=PLT!$A$4:$A$8886)*(Geotech!C278&lt;=PLT!$F$4:$F$8886)*(Geotech!D278&gt;=PLT!$F$4:$F$8886)*(PLT!$V$4:$V$8886&lt;&gt;AD278)*(PLT!$V$4:$V$8886&lt;&gt;AE278)*("Valid"=PLT!$P$4:$P$7190),PLT!$V$4:$V$8886),"")</f>
        <v/>
      </c>
      <c r="AG278" s="162" t="str">
        <f>IFERROR(IF(AVERAGE(AD278:AF278)&gt;References!$BO$23,References!$BP$23,
IF(AVERAGE(AD278:AF278)&gt;References!$BO$22,References!$BP$22,
IF(AVERAGE(AD278:AF278)&gt;References!$BO$21,References!$BP$21,
IF(AVERAGE(AD278:AF278)&gt;References!$BO$20,References!$BP$20,
IF(AVERAGE(AD278:AF278)&gt;References!$BO$19,References!$BP$19,
IF(AVERAGE(AD278:AF278)&gt;References!$BO$18,References!$BP$18,
0)))))),"")</f>
        <v/>
      </c>
      <c r="AH278" s="163" t="e">
        <f>VLOOKUP(Data_Geotech[[#This Row],[Field Intact Rock Strength]],Table_RMR76_Strength[],2,FALSE)</f>
        <v>#N/A</v>
      </c>
      <c r="AI278" s="163" t="e">
        <f>IF(Data_Geotech[[#This Row],[RQD (%)]]&lt;=25,3,IF(Data_Geotech[[#This Row],[RQD (%)]]&lt;=50,8,IF(Data_Geotech[[#This Row],[RQD (%)]]&lt;=75,13,IF(Data_Geotech[[#This Row],[RQD (%)]]&lt;=90,17,20))))</f>
        <v>#DIV/0!</v>
      </c>
      <c r="AJ278" s="136">
        <f>IF(Data_Geotech[[#This Row],[Joint spacing (m)]]&lt;=0.05,5,IF(Data_Geotech[[#This Row],[Joint spacing (m)]]&lt;=0.3,10,IF(Data_Geotech[[#This Row],[Joint spacing (m)]]&lt;=1,20,IF(Data_Geotech[[#This Row],[Joint spacing (m)]]&lt;=3,25,30))))</f>
        <v>30</v>
      </c>
      <c r="AK27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8" s="6"/>
      <c r="AM278" s="137" t="str">
        <f>IF(Data_Geotech[[#This Row],[FIRS Code]]="R",IFERROR(SUM(Data_Geotech[[#This Row],[RMR76 - Strength rating]:[RMR76 - Ground water rating]]),""),"")</f>
        <v/>
      </c>
      <c r="AN278" s="164" t="str">
        <f>IF(Data_Geotech[[#This Row],[FIRS Code]]="R",(2*Data_Geotech[[#This Row],[RMR76 - Joint condition rating]])+(IF(Data_Geotech[[#This Row],[RQD (%)]]&gt;80,80/2,Data_Geotech[[#This Row],[RQD (%)]]/2)),"")</f>
        <v/>
      </c>
      <c r="AO278" s="136" t="e">
        <f>LEFT(Data_Geotech[[#This Row],[Joint Set Rating]],FIND("-",Data_Geotech[[#This Row],[Joint Set Rating]],1)-2)</f>
        <v>#VALUE!</v>
      </c>
      <c r="AP27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8" s="143">
        <f t="shared" si="4"/>
        <v>1</v>
      </c>
      <c r="AR278" s="165" t="str">
        <f>IF(Data_Geotech[[#This Row],[FIRS Code]]="R",IFERROR((IF(Data_Geotech[[#This Row],[RQD (%)]]&lt;10,10,Data_Geotech[[#This Row],[RQD (%)]])/Data_Geotech[[#This Row],[Jn rating]])*Data_Geotech[[#This Row],[Jr/Ja]],""),"")</f>
        <v/>
      </c>
      <c r="AS278" s="138" t="str">
        <f>IF(Data_Geotech[[#This Row],[FIRS Code]]="R",IFERROR((IF(Data_Geotech[[#This Row],[RQD (%)]]&lt;10,10,Data_Geotech[[#This Row],[RQD (%)]])/Data_Geotech[[#This Row],[Jn rating]])*Data_Geotech[[#This Row],[Jr/Ja]]*Data_Geotech[[#This Row],[Jw/SRF]],""),"")</f>
        <v/>
      </c>
      <c r="AT278" s="12"/>
      <c r="AU278" s="13" t="e">
        <f>100-Data_Geotech[[#This Row],[RQD (%)]]</f>
        <v>#DIV/0!</v>
      </c>
      <c r="AV278" s="13" t="e">
        <f>100-Data_Geotech[[#This Row],[TCR (%)]]</f>
        <v>#DIV/0!</v>
      </c>
      <c r="AW278" s="62" t="e">
        <f>(Data_Geotech[[#This Row],[Fracture per interval]]+Data_Geotech[[#This Row],[Added fractures 
(BC, FLT, LC)]])/Data_Geotech[[#This Row],[TCR (m)]]</f>
        <v>#DIV/0!</v>
      </c>
      <c r="AX278" s="62" t="str">
        <f>MID(Data_Geotech[[#This Row],[Field Intact Rock Strength]],2,1)</f>
        <v/>
      </c>
      <c r="AY278" s="63" t="e">
        <f>7-MID(Data_Geotech[[#This Row],[Field Intact Rock Strength]],2,1)</f>
        <v>#VALUE!</v>
      </c>
      <c r="AZ278" s="63" t="e">
        <f>VLOOKUP(Data_Geotech[[#This Row],[Field Intact Rock Strength]],Table_FieldStrength[],2,FALSE)</f>
        <v>#N/A</v>
      </c>
      <c r="BA278" s="63" t="e">
        <f>VLOOKUP(Data_Geotech[[#This Row],[Field Intact Rock Strength]],Table_FieldStrength[],3,FALSE)</f>
        <v>#N/A</v>
      </c>
      <c r="BB278" s="63" t="e">
        <f>VLOOKUP(Data_Geotech[[#This Row],[Field Intact Rock Strength]],Table_FieldStrength[],4,FALSE)</f>
        <v>#N/A</v>
      </c>
      <c r="BC278" s="63" t="e">
        <f>100-Data_Geotech[[#This Row],[RMR76]]</f>
        <v>#VALUE!</v>
      </c>
      <c r="BD278" s="63" t="e">
        <f>LEFT(Data_Geotech[[#This Row],[Weathering/Alteration]],FIND("-",Data_Geotech[[#This Row],[Weathering/Alteration]])-2)</f>
        <v>#VALUE!</v>
      </c>
    </row>
    <row r="279" spans="1:56" hidden="1" x14ac:dyDescent="0.25">
      <c r="B279" s="16" t="e">
        <f>VLOOKUP(Data_Geotech[[#This Row],[Hole ID]],Data_Log[],2,FALSE)</f>
        <v>#N/A</v>
      </c>
      <c r="C279" s="5"/>
      <c r="D279" s="5"/>
      <c r="E279" s="5">
        <f>(Data_Geotech[[#This Row],[To (m)]]-Data_Geotech[[#This Row],[From (m)]])/2+Data_Geotech[[#This Row],[From (m)]]</f>
        <v>0</v>
      </c>
      <c r="F279" s="13">
        <f>Data_Geotech[[#This Row],[To (m)]]-Data_Geotech[[#This Row],[From (m)]]</f>
        <v>0</v>
      </c>
      <c r="G279" s="5"/>
      <c r="H279" s="61" t="e">
        <f>Data_Geotech[[#This Row],[TCR (m)]]/Data_Geotech[[#This Row],[Run (m)]]*100</f>
        <v>#DIV/0!</v>
      </c>
      <c r="I279" s="151"/>
      <c r="J279" s="151"/>
      <c r="K279" s="5"/>
      <c r="L279" s="61" t="e">
        <f>Data_Geotech[[#This Row],[RQD (m)]]/Data_Geotech[[#This Row],[Run Reel (m)]]*100</f>
        <v>#DIV/0!</v>
      </c>
      <c r="P279" s="115"/>
      <c r="Q279" s="5"/>
      <c r="R279" s="5"/>
      <c r="S279" s="5"/>
      <c r="T279" s="5"/>
      <c r="U279" s="5"/>
      <c r="V279" s="6"/>
      <c r="W279" s="92">
        <f>SUMIFS(Discontinuities!$D$4:$D$9664,Discontinuities!$A$4:$A$9664,A279,Discontinuities!$C$4:$C$9664,"&gt;="&amp;C279,Discontinuities!$C$4:$C$9664,"&lt;"&amp;D279)
-SUMIFS(Discontinuities!$D$4:$D$9664,Discontinuities!$A$4:$A$9664,A279,Discontinuities!$C$4:$C$9664,"&gt;="&amp;C279,Discontinuities!$C$4:$C$9664,"&lt;"&amp;D279,Discontinuities!$E$4:$E$9664,"=BC")
-SUMIFS(Discontinuities!$D$4:$D$9664,Discontinuities!$A$4:$A$9664,A279,Discontinuities!$C$4:$C$9664,"&gt;="&amp;C279,Discontinuities!$C$4:$C$9664,"&lt;"&amp;D279,Discontinuities!$E$4:$E$9664,"=LC")
-SUMIFS(Discontinuities!$D$4:$D$9664,Discontinuities!$A$4:$A$9664,A279,Discontinuities!$C$4:$C$9664,"&gt;="&amp;C279,Discontinuities!$C$4:$C$9664,"&lt;"&amp;D279,Discontinuities!$E$4:$E$9664,"=FLT")</f>
        <v>0</v>
      </c>
      <c r="AA279" s="132"/>
      <c r="AB279" s="159">
        <f>IFERROR(ROUND((Data_Geotech[[#This Row],[Fault (m)]]+Data_Geotech[[#This Row],[Broken Core (m)]]+Data_Geotech[[#This Row],[Lost Core (m)]])*30,0),0)</f>
        <v>0</v>
      </c>
      <c r="AC279" s="135">
        <f>IF(Data_Geotech[[#This Row],[Added fractures 
(BC, FLT, LC)]]+Data_Geotech[[#This Row],[Fracture per interval]]=0,99,1/((Data_Geotech[[#This Row],[Fracture per interval]]+Data_Geotech[[#This Row],[Added fractures 
(BC, FLT, LC)]])/Data_Geotech[[#This Row],[Run (m)]]))</f>
        <v>99</v>
      </c>
      <c r="AD279" s="160" t="str" cm="1">
        <f t="array" ref="AD279">IFERROR(_xlfn.XLOOKUP(1,(A279=PLT!$A$4:$A$8886)*(Geotech!C279&lt;=PLT!$F$4:$F$8886)*(Geotech!D279&gt;=PLT!$F$4:$F$8886)*("Valid"=PLT!$P$4:$P$8886),PLT!$V$4:$V$8886),"")</f>
        <v/>
      </c>
      <c r="AE279" s="161" t="str" cm="1">
        <f t="array" ref="AE279">IFERROR(_xlfn.XLOOKUP(1,(A279=PLT!$A$4:$A$8886)*(Geotech!C279&lt;=PLT!$F$4:$F$8886)*(Geotech!D279&gt;=PLT!$F$4:$F$8886)*(PLT!$V$4:$V$8886&lt;&gt;AD279)*("Valid"=PLT!$P$4:$P$7190),PLT!$V$4:$V$8886),"")</f>
        <v/>
      </c>
      <c r="AF279" s="161" t="str" cm="1">
        <f t="array" ref="AF279">IFERROR(_xlfn.XLOOKUP(1,(A279=PLT!$A$4:$A$8886)*(Geotech!C279&lt;=PLT!$F$4:$F$8886)*(Geotech!D279&gt;=PLT!$F$4:$F$8886)*(PLT!$V$4:$V$8886&lt;&gt;AD279)*(PLT!$V$4:$V$8886&lt;&gt;AE279)*("Valid"=PLT!$P$4:$P$7190),PLT!$V$4:$V$8886),"")</f>
        <v/>
      </c>
      <c r="AG279" s="162" t="str">
        <f>IFERROR(IF(AVERAGE(AD279:AF279)&gt;References!$BO$23,References!$BP$23,
IF(AVERAGE(AD279:AF279)&gt;References!$BO$22,References!$BP$22,
IF(AVERAGE(AD279:AF279)&gt;References!$BO$21,References!$BP$21,
IF(AVERAGE(AD279:AF279)&gt;References!$BO$20,References!$BP$20,
IF(AVERAGE(AD279:AF279)&gt;References!$BO$19,References!$BP$19,
IF(AVERAGE(AD279:AF279)&gt;References!$BO$18,References!$BP$18,
0)))))),"")</f>
        <v/>
      </c>
      <c r="AH279" s="163" t="e">
        <f>VLOOKUP(Data_Geotech[[#This Row],[Field Intact Rock Strength]],Table_RMR76_Strength[],2,FALSE)</f>
        <v>#N/A</v>
      </c>
      <c r="AI279" s="163" t="e">
        <f>IF(Data_Geotech[[#This Row],[RQD (%)]]&lt;=25,3,IF(Data_Geotech[[#This Row],[RQD (%)]]&lt;=50,8,IF(Data_Geotech[[#This Row],[RQD (%)]]&lt;=75,13,IF(Data_Geotech[[#This Row],[RQD (%)]]&lt;=90,17,20))))</f>
        <v>#DIV/0!</v>
      </c>
      <c r="AJ279" s="136">
        <f>IF(Data_Geotech[[#This Row],[Joint spacing (m)]]&lt;=0.05,5,IF(Data_Geotech[[#This Row],[Joint spacing (m)]]&lt;=0.3,10,IF(Data_Geotech[[#This Row],[Joint spacing (m)]]&lt;=1,20,IF(Data_Geotech[[#This Row],[Joint spacing (m)]]&lt;=3,25,30))))</f>
        <v>30</v>
      </c>
      <c r="AK27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79" s="6"/>
      <c r="AM279" s="137" t="str">
        <f>IF(Data_Geotech[[#This Row],[FIRS Code]]="R",IFERROR(SUM(Data_Geotech[[#This Row],[RMR76 - Strength rating]:[RMR76 - Ground water rating]]),""),"")</f>
        <v/>
      </c>
      <c r="AN279" s="164" t="str">
        <f>IF(Data_Geotech[[#This Row],[FIRS Code]]="R",(2*Data_Geotech[[#This Row],[RMR76 - Joint condition rating]])+(IF(Data_Geotech[[#This Row],[RQD (%)]]&gt;80,80/2,Data_Geotech[[#This Row],[RQD (%)]]/2)),"")</f>
        <v/>
      </c>
      <c r="AO279" s="136" t="e">
        <f>LEFT(Data_Geotech[[#This Row],[Joint Set Rating]],FIND("-",Data_Geotech[[#This Row],[Joint Set Rating]],1)-2)</f>
        <v>#VALUE!</v>
      </c>
      <c r="AP27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79" s="143">
        <f t="shared" si="4"/>
        <v>1</v>
      </c>
      <c r="AR279" s="165" t="str">
        <f>IF(Data_Geotech[[#This Row],[FIRS Code]]="R",IFERROR((IF(Data_Geotech[[#This Row],[RQD (%)]]&lt;10,10,Data_Geotech[[#This Row],[RQD (%)]])/Data_Geotech[[#This Row],[Jn rating]])*Data_Geotech[[#This Row],[Jr/Ja]],""),"")</f>
        <v/>
      </c>
      <c r="AS279" s="138" t="str">
        <f>IF(Data_Geotech[[#This Row],[FIRS Code]]="R",IFERROR((IF(Data_Geotech[[#This Row],[RQD (%)]]&lt;10,10,Data_Geotech[[#This Row],[RQD (%)]])/Data_Geotech[[#This Row],[Jn rating]])*Data_Geotech[[#This Row],[Jr/Ja]]*Data_Geotech[[#This Row],[Jw/SRF]],""),"")</f>
        <v/>
      </c>
      <c r="AT279" s="12"/>
      <c r="AU279" s="13" t="e">
        <f>100-Data_Geotech[[#This Row],[RQD (%)]]</f>
        <v>#DIV/0!</v>
      </c>
      <c r="AV279" s="13" t="e">
        <f>100-Data_Geotech[[#This Row],[TCR (%)]]</f>
        <v>#DIV/0!</v>
      </c>
      <c r="AW279" s="62" t="e">
        <f>(Data_Geotech[[#This Row],[Fracture per interval]]+Data_Geotech[[#This Row],[Added fractures 
(BC, FLT, LC)]])/Data_Geotech[[#This Row],[TCR (m)]]</f>
        <v>#DIV/0!</v>
      </c>
      <c r="AX279" s="62" t="str">
        <f>MID(Data_Geotech[[#This Row],[Field Intact Rock Strength]],2,1)</f>
        <v/>
      </c>
      <c r="AY279" s="63" t="e">
        <f>7-MID(Data_Geotech[[#This Row],[Field Intact Rock Strength]],2,1)</f>
        <v>#VALUE!</v>
      </c>
      <c r="AZ279" s="63" t="e">
        <f>VLOOKUP(Data_Geotech[[#This Row],[Field Intact Rock Strength]],Table_FieldStrength[],2,FALSE)</f>
        <v>#N/A</v>
      </c>
      <c r="BA279" s="63" t="e">
        <f>VLOOKUP(Data_Geotech[[#This Row],[Field Intact Rock Strength]],Table_FieldStrength[],3,FALSE)</f>
        <v>#N/A</v>
      </c>
      <c r="BB279" s="63" t="e">
        <f>VLOOKUP(Data_Geotech[[#This Row],[Field Intact Rock Strength]],Table_FieldStrength[],4,FALSE)</f>
        <v>#N/A</v>
      </c>
      <c r="BC279" s="63" t="e">
        <f>100-Data_Geotech[[#This Row],[RMR76]]</f>
        <v>#VALUE!</v>
      </c>
      <c r="BD279" s="63" t="e">
        <f>LEFT(Data_Geotech[[#This Row],[Weathering/Alteration]],FIND("-",Data_Geotech[[#This Row],[Weathering/Alteration]])-2)</f>
        <v>#VALUE!</v>
      </c>
    </row>
    <row r="280" spans="1:56" hidden="1" x14ac:dyDescent="0.25">
      <c r="B280" s="16" t="e">
        <f>VLOOKUP(Data_Geotech[[#This Row],[Hole ID]],Data_Log[],2,FALSE)</f>
        <v>#N/A</v>
      </c>
      <c r="C280" s="5"/>
      <c r="D280" s="5"/>
      <c r="E280" s="5">
        <f>(Data_Geotech[[#This Row],[To (m)]]-Data_Geotech[[#This Row],[From (m)]])/2+Data_Geotech[[#This Row],[From (m)]]</f>
        <v>0</v>
      </c>
      <c r="F280" s="13">
        <f>Data_Geotech[[#This Row],[To (m)]]-Data_Geotech[[#This Row],[From (m)]]</f>
        <v>0</v>
      </c>
      <c r="G280" s="5"/>
      <c r="H280" s="61" t="e">
        <f>Data_Geotech[[#This Row],[TCR (m)]]/Data_Geotech[[#This Row],[Run (m)]]*100</f>
        <v>#DIV/0!</v>
      </c>
      <c r="I280" s="151"/>
      <c r="J280" s="151"/>
      <c r="K280" s="5"/>
      <c r="L280" s="61" t="e">
        <f>Data_Geotech[[#This Row],[RQD (m)]]/Data_Geotech[[#This Row],[Run Reel (m)]]*100</f>
        <v>#DIV/0!</v>
      </c>
      <c r="P280" s="115"/>
      <c r="Q280" s="5"/>
      <c r="R280" s="5"/>
      <c r="S280" s="5"/>
      <c r="T280" s="5"/>
      <c r="U280" s="5"/>
      <c r="V280" s="6"/>
      <c r="W280" s="92">
        <f>SUMIFS(Discontinuities!$D$4:$D$9664,Discontinuities!$A$4:$A$9664,A280,Discontinuities!$C$4:$C$9664,"&gt;="&amp;C280,Discontinuities!$C$4:$C$9664,"&lt;"&amp;D280)
-SUMIFS(Discontinuities!$D$4:$D$9664,Discontinuities!$A$4:$A$9664,A280,Discontinuities!$C$4:$C$9664,"&gt;="&amp;C280,Discontinuities!$C$4:$C$9664,"&lt;"&amp;D280,Discontinuities!$E$4:$E$9664,"=BC")
-SUMIFS(Discontinuities!$D$4:$D$9664,Discontinuities!$A$4:$A$9664,A280,Discontinuities!$C$4:$C$9664,"&gt;="&amp;C280,Discontinuities!$C$4:$C$9664,"&lt;"&amp;D280,Discontinuities!$E$4:$E$9664,"=LC")
-SUMIFS(Discontinuities!$D$4:$D$9664,Discontinuities!$A$4:$A$9664,A280,Discontinuities!$C$4:$C$9664,"&gt;="&amp;C280,Discontinuities!$C$4:$C$9664,"&lt;"&amp;D280,Discontinuities!$E$4:$E$9664,"=FLT")</f>
        <v>0</v>
      </c>
      <c r="AA280" s="132"/>
      <c r="AB280" s="159">
        <f>IFERROR(ROUND((Data_Geotech[[#This Row],[Fault (m)]]+Data_Geotech[[#This Row],[Broken Core (m)]]+Data_Geotech[[#This Row],[Lost Core (m)]])*30,0),0)</f>
        <v>0</v>
      </c>
      <c r="AC280" s="135">
        <f>IF(Data_Geotech[[#This Row],[Added fractures 
(BC, FLT, LC)]]+Data_Geotech[[#This Row],[Fracture per interval]]=0,99,1/((Data_Geotech[[#This Row],[Fracture per interval]]+Data_Geotech[[#This Row],[Added fractures 
(BC, FLT, LC)]])/Data_Geotech[[#This Row],[Run (m)]]))</f>
        <v>99</v>
      </c>
      <c r="AD280" s="160" t="str" cm="1">
        <f t="array" ref="AD280">IFERROR(_xlfn.XLOOKUP(1,(A280=PLT!$A$4:$A$8886)*(Geotech!C280&lt;=PLT!$F$4:$F$8886)*(Geotech!D280&gt;=PLT!$F$4:$F$8886)*("Valid"=PLT!$P$4:$P$8886),PLT!$V$4:$V$8886),"")</f>
        <v/>
      </c>
      <c r="AE280" s="161" t="str" cm="1">
        <f t="array" ref="AE280">IFERROR(_xlfn.XLOOKUP(1,(A280=PLT!$A$4:$A$8886)*(Geotech!C280&lt;=PLT!$F$4:$F$8886)*(Geotech!D280&gt;=PLT!$F$4:$F$8886)*(PLT!$V$4:$V$8886&lt;&gt;AD280)*("Valid"=PLT!$P$4:$P$7190),PLT!$V$4:$V$8886),"")</f>
        <v/>
      </c>
      <c r="AF280" s="161" t="str" cm="1">
        <f t="array" ref="AF280">IFERROR(_xlfn.XLOOKUP(1,(A280=PLT!$A$4:$A$8886)*(Geotech!C280&lt;=PLT!$F$4:$F$8886)*(Geotech!D280&gt;=PLT!$F$4:$F$8886)*(PLT!$V$4:$V$8886&lt;&gt;AD280)*(PLT!$V$4:$V$8886&lt;&gt;AE280)*("Valid"=PLT!$P$4:$P$7190),PLT!$V$4:$V$8886),"")</f>
        <v/>
      </c>
      <c r="AG280" s="162" t="str">
        <f>IFERROR(IF(AVERAGE(AD280:AF280)&gt;References!$BO$23,References!$BP$23,
IF(AVERAGE(AD280:AF280)&gt;References!$BO$22,References!$BP$22,
IF(AVERAGE(AD280:AF280)&gt;References!$BO$21,References!$BP$21,
IF(AVERAGE(AD280:AF280)&gt;References!$BO$20,References!$BP$20,
IF(AVERAGE(AD280:AF280)&gt;References!$BO$19,References!$BP$19,
IF(AVERAGE(AD280:AF280)&gt;References!$BO$18,References!$BP$18,
0)))))),"")</f>
        <v/>
      </c>
      <c r="AH280" s="163" t="e">
        <f>VLOOKUP(Data_Geotech[[#This Row],[Field Intact Rock Strength]],Table_RMR76_Strength[],2,FALSE)</f>
        <v>#N/A</v>
      </c>
      <c r="AI280" s="163" t="e">
        <f>IF(Data_Geotech[[#This Row],[RQD (%)]]&lt;=25,3,IF(Data_Geotech[[#This Row],[RQD (%)]]&lt;=50,8,IF(Data_Geotech[[#This Row],[RQD (%)]]&lt;=75,13,IF(Data_Geotech[[#This Row],[RQD (%)]]&lt;=90,17,20))))</f>
        <v>#DIV/0!</v>
      </c>
      <c r="AJ280" s="136">
        <f>IF(Data_Geotech[[#This Row],[Joint spacing (m)]]&lt;=0.05,5,IF(Data_Geotech[[#This Row],[Joint spacing (m)]]&lt;=0.3,10,IF(Data_Geotech[[#This Row],[Joint spacing (m)]]&lt;=1,20,IF(Data_Geotech[[#This Row],[Joint spacing (m)]]&lt;=3,25,30))))</f>
        <v>30</v>
      </c>
      <c r="AK28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0" s="6"/>
      <c r="AM280" s="137" t="str">
        <f>IF(Data_Geotech[[#This Row],[FIRS Code]]="R",IFERROR(SUM(Data_Geotech[[#This Row],[RMR76 - Strength rating]:[RMR76 - Ground water rating]]),""),"")</f>
        <v/>
      </c>
      <c r="AN280" s="164" t="str">
        <f>IF(Data_Geotech[[#This Row],[FIRS Code]]="R",(2*Data_Geotech[[#This Row],[RMR76 - Joint condition rating]])+(IF(Data_Geotech[[#This Row],[RQD (%)]]&gt;80,80/2,Data_Geotech[[#This Row],[RQD (%)]]/2)),"")</f>
        <v/>
      </c>
      <c r="AO280" s="136" t="e">
        <f>LEFT(Data_Geotech[[#This Row],[Joint Set Rating]],FIND("-",Data_Geotech[[#This Row],[Joint Set Rating]],1)-2)</f>
        <v>#VALUE!</v>
      </c>
      <c r="AP28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0" s="143">
        <f t="shared" si="4"/>
        <v>1</v>
      </c>
      <c r="AR280" s="165" t="str">
        <f>IF(Data_Geotech[[#This Row],[FIRS Code]]="R",IFERROR((IF(Data_Geotech[[#This Row],[RQD (%)]]&lt;10,10,Data_Geotech[[#This Row],[RQD (%)]])/Data_Geotech[[#This Row],[Jn rating]])*Data_Geotech[[#This Row],[Jr/Ja]],""),"")</f>
        <v/>
      </c>
      <c r="AS280" s="138" t="str">
        <f>IF(Data_Geotech[[#This Row],[FIRS Code]]="R",IFERROR((IF(Data_Geotech[[#This Row],[RQD (%)]]&lt;10,10,Data_Geotech[[#This Row],[RQD (%)]])/Data_Geotech[[#This Row],[Jn rating]])*Data_Geotech[[#This Row],[Jr/Ja]]*Data_Geotech[[#This Row],[Jw/SRF]],""),"")</f>
        <v/>
      </c>
      <c r="AT280" s="12"/>
      <c r="AU280" s="13" t="e">
        <f>100-Data_Geotech[[#This Row],[RQD (%)]]</f>
        <v>#DIV/0!</v>
      </c>
      <c r="AV280" s="13" t="e">
        <f>100-Data_Geotech[[#This Row],[TCR (%)]]</f>
        <v>#DIV/0!</v>
      </c>
      <c r="AW280" s="62" t="e">
        <f>(Data_Geotech[[#This Row],[Fracture per interval]]+Data_Geotech[[#This Row],[Added fractures 
(BC, FLT, LC)]])/Data_Geotech[[#This Row],[TCR (m)]]</f>
        <v>#DIV/0!</v>
      </c>
      <c r="AX280" s="62" t="str">
        <f>MID(Data_Geotech[[#This Row],[Field Intact Rock Strength]],2,1)</f>
        <v/>
      </c>
      <c r="AY280" s="63" t="e">
        <f>7-MID(Data_Geotech[[#This Row],[Field Intact Rock Strength]],2,1)</f>
        <v>#VALUE!</v>
      </c>
      <c r="AZ280" s="63" t="e">
        <f>VLOOKUP(Data_Geotech[[#This Row],[Field Intact Rock Strength]],Table_FieldStrength[],2,FALSE)</f>
        <v>#N/A</v>
      </c>
      <c r="BA280" s="63" t="e">
        <f>VLOOKUP(Data_Geotech[[#This Row],[Field Intact Rock Strength]],Table_FieldStrength[],3,FALSE)</f>
        <v>#N/A</v>
      </c>
      <c r="BB280" s="63" t="e">
        <f>VLOOKUP(Data_Geotech[[#This Row],[Field Intact Rock Strength]],Table_FieldStrength[],4,FALSE)</f>
        <v>#N/A</v>
      </c>
      <c r="BC280" s="63" t="e">
        <f>100-Data_Geotech[[#This Row],[RMR76]]</f>
        <v>#VALUE!</v>
      </c>
      <c r="BD280" s="63" t="e">
        <f>LEFT(Data_Geotech[[#This Row],[Weathering/Alteration]],FIND("-",Data_Geotech[[#This Row],[Weathering/Alteration]])-2)</f>
        <v>#VALUE!</v>
      </c>
    </row>
    <row r="281" spans="1:56" hidden="1" x14ac:dyDescent="0.25">
      <c r="B281" s="16" t="e">
        <f>VLOOKUP(Data_Geotech[[#This Row],[Hole ID]],Data_Log[],2,FALSE)</f>
        <v>#N/A</v>
      </c>
      <c r="C281" s="5"/>
      <c r="D281" s="5"/>
      <c r="E281" s="5">
        <f>(Data_Geotech[[#This Row],[To (m)]]-Data_Geotech[[#This Row],[From (m)]])/2+Data_Geotech[[#This Row],[From (m)]]</f>
        <v>0</v>
      </c>
      <c r="F281" s="13">
        <f>Data_Geotech[[#This Row],[To (m)]]-Data_Geotech[[#This Row],[From (m)]]</f>
        <v>0</v>
      </c>
      <c r="G281" s="5"/>
      <c r="H281" s="61" t="e">
        <f>Data_Geotech[[#This Row],[TCR (m)]]/Data_Geotech[[#This Row],[Run (m)]]*100</f>
        <v>#DIV/0!</v>
      </c>
      <c r="I281" s="151"/>
      <c r="J281" s="151"/>
      <c r="K281" s="5"/>
      <c r="L281" s="61" t="e">
        <f>Data_Geotech[[#This Row],[RQD (m)]]/Data_Geotech[[#This Row],[Run Reel (m)]]*100</f>
        <v>#DIV/0!</v>
      </c>
      <c r="P281" s="115"/>
      <c r="Q281" s="5"/>
      <c r="R281" s="5"/>
      <c r="S281" s="5"/>
      <c r="T281" s="5"/>
      <c r="U281" s="5"/>
      <c r="V281" s="6"/>
      <c r="W281" s="92">
        <f>SUMIFS(Discontinuities!$D$4:$D$9664,Discontinuities!$A$4:$A$9664,A281,Discontinuities!$C$4:$C$9664,"&gt;="&amp;C281,Discontinuities!$C$4:$C$9664,"&lt;"&amp;D281)
-SUMIFS(Discontinuities!$D$4:$D$9664,Discontinuities!$A$4:$A$9664,A281,Discontinuities!$C$4:$C$9664,"&gt;="&amp;C281,Discontinuities!$C$4:$C$9664,"&lt;"&amp;D281,Discontinuities!$E$4:$E$9664,"=BC")
-SUMIFS(Discontinuities!$D$4:$D$9664,Discontinuities!$A$4:$A$9664,A281,Discontinuities!$C$4:$C$9664,"&gt;="&amp;C281,Discontinuities!$C$4:$C$9664,"&lt;"&amp;D281,Discontinuities!$E$4:$E$9664,"=LC")
-SUMIFS(Discontinuities!$D$4:$D$9664,Discontinuities!$A$4:$A$9664,A281,Discontinuities!$C$4:$C$9664,"&gt;="&amp;C281,Discontinuities!$C$4:$C$9664,"&lt;"&amp;D281,Discontinuities!$E$4:$E$9664,"=FLT")</f>
        <v>0</v>
      </c>
      <c r="AA281" s="132"/>
      <c r="AB281" s="159">
        <f>IFERROR(ROUND((Data_Geotech[[#This Row],[Fault (m)]]+Data_Geotech[[#This Row],[Broken Core (m)]]+Data_Geotech[[#This Row],[Lost Core (m)]])*30,0),0)</f>
        <v>0</v>
      </c>
      <c r="AC281" s="135">
        <f>IF(Data_Geotech[[#This Row],[Added fractures 
(BC, FLT, LC)]]+Data_Geotech[[#This Row],[Fracture per interval]]=0,99,1/((Data_Geotech[[#This Row],[Fracture per interval]]+Data_Geotech[[#This Row],[Added fractures 
(BC, FLT, LC)]])/Data_Geotech[[#This Row],[Run (m)]]))</f>
        <v>99</v>
      </c>
      <c r="AD281" s="160" t="str" cm="1">
        <f t="array" ref="AD281">IFERROR(_xlfn.XLOOKUP(1,(A281=PLT!$A$4:$A$8886)*(Geotech!C281&lt;=PLT!$F$4:$F$8886)*(Geotech!D281&gt;=PLT!$F$4:$F$8886)*("Valid"=PLT!$P$4:$P$8886),PLT!$V$4:$V$8886),"")</f>
        <v/>
      </c>
      <c r="AE281" s="161" t="str" cm="1">
        <f t="array" ref="AE281">IFERROR(_xlfn.XLOOKUP(1,(A281=PLT!$A$4:$A$8886)*(Geotech!C281&lt;=PLT!$F$4:$F$8886)*(Geotech!D281&gt;=PLT!$F$4:$F$8886)*(PLT!$V$4:$V$8886&lt;&gt;AD281)*("Valid"=PLT!$P$4:$P$7190),PLT!$V$4:$V$8886),"")</f>
        <v/>
      </c>
      <c r="AF281" s="161" t="str" cm="1">
        <f t="array" ref="AF281">IFERROR(_xlfn.XLOOKUP(1,(A281=PLT!$A$4:$A$8886)*(Geotech!C281&lt;=PLT!$F$4:$F$8886)*(Geotech!D281&gt;=PLT!$F$4:$F$8886)*(PLT!$V$4:$V$8886&lt;&gt;AD281)*(PLT!$V$4:$V$8886&lt;&gt;AE281)*("Valid"=PLT!$P$4:$P$7190),PLT!$V$4:$V$8886),"")</f>
        <v/>
      </c>
      <c r="AG281" s="162" t="str">
        <f>IFERROR(IF(AVERAGE(AD281:AF281)&gt;References!$BO$23,References!$BP$23,
IF(AVERAGE(AD281:AF281)&gt;References!$BO$22,References!$BP$22,
IF(AVERAGE(AD281:AF281)&gt;References!$BO$21,References!$BP$21,
IF(AVERAGE(AD281:AF281)&gt;References!$BO$20,References!$BP$20,
IF(AVERAGE(AD281:AF281)&gt;References!$BO$19,References!$BP$19,
IF(AVERAGE(AD281:AF281)&gt;References!$BO$18,References!$BP$18,
0)))))),"")</f>
        <v/>
      </c>
      <c r="AH281" s="163" t="e">
        <f>VLOOKUP(Data_Geotech[[#This Row],[Field Intact Rock Strength]],Table_RMR76_Strength[],2,FALSE)</f>
        <v>#N/A</v>
      </c>
      <c r="AI281" s="163" t="e">
        <f>IF(Data_Geotech[[#This Row],[RQD (%)]]&lt;=25,3,IF(Data_Geotech[[#This Row],[RQD (%)]]&lt;=50,8,IF(Data_Geotech[[#This Row],[RQD (%)]]&lt;=75,13,IF(Data_Geotech[[#This Row],[RQD (%)]]&lt;=90,17,20))))</f>
        <v>#DIV/0!</v>
      </c>
      <c r="AJ281" s="136">
        <f>IF(Data_Geotech[[#This Row],[Joint spacing (m)]]&lt;=0.05,5,IF(Data_Geotech[[#This Row],[Joint spacing (m)]]&lt;=0.3,10,IF(Data_Geotech[[#This Row],[Joint spacing (m)]]&lt;=1,20,IF(Data_Geotech[[#This Row],[Joint spacing (m)]]&lt;=3,25,30))))</f>
        <v>30</v>
      </c>
      <c r="AK28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1" s="6"/>
      <c r="AM281" s="137" t="str">
        <f>IF(Data_Geotech[[#This Row],[FIRS Code]]="R",IFERROR(SUM(Data_Geotech[[#This Row],[RMR76 - Strength rating]:[RMR76 - Ground water rating]]),""),"")</f>
        <v/>
      </c>
      <c r="AN281" s="164" t="str">
        <f>IF(Data_Geotech[[#This Row],[FIRS Code]]="R",(2*Data_Geotech[[#This Row],[RMR76 - Joint condition rating]])+(IF(Data_Geotech[[#This Row],[RQD (%)]]&gt;80,80/2,Data_Geotech[[#This Row],[RQD (%)]]/2)),"")</f>
        <v/>
      </c>
      <c r="AO281" s="136" t="e">
        <f>LEFT(Data_Geotech[[#This Row],[Joint Set Rating]],FIND("-",Data_Geotech[[#This Row],[Joint Set Rating]],1)-2)</f>
        <v>#VALUE!</v>
      </c>
      <c r="AP28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1" s="143">
        <f t="shared" si="4"/>
        <v>1</v>
      </c>
      <c r="AR281" s="165" t="str">
        <f>IF(Data_Geotech[[#This Row],[FIRS Code]]="R",IFERROR((IF(Data_Geotech[[#This Row],[RQD (%)]]&lt;10,10,Data_Geotech[[#This Row],[RQD (%)]])/Data_Geotech[[#This Row],[Jn rating]])*Data_Geotech[[#This Row],[Jr/Ja]],""),"")</f>
        <v/>
      </c>
      <c r="AS281" s="138" t="str">
        <f>IF(Data_Geotech[[#This Row],[FIRS Code]]="R",IFERROR((IF(Data_Geotech[[#This Row],[RQD (%)]]&lt;10,10,Data_Geotech[[#This Row],[RQD (%)]])/Data_Geotech[[#This Row],[Jn rating]])*Data_Geotech[[#This Row],[Jr/Ja]]*Data_Geotech[[#This Row],[Jw/SRF]],""),"")</f>
        <v/>
      </c>
      <c r="AT281" s="12"/>
      <c r="AU281" s="13" t="e">
        <f>100-Data_Geotech[[#This Row],[RQD (%)]]</f>
        <v>#DIV/0!</v>
      </c>
      <c r="AV281" s="13" t="e">
        <f>100-Data_Geotech[[#This Row],[TCR (%)]]</f>
        <v>#DIV/0!</v>
      </c>
      <c r="AW281" s="62" t="e">
        <f>(Data_Geotech[[#This Row],[Fracture per interval]]+Data_Geotech[[#This Row],[Added fractures 
(BC, FLT, LC)]])/Data_Geotech[[#This Row],[TCR (m)]]</f>
        <v>#DIV/0!</v>
      </c>
      <c r="AX281" s="62" t="str">
        <f>MID(Data_Geotech[[#This Row],[Field Intact Rock Strength]],2,1)</f>
        <v/>
      </c>
      <c r="AY281" s="63" t="e">
        <f>7-MID(Data_Geotech[[#This Row],[Field Intact Rock Strength]],2,1)</f>
        <v>#VALUE!</v>
      </c>
      <c r="AZ281" s="63" t="e">
        <f>VLOOKUP(Data_Geotech[[#This Row],[Field Intact Rock Strength]],Table_FieldStrength[],2,FALSE)</f>
        <v>#N/A</v>
      </c>
      <c r="BA281" s="63" t="e">
        <f>VLOOKUP(Data_Geotech[[#This Row],[Field Intact Rock Strength]],Table_FieldStrength[],3,FALSE)</f>
        <v>#N/A</v>
      </c>
      <c r="BB281" s="63" t="e">
        <f>VLOOKUP(Data_Geotech[[#This Row],[Field Intact Rock Strength]],Table_FieldStrength[],4,FALSE)</f>
        <v>#N/A</v>
      </c>
      <c r="BC281" s="63" t="e">
        <f>100-Data_Geotech[[#This Row],[RMR76]]</f>
        <v>#VALUE!</v>
      </c>
      <c r="BD281" s="63" t="e">
        <f>LEFT(Data_Geotech[[#This Row],[Weathering/Alteration]],FIND("-",Data_Geotech[[#This Row],[Weathering/Alteration]])-2)</f>
        <v>#VALUE!</v>
      </c>
    </row>
    <row r="282" spans="1:56" hidden="1" x14ac:dyDescent="0.25">
      <c r="B282" s="16" t="e">
        <f>VLOOKUP(Data_Geotech[[#This Row],[Hole ID]],Data_Log[],2,FALSE)</f>
        <v>#N/A</v>
      </c>
      <c r="C282" s="5"/>
      <c r="D282" s="5"/>
      <c r="E282" s="5">
        <f>(Data_Geotech[[#This Row],[To (m)]]-Data_Geotech[[#This Row],[From (m)]])/2+Data_Geotech[[#This Row],[From (m)]]</f>
        <v>0</v>
      </c>
      <c r="F282" s="13">
        <f>Data_Geotech[[#This Row],[To (m)]]-Data_Geotech[[#This Row],[From (m)]]</f>
        <v>0</v>
      </c>
      <c r="G282" s="5"/>
      <c r="H282" s="61" t="e">
        <f>Data_Geotech[[#This Row],[TCR (m)]]/Data_Geotech[[#This Row],[Run (m)]]*100</f>
        <v>#DIV/0!</v>
      </c>
      <c r="I282" s="151"/>
      <c r="J282" s="151"/>
      <c r="K282" s="5"/>
      <c r="L282" s="61" t="e">
        <f>Data_Geotech[[#This Row],[RQD (m)]]/Data_Geotech[[#This Row],[Run Reel (m)]]*100</f>
        <v>#DIV/0!</v>
      </c>
      <c r="P282" s="115"/>
      <c r="Q282" s="5"/>
      <c r="R282" s="5"/>
      <c r="S282" s="5"/>
      <c r="T282" s="5"/>
      <c r="U282" s="5"/>
      <c r="V282" s="6"/>
      <c r="W282" s="92">
        <f>SUMIFS(Discontinuities!$D$4:$D$9664,Discontinuities!$A$4:$A$9664,A282,Discontinuities!$C$4:$C$9664,"&gt;="&amp;C282,Discontinuities!$C$4:$C$9664,"&lt;"&amp;D282)
-SUMIFS(Discontinuities!$D$4:$D$9664,Discontinuities!$A$4:$A$9664,A282,Discontinuities!$C$4:$C$9664,"&gt;="&amp;C282,Discontinuities!$C$4:$C$9664,"&lt;"&amp;D282,Discontinuities!$E$4:$E$9664,"=BC")
-SUMIFS(Discontinuities!$D$4:$D$9664,Discontinuities!$A$4:$A$9664,A282,Discontinuities!$C$4:$C$9664,"&gt;="&amp;C282,Discontinuities!$C$4:$C$9664,"&lt;"&amp;D282,Discontinuities!$E$4:$E$9664,"=LC")
-SUMIFS(Discontinuities!$D$4:$D$9664,Discontinuities!$A$4:$A$9664,A282,Discontinuities!$C$4:$C$9664,"&gt;="&amp;C282,Discontinuities!$C$4:$C$9664,"&lt;"&amp;D282,Discontinuities!$E$4:$E$9664,"=FLT")</f>
        <v>0</v>
      </c>
      <c r="AA282" s="132"/>
      <c r="AB282" s="159">
        <f>IFERROR(ROUND((Data_Geotech[[#This Row],[Fault (m)]]+Data_Geotech[[#This Row],[Broken Core (m)]]+Data_Geotech[[#This Row],[Lost Core (m)]])*30,0),0)</f>
        <v>0</v>
      </c>
      <c r="AC282" s="135">
        <f>IF(Data_Geotech[[#This Row],[Added fractures 
(BC, FLT, LC)]]+Data_Geotech[[#This Row],[Fracture per interval]]=0,99,1/((Data_Geotech[[#This Row],[Fracture per interval]]+Data_Geotech[[#This Row],[Added fractures 
(BC, FLT, LC)]])/Data_Geotech[[#This Row],[Run (m)]]))</f>
        <v>99</v>
      </c>
      <c r="AD282" s="160" t="str" cm="1">
        <f t="array" ref="AD282">IFERROR(_xlfn.XLOOKUP(1,(A282=PLT!$A$4:$A$8886)*(Geotech!C282&lt;=PLT!$F$4:$F$8886)*(Geotech!D282&gt;=PLT!$F$4:$F$8886)*("Valid"=PLT!$P$4:$P$8886),PLT!$V$4:$V$8886),"")</f>
        <v/>
      </c>
      <c r="AE282" s="161" t="str" cm="1">
        <f t="array" ref="AE282">IFERROR(_xlfn.XLOOKUP(1,(A282=PLT!$A$4:$A$8886)*(Geotech!C282&lt;=PLT!$F$4:$F$8886)*(Geotech!D282&gt;=PLT!$F$4:$F$8886)*(PLT!$V$4:$V$8886&lt;&gt;AD282)*("Valid"=PLT!$P$4:$P$7190),PLT!$V$4:$V$8886),"")</f>
        <v/>
      </c>
      <c r="AF282" s="161" t="str" cm="1">
        <f t="array" ref="AF282">IFERROR(_xlfn.XLOOKUP(1,(A282=PLT!$A$4:$A$8886)*(Geotech!C282&lt;=PLT!$F$4:$F$8886)*(Geotech!D282&gt;=PLT!$F$4:$F$8886)*(PLT!$V$4:$V$8886&lt;&gt;AD282)*(PLT!$V$4:$V$8886&lt;&gt;AE282)*("Valid"=PLT!$P$4:$P$7190),PLT!$V$4:$V$8886),"")</f>
        <v/>
      </c>
      <c r="AG282" s="162" t="str">
        <f>IFERROR(IF(AVERAGE(AD282:AF282)&gt;References!$BO$23,References!$BP$23,
IF(AVERAGE(AD282:AF282)&gt;References!$BO$22,References!$BP$22,
IF(AVERAGE(AD282:AF282)&gt;References!$BO$21,References!$BP$21,
IF(AVERAGE(AD282:AF282)&gt;References!$BO$20,References!$BP$20,
IF(AVERAGE(AD282:AF282)&gt;References!$BO$19,References!$BP$19,
IF(AVERAGE(AD282:AF282)&gt;References!$BO$18,References!$BP$18,
0)))))),"")</f>
        <v/>
      </c>
      <c r="AH282" s="163" t="e">
        <f>VLOOKUP(Data_Geotech[[#This Row],[Field Intact Rock Strength]],Table_RMR76_Strength[],2,FALSE)</f>
        <v>#N/A</v>
      </c>
      <c r="AI282" s="163" t="e">
        <f>IF(Data_Geotech[[#This Row],[RQD (%)]]&lt;=25,3,IF(Data_Geotech[[#This Row],[RQD (%)]]&lt;=50,8,IF(Data_Geotech[[#This Row],[RQD (%)]]&lt;=75,13,IF(Data_Geotech[[#This Row],[RQD (%)]]&lt;=90,17,20))))</f>
        <v>#DIV/0!</v>
      </c>
      <c r="AJ282" s="136">
        <f>IF(Data_Geotech[[#This Row],[Joint spacing (m)]]&lt;=0.05,5,IF(Data_Geotech[[#This Row],[Joint spacing (m)]]&lt;=0.3,10,IF(Data_Geotech[[#This Row],[Joint spacing (m)]]&lt;=1,20,IF(Data_Geotech[[#This Row],[Joint spacing (m)]]&lt;=3,25,30))))</f>
        <v>30</v>
      </c>
      <c r="AK28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2" s="6"/>
      <c r="AM282" s="137" t="str">
        <f>IF(Data_Geotech[[#This Row],[FIRS Code]]="R",IFERROR(SUM(Data_Geotech[[#This Row],[RMR76 - Strength rating]:[RMR76 - Ground water rating]]),""),"")</f>
        <v/>
      </c>
      <c r="AN282" s="164" t="str">
        <f>IF(Data_Geotech[[#This Row],[FIRS Code]]="R",(2*Data_Geotech[[#This Row],[RMR76 - Joint condition rating]])+(IF(Data_Geotech[[#This Row],[RQD (%)]]&gt;80,80/2,Data_Geotech[[#This Row],[RQD (%)]]/2)),"")</f>
        <v/>
      </c>
      <c r="AO282" s="136" t="e">
        <f>LEFT(Data_Geotech[[#This Row],[Joint Set Rating]],FIND("-",Data_Geotech[[#This Row],[Joint Set Rating]],1)-2)</f>
        <v>#VALUE!</v>
      </c>
      <c r="AP28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2" s="143">
        <f t="shared" ref="AQ282:AQ300" si="5">1/1</f>
        <v>1</v>
      </c>
      <c r="AR282" s="165" t="str">
        <f>IF(Data_Geotech[[#This Row],[FIRS Code]]="R",IFERROR((IF(Data_Geotech[[#This Row],[RQD (%)]]&lt;10,10,Data_Geotech[[#This Row],[RQD (%)]])/Data_Geotech[[#This Row],[Jn rating]])*Data_Geotech[[#This Row],[Jr/Ja]],""),"")</f>
        <v/>
      </c>
      <c r="AS282" s="138" t="str">
        <f>IF(Data_Geotech[[#This Row],[FIRS Code]]="R",IFERROR((IF(Data_Geotech[[#This Row],[RQD (%)]]&lt;10,10,Data_Geotech[[#This Row],[RQD (%)]])/Data_Geotech[[#This Row],[Jn rating]])*Data_Geotech[[#This Row],[Jr/Ja]]*Data_Geotech[[#This Row],[Jw/SRF]],""),"")</f>
        <v/>
      </c>
      <c r="AT282" s="12"/>
      <c r="AU282" s="13" t="e">
        <f>100-Data_Geotech[[#This Row],[RQD (%)]]</f>
        <v>#DIV/0!</v>
      </c>
      <c r="AV282" s="13" t="e">
        <f>100-Data_Geotech[[#This Row],[TCR (%)]]</f>
        <v>#DIV/0!</v>
      </c>
      <c r="AW282" s="62" t="e">
        <f>(Data_Geotech[[#This Row],[Fracture per interval]]+Data_Geotech[[#This Row],[Added fractures 
(BC, FLT, LC)]])/Data_Geotech[[#This Row],[TCR (m)]]</f>
        <v>#DIV/0!</v>
      </c>
      <c r="AX282" s="62" t="str">
        <f>MID(Data_Geotech[[#This Row],[Field Intact Rock Strength]],2,1)</f>
        <v/>
      </c>
      <c r="AY282" s="63" t="e">
        <f>7-MID(Data_Geotech[[#This Row],[Field Intact Rock Strength]],2,1)</f>
        <v>#VALUE!</v>
      </c>
      <c r="AZ282" s="63" t="e">
        <f>VLOOKUP(Data_Geotech[[#This Row],[Field Intact Rock Strength]],Table_FieldStrength[],2,FALSE)</f>
        <v>#N/A</v>
      </c>
      <c r="BA282" s="63" t="e">
        <f>VLOOKUP(Data_Geotech[[#This Row],[Field Intact Rock Strength]],Table_FieldStrength[],3,FALSE)</f>
        <v>#N/A</v>
      </c>
      <c r="BB282" s="63" t="e">
        <f>VLOOKUP(Data_Geotech[[#This Row],[Field Intact Rock Strength]],Table_FieldStrength[],4,FALSE)</f>
        <v>#N/A</v>
      </c>
      <c r="BC282" s="63" t="e">
        <f>100-Data_Geotech[[#This Row],[RMR76]]</f>
        <v>#VALUE!</v>
      </c>
      <c r="BD282" s="63" t="e">
        <f>LEFT(Data_Geotech[[#This Row],[Weathering/Alteration]],FIND("-",Data_Geotech[[#This Row],[Weathering/Alteration]])-2)</f>
        <v>#VALUE!</v>
      </c>
    </row>
    <row r="283" spans="1:56" hidden="1" x14ac:dyDescent="0.25">
      <c r="B283" s="16" t="e">
        <f>VLOOKUP(Data_Geotech[[#This Row],[Hole ID]],Data_Log[],2,FALSE)</f>
        <v>#N/A</v>
      </c>
      <c r="C283" s="5"/>
      <c r="D283" s="5"/>
      <c r="E283" s="5">
        <f>(Data_Geotech[[#This Row],[To (m)]]-Data_Geotech[[#This Row],[From (m)]])/2+Data_Geotech[[#This Row],[From (m)]]</f>
        <v>0</v>
      </c>
      <c r="F283" s="13">
        <f>Data_Geotech[[#This Row],[To (m)]]-Data_Geotech[[#This Row],[From (m)]]</f>
        <v>0</v>
      </c>
      <c r="G283" s="5"/>
      <c r="H283" s="61" t="e">
        <f>Data_Geotech[[#This Row],[TCR (m)]]/Data_Geotech[[#This Row],[Run (m)]]*100</f>
        <v>#DIV/0!</v>
      </c>
      <c r="I283" s="151"/>
      <c r="J283" s="151"/>
      <c r="K283" s="5"/>
      <c r="L283" s="61" t="e">
        <f>Data_Geotech[[#This Row],[RQD (m)]]/Data_Geotech[[#This Row],[Run Reel (m)]]*100</f>
        <v>#DIV/0!</v>
      </c>
      <c r="P283" s="115"/>
      <c r="Q283" s="5"/>
      <c r="R283" s="5"/>
      <c r="S283" s="5"/>
      <c r="T283" s="5"/>
      <c r="U283" s="5"/>
      <c r="V283" s="6"/>
      <c r="W283" s="92">
        <f>SUMIFS(Discontinuities!$D$4:$D$9664,Discontinuities!$A$4:$A$9664,A283,Discontinuities!$C$4:$C$9664,"&gt;="&amp;C283,Discontinuities!$C$4:$C$9664,"&lt;"&amp;D283)
-SUMIFS(Discontinuities!$D$4:$D$9664,Discontinuities!$A$4:$A$9664,A283,Discontinuities!$C$4:$C$9664,"&gt;="&amp;C283,Discontinuities!$C$4:$C$9664,"&lt;"&amp;D283,Discontinuities!$E$4:$E$9664,"=BC")
-SUMIFS(Discontinuities!$D$4:$D$9664,Discontinuities!$A$4:$A$9664,A283,Discontinuities!$C$4:$C$9664,"&gt;="&amp;C283,Discontinuities!$C$4:$C$9664,"&lt;"&amp;D283,Discontinuities!$E$4:$E$9664,"=LC")
-SUMIFS(Discontinuities!$D$4:$D$9664,Discontinuities!$A$4:$A$9664,A283,Discontinuities!$C$4:$C$9664,"&gt;="&amp;C283,Discontinuities!$C$4:$C$9664,"&lt;"&amp;D283,Discontinuities!$E$4:$E$9664,"=FLT")</f>
        <v>0</v>
      </c>
      <c r="AA283" s="132"/>
      <c r="AB283" s="159">
        <f>IFERROR(ROUND((Data_Geotech[[#This Row],[Fault (m)]]+Data_Geotech[[#This Row],[Broken Core (m)]]+Data_Geotech[[#This Row],[Lost Core (m)]])*30,0),0)</f>
        <v>0</v>
      </c>
      <c r="AC283" s="135">
        <f>IF(Data_Geotech[[#This Row],[Added fractures 
(BC, FLT, LC)]]+Data_Geotech[[#This Row],[Fracture per interval]]=0,99,1/((Data_Geotech[[#This Row],[Fracture per interval]]+Data_Geotech[[#This Row],[Added fractures 
(BC, FLT, LC)]])/Data_Geotech[[#This Row],[Run (m)]]))</f>
        <v>99</v>
      </c>
      <c r="AD283" s="160" t="str" cm="1">
        <f t="array" ref="AD283">IFERROR(_xlfn.XLOOKUP(1,(A283=PLT!$A$4:$A$8886)*(Geotech!C283&lt;=PLT!$F$4:$F$8886)*(Geotech!D283&gt;=PLT!$F$4:$F$8886)*("Valid"=PLT!$P$4:$P$8886),PLT!$V$4:$V$8886),"")</f>
        <v/>
      </c>
      <c r="AE283" s="161" t="str" cm="1">
        <f t="array" ref="AE283">IFERROR(_xlfn.XLOOKUP(1,(A283=PLT!$A$4:$A$8886)*(Geotech!C283&lt;=PLT!$F$4:$F$8886)*(Geotech!D283&gt;=PLT!$F$4:$F$8886)*(PLT!$V$4:$V$8886&lt;&gt;AD283)*("Valid"=PLT!$P$4:$P$7190),PLT!$V$4:$V$8886),"")</f>
        <v/>
      </c>
      <c r="AF283" s="161" t="str" cm="1">
        <f t="array" ref="AF283">IFERROR(_xlfn.XLOOKUP(1,(A283=PLT!$A$4:$A$8886)*(Geotech!C283&lt;=PLT!$F$4:$F$8886)*(Geotech!D283&gt;=PLT!$F$4:$F$8886)*(PLT!$V$4:$V$8886&lt;&gt;AD283)*(PLT!$V$4:$V$8886&lt;&gt;AE283)*("Valid"=PLT!$P$4:$P$7190),PLT!$V$4:$V$8886),"")</f>
        <v/>
      </c>
      <c r="AG283" s="162" t="str">
        <f>IFERROR(IF(AVERAGE(AD283:AF283)&gt;References!$BO$23,References!$BP$23,
IF(AVERAGE(AD283:AF283)&gt;References!$BO$22,References!$BP$22,
IF(AVERAGE(AD283:AF283)&gt;References!$BO$21,References!$BP$21,
IF(AVERAGE(AD283:AF283)&gt;References!$BO$20,References!$BP$20,
IF(AVERAGE(AD283:AF283)&gt;References!$BO$19,References!$BP$19,
IF(AVERAGE(AD283:AF283)&gt;References!$BO$18,References!$BP$18,
0)))))),"")</f>
        <v/>
      </c>
      <c r="AH283" s="163" t="e">
        <f>VLOOKUP(Data_Geotech[[#This Row],[Field Intact Rock Strength]],Table_RMR76_Strength[],2,FALSE)</f>
        <v>#N/A</v>
      </c>
      <c r="AI283" s="163" t="e">
        <f>IF(Data_Geotech[[#This Row],[RQD (%)]]&lt;=25,3,IF(Data_Geotech[[#This Row],[RQD (%)]]&lt;=50,8,IF(Data_Geotech[[#This Row],[RQD (%)]]&lt;=75,13,IF(Data_Geotech[[#This Row],[RQD (%)]]&lt;=90,17,20))))</f>
        <v>#DIV/0!</v>
      </c>
      <c r="AJ283" s="136">
        <f>IF(Data_Geotech[[#This Row],[Joint spacing (m)]]&lt;=0.05,5,IF(Data_Geotech[[#This Row],[Joint spacing (m)]]&lt;=0.3,10,IF(Data_Geotech[[#This Row],[Joint spacing (m)]]&lt;=1,20,IF(Data_Geotech[[#This Row],[Joint spacing (m)]]&lt;=3,25,30))))</f>
        <v>30</v>
      </c>
      <c r="AK28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3" s="6"/>
      <c r="AM283" s="137" t="str">
        <f>IF(Data_Geotech[[#This Row],[FIRS Code]]="R",IFERROR(SUM(Data_Geotech[[#This Row],[RMR76 - Strength rating]:[RMR76 - Ground water rating]]),""),"")</f>
        <v/>
      </c>
      <c r="AN283" s="164" t="str">
        <f>IF(Data_Geotech[[#This Row],[FIRS Code]]="R",(2*Data_Geotech[[#This Row],[RMR76 - Joint condition rating]])+(IF(Data_Geotech[[#This Row],[RQD (%)]]&gt;80,80/2,Data_Geotech[[#This Row],[RQD (%)]]/2)),"")</f>
        <v/>
      </c>
      <c r="AO283" s="136" t="e">
        <f>LEFT(Data_Geotech[[#This Row],[Joint Set Rating]],FIND("-",Data_Geotech[[#This Row],[Joint Set Rating]],1)-2)</f>
        <v>#VALUE!</v>
      </c>
      <c r="AP28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3" s="143">
        <f t="shared" si="5"/>
        <v>1</v>
      </c>
      <c r="AR283" s="165" t="str">
        <f>IF(Data_Geotech[[#This Row],[FIRS Code]]="R",IFERROR((IF(Data_Geotech[[#This Row],[RQD (%)]]&lt;10,10,Data_Geotech[[#This Row],[RQD (%)]])/Data_Geotech[[#This Row],[Jn rating]])*Data_Geotech[[#This Row],[Jr/Ja]],""),"")</f>
        <v/>
      </c>
      <c r="AS283" s="138" t="str">
        <f>IF(Data_Geotech[[#This Row],[FIRS Code]]="R",IFERROR((IF(Data_Geotech[[#This Row],[RQD (%)]]&lt;10,10,Data_Geotech[[#This Row],[RQD (%)]])/Data_Geotech[[#This Row],[Jn rating]])*Data_Geotech[[#This Row],[Jr/Ja]]*Data_Geotech[[#This Row],[Jw/SRF]],""),"")</f>
        <v/>
      </c>
      <c r="AT283" s="12"/>
      <c r="AU283" s="13" t="e">
        <f>100-Data_Geotech[[#This Row],[RQD (%)]]</f>
        <v>#DIV/0!</v>
      </c>
      <c r="AV283" s="13" t="e">
        <f>100-Data_Geotech[[#This Row],[TCR (%)]]</f>
        <v>#DIV/0!</v>
      </c>
      <c r="AW283" s="62" t="e">
        <f>(Data_Geotech[[#This Row],[Fracture per interval]]+Data_Geotech[[#This Row],[Added fractures 
(BC, FLT, LC)]])/Data_Geotech[[#This Row],[TCR (m)]]</f>
        <v>#DIV/0!</v>
      </c>
      <c r="AX283" s="62" t="str">
        <f>MID(Data_Geotech[[#This Row],[Field Intact Rock Strength]],2,1)</f>
        <v/>
      </c>
      <c r="AY283" s="63" t="e">
        <f>7-MID(Data_Geotech[[#This Row],[Field Intact Rock Strength]],2,1)</f>
        <v>#VALUE!</v>
      </c>
      <c r="AZ283" s="63" t="e">
        <f>VLOOKUP(Data_Geotech[[#This Row],[Field Intact Rock Strength]],Table_FieldStrength[],2,FALSE)</f>
        <v>#N/A</v>
      </c>
      <c r="BA283" s="63" t="e">
        <f>VLOOKUP(Data_Geotech[[#This Row],[Field Intact Rock Strength]],Table_FieldStrength[],3,FALSE)</f>
        <v>#N/A</v>
      </c>
      <c r="BB283" s="63" t="e">
        <f>VLOOKUP(Data_Geotech[[#This Row],[Field Intact Rock Strength]],Table_FieldStrength[],4,FALSE)</f>
        <v>#N/A</v>
      </c>
      <c r="BC283" s="63" t="e">
        <f>100-Data_Geotech[[#This Row],[RMR76]]</f>
        <v>#VALUE!</v>
      </c>
      <c r="BD283" s="63" t="e">
        <f>LEFT(Data_Geotech[[#This Row],[Weathering/Alteration]],FIND("-",Data_Geotech[[#This Row],[Weathering/Alteration]])-2)</f>
        <v>#VALUE!</v>
      </c>
    </row>
    <row r="284" spans="1:56" hidden="1" x14ac:dyDescent="0.25">
      <c r="B284" s="16" t="e">
        <f>VLOOKUP(Data_Geotech[[#This Row],[Hole ID]],Data_Log[],2,FALSE)</f>
        <v>#N/A</v>
      </c>
      <c r="C284" s="5"/>
      <c r="D284" s="5"/>
      <c r="E284" s="5">
        <f>(Data_Geotech[[#This Row],[To (m)]]-Data_Geotech[[#This Row],[From (m)]])/2+Data_Geotech[[#This Row],[From (m)]]</f>
        <v>0</v>
      </c>
      <c r="F284" s="13">
        <f>Data_Geotech[[#This Row],[To (m)]]-Data_Geotech[[#This Row],[From (m)]]</f>
        <v>0</v>
      </c>
      <c r="G284" s="5"/>
      <c r="H284" s="61" t="e">
        <f>Data_Geotech[[#This Row],[TCR (m)]]/Data_Geotech[[#This Row],[Run (m)]]*100</f>
        <v>#DIV/0!</v>
      </c>
      <c r="I284" s="151"/>
      <c r="J284" s="151"/>
      <c r="K284" s="5"/>
      <c r="L284" s="61" t="e">
        <f>Data_Geotech[[#This Row],[RQD (m)]]/Data_Geotech[[#This Row],[Run Reel (m)]]*100</f>
        <v>#DIV/0!</v>
      </c>
      <c r="P284" s="115"/>
      <c r="Q284" s="5"/>
      <c r="R284" s="5"/>
      <c r="S284" s="5"/>
      <c r="T284" s="5"/>
      <c r="U284" s="5"/>
      <c r="V284" s="6"/>
      <c r="W284" s="92">
        <f>SUMIFS(Discontinuities!$D$4:$D$9664,Discontinuities!$A$4:$A$9664,A284,Discontinuities!$C$4:$C$9664,"&gt;="&amp;C284,Discontinuities!$C$4:$C$9664,"&lt;"&amp;D284)
-SUMIFS(Discontinuities!$D$4:$D$9664,Discontinuities!$A$4:$A$9664,A284,Discontinuities!$C$4:$C$9664,"&gt;="&amp;C284,Discontinuities!$C$4:$C$9664,"&lt;"&amp;D284,Discontinuities!$E$4:$E$9664,"=BC")
-SUMIFS(Discontinuities!$D$4:$D$9664,Discontinuities!$A$4:$A$9664,A284,Discontinuities!$C$4:$C$9664,"&gt;="&amp;C284,Discontinuities!$C$4:$C$9664,"&lt;"&amp;D284,Discontinuities!$E$4:$E$9664,"=LC")
-SUMIFS(Discontinuities!$D$4:$D$9664,Discontinuities!$A$4:$A$9664,A284,Discontinuities!$C$4:$C$9664,"&gt;="&amp;C284,Discontinuities!$C$4:$C$9664,"&lt;"&amp;D284,Discontinuities!$E$4:$E$9664,"=FLT")</f>
        <v>0</v>
      </c>
      <c r="AA284" s="132"/>
      <c r="AB284" s="159">
        <f>IFERROR(ROUND((Data_Geotech[[#This Row],[Fault (m)]]+Data_Geotech[[#This Row],[Broken Core (m)]]+Data_Geotech[[#This Row],[Lost Core (m)]])*30,0),0)</f>
        <v>0</v>
      </c>
      <c r="AC284" s="135">
        <f>IF(Data_Geotech[[#This Row],[Added fractures 
(BC, FLT, LC)]]+Data_Geotech[[#This Row],[Fracture per interval]]=0,99,1/((Data_Geotech[[#This Row],[Fracture per interval]]+Data_Geotech[[#This Row],[Added fractures 
(BC, FLT, LC)]])/Data_Geotech[[#This Row],[Run (m)]]))</f>
        <v>99</v>
      </c>
      <c r="AD284" s="160" t="str" cm="1">
        <f t="array" ref="AD284">IFERROR(_xlfn.XLOOKUP(1,(A284=PLT!$A$4:$A$8886)*(Geotech!C284&lt;=PLT!$F$4:$F$8886)*(Geotech!D284&gt;=PLT!$F$4:$F$8886)*("Valid"=PLT!$P$4:$P$8886),PLT!$V$4:$V$8886),"")</f>
        <v/>
      </c>
      <c r="AE284" s="161" t="str" cm="1">
        <f t="array" ref="AE284">IFERROR(_xlfn.XLOOKUP(1,(A284=PLT!$A$4:$A$8886)*(Geotech!C284&lt;=PLT!$F$4:$F$8886)*(Geotech!D284&gt;=PLT!$F$4:$F$8886)*(PLT!$V$4:$V$8886&lt;&gt;AD284)*("Valid"=PLT!$P$4:$P$7190),PLT!$V$4:$V$8886),"")</f>
        <v/>
      </c>
      <c r="AF284" s="161" t="str" cm="1">
        <f t="array" ref="AF284">IFERROR(_xlfn.XLOOKUP(1,(A284=PLT!$A$4:$A$8886)*(Geotech!C284&lt;=PLT!$F$4:$F$8886)*(Geotech!D284&gt;=PLT!$F$4:$F$8886)*(PLT!$V$4:$V$8886&lt;&gt;AD284)*(PLT!$V$4:$V$8886&lt;&gt;AE284)*("Valid"=PLT!$P$4:$P$7190),PLT!$V$4:$V$8886),"")</f>
        <v/>
      </c>
      <c r="AG284" s="162" t="str">
        <f>IFERROR(IF(AVERAGE(AD284:AF284)&gt;References!$BO$23,References!$BP$23,
IF(AVERAGE(AD284:AF284)&gt;References!$BO$22,References!$BP$22,
IF(AVERAGE(AD284:AF284)&gt;References!$BO$21,References!$BP$21,
IF(AVERAGE(AD284:AF284)&gt;References!$BO$20,References!$BP$20,
IF(AVERAGE(AD284:AF284)&gt;References!$BO$19,References!$BP$19,
IF(AVERAGE(AD284:AF284)&gt;References!$BO$18,References!$BP$18,
0)))))),"")</f>
        <v/>
      </c>
      <c r="AH284" s="163" t="e">
        <f>VLOOKUP(Data_Geotech[[#This Row],[Field Intact Rock Strength]],Table_RMR76_Strength[],2,FALSE)</f>
        <v>#N/A</v>
      </c>
      <c r="AI284" s="163" t="e">
        <f>IF(Data_Geotech[[#This Row],[RQD (%)]]&lt;=25,3,IF(Data_Geotech[[#This Row],[RQD (%)]]&lt;=50,8,IF(Data_Geotech[[#This Row],[RQD (%)]]&lt;=75,13,IF(Data_Geotech[[#This Row],[RQD (%)]]&lt;=90,17,20))))</f>
        <v>#DIV/0!</v>
      </c>
      <c r="AJ284" s="136">
        <f>IF(Data_Geotech[[#This Row],[Joint spacing (m)]]&lt;=0.05,5,IF(Data_Geotech[[#This Row],[Joint spacing (m)]]&lt;=0.3,10,IF(Data_Geotech[[#This Row],[Joint spacing (m)]]&lt;=1,20,IF(Data_Geotech[[#This Row],[Joint spacing (m)]]&lt;=3,25,30))))</f>
        <v>30</v>
      </c>
      <c r="AK28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4" s="6"/>
      <c r="AM284" s="137" t="str">
        <f>IF(Data_Geotech[[#This Row],[FIRS Code]]="R",IFERROR(SUM(Data_Geotech[[#This Row],[RMR76 - Strength rating]:[RMR76 - Ground water rating]]),""),"")</f>
        <v/>
      </c>
      <c r="AN284" s="164" t="str">
        <f>IF(Data_Geotech[[#This Row],[FIRS Code]]="R",(2*Data_Geotech[[#This Row],[RMR76 - Joint condition rating]])+(IF(Data_Geotech[[#This Row],[RQD (%)]]&gt;80,80/2,Data_Geotech[[#This Row],[RQD (%)]]/2)),"")</f>
        <v/>
      </c>
      <c r="AO284" s="136" t="e">
        <f>LEFT(Data_Geotech[[#This Row],[Joint Set Rating]],FIND("-",Data_Geotech[[#This Row],[Joint Set Rating]],1)-2)</f>
        <v>#VALUE!</v>
      </c>
      <c r="AP28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4" s="143">
        <f t="shared" si="5"/>
        <v>1</v>
      </c>
      <c r="AR284" s="165" t="str">
        <f>IF(Data_Geotech[[#This Row],[FIRS Code]]="R",IFERROR((IF(Data_Geotech[[#This Row],[RQD (%)]]&lt;10,10,Data_Geotech[[#This Row],[RQD (%)]])/Data_Geotech[[#This Row],[Jn rating]])*Data_Geotech[[#This Row],[Jr/Ja]],""),"")</f>
        <v/>
      </c>
      <c r="AS284" s="138" t="str">
        <f>IF(Data_Geotech[[#This Row],[FIRS Code]]="R",IFERROR((IF(Data_Geotech[[#This Row],[RQD (%)]]&lt;10,10,Data_Geotech[[#This Row],[RQD (%)]])/Data_Geotech[[#This Row],[Jn rating]])*Data_Geotech[[#This Row],[Jr/Ja]]*Data_Geotech[[#This Row],[Jw/SRF]],""),"")</f>
        <v/>
      </c>
      <c r="AT284" s="12"/>
      <c r="AU284" s="13" t="e">
        <f>100-Data_Geotech[[#This Row],[RQD (%)]]</f>
        <v>#DIV/0!</v>
      </c>
      <c r="AV284" s="13" t="e">
        <f>100-Data_Geotech[[#This Row],[TCR (%)]]</f>
        <v>#DIV/0!</v>
      </c>
      <c r="AW284" s="62" t="e">
        <f>(Data_Geotech[[#This Row],[Fracture per interval]]+Data_Geotech[[#This Row],[Added fractures 
(BC, FLT, LC)]])/Data_Geotech[[#This Row],[TCR (m)]]</f>
        <v>#DIV/0!</v>
      </c>
      <c r="AX284" s="62" t="str">
        <f>MID(Data_Geotech[[#This Row],[Field Intact Rock Strength]],2,1)</f>
        <v/>
      </c>
      <c r="AY284" s="63" t="e">
        <f>7-MID(Data_Geotech[[#This Row],[Field Intact Rock Strength]],2,1)</f>
        <v>#VALUE!</v>
      </c>
      <c r="AZ284" s="63" t="e">
        <f>VLOOKUP(Data_Geotech[[#This Row],[Field Intact Rock Strength]],Table_FieldStrength[],2,FALSE)</f>
        <v>#N/A</v>
      </c>
      <c r="BA284" s="63" t="e">
        <f>VLOOKUP(Data_Geotech[[#This Row],[Field Intact Rock Strength]],Table_FieldStrength[],3,FALSE)</f>
        <v>#N/A</v>
      </c>
      <c r="BB284" s="63" t="e">
        <f>VLOOKUP(Data_Geotech[[#This Row],[Field Intact Rock Strength]],Table_FieldStrength[],4,FALSE)</f>
        <v>#N/A</v>
      </c>
      <c r="BC284" s="63" t="e">
        <f>100-Data_Geotech[[#This Row],[RMR76]]</f>
        <v>#VALUE!</v>
      </c>
      <c r="BD284" s="63" t="e">
        <f>LEFT(Data_Geotech[[#This Row],[Weathering/Alteration]],FIND("-",Data_Geotech[[#This Row],[Weathering/Alteration]])-2)</f>
        <v>#VALUE!</v>
      </c>
    </row>
    <row r="285" spans="1:56" hidden="1" x14ac:dyDescent="0.25">
      <c r="B285" s="16" t="e">
        <f>VLOOKUP(Data_Geotech[[#This Row],[Hole ID]],Data_Log[],2,FALSE)</f>
        <v>#N/A</v>
      </c>
      <c r="C285" s="5"/>
      <c r="D285" s="5"/>
      <c r="E285" s="5">
        <f>(Data_Geotech[[#This Row],[To (m)]]-Data_Geotech[[#This Row],[From (m)]])/2+Data_Geotech[[#This Row],[From (m)]]</f>
        <v>0</v>
      </c>
      <c r="F285" s="13">
        <f>Data_Geotech[[#This Row],[To (m)]]-Data_Geotech[[#This Row],[From (m)]]</f>
        <v>0</v>
      </c>
      <c r="G285" s="5"/>
      <c r="H285" s="61" t="e">
        <f>Data_Geotech[[#This Row],[TCR (m)]]/Data_Geotech[[#This Row],[Run (m)]]*100</f>
        <v>#DIV/0!</v>
      </c>
      <c r="I285" s="151"/>
      <c r="J285" s="151"/>
      <c r="K285" s="5"/>
      <c r="L285" s="61" t="e">
        <f>Data_Geotech[[#This Row],[RQD (m)]]/Data_Geotech[[#This Row],[Run Reel (m)]]*100</f>
        <v>#DIV/0!</v>
      </c>
      <c r="P285" s="115"/>
      <c r="Q285" s="5"/>
      <c r="R285" s="5"/>
      <c r="S285" s="5"/>
      <c r="T285" s="5"/>
      <c r="U285" s="5"/>
      <c r="V285" s="6"/>
      <c r="W285" s="92">
        <f>SUMIFS(Discontinuities!$D$4:$D$9664,Discontinuities!$A$4:$A$9664,A285,Discontinuities!$C$4:$C$9664,"&gt;="&amp;C285,Discontinuities!$C$4:$C$9664,"&lt;"&amp;D285)
-SUMIFS(Discontinuities!$D$4:$D$9664,Discontinuities!$A$4:$A$9664,A285,Discontinuities!$C$4:$C$9664,"&gt;="&amp;C285,Discontinuities!$C$4:$C$9664,"&lt;"&amp;D285,Discontinuities!$E$4:$E$9664,"=BC")
-SUMIFS(Discontinuities!$D$4:$D$9664,Discontinuities!$A$4:$A$9664,A285,Discontinuities!$C$4:$C$9664,"&gt;="&amp;C285,Discontinuities!$C$4:$C$9664,"&lt;"&amp;D285,Discontinuities!$E$4:$E$9664,"=LC")
-SUMIFS(Discontinuities!$D$4:$D$9664,Discontinuities!$A$4:$A$9664,A285,Discontinuities!$C$4:$C$9664,"&gt;="&amp;C285,Discontinuities!$C$4:$C$9664,"&lt;"&amp;D285,Discontinuities!$E$4:$E$9664,"=FLT")</f>
        <v>0</v>
      </c>
      <c r="AA285" s="132"/>
      <c r="AB285" s="159">
        <f>IFERROR(ROUND((Data_Geotech[[#This Row],[Fault (m)]]+Data_Geotech[[#This Row],[Broken Core (m)]]+Data_Geotech[[#This Row],[Lost Core (m)]])*30,0),0)</f>
        <v>0</v>
      </c>
      <c r="AC285" s="135">
        <f>IF(Data_Geotech[[#This Row],[Added fractures 
(BC, FLT, LC)]]+Data_Geotech[[#This Row],[Fracture per interval]]=0,99,1/((Data_Geotech[[#This Row],[Fracture per interval]]+Data_Geotech[[#This Row],[Added fractures 
(BC, FLT, LC)]])/Data_Geotech[[#This Row],[Run (m)]]))</f>
        <v>99</v>
      </c>
      <c r="AD285" s="160" t="str" cm="1">
        <f t="array" ref="AD285">IFERROR(_xlfn.XLOOKUP(1,(A285=PLT!$A$4:$A$8886)*(Geotech!C285&lt;=PLT!$F$4:$F$8886)*(Geotech!D285&gt;=PLT!$F$4:$F$8886)*("Valid"=PLT!$P$4:$P$8886),PLT!$V$4:$V$8886),"")</f>
        <v/>
      </c>
      <c r="AE285" s="161" t="str" cm="1">
        <f t="array" ref="AE285">IFERROR(_xlfn.XLOOKUP(1,(A285=PLT!$A$4:$A$8886)*(Geotech!C285&lt;=PLT!$F$4:$F$8886)*(Geotech!D285&gt;=PLT!$F$4:$F$8886)*(PLT!$V$4:$V$8886&lt;&gt;AD285)*("Valid"=PLT!$P$4:$P$7190),PLT!$V$4:$V$8886),"")</f>
        <v/>
      </c>
      <c r="AF285" s="161" t="str" cm="1">
        <f t="array" ref="AF285">IFERROR(_xlfn.XLOOKUP(1,(A285=PLT!$A$4:$A$8886)*(Geotech!C285&lt;=PLT!$F$4:$F$8886)*(Geotech!D285&gt;=PLT!$F$4:$F$8886)*(PLT!$V$4:$V$8886&lt;&gt;AD285)*(PLT!$V$4:$V$8886&lt;&gt;AE285)*("Valid"=PLT!$P$4:$P$7190),PLT!$V$4:$V$8886),"")</f>
        <v/>
      </c>
      <c r="AG285" s="162" t="str">
        <f>IFERROR(IF(AVERAGE(AD285:AF285)&gt;References!$BO$23,References!$BP$23,
IF(AVERAGE(AD285:AF285)&gt;References!$BO$22,References!$BP$22,
IF(AVERAGE(AD285:AF285)&gt;References!$BO$21,References!$BP$21,
IF(AVERAGE(AD285:AF285)&gt;References!$BO$20,References!$BP$20,
IF(AVERAGE(AD285:AF285)&gt;References!$BO$19,References!$BP$19,
IF(AVERAGE(AD285:AF285)&gt;References!$BO$18,References!$BP$18,
0)))))),"")</f>
        <v/>
      </c>
      <c r="AH285" s="163" t="e">
        <f>VLOOKUP(Data_Geotech[[#This Row],[Field Intact Rock Strength]],Table_RMR76_Strength[],2,FALSE)</f>
        <v>#N/A</v>
      </c>
      <c r="AI285" s="163" t="e">
        <f>IF(Data_Geotech[[#This Row],[RQD (%)]]&lt;=25,3,IF(Data_Geotech[[#This Row],[RQD (%)]]&lt;=50,8,IF(Data_Geotech[[#This Row],[RQD (%)]]&lt;=75,13,IF(Data_Geotech[[#This Row],[RQD (%)]]&lt;=90,17,20))))</f>
        <v>#DIV/0!</v>
      </c>
      <c r="AJ285" s="136">
        <f>IF(Data_Geotech[[#This Row],[Joint spacing (m)]]&lt;=0.05,5,IF(Data_Geotech[[#This Row],[Joint spacing (m)]]&lt;=0.3,10,IF(Data_Geotech[[#This Row],[Joint spacing (m)]]&lt;=1,20,IF(Data_Geotech[[#This Row],[Joint spacing (m)]]&lt;=3,25,30))))</f>
        <v>30</v>
      </c>
      <c r="AK28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5" s="6"/>
      <c r="AM285" s="137" t="str">
        <f>IF(Data_Geotech[[#This Row],[FIRS Code]]="R",IFERROR(SUM(Data_Geotech[[#This Row],[RMR76 - Strength rating]:[RMR76 - Ground water rating]]),""),"")</f>
        <v/>
      </c>
      <c r="AN285" s="164" t="str">
        <f>IF(Data_Geotech[[#This Row],[FIRS Code]]="R",(2*Data_Geotech[[#This Row],[RMR76 - Joint condition rating]])+(IF(Data_Geotech[[#This Row],[RQD (%)]]&gt;80,80/2,Data_Geotech[[#This Row],[RQD (%)]]/2)),"")</f>
        <v/>
      </c>
      <c r="AO285" s="136" t="e">
        <f>LEFT(Data_Geotech[[#This Row],[Joint Set Rating]],FIND("-",Data_Geotech[[#This Row],[Joint Set Rating]],1)-2)</f>
        <v>#VALUE!</v>
      </c>
      <c r="AP28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5" s="143">
        <f t="shared" si="5"/>
        <v>1</v>
      </c>
      <c r="AR285" s="165" t="str">
        <f>IF(Data_Geotech[[#This Row],[FIRS Code]]="R",IFERROR((IF(Data_Geotech[[#This Row],[RQD (%)]]&lt;10,10,Data_Geotech[[#This Row],[RQD (%)]])/Data_Geotech[[#This Row],[Jn rating]])*Data_Geotech[[#This Row],[Jr/Ja]],""),"")</f>
        <v/>
      </c>
      <c r="AS285" s="138" t="str">
        <f>IF(Data_Geotech[[#This Row],[FIRS Code]]="R",IFERROR((IF(Data_Geotech[[#This Row],[RQD (%)]]&lt;10,10,Data_Geotech[[#This Row],[RQD (%)]])/Data_Geotech[[#This Row],[Jn rating]])*Data_Geotech[[#This Row],[Jr/Ja]]*Data_Geotech[[#This Row],[Jw/SRF]],""),"")</f>
        <v/>
      </c>
      <c r="AT285" s="12"/>
      <c r="AU285" s="13" t="e">
        <f>100-Data_Geotech[[#This Row],[RQD (%)]]</f>
        <v>#DIV/0!</v>
      </c>
      <c r="AV285" s="13" t="e">
        <f>100-Data_Geotech[[#This Row],[TCR (%)]]</f>
        <v>#DIV/0!</v>
      </c>
      <c r="AW285" s="62" t="e">
        <f>(Data_Geotech[[#This Row],[Fracture per interval]]+Data_Geotech[[#This Row],[Added fractures 
(BC, FLT, LC)]])/Data_Geotech[[#This Row],[TCR (m)]]</f>
        <v>#DIV/0!</v>
      </c>
      <c r="AX285" s="62" t="str">
        <f>MID(Data_Geotech[[#This Row],[Field Intact Rock Strength]],2,1)</f>
        <v/>
      </c>
      <c r="AY285" s="63" t="e">
        <f>7-MID(Data_Geotech[[#This Row],[Field Intact Rock Strength]],2,1)</f>
        <v>#VALUE!</v>
      </c>
      <c r="AZ285" s="63" t="e">
        <f>VLOOKUP(Data_Geotech[[#This Row],[Field Intact Rock Strength]],Table_FieldStrength[],2,FALSE)</f>
        <v>#N/A</v>
      </c>
      <c r="BA285" s="63" t="e">
        <f>VLOOKUP(Data_Geotech[[#This Row],[Field Intact Rock Strength]],Table_FieldStrength[],3,FALSE)</f>
        <v>#N/A</v>
      </c>
      <c r="BB285" s="63" t="e">
        <f>VLOOKUP(Data_Geotech[[#This Row],[Field Intact Rock Strength]],Table_FieldStrength[],4,FALSE)</f>
        <v>#N/A</v>
      </c>
      <c r="BC285" s="63" t="e">
        <f>100-Data_Geotech[[#This Row],[RMR76]]</f>
        <v>#VALUE!</v>
      </c>
      <c r="BD285" s="63" t="e">
        <f>LEFT(Data_Geotech[[#This Row],[Weathering/Alteration]],FIND("-",Data_Geotech[[#This Row],[Weathering/Alteration]])-2)</f>
        <v>#VALUE!</v>
      </c>
    </row>
    <row r="286" spans="1:56" hidden="1" x14ac:dyDescent="0.25">
      <c r="B286" s="16" t="e">
        <f>VLOOKUP(Data_Geotech[[#This Row],[Hole ID]],Data_Log[],2,FALSE)</f>
        <v>#N/A</v>
      </c>
      <c r="C286" s="5"/>
      <c r="D286" s="5"/>
      <c r="E286" s="5">
        <f>(Data_Geotech[[#This Row],[To (m)]]-Data_Geotech[[#This Row],[From (m)]])/2+Data_Geotech[[#This Row],[From (m)]]</f>
        <v>0</v>
      </c>
      <c r="F286" s="13">
        <f>Data_Geotech[[#This Row],[To (m)]]-Data_Geotech[[#This Row],[From (m)]]</f>
        <v>0</v>
      </c>
      <c r="G286" s="5"/>
      <c r="H286" s="61" t="e">
        <f>Data_Geotech[[#This Row],[TCR (m)]]/Data_Geotech[[#This Row],[Run (m)]]*100</f>
        <v>#DIV/0!</v>
      </c>
      <c r="I286" s="151"/>
      <c r="J286" s="151"/>
      <c r="K286" s="5"/>
      <c r="L286" s="61" t="e">
        <f>Data_Geotech[[#This Row],[RQD (m)]]/Data_Geotech[[#This Row],[Run Reel (m)]]*100</f>
        <v>#DIV/0!</v>
      </c>
      <c r="P286" s="115"/>
      <c r="Q286" s="5"/>
      <c r="R286" s="5"/>
      <c r="S286" s="5"/>
      <c r="T286" s="5"/>
      <c r="U286" s="5"/>
      <c r="V286" s="6"/>
      <c r="W286" s="92">
        <f>SUMIFS(Discontinuities!$D$4:$D$9664,Discontinuities!$A$4:$A$9664,A286,Discontinuities!$C$4:$C$9664,"&gt;="&amp;C286,Discontinuities!$C$4:$C$9664,"&lt;"&amp;D286)
-SUMIFS(Discontinuities!$D$4:$D$9664,Discontinuities!$A$4:$A$9664,A286,Discontinuities!$C$4:$C$9664,"&gt;="&amp;C286,Discontinuities!$C$4:$C$9664,"&lt;"&amp;D286,Discontinuities!$E$4:$E$9664,"=BC")
-SUMIFS(Discontinuities!$D$4:$D$9664,Discontinuities!$A$4:$A$9664,A286,Discontinuities!$C$4:$C$9664,"&gt;="&amp;C286,Discontinuities!$C$4:$C$9664,"&lt;"&amp;D286,Discontinuities!$E$4:$E$9664,"=LC")
-SUMIFS(Discontinuities!$D$4:$D$9664,Discontinuities!$A$4:$A$9664,A286,Discontinuities!$C$4:$C$9664,"&gt;="&amp;C286,Discontinuities!$C$4:$C$9664,"&lt;"&amp;D286,Discontinuities!$E$4:$E$9664,"=FLT")</f>
        <v>0</v>
      </c>
      <c r="AA286" s="132"/>
      <c r="AB286" s="159">
        <f>IFERROR(ROUND((Data_Geotech[[#This Row],[Fault (m)]]+Data_Geotech[[#This Row],[Broken Core (m)]]+Data_Geotech[[#This Row],[Lost Core (m)]])*30,0),0)</f>
        <v>0</v>
      </c>
      <c r="AC286" s="135">
        <f>IF(Data_Geotech[[#This Row],[Added fractures 
(BC, FLT, LC)]]+Data_Geotech[[#This Row],[Fracture per interval]]=0,99,1/((Data_Geotech[[#This Row],[Fracture per interval]]+Data_Geotech[[#This Row],[Added fractures 
(BC, FLT, LC)]])/Data_Geotech[[#This Row],[Run (m)]]))</f>
        <v>99</v>
      </c>
      <c r="AD286" s="160" t="str" cm="1">
        <f t="array" ref="AD286">IFERROR(_xlfn.XLOOKUP(1,(A286=PLT!$A$4:$A$8886)*(Geotech!C286&lt;=PLT!$F$4:$F$8886)*(Geotech!D286&gt;=PLT!$F$4:$F$8886)*("Valid"=PLT!$P$4:$P$8886),PLT!$V$4:$V$8886),"")</f>
        <v/>
      </c>
      <c r="AE286" s="161" t="str" cm="1">
        <f t="array" ref="AE286">IFERROR(_xlfn.XLOOKUP(1,(A286=PLT!$A$4:$A$8886)*(Geotech!C286&lt;=PLT!$F$4:$F$8886)*(Geotech!D286&gt;=PLT!$F$4:$F$8886)*(PLT!$V$4:$V$8886&lt;&gt;AD286)*("Valid"=PLT!$P$4:$P$7190),PLT!$V$4:$V$8886),"")</f>
        <v/>
      </c>
      <c r="AF286" s="161" t="str" cm="1">
        <f t="array" ref="AF286">IFERROR(_xlfn.XLOOKUP(1,(A286=PLT!$A$4:$A$8886)*(Geotech!C286&lt;=PLT!$F$4:$F$8886)*(Geotech!D286&gt;=PLT!$F$4:$F$8886)*(PLT!$V$4:$V$8886&lt;&gt;AD286)*(PLT!$V$4:$V$8886&lt;&gt;AE286)*("Valid"=PLT!$P$4:$P$7190),PLT!$V$4:$V$8886),"")</f>
        <v/>
      </c>
      <c r="AG286" s="162" t="str">
        <f>IFERROR(IF(AVERAGE(AD286:AF286)&gt;References!$BO$23,References!$BP$23,
IF(AVERAGE(AD286:AF286)&gt;References!$BO$22,References!$BP$22,
IF(AVERAGE(AD286:AF286)&gt;References!$BO$21,References!$BP$21,
IF(AVERAGE(AD286:AF286)&gt;References!$BO$20,References!$BP$20,
IF(AVERAGE(AD286:AF286)&gt;References!$BO$19,References!$BP$19,
IF(AVERAGE(AD286:AF286)&gt;References!$BO$18,References!$BP$18,
0)))))),"")</f>
        <v/>
      </c>
      <c r="AH286" s="163" t="e">
        <f>VLOOKUP(Data_Geotech[[#This Row],[Field Intact Rock Strength]],Table_RMR76_Strength[],2,FALSE)</f>
        <v>#N/A</v>
      </c>
      <c r="AI286" s="163" t="e">
        <f>IF(Data_Geotech[[#This Row],[RQD (%)]]&lt;=25,3,IF(Data_Geotech[[#This Row],[RQD (%)]]&lt;=50,8,IF(Data_Geotech[[#This Row],[RQD (%)]]&lt;=75,13,IF(Data_Geotech[[#This Row],[RQD (%)]]&lt;=90,17,20))))</f>
        <v>#DIV/0!</v>
      </c>
      <c r="AJ286" s="136">
        <f>IF(Data_Geotech[[#This Row],[Joint spacing (m)]]&lt;=0.05,5,IF(Data_Geotech[[#This Row],[Joint spacing (m)]]&lt;=0.3,10,IF(Data_Geotech[[#This Row],[Joint spacing (m)]]&lt;=1,20,IF(Data_Geotech[[#This Row],[Joint spacing (m)]]&lt;=3,25,30))))</f>
        <v>30</v>
      </c>
      <c r="AK28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6" s="6"/>
      <c r="AM286" s="137" t="str">
        <f>IF(Data_Geotech[[#This Row],[FIRS Code]]="R",IFERROR(SUM(Data_Geotech[[#This Row],[RMR76 - Strength rating]:[RMR76 - Ground water rating]]),""),"")</f>
        <v/>
      </c>
      <c r="AN286" s="164" t="str">
        <f>IF(Data_Geotech[[#This Row],[FIRS Code]]="R",(2*Data_Geotech[[#This Row],[RMR76 - Joint condition rating]])+(IF(Data_Geotech[[#This Row],[RQD (%)]]&gt;80,80/2,Data_Geotech[[#This Row],[RQD (%)]]/2)),"")</f>
        <v/>
      </c>
      <c r="AO286" s="136" t="e">
        <f>LEFT(Data_Geotech[[#This Row],[Joint Set Rating]],FIND("-",Data_Geotech[[#This Row],[Joint Set Rating]],1)-2)</f>
        <v>#VALUE!</v>
      </c>
      <c r="AP28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6" s="143">
        <f t="shared" si="5"/>
        <v>1</v>
      </c>
      <c r="AR286" s="165" t="str">
        <f>IF(Data_Geotech[[#This Row],[FIRS Code]]="R",IFERROR((IF(Data_Geotech[[#This Row],[RQD (%)]]&lt;10,10,Data_Geotech[[#This Row],[RQD (%)]])/Data_Geotech[[#This Row],[Jn rating]])*Data_Geotech[[#This Row],[Jr/Ja]],""),"")</f>
        <v/>
      </c>
      <c r="AS286" s="138" t="str">
        <f>IF(Data_Geotech[[#This Row],[FIRS Code]]="R",IFERROR((IF(Data_Geotech[[#This Row],[RQD (%)]]&lt;10,10,Data_Geotech[[#This Row],[RQD (%)]])/Data_Geotech[[#This Row],[Jn rating]])*Data_Geotech[[#This Row],[Jr/Ja]]*Data_Geotech[[#This Row],[Jw/SRF]],""),"")</f>
        <v/>
      </c>
      <c r="AT286" s="12"/>
      <c r="AU286" s="13" t="e">
        <f>100-Data_Geotech[[#This Row],[RQD (%)]]</f>
        <v>#DIV/0!</v>
      </c>
      <c r="AV286" s="13" t="e">
        <f>100-Data_Geotech[[#This Row],[TCR (%)]]</f>
        <v>#DIV/0!</v>
      </c>
      <c r="AW286" s="62" t="e">
        <f>(Data_Geotech[[#This Row],[Fracture per interval]]+Data_Geotech[[#This Row],[Added fractures 
(BC, FLT, LC)]])/Data_Geotech[[#This Row],[TCR (m)]]</f>
        <v>#DIV/0!</v>
      </c>
      <c r="AX286" s="62" t="str">
        <f>MID(Data_Geotech[[#This Row],[Field Intact Rock Strength]],2,1)</f>
        <v/>
      </c>
      <c r="AY286" s="63" t="e">
        <f>7-MID(Data_Geotech[[#This Row],[Field Intact Rock Strength]],2,1)</f>
        <v>#VALUE!</v>
      </c>
      <c r="AZ286" s="63" t="e">
        <f>VLOOKUP(Data_Geotech[[#This Row],[Field Intact Rock Strength]],Table_FieldStrength[],2,FALSE)</f>
        <v>#N/A</v>
      </c>
      <c r="BA286" s="63" t="e">
        <f>VLOOKUP(Data_Geotech[[#This Row],[Field Intact Rock Strength]],Table_FieldStrength[],3,FALSE)</f>
        <v>#N/A</v>
      </c>
      <c r="BB286" s="63" t="e">
        <f>VLOOKUP(Data_Geotech[[#This Row],[Field Intact Rock Strength]],Table_FieldStrength[],4,FALSE)</f>
        <v>#N/A</v>
      </c>
      <c r="BC286" s="63" t="e">
        <f>100-Data_Geotech[[#This Row],[RMR76]]</f>
        <v>#VALUE!</v>
      </c>
      <c r="BD286" s="63" t="e">
        <f>LEFT(Data_Geotech[[#This Row],[Weathering/Alteration]],FIND("-",Data_Geotech[[#This Row],[Weathering/Alteration]])-2)</f>
        <v>#VALUE!</v>
      </c>
    </row>
    <row r="287" spans="1:56" hidden="1" x14ac:dyDescent="0.25">
      <c r="B287" s="16" t="e">
        <f>VLOOKUP(Data_Geotech[[#This Row],[Hole ID]],Data_Log[],2,FALSE)</f>
        <v>#N/A</v>
      </c>
      <c r="C287" s="5"/>
      <c r="D287" s="5"/>
      <c r="E287" s="5">
        <f>(Data_Geotech[[#This Row],[To (m)]]-Data_Geotech[[#This Row],[From (m)]])/2+Data_Geotech[[#This Row],[From (m)]]</f>
        <v>0</v>
      </c>
      <c r="F287" s="13">
        <f>Data_Geotech[[#This Row],[To (m)]]-Data_Geotech[[#This Row],[From (m)]]</f>
        <v>0</v>
      </c>
      <c r="G287" s="5"/>
      <c r="H287" s="61" t="e">
        <f>Data_Geotech[[#This Row],[TCR (m)]]/Data_Geotech[[#This Row],[Run (m)]]*100</f>
        <v>#DIV/0!</v>
      </c>
      <c r="I287" s="151"/>
      <c r="J287" s="151"/>
      <c r="K287" s="5"/>
      <c r="L287" s="61" t="e">
        <f>Data_Geotech[[#This Row],[RQD (m)]]/Data_Geotech[[#This Row],[Run Reel (m)]]*100</f>
        <v>#DIV/0!</v>
      </c>
      <c r="P287" s="115"/>
      <c r="Q287" s="5"/>
      <c r="R287" s="5"/>
      <c r="S287" s="5"/>
      <c r="T287" s="5"/>
      <c r="U287" s="5"/>
      <c r="V287" s="6"/>
      <c r="W287" s="92">
        <f>SUMIFS(Discontinuities!$D$4:$D$9664,Discontinuities!$A$4:$A$9664,A287,Discontinuities!$C$4:$C$9664,"&gt;="&amp;C287,Discontinuities!$C$4:$C$9664,"&lt;"&amp;D287)
-SUMIFS(Discontinuities!$D$4:$D$9664,Discontinuities!$A$4:$A$9664,A287,Discontinuities!$C$4:$C$9664,"&gt;="&amp;C287,Discontinuities!$C$4:$C$9664,"&lt;"&amp;D287,Discontinuities!$E$4:$E$9664,"=BC")
-SUMIFS(Discontinuities!$D$4:$D$9664,Discontinuities!$A$4:$A$9664,A287,Discontinuities!$C$4:$C$9664,"&gt;="&amp;C287,Discontinuities!$C$4:$C$9664,"&lt;"&amp;D287,Discontinuities!$E$4:$E$9664,"=LC")
-SUMIFS(Discontinuities!$D$4:$D$9664,Discontinuities!$A$4:$A$9664,A287,Discontinuities!$C$4:$C$9664,"&gt;="&amp;C287,Discontinuities!$C$4:$C$9664,"&lt;"&amp;D287,Discontinuities!$E$4:$E$9664,"=FLT")</f>
        <v>0</v>
      </c>
      <c r="AA287" s="132"/>
      <c r="AB287" s="159">
        <f>IFERROR(ROUND((Data_Geotech[[#This Row],[Fault (m)]]+Data_Geotech[[#This Row],[Broken Core (m)]]+Data_Geotech[[#This Row],[Lost Core (m)]])*30,0),0)</f>
        <v>0</v>
      </c>
      <c r="AC287" s="135">
        <f>IF(Data_Geotech[[#This Row],[Added fractures 
(BC, FLT, LC)]]+Data_Geotech[[#This Row],[Fracture per interval]]=0,99,1/((Data_Geotech[[#This Row],[Fracture per interval]]+Data_Geotech[[#This Row],[Added fractures 
(BC, FLT, LC)]])/Data_Geotech[[#This Row],[Run (m)]]))</f>
        <v>99</v>
      </c>
      <c r="AD287" s="160" t="str" cm="1">
        <f t="array" ref="AD287">IFERROR(_xlfn.XLOOKUP(1,(A287=PLT!$A$4:$A$8886)*(Geotech!C287&lt;=PLT!$F$4:$F$8886)*(Geotech!D287&gt;=PLT!$F$4:$F$8886)*("Valid"=PLT!$P$4:$P$8886),PLT!$V$4:$V$8886),"")</f>
        <v/>
      </c>
      <c r="AE287" s="161" t="str" cm="1">
        <f t="array" ref="AE287">IFERROR(_xlfn.XLOOKUP(1,(A287=PLT!$A$4:$A$8886)*(Geotech!C287&lt;=PLT!$F$4:$F$8886)*(Geotech!D287&gt;=PLT!$F$4:$F$8886)*(PLT!$V$4:$V$8886&lt;&gt;AD287)*("Valid"=PLT!$P$4:$P$7190),PLT!$V$4:$V$8886),"")</f>
        <v/>
      </c>
      <c r="AF287" s="161" t="str" cm="1">
        <f t="array" ref="AF287">IFERROR(_xlfn.XLOOKUP(1,(A287=PLT!$A$4:$A$8886)*(Geotech!C287&lt;=PLT!$F$4:$F$8886)*(Geotech!D287&gt;=PLT!$F$4:$F$8886)*(PLT!$V$4:$V$8886&lt;&gt;AD287)*(PLT!$V$4:$V$8886&lt;&gt;AE287)*("Valid"=PLT!$P$4:$P$7190),PLT!$V$4:$V$8886),"")</f>
        <v/>
      </c>
      <c r="AG287" s="162" t="str">
        <f>IFERROR(IF(AVERAGE(AD287:AF287)&gt;References!$BO$23,References!$BP$23,
IF(AVERAGE(AD287:AF287)&gt;References!$BO$22,References!$BP$22,
IF(AVERAGE(AD287:AF287)&gt;References!$BO$21,References!$BP$21,
IF(AVERAGE(AD287:AF287)&gt;References!$BO$20,References!$BP$20,
IF(AVERAGE(AD287:AF287)&gt;References!$BO$19,References!$BP$19,
IF(AVERAGE(AD287:AF287)&gt;References!$BO$18,References!$BP$18,
0)))))),"")</f>
        <v/>
      </c>
      <c r="AH287" s="163" t="e">
        <f>VLOOKUP(Data_Geotech[[#This Row],[Field Intact Rock Strength]],Table_RMR76_Strength[],2,FALSE)</f>
        <v>#N/A</v>
      </c>
      <c r="AI287" s="163" t="e">
        <f>IF(Data_Geotech[[#This Row],[RQD (%)]]&lt;=25,3,IF(Data_Geotech[[#This Row],[RQD (%)]]&lt;=50,8,IF(Data_Geotech[[#This Row],[RQD (%)]]&lt;=75,13,IF(Data_Geotech[[#This Row],[RQD (%)]]&lt;=90,17,20))))</f>
        <v>#DIV/0!</v>
      </c>
      <c r="AJ287" s="136">
        <f>IF(Data_Geotech[[#This Row],[Joint spacing (m)]]&lt;=0.05,5,IF(Data_Geotech[[#This Row],[Joint spacing (m)]]&lt;=0.3,10,IF(Data_Geotech[[#This Row],[Joint spacing (m)]]&lt;=1,20,IF(Data_Geotech[[#This Row],[Joint spacing (m)]]&lt;=3,25,30))))</f>
        <v>30</v>
      </c>
      <c r="AK28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7" s="6"/>
      <c r="AM287" s="137" t="str">
        <f>IF(Data_Geotech[[#This Row],[FIRS Code]]="R",IFERROR(SUM(Data_Geotech[[#This Row],[RMR76 - Strength rating]:[RMR76 - Ground water rating]]),""),"")</f>
        <v/>
      </c>
      <c r="AN287" s="164" t="str">
        <f>IF(Data_Geotech[[#This Row],[FIRS Code]]="R",(2*Data_Geotech[[#This Row],[RMR76 - Joint condition rating]])+(IF(Data_Geotech[[#This Row],[RQD (%)]]&gt;80,80/2,Data_Geotech[[#This Row],[RQD (%)]]/2)),"")</f>
        <v/>
      </c>
      <c r="AO287" s="136" t="e">
        <f>LEFT(Data_Geotech[[#This Row],[Joint Set Rating]],FIND("-",Data_Geotech[[#This Row],[Joint Set Rating]],1)-2)</f>
        <v>#VALUE!</v>
      </c>
      <c r="AP28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7" s="143">
        <f t="shared" si="5"/>
        <v>1</v>
      </c>
      <c r="AR287" s="165" t="str">
        <f>IF(Data_Geotech[[#This Row],[FIRS Code]]="R",IFERROR((IF(Data_Geotech[[#This Row],[RQD (%)]]&lt;10,10,Data_Geotech[[#This Row],[RQD (%)]])/Data_Geotech[[#This Row],[Jn rating]])*Data_Geotech[[#This Row],[Jr/Ja]],""),"")</f>
        <v/>
      </c>
      <c r="AS287" s="138" t="str">
        <f>IF(Data_Geotech[[#This Row],[FIRS Code]]="R",IFERROR((IF(Data_Geotech[[#This Row],[RQD (%)]]&lt;10,10,Data_Geotech[[#This Row],[RQD (%)]])/Data_Geotech[[#This Row],[Jn rating]])*Data_Geotech[[#This Row],[Jr/Ja]]*Data_Geotech[[#This Row],[Jw/SRF]],""),"")</f>
        <v/>
      </c>
      <c r="AT287" s="12"/>
      <c r="AU287" s="13" t="e">
        <f>100-Data_Geotech[[#This Row],[RQD (%)]]</f>
        <v>#DIV/0!</v>
      </c>
      <c r="AV287" s="13" t="e">
        <f>100-Data_Geotech[[#This Row],[TCR (%)]]</f>
        <v>#DIV/0!</v>
      </c>
      <c r="AW287" s="62" t="e">
        <f>(Data_Geotech[[#This Row],[Fracture per interval]]+Data_Geotech[[#This Row],[Added fractures 
(BC, FLT, LC)]])/Data_Geotech[[#This Row],[TCR (m)]]</f>
        <v>#DIV/0!</v>
      </c>
      <c r="AX287" s="62" t="str">
        <f>MID(Data_Geotech[[#This Row],[Field Intact Rock Strength]],2,1)</f>
        <v/>
      </c>
      <c r="AY287" s="63" t="e">
        <f>7-MID(Data_Geotech[[#This Row],[Field Intact Rock Strength]],2,1)</f>
        <v>#VALUE!</v>
      </c>
      <c r="AZ287" s="63" t="e">
        <f>VLOOKUP(Data_Geotech[[#This Row],[Field Intact Rock Strength]],Table_FieldStrength[],2,FALSE)</f>
        <v>#N/A</v>
      </c>
      <c r="BA287" s="63" t="e">
        <f>VLOOKUP(Data_Geotech[[#This Row],[Field Intact Rock Strength]],Table_FieldStrength[],3,FALSE)</f>
        <v>#N/A</v>
      </c>
      <c r="BB287" s="63" t="e">
        <f>VLOOKUP(Data_Geotech[[#This Row],[Field Intact Rock Strength]],Table_FieldStrength[],4,FALSE)</f>
        <v>#N/A</v>
      </c>
      <c r="BC287" s="63" t="e">
        <f>100-Data_Geotech[[#This Row],[RMR76]]</f>
        <v>#VALUE!</v>
      </c>
      <c r="BD287" s="63" t="e">
        <f>LEFT(Data_Geotech[[#This Row],[Weathering/Alteration]],FIND("-",Data_Geotech[[#This Row],[Weathering/Alteration]])-2)</f>
        <v>#VALUE!</v>
      </c>
    </row>
    <row r="288" spans="1:56" hidden="1" x14ac:dyDescent="0.25">
      <c r="A288" s="14"/>
      <c r="B288" s="16" t="e">
        <f>VLOOKUP(Data_Geotech[[#This Row],[Hole ID]],Data_Log[],2,FALSE)</f>
        <v>#N/A</v>
      </c>
      <c r="C288" s="5"/>
      <c r="D288" s="5"/>
      <c r="E288" s="5">
        <f>(Data_Geotech[[#This Row],[To (m)]]-Data_Geotech[[#This Row],[From (m)]])/2+Data_Geotech[[#This Row],[From (m)]]</f>
        <v>0</v>
      </c>
      <c r="F288" s="13">
        <f>Data_Geotech[[#This Row],[To (m)]]-Data_Geotech[[#This Row],[From (m)]]</f>
        <v>0</v>
      </c>
      <c r="G288" s="5"/>
      <c r="H288" s="61" t="e">
        <f>Data_Geotech[[#This Row],[TCR (m)]]/Data_Geotech[[#This Row],[Run (m)]]*100</f>
        <v>#DIV/0!</v>
      </c>
      <c r="I288" s="151"/>
      <c r="J288" s="151"/>
      <c r="K288" s="5"/>
      <c r="L288" s="61" t="e">
        <f>Data_Geotech[[#This Row],[RQD (m)]]/Data_Geotech[[#This Row],[Run Reel (m)]]*100</f>
        <v>#DIV/0!</v>
      </c>
      <c r="P288" s="115"/>
      <c r="Q288" s="5"/>
      <c r="R288" s="5"/>
      <c r="S288" s="5"/>
      <c r="T288" s="5"/>
      <c r="U288" s="5"/>
      <c r="V288" s="6"/>
      <c r="W288" s="92">
        <f>SUMIFS(Discontinuities!$D$4:$D$9664,Discontinuities!$A$4:$A$9664,A288,Discontinuities!$C$4:$C$9664,"&gt;="&amp;C288,Discontinuities!$C$4:$C$9664,"&lt;"&amp;D288)
-SUMIFS(Discontinuities!$D$4:$D$9664,Discontinuities!$A$4:$A$9664,A288,Discontinuities!$C$4:$C$9664,"&gt;="&amp;C288,Discontinuities!$C$4:$C$9664,"&lt;"&amp;D288,Discontinuities!$E$4:$E$9664,"=BC")
-SUMIFS(Discontinuities!$D$4:$D$9664,Discontinuities!$A$4:$A$9664,A288,Discontinuities!$C$4:$C$9664,"&gt;="&amp;C288,Discontinuities!$C$4:$C$9664,"&lt;"&amp;D288,Discontinuities!$E$4:$E$9664,"=LC")
-SUMIFS(Discontinuities!$D$4:$D$9664,Discontinuities!$A$4:$A$9664,A288,Discontinuities!$C$4:$C$9664,"&gt;="&amp;C288,Discontinuities!$C$4:$C$9664,"&lt;"&amp;D288,Discontinuities!$E$4:$E$9664,"=FLT")</f>
        <v>0</v>
      </c>
      <c r="AA288" s="132"/>
      <c r="AB288" s="159">
        <f>IFERROR(ROUND((Data_Geotech[[#This Row],[Fault (m)]]+Data_Geotech[[#This Row],[Broken Core (m)]]+Data_Geotech[[#This Row],[Lost Core (m)]])*30,0),0)</f>
        <v>0</v>
      </c>
      <c r="AC288" s="135">
        <f>IF(Data_Geotech[[#This Row],[Added fractures 
(BC, FLT, LC)]]+Data_Geotech[[#This Row],[Fracture per interval]]=0,99,1/((Data_Geotech[[#This Row],[Fracture per interval]]+Data_Geotech[[#This Row],[Added fractures 
(BC, FLT, LC)]])/Data_Geotech[[#This Row],[Run (m)]]))</f>
        <v>99</v>
      </c>
      <c r="AD288" s="160" t="str" cm="1">
        <f t="array" ref="AD288">IFERROR(_xlfn.XLOOKUP(1,(A288=PLT!$A$4:$A$8886)*(Geotech!C288&lt;=PLT!$F$4:$F$8886)*(Geotech!D288&gt;=PLT!$F$4:$F$8886)*("Valid"=PLT!$P$4:$P$8886),PLT!$V$4:$V$8886),"")</f>
        <v/>
      </c>
      <c r="AE288" s="161" t="str" cm="1">
        <f t="array" ref="AE288">IFERROR(_xlfn.XLOOKUP(1,(A288=PLT!$A$4:$A$8886)*(Geotech!C288&lt;=PLT!$F$4:$F$8886)*(Geotech!D288&gt;=PLT!$F$4:$F$8886)*(PLT!$V$4:$V$8886&lt;&gt;AD288)*("Valid"=PLT!$P$4:$P$7190),PLT!$V$4:$V$8886),"")</f>
        <v/>
      </c>
      <c r="AF288" s="161" t="str" cm="1">
        <f t="array" ref="AF288">IFERROR(_xlfn.XLOOKUP(1,(A288=PLT!$A$4:$A$8886)*(Geotech!C288&lt;=PLT!$F$4:$F$8886)*(Geotech!D288&gt;=PLT!$F$4:$F$8886)*(PLT!$V$4:$V$8886&lt;&gt;AD288)*(PLT!$V$4:$V$8886&lt;&gt;AE288)*("Valid"=PLT!$P$4:$P$7190),PLT!$V$4:$V$8886),"")</f>
        <v/>
      </c>
      <c r="AG288" s="162" t="str">
        <f>IFERROR(IF(AVERAGE(AD288:AF288)&gt;References!$BO$23,References!$BP$23,
IF(AVERAGE(AD288:AF288)&gt;References!$BO$22,References!$BP$22,
IF(AVERAGE(AD288:AF288)&gt;References!$BO$21,References!$BP$21,
IF(AVERAGE(AD288:AF288)&gt;References!$BO$20,References!$BP$20,
IF(AVERAGE(AD288:AF288)&gt;References!$BO$19,References!$BP$19,
IF(AVERAGE(AD288:AF288)&gt;References!$BO$18,References!$BP$18,
0)))))),"")</f>
        <v/>
      </c>
      <c r="AH288" s="163" t="e">
        <f>VLOOKUP(Data_Geotech[[#This Row],[Field Intact Rock Strength]],Table_RMR76_Strength[],2,FALSE)</f>
        <v>#N/A</v>
      </c>
      <c r="AI288" s="163" t="e">
        <f>IF(Data_Geotech[[#This Row],[RQD (%)]]&lt;=25,3,IF(Data_Geotech[[#This Row],[RQD (%)]]&lt;=50,8,IF(Data_Geotech[[#This Row],[RQD (%)]]&lt;=75,13,IF(Data_Geotech[[#This Row],[RQD (%)]]&lt;=90,17,20))))</f>
        <v>#DIV/0!</v>
      </c>
      <c r="AJ288" s="136">
        <f>IF(Data_Geotech[[#This Row],[Joint spacing (m)]]&lt;=0.05,5,IF(Data_Geotech[[#This Row],[Joint spacing (m)]]&lt;=0.3,10,IF(Data_Geotech[[#This Row],[Joint spacing (m)]]&lt;=1,20,IF(Data_Geotech[[#This Row],[Joint spacing (m)]]&lt;=3,25,30))))</f>
        <v>30</v>
      </c>
      <c r="AK28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8" s="6"/>
      <c r="AM288" s="137" t="str">
        <f>IF(Data_Geotech[[#This Row],[FIRS Code]]="R",IFERROR(SUM(Data_Geotech[[#This Row],[RMR76 - Strength rating]:[RMR76 - Ground water rating]]),""),"")</f>
        <v/>
      </c>
      <c r="AN288" s="164" t="str">
        <f>IF(Data_Geotech[[#This Row],[FIRS Code]]="R",(2*Data_Geotech[[#This Row],[RMR76 - Joint condition rating]])+(IF(Data_Geotech[[#This Row],[RQD (%)]]&gt;80,80/2,Data_Geotech[[#This Row],[RQD (%)]]/2)),"")</f>
        <v/>
      </c>
      <c r="AO288" s="136" t="e">
        <f>LEFT(Data_Geotech[[#This Row],[Joint Set Rating]],FIND("-",Data_Geotech[[#This Row],[Joint Set Rating]],1)-2)</f>
        <v>#VALUE!</v>
      </c>
      <c r="AP28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8" s="143">
        <f t="shared" si="5"/>
        <v>1</v>
      </c>
      <c r="AR288" s="165" t="str">
        <f>IF(Data_Geotech[[#This Row],[FIRS Code]]="R",IFERROR((IF(Data_Geotech[[#This Row],[RQD (%)]]&lt;10,10,Data_Geotech[[#This Row],[RQD (%)]])/Data_Geotech[[#This Row],[Jn rating]])*Data_Geotech[[#This Row],[Jr/Ja]],""),"")</f>
        <v/>
      </c>
      <c r="AS288" s="138" t="str">
        <f>IF(Data_Geotech[[#This Row],[FIRS Code]]="R",IFERROR((IF(Data_Geotech[[#This Row],[RQD (%)]]&lt;10,10,Data_Geotech[[#This Row],[RQD (%)]])/Data_Geotech[[#This Row],[Jn rating]])*Data_Geotech[[#This Row],[Jr/Ja]]*Data_Geotech[[#This Row],[Jw/SRF]],""),"")</f>
        <v/>
      </c>
      <c r="AT288" s="12"/>
      <c r="AU288" s="13" t="e">
        <f>100-Data_Geotech[[#This Row],[RQD (%)]]</f>
        <v>#DIV/0!</v>
      </c>
      <c r="AV288" s="13" t="e">
        <f>100-Data_Geotech[[#This Row],[TCR (%)]]</f>
        <v>#DIV/0!</v>
      </c>
      <c r="AW288" s="62" t="e">
        <f>(Data_Geotech[[#This Row],[Fracture per interval]]+Data_Geotech[[#This Row],[Added fractures 
(BC, FLT, LC)]])/Data_Geotech[[#This Row],[TCR (m)]]</f>
        <v>#DIV/0!</v>
      </c>
      <c r="AX288" s="62" t="str">
        <f>MID(Data_Geotech[[#This Row],[Field Intact Rock Strength]],2,1)</f>
        <v/>
      </c>
      <c r="AY288" s="63" t="e">
        <f>7-MID(Data_Geotech[[#This Row],[Field Intact Rock Strength]],2,1)</f>
        <v>#VALUE!</v>
      </c>
      <c r="AZ288" s="63" t="e">
        <f>VLOOKUP(Data_Geotech[[#This Row],[Field Intact Rock Strength]],Table_FieldStrength[],2,FALSE)</f>
        <v>#N/A</v>
      </c>
      <c r="BA288" s="63" t="e">
        <f>VLOOKUP(Data_Geotech[[#This Row],[Field Intact Rock Strength]],Table_FieldStrength[],3,FALSE)</f>
        <v>#N/A</v>
      </c>
      <c r="BB288" s="63" t="e">
        <f>VLOOKUP(Data_Geotech[[#This Row],[Field Intact Rock Strength]],Table_FieldStrength[],4,FALSE)</f>
        <v>#N/A</v>
      </c>
      <c r="BC288" s="63" t="e">
        <f>100-Data_Geotech[[#This Row],[RMR76]]</f>
        <v>#VALUE!</v>
      </c>
      <c r="BD288" s="63" t="e">
        <f>LEFT(Data_Geotech[[#This Row],[Weathering/Alteration]],FIND("-",Data_Geotech[[#This Row],[Weathering/Alteration]])-2)</f>
        <v>#VALUE!</v>
      </c>
    </row>
    <row r="289" spans="1:56" hidden="1" x14ac:dyDescent="0.25">
      <c r="A289" s="14"/>
      <c r="B289" s="16" t="e">
        <f>VLOOKUP(Data_Geotech[[#This Row],[Hole ID]],Data_Log[],2,FALSE)</f>
        <v>#N/A</v>
      </c>
      <c r="C289" s="5"/>
      <c r="D289" s="5"/>
      <c r="E289" s="5">
        <f>(Data_Geotech[[#This Row],[To (m)]]-Data_Geotech[[#This Row],[From (m)]])/2+Data_Geotech[[#This Row],[From (m)]]</f>
        <v>0</v>
      </c>
      <c r="F289" s="13">
        <f>Data_Geotech[[#This Row],[To (m)]]-Data_Geotech[[#This Row],[From (m)]]</f>
        <v>0</v>
      </c>
      <c r="G289" s="5"/>
      <c r="H289" s="61" t="e">
        <f>Data_Geotech[[#This Row],[TCR (m)]]/Data_Geotech[[#This Row],[Run (m)]]*100</f>
        <v>#DIV/0!</v>
      </c>
      <c r="I289" s="151"/>
      <c r="J289" s="151"/>
      <c r="K289" s="5"/>
      <c r="L289" s="61" t="e">
        <f>Data_Geotech[[#This Row],[RQD (m)]]/Data_Geotech[[#This Row],[Run Reel (m)]]*100</f>
        <v>#DIV/0!</v>
      </c>
      <c r="P289" s="115"/>
      <c r="Q289" s="5"/>
      <c r="R289" s="5"/>
      <c r="S289" s="5"/>
      <c r="T289" s="5"/>
      <c r="U289" s="5"/>
      <c r="V289" s="6"/>
      <c r="W289" s="92">
        <f>SUMIFS(Discontinuities!$D$4:$D$9664,Discontinuities!$A$4:$A$9664,A289,Discontinuities!$C$4:$C$9664,"&gt;="&amp;C289,Discontinuities!$C$4:$C$9664,"&lt;"&amp;D289)
-SUMIFS(Discontinuities!$D$4:$D$9664,Discontinuities!$A$4:$A$9664,A289,Discontinuities!$C$4:$C$9664,"&gt;="&amp;C289,Discontinuities!$C$4:$C$9664,"&lt;"&amp;D289,Discontinuities!$E$4:$E$9664,"=BC")
-SUMIFS(Discontinuities!$D$4:$D$9664,Discontinuities!$A$4:$A$9664,A289,Discontinuities!$C$4:$C$9664,"&gt;="&amp;C289,Discontinuities!$C$4:$C$9664,"&lt;"&amp;D289,Discontinuities!$E$4:$E$9664,"=LC")
-SUMIFS(Discontinuities!$D$4:$D$9664,Discontinuities!$A$4:$A$9664,A289,Discontinuities!$C$4:$C$9664,"&gt;="&amp;C289,Discontinuities!$C$4:$C$9664,"&lt;"&amp;D289,Discontinuities!$E$4:$E$9664,"=FLT")</f>
        <v>0</v>
      </c>
      <c r="AA289" s="132"/>
      <c r="AB289" s="159">
        <f>IFERROR(ROUND((Data_Geotech[[#This Row],[Fault (m)]]+Data_Geotech[[#This Row],[Broken Core (m)]]+Data_Geotech[[#This Row],[Lost Core (m)]])*30,0),0)</f>
        <v>0</v>
      </c>
      <c r="AC289" s="135">
        <f>IF(Data_Geotech[[#This Row],[Added fractures 
(BC, FLT, LC)]]+Data_Geotech[[#This Row],[Fracture per interval]]=0,99,1/((Data_Geotech[[#This Row],[Fracture per interval]]+Data_Geotech[[#This Row],[Added fractures 
(BC, FLT, LC)]])/Data_Geotech[[#This Row],[Run (m)]]))</f>
        <v>99</v>
      </c>
      <c r="AD289" s="160" t="str" cm="1">
        <f t="array" ref="AD289">IFERROR(_xlfn.XLOOKUP(1,(A289=PLT!$A$4:$A$8886)*(Geotech!C289&lt;=PLT!$F$4:$F$8886)*(Geotech!D289&gt;=PLT!$F$4:$F$8886)*("Valid"=PLT!$P$4:$P$8886),PLT!$V$4:$V$8886),"")</f>
        <v/>
      </c>
      <c r="AE289" s="161" t="str" cm="1">
        <f t="array" ref="AE289">IFERROR(_xlfn.XLOOKUP(1,(A289=PLT!$A$4:$A$8886)*(Geotech!C289&lt;=PLT!$F$4:$F$8886)*(Geotech!D289&gt;=PLT!$F$4:$F$8886)*(PLT!$V$4:$V$8886&lt;&gt;AD289)*("Valid"=PLT!$P$4:$P$7190),PLT!$V$4:$V$8886),"")</f>
        <v/>
      </c>
      <c r="AF289" s="161" t="str" cm="1">
        <f t="array" ref="AF289">IFERROR(_xlfn.XLOOKUP(1,(A289=PLT!$A$4:$A$8886)*(Geotech!C289&lt;=PLT!$F$4:$F$8886)*(Geotech!D289&gt;=PLT!$F$4:$F$8886)*(PLT!$V$4:$V$8886&lt;&gt;AD289)*(PLT!$V$4:$V$8886&lt;&gt;AE289)*("Valid"=PLT!$P$4:$P$7190),PLT!$V$4:$V$8886),"")</f>
        <v/>
      </c>
      <c r="AG289" s="162" t="str">
        <f>IFERROR(IF(AVERAGE(AD289:AF289)&gt;References!$BO$23,References!$BP$23,
IF(AVERAGE(AD289:AF289)&gt;References!$BO$22,References!$BP$22,
IF(AVERAGE(AD289:AF289)&gt;References!$BO$21,References!$BP$21,
IF(AVERAGE(AD289:AF289)&gt;References!$BO$20,References!$BP$20,
IF(AVERAGE(AD289:AF289)&gt;References!$BO$19,References!$BP$19,
IF(AVERAGE(AD289:AF289)&gt;References!$BO$18,References!$BP$18,
0)))))),"")</f>
        <v/>
      </c>
      <c r="AH289" s="163" t="e">
        <f>VLOOKUP(Data_Geotech[[#This Row],[Field Intact Rock Strength]],Table_RMR76_Strength[],2,FALSE)</f>
        <v>#N/A</v>
      </c>
      <c r="AI289" s="163" t="e">
        <f>IF(Data_Geotech[[#This Row],[RQD (%)]]&lt;=25,3,IF(Data_Geotech[[#This Row],[RQD (%)]]&lt;=50,8,IF(Data_Geotech[[#This Row],[RQD (%)]]&lt;=75,13,IF(Data_Geotech[[#This Row],[RQD (%)]]&lt;=90,17,20))))</f>
        <v>#DIV/0!</v>
      </c>
      <c r="AJ289" s="136">
        <f>IF(Data_Geotech[[#This Row],[Joint spacing (m)]]&lt;=0.05,5,IF(Data_Geotech[[#This Row],[Joint spacing (m)]]&lt;=0.3,10,IF(Data_Geotech[[#This Row],[Joint spacing (m)]]&lt;=1,20,IF(Data_Geotech[[#This Row],[Joint spacing (m)]]&lt;=3,25,30))))</f>
        <v>30</v>
      </c>
      <c r="AK28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89" s="6"/>
      <c r="AM289" s="137" t="str">
        <f>IF(Data_Geotech[[#This Row],[FIRS Code]]="R",IFERROR(SUM(Data_Geotech[[#This Row],[RMR76 - Strength rating]:[RMR76 - Ground water rating]]),""),"")</f>
        <v/>
      </c>
      <c r="AN289" s="164" t="str">
        <f>IF(Data_Geotech[[#This Row],[FIRS Code]]="R",(2*Data_Geotech[[#This Row],[RMR76 - Joint condition rating]])+(IF(Data_Geotech[[#This Row],[RQD (%)]]&gt;80,80/2,Data_Geotech[[#This Row],[RQD (%)]]/2)),"")</f>
        <v/>
      </c>
      <c r="AO289" s="136" t="e">
        <f>LEFT(Data_Geotech[[#This Row],[Joint Set Rating]],FIND("-",Data_Geotech[[#This Row],[Joint Set Rating]],1)-2)</f>
        <v>#VALUE!</v>
      </c>
      <c r="AP28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89" s="143">
        <f t="shared" si="5"/>
        <v>1</v>
      </c>
      <c r="AR289" s="165" t="str">
        <f>IF(Data_Geotech[[#This Row],[FIRS Code]]="R",IFERROR((IF(Data_Geotech[[#This Row],[RQD (%)]]&lt;10,10,Data_Geotech[[#This Row],[RQD (%)]])/Data_Geotech[[#This Row],[Jn rating]])*Data_Geotech[[#This Row],[Jr/Ja]],""),"")</f>
        <v/>
      </c>
      <c r="AS289" s="138" t="str">
        <f>IF(Data_Geotech[[#This Row],[FIRS Code]]="R",IFERROR((IF(Data_Geotech[[#This Row],[RQD (%)]]&lt;10,10,Data_Geotech[[#This Row],[RQD (%)]])/Data_Geotech[[#This Row],[Jn rating]])*Data_Geotech[[#This Row],[Jr/Ja]]*Data_Geotech[[#This Row],[Jw/SRF]],""),"")</f>
        <v/>
      </c>
      <c r="AT289" s="12"/>
      <c r="AU289" s="13" t="e">
        <f>100-Data_Geotech[[#This Row],[RQD (%)]]</f>
        <v>#DIV/0!</v>
      </c>
      <c r="AV289" s="13" t="e">
        <f>100-Data_Geotech[[#This Row],[TCR (%)]]</f>
        <v>#DIV/0!</v>
      </c>
      <c r="AW289" s="62" t="e">
        <f>(Data_Geotech[[#This Row],[Fracture per interval]]+Data_Geotech[[#This Row],[Added fractures 
(BC, FLT, LC)]])/Data_Geotech[[#This Row],[TCR (m)]]</f>
        <v>#DIV/0!</v>
      </c>
      <c r="AX289" s="62" t="str">
        <f>MID(Data_Geotech[[#This Row],[Field Intact Rock Strength]],2,1)</f>
        <v/>
      </c>
      <c r="AY289" s="63" t="e">
        <f>7-MID(Data_Geotech[[#This Row],[Field Intact Rock Strength]],2,1)</f>
        <v>#VALUE!</v>
      </c>
      <c r="AZ289" s="63" t="e">
        <f>VLOOKUP(Data_Geotech[[#This Row],[Field Intact Rock Strength]],Table_FieldStrength[],2,FALSE)</f>
        <v>#N/A</v>
      </c>
      <c r="BA289" s="63" t="e">
        <f>VLOOKUP(Data_Geotech[[#This Row],[Field Intact Rock Strength]],Table_FieldStrength[],3,FALSE)</f>
        <v>#N/A</v>
      </c>
      <c r="BB289" s="63" t="e">
        <f>VLOOKUP(Data_Geotech[[#This Row],[Field Intact Rock Strength]],Table_FieldStrength[],4,FALSE)</f>
        <v>#N/A</v>
      </c>
      <c r="BC289" s="63" t="e">
        <f>100-Data_Geotech[[#This Row],[RMR76]]</f>
        <v>#VALUE!</v>
      </c>
      <c r="BD289" s="63" t="e">
        <f>LEFT(Data_Geotech[[#This Row],[Weathering/Alteration]],FIND("-",Data_Geotech[[#This Row],[Weathering/Alteration]])-2)</f>
        <v>#VALUE!</v>
      </c>
    </row>
    <row r="290" spans="1:56" hidden="1" x14ac:dyDescent="0.25">
      <c r="A290" s="14"/>
      <c r="B290" s="16" t="e">
        <f>VLOOKUP(Data_Geotech[[#This Row],[Hole ID]],Data_Log[],2,FALSE)</f>
        <v>#N/A</v>
      </c>
      <c r="C290" s="5"/>
      <c r="D290" s="5"/>
      <c r="E290" s="5">
        <f>(Data_Geotech[[#This Row],[To (m)]]-Data_Geotech[[#This Row],[From (m)]])/2+Data_Geotech[[#This Row],[From (m)]]</f>
        <v>0</v>
      </c>
      <c r="F290" s="13">
        <f>Data_Geotech[[#This Row],[To (m)]]-Data_Geotech[[#This Row],[From (m)]]</f>
        <v>0</v>
      </c>
      <c r="G290" s="5"/>
      <c r="H290" s="61" t="e">
        <f>Data_Geotech[[#This Row],[TCR (m)]]/Data_Geotech[[#This Row],[Run (m)]]*100</f>
        <v>#DIV/0!</v>
      </c>
      <c r="I290" s="151"/>
      <c r="J290" s="151"/>
      <c r="K290" s="5"/>
      <c r="L290" s="61" t="e">
        <f>Data_Geotech[[#This Row],[RQD (m)]]/Data_Geotech[[#This Row],[Run Reel (m)]]*100</f>
        <v>#DIV/0!</v>
      </c>
      <c r="P290" s="115"/>
      <c r="Q290" s="5"/>
      <c r="R290" s="5"/>
      <c r="S290" s="5"/>
      <c r="T290" s="5"/>
      <c r="U290" s="5"/>
      <c r="V290" s="6"/>
      <c r="W290" s="92">
        <f>SUMIFS(Discontinuities!$D$4:$D$9664,Discontinuities!$A$4:$A$9664,A290,Discontinuities!$C$4:$C$9664,"&gt;="&amp;C290,Discontinuities!$C$4:$C$9664,"&lt;"&amp;D290)
-SUMIFS(Discontinuities!$D$4:$D$9664,Discontinuities!$A$4:$A$9664,A290,Discontinuities!$C$4:$C$9664,"&gt;="&amp;C290,Discontinuities!$C$4:$C$9664,"&lt;"&amp;D290,Discontinuities!$E$4:$E$9664,"=BC")
-SUMIFS(Discontinuities!$D$4:$D$9664,Discontinuities!$A$4:$A$9664,A290,Discontinuities!$C$4:$C$9664,"&gt;="&amp;C290,Discontinuities!$C$4:$C$9664,"&lt;"&amp;D290,Discontinuities!$E$4:$E$9664,"=LC")
-SUMIFS(Discontinuities!$D$4:$D$9664,Discontinuities!$A$4:$A$9664,A290,Discontinuities!$C$4:$C$9664,"&gt;="&amp;C290,Discontinuities!$C$4:$C$9664,"&lt;"&amp;D290,Discontinuities!$E$4:$E$9664,"=FLT")</f>
        <v>0</v>
      </c>
      <c r="AA290" s="132"/>
      <c r="AB290" s="159">
        <f>IFERROR(ROUND((Data_Geotech[[#This Row],[Fault (m)]]+Data_Geotech[[#This Row],[Broken Core (m)]]+Data_Geotech[[#This Row],[Lost Core (m)]])*30,0),0)</f>
        <v>0</v>
      </c>
      <c r="AC290" s="135">
        <f>IF(Data_Geotech[[#This Row],[Added fractures 
(BC, FLT, LC)]]+Data_Geotech[[#This Row],[Fracture per interval]]=0,99,1/((Data_Geotech[[#This Row],[Fracture per interval]]+Data_Geotech[[#This Row],[Added fractures 
(BC, FLT, LC)]])/Data_Geotech[[#This Row],[Run (m)]]))</f>
        <v>99</v>
      </c>
      <c r="AD290" s="160" t="str" cm="1">
        <f t="array" ref="AD290">IFERROR(_xlfn.XLOOKUP(1,(A290=PLT!$A$4:$A$8886)*(Geotech!C290&lt;=PLT!$F$4:$F$8886)*(Geotech!D290&gt;=PLT!$F$4:$F$8886)*("Valid"=PLT!$P$4:$P$8886),PLT!$V$4:$V$8886),"")</f>
        <v/>
      </c>
      <c r="AE290" s="161" t="str" cm="1">
        <f t="array" ref="AE290">IFERROR(_xlfn.XLOOKUP(1,(A290=PLT!$A$4:$A$8886)*(Geotech!C290&lt;=PLT!$F$4:$F$8886)*(Geotech!D290&gt;=PLT!$F$4:$F$8886)*(PLT!$V$4:$V$8886&lt;&gt;AD290)*("Valid"=PLT!$P$4:$P$7190),PLT!$V$4:$V$8886),"")</f>
        <v/>
      </c>
      <c r="AF290" s="161" t="str" cm="1">
        <f t="array" ref="AF290">IFERROR(_xlfn.XLOOKUP(1,(A290=PLT!$A$4:$A$8886)*(Geotech!C290&lt;=PLT!$F$4:$F$8886)*(Geotech!D290&gt;=PLT!$F$4:$F$8886)*(PLT!$V$4:$V$8886&lt;&gt;AD290)*(PLT!$V$4:$V$8886&lt;&gt;AE290)*("Valid"=PLT!$P$4:$P$7190),PLT!$V$4:$V$8886),"")</f>
        <v/>
      </c>
      <c r="AG290" s="162" t="str">
        <f>IFERROR(IF(AVERAGE(AD290:AF290)&gt;References!$BO$23,References!$BP$23,
IF(AVERAGE(AD290:AF290)&gt;References!$BO$22,References!$BP$22,
IF(AVERAGE(AD290:AF290)&gt;References!$BO$21,References!$BP$21,
IF(AVERAGE(AD290:AF290)&gt;References!$BO$20,References!$BP$20,
IF(AVERAGE(AD290:AF290)&gt;References!$BO$19,References!$BP$19,
IF(AVERAGE(AD290:AF290)&gt;References!$BO$18,References!$BP$18,
0)))))),"")</f>
        <v/>
      </c>
      <c r="AH290" s="163" t="e">
        <f>VLOOKUP(Data_Geotech[[#This Row],[Field Intact Rock Strength]],Table_RMR76_Strength[],2,FALSE)</f>
        <v>#N/A</v>
      </c>
      <c r="AI290" s="163" t="e">
        <f>IF(Data_Geotech[[#This Row],[RQD (%)]]&lt;=25,3,IF(Data_Geotech[[#This Row],[RQD (%)]]&lt;=50,8,IF(Data_Geotech[[#This Row],[RQD (%)]]&lt;=75,13,IF(Data_Geotech[[#This Row],[RQD (%)]]&lt;=90,17,20))))</f>
        <v>#DIV/0!</v>
      </c>
      <c r="AJ290" s="136">
        <f>IF(Data_Geotech[[#This Row],[Joint spacing (m)]]&lt;=0.05,5,IF(Data_Geotech[[#This Row],[Joint spacing (m)]]&lt;=0.3,10,IF(Data_Geotech[[#This Row],[Joint spacing (m)]]&lt;=1,20,IF(Data_Geotech[[#This Row],[Joint spacing (m)]]&lt;=3,25,30))))</f>
        <v>30</v>
      </c>
      <c r="AK29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0" s="6"/>
      <c r="AM290" s="137" t="str">
        <f>IF(Data_Geotech[[#This Row],[FIRS Code]]="R",IFERROR(SUM(Data_Geotech[[#This Row],[RMR76 - Strength rating]:[RMR76 - Ground water rating]]),""),"")</f>
        <v/>
      </c>
      <c r="AN290" s="164" t="str">
        <f>IF(Data_Geotech[[#This Row],[FIRS Code]]="R",(2*Data_Geotech[[#This Row],[RMR76 - Joint condition rating]])+(IF(Data_Geotech[[#This Row],[RQD (%)]]&gt;80,80/2,Data_Geotech[[#This Row],[RQD (%)]]/2)),"")</f>
        <v/>
      </c>
      <c r="AO290" s="136" t="e">
        <f>LEFT(Data_Geotech[[#This Row],[Joint Set Rating]],FIND("-",Data_Geotech[[#This Row],[Joint Set Rating]],1)-2)</f>
        <v>#VALUE!</v>
      </c>
      <c r="AP29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0" s="143">
        <f t="shared" si="5"/>
        <v>1</v>
      </c>
      <c r="AR290" s="165" t="str">
        <f>IF(Data_Geotech[[#This Row],[FIRS Code]]="R",IFERROR((IF(Data_Geotech[[#This Row],[RQD (%)]]&lt;10,10,Data_Geotech[[#This Row],[RQD (%)]])/Data_Geotech[[#This Row],[Jn rating]])*Data_Geotech[[#This Row],[Jr/Ja]],""),"")</f>
        <v/>
      </c>
      <c r="AS290" s="138" t="str">
        <f>IF(Data_Geotech[[#This Row],[FIRS Code]]="R",IFERROR((IF(Data_Geotech[[#This Row],[RQD (%)]]&lt;10,10,Data_Geotech[[#This Row],[RQD (%)]])/Data_Geotech[[#This Row],[Jn rating]])*Data_Geotech[[#This Row],[Jr/Ja]]*Data_Geotech[[#This Row],[Jw/SRF]],""),"")</f>
        <v/>
      </c>
      <c r="AT290" s="12"/>
      <c r="AU290" s="13" t="e">
        <f>100-Data_Geotech[[#This Row],[RQD (%)]]</f>
        <v>#DIV/0!</v>
      </c>
      <c r="AV290" s="13" t="e">
        <f>100-Data_Geotech[[#This Row],[TCR (%)]]</f>
        <v>#DIV/0!</v>
      </c>
      <c r="AW290" s="62" t="e">
        <f>(Data_Geotech[[#This Row],[Fracture per interval]]+Data_Geotech[[#This Row],[Added fractures 
(BC, FLT, LC)]])/Data_Geotech[[#This Row],[TCR (m)]]</f>
        <v>#DIV/0!</v>
      </c>
      <c r="AX290" s="62" t="str">
        <f>MID(Data_Geotech[[#This Row],[Field Intact Rock Strength]],2,1)</f>
        <v/>
      </c>
      <c r="AY290" s="63" t="e">
        <f>7-MID(Data_Geotech[[#This Row],[Field Intact Rock Strength]],2,1)</f>
        <v>#VALUE!</v>
      </c>
      <c r="AZ290" s="63" t="e">
        <f>VLOOKUP(Data_Geotech[[#This Row],[Field Intact Rock Strength]],Table_FieldStrength[],2,FALSE)</f>
        <v>#N/A</v>
      </c>
      <c r="BA290" s="63" t="e">
        <f>VLOOKUP(Data_Geotech[[#This Row],[Field Intact Rock Strength]],Table_FieldStrength[],3,FALSE)</f>
        <v>#N/A</v>
      </c>
      <c r="BB290" s="63" t="e">
        <f>VLOOKUP(Data_Geotech[[#This Row],[Field Intact Rock Strength]],Table_FieldStrength[],4,FALSE)</f>
        <v>#N/A</v>
      </c>
      <c r="BC290" s="63" t="e">
        <f>100-Data_Geotech[[#This Row],[RMR76]]</f>
        <v>#VALUE!</v>
      </c>
      <c r="BD290" s="63" t="e">
        <f>LEFT(Data_Geotech[[#This Row],[Weathering/Alteration]],FIND("-",Data_Geotech[[#This Row],[Weathering/Alteration]])-2)</f>
        <v>#VALUE!</v>
      </c>
    </row>
    <row r="291" spans="1:56" hidden="1" x14ac:dyDescent="0.25">
      <c r="A291" s="14"/>
      <c r="B291" s="16" t="e">
        <f>VLOOKUP(Data_Geotech[[#This Row],[Hole ID]],Data_Log[],2,FALSE)</f>
        <v>#N/A</v>
      </c>
      <c r="C291" s="5"/>
      <c r="D291" s="5"/>
      <c r="E291" s="5">
        <f>(Data_Geotech[[#This Row],[To (m)]]-Data_Geotech[[#This Row],[From (m)]])/2+Data_Geotech[[#This Row],[From (m)]]</f>
        <v>0</v>
      </c>
      <c r="F291" s="13">
        <f>Data_Geotech[[#This Row],[To (m)]]-Data_Geotech[[#This Row],[From (m)]]</f>
        <v>0</v>
      </c>
      <c r="G291" s="5"/>
      <c r="H291" s="61" t="e">
        <f>Data_Geotech[[#This Row],[TCR (m)]]/Data_Geotech[[#This Row],[Run (m)]]*100</f>
        <v>#DIV/0!</v>
      </c>
      <c r="I291" s="151"/>
      <c r="J291" s="151"/>
      <c r="K291" s="5"/>
      <c r="L291" s="61" t="e">
        <f>Data_Geotech[[#This Row],[RQD (m)]]/Data_Geotech[[#This Row],[Run Reel (m)]]*100</f>
        <v>#DIV/0!</v>
      </c>
      <c r="P291" s="115"/>
      <c r="Q291" s="5"/>
      <c r="R291" s="5"/>
      <c r="S291" s="5"/>
      <c r="T291" s="5"/>
      <c r="U291" s="5"/>
      <c r="V291" s="6"/>
      <c r="W291" s="92">
        <f>SUMIFS(Discontinuities!$D$4:$D$9664,Discontinuities!$A$4:$A$9664,A291,Discontinuities!$C$4:$C$9664,"&gt;="&amp;C291,Discontinuities!$C$4:$C$9664,"&lt;"&amp;D291)
-SUMIFS(Discontinuities!$D$4:$D$9664,Discontinuities!$A$4:$A$9664,A291,Discontinuities!$C$4:$C$9664,"&gt;="&amp;C291,Discontinuities!$C$4:$C$9664,"&lt;"&amp;D291,Discontinuities!$E$4:$E$9664,"=BC")
-SUMIFS(Discontinuities!$D$4:$D$9664,Discontinuities!$A$4:$A$9664,A291,Discontinuities!$C$4:$C$9664,"&gt;="&amp;C291,Discontinuities!$C$4:$C$9664,"&lt;"&amp;D291,Discontinuities!$E$4:$E$9664,"=LC")
-SUMIFS(Discontinuities!$D$4:$D$9664,Discontinuities!$A$4:$A$9664,A291,Discontinuities!$C$4:$C$9664,"&gt;="&amp;C291,Discontinuities!$C$4:$C$9664,"&lt;"&amp;D291,Discontinuities!$E$4:$E$9664,"=FLT")</f>
        <v>0</v>
      </c>
      <c r="AA291" s="132"/>
      <c r="AB291" s="159">
        <f>IFERROR(ROUND((Data_Geotech[[#This Row],[Fault (m)]]+Data_Geotech[[#This Row],[Broken Core (m)]]+Data_Geotech[[#This Row],[Lost Core (m)]])*30,0),0)</f>
        <v>0</v>
      </c>
      <c r="AC291" s="135">
        <f>IF(Data_Geotech[[#This Row],[Added fractures 
(BC, FLT, LC)]]+Data_Geotech[[#This Row],[Fracture per interval]]=0,99,1/((Data_Geotech[[#This Row],[Fracture per interval]]+Data_Geotech[[#This Row],[Added fractures 
(BC, FLT, LC)]])/Data_Geotech[[#This Row],[Run (m)]]))</f>
        <v>99</v>
      </c>
      <c r="AD291" s="160" t="str" cm="1">
        <f t="array" ref="AD291">IFERROR(_xlfn.XLOOKUP(1,(A291=PLT!$A$4:$A$8886)*(Geotech!C291&lt;=PLT!$F$4:$F$8886)*(Geotech!D291&gt;=PLT!$F$4:$F$8886)*("Valid"=PLT!$P$4:$P$8886),PLT!$V$4:$V$8886),"")</f>
        <v/>
      </c>
      <c r="AE291" s="161" t="str" cm="1">
        <f t="array" ref="AE291">IFERROR(_xlfn.XLOOKUP(1,(A291=PLT!$A$4:$A$8886)*(Geotech!C291&lt;=PLT!$F$4:$F$8886)*(Geotech!D291&gt;=PLT!$F$4:$F$8886)*(PLT!$V$4:$V$8886&lt;&gt;AD291)*("Valid"=PLT!$P$4:$P$7190),PLT!$V$4:$V$8886),"")</f>
        <v/>
      </c>
      <c r="AF291" s="161" t="str" cm="1">
        <f t="array" ref="AF291">IFERROR(_xlfn.XLOOKUP(1,(A291=PLT!$A$4:$A$8886)*(Geotech!C291&lt;=PLT!$F$4:$F$8886)*(Geotech!D291&gt;=PLT!$F$4:$F$8886)*(PLT!$V$4:$V$8886&lt;&gt;AD291)*(PLT!$V$4:$V$8886&lt;&gt;AE291)*("Valid"=PLT!$P$4:$P$7190),PLT!$V$4:$V$8886),"")</f>
        <v/>
      </c>
      <c r="AG291" s="162" t="str">
        <f>IFERROR(IF(AVERAGE(AD291:AF291)&gt;References!$BO$23,References!$BP$23,
IF(AVERAGE(AD291:AF291)&gt;References!$BO$22,References!$BP$22,
IF(AVERAGE(AD291:AF291)&gt;References!$BO$21,References!$BP$21,
IF(AVERAGE(AD291:AF291)&gt;References!$BO$20,References!$BP$20,
IF(AVERAGE(AD291:AF291)&gt;References!$BO$19,References!$BP$19,
IF(AVERAGE(AD291:AF291)&gt;References!$BO$18,References!$BP$18,
0)))))),"")</f>
        <v/>
      </c>
      <c r="AH291" s="163" t="e">
        <f>VLOOKUP(Data_Geotech[[#This Row],[Field Intact Rock Strength]],Table_RMR76_Strength[],2,FALSE)</f>
        <v>#N/A</v>
      </c>
      <c r="AI291" s="163" t="e">
        <f>IF(Data_Geotech[[#This Row],[RQD (%)]]&lt;=25,3,IF(Data_Geotech[[#This Row],[RQD (%)]]&lt;=50,8,IF(Data_Geotech[[#This Row],[RQD (%)]]&lt;=75,13,IF(Data_Geotech[[#This Row],[RQD (%)]]&lt;=90,17,20))))</f>
        <v>#DIV/0!</v>
      </c>
      <c r="AJ291" s="136">
        <f>IF(Data_Geotech[[#This Row],[Joint spacing (m)]]&lt;=0.05,5,IF(Data_Geotech[[#This Row],[Joint spacing (m)]]&lt;=0.3,10,IF(Data_Geotech[[#This Row],[Joint spacing (m)]]&lt;=1,20,IF(Data_Geotech[[#This Row],[Joint spacing (m)]]&lt;=3,25,30))))</f>
        <v>30</v>
      </c>
      <c r="AK29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1" s="6"/>
      <c r="AM291" s="137" t="str">
        <f>IF(Data_Geotech[[#This Row],[FIRS Code]]="R",IFERROR(SUM(Data_Geotech[[#This Row],[RMR76 - Strength rating]:[RMR76 - Ground water rating]]),""),"")</f>
        <v/>
      </c>
      <c r="AN291" s="164" t="str">
        <f>IF(Data_Geotech[[#This Row],[FIRS Code]]="R",(2*Data_Geotech[[#This Row],[RMR76 - Joint condition rating]])+(IF(Data_Geotech[[#This Row],[RQD (%)]]&gt;80,80/2,Data_Geotech[[#This Row],[RQD (%)]]/2)),"")</f>
        <v/>
      </c>
      <c r="AO291" s="136" t="e">
        <f>LEFT(Data_Geotech[[#This Row],[Joint Set Rating]],FIND("-",Data_Geotech[[#This Row],[Joint Set Rating]],1)-2)</f>
        <v>#VALUE!</v>
      </c>
      <c r="AP29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1" s="143">
        <f t="shared" si="5"/>
        <v>1</v>
      </c>
      <c r="AR291" s="165" t="str">
        <f>IF(Data_Geotech[[#This Row],[FIRS Code]]="R",IFERROR((IF(Data_Geotech[[#This Row],[RQD (%)]]&lt;10,10,Data_Geotech[[#This Row],[RQD (%)]])/Data_Geotech[[#This Row],[Jn rating]])*Data_Geotech[[#This Row],[Jr/Ja]],""),"")</f>
        <v/>
      </c>
      <c r="AS291" s="138" t="str">
        <f>IF(Data_Geotech[[#This Row],[FIRS Code]]="R",IFERROR((IF(Data_Geotech[[#This Row],[RQD (%)]]&lt;10,10,Data_Geotech[[#This Row],[RQD (%)]])/Data_Geotech[[#This Row],[Jn rating]])*Data_Geotech[[#This Row],[Jr/Ja]]*Data_Geotech[[#This Row],[Jw/SRF]],""),"")</f>
        <v/>
      </c>
      <c r="AT291" s="12"/>
      <c r="AU291" s="13" t="e">
        <f>100-Data_Geotech[[#This Row],[RQD (%)]]</f>
        <v>#DIV/0!</v>
      </c>
      <c r="AV291" s="13" t="e">
        <f>100-Data_Geotech[[#This Row],[TCR (%)]]</f>
        <v>#DIV/0!</v>
      </c>
      <c r="AW291" s="62" t="e">
        <f>(Data_Geotech[[#This Row],[Fracture per interval]]+Data_Geotech[[#This Row],[Added fractures 
(BC, FLT, LC)]])/Data_Geotech[[#This Row],[TCR (m)]]</f>
        <v>#DIV/0!</v>
      </c>
      <c r="AX291" s="62" t="str">
        <f>MID(Data_Geotech[[#This Row],[Field Intact Rock Strength]],2,1)</f>
        <v/>
      </c>
      <c r="AY291" s="63" t="e">
        <f>7-MID(Data_Geotech[[#This Row],[Field Intact Rock Strength]],2,1)</f>
        <v>#VALUE!</v>
      </c>
      <c r="AZ291" s="63" t="e">
        <f>VLOOKUP(Data_Geotech[[#This Row],[Field Intact Rock Strength]],Table_FieldStrength[],2,FALSE)</f>
        <v>#N/A</v>
      </c>
      <c r="BA291" s="63" t="e">
        <f>VLOOKUP(Data_Geotech[[#This Row],[Field Intact Rock Strength]],Table_FieldStrength[],3,FALSE)</f>
        <v>#N/A</v>
      </c>
      <c r="BB291" s="63" t="e">
        <f>VLOOKUP(Data_Geotech[[#This Row],[Field Intact Rock Strength]],Table_FieldStrength[],4,FALSE)</f>
        <v>#N/A</v>
      </c>
      <c r="BC291" s="63" t="e">
        <f>100-Data_Geotech[[#This Row],[RMR76]]</f>
        <v>#VALUE!</v>
      </c>
      <c r="BD291" s="63" t="e">
        <f>LEFT(Data_Geotech[[#This Row],[Weathering/Alteration]],FIND("-",Data_Geotech[[#This Row],[Weathering/Alteration]])-2)</f>
        <v>#VALUE!</v>
      </c>
    </row>
    <row r="292" spans="1:56" hidden="1" x14ac:dyDescent="0.25">
      <c r="A292" s="14"/>
      <c r="B292" s="16" t="e">
        <f>VLOOKUP(Data_Geotech[[#This Row],[Hole ID]],Data_Log[],2,FALSE)</f>
        <v>#N/A</v>
      </c>
      <c r="C292" s="5"/>
      <c r="D292" s="5"/>
      <c r="E292" s="5">
        <f>(Data_Geotech[[#This Row],[To (m)]]-Data_Geotech[[#This Row],[From (m)]])/2+Data_Geotech[[#This Row],[From (m)]]</f>
        <v>0</v>
      </c>
      <c r="F292" s="13">
        <f>Data_Geotech[[#This Row],[To (m)]]-Data_Geotech[[#This Row],[From (m)]]</f>
        <v>0</v>
      </c>
      <c r="G292" s="5"/>
      <c r="H292" s="61" t="e">
        <f>Data_Geotech[[#This Row],[TCR (m)]]/Data_Geotech[[#This Row],[Run (m)]]*100</f>
        <v>#DIV/0!</v>
      </c>
      <c r="I292" s="151"/>
      <c r="J292" s="151"/>
      <c r="K292" s="5"/>
      <c r="L292" s="61" t="e">
        <f>Data_Geotech[[#This Row],[RQD (m)]]/Data_Geotech[[#This Row],[Run Reel (m)]]*100</f>
        <v>#DIV/0!</v>
      </c>
      <c r="P292" s="115"/>
      <c r="Q292" s="5"/>
      <c r="R292" s="5"/>
      <c r="S292" s="5"/>
      <c r="T292" s="5"/>
      <c r="U292" s="5"/>
      <c r="V292" s="6"/>
      <c r="W292" s="92">
        <f>SUMIFS(Discontinuities!$D$4:$D$9664,Discontinuities!$A$4:$A$9664,A292,Discontinuities!$C$4:$C$9664,"&gt;="&amp;C292,Discontinuities!$C$4:$C$9664,"&lt;"&amp;D292)
-SUMIFS(Discontinuities!$D$4:$D$9664,Discontinuities!$A$4:$A$9664,A292,Discontinuities!$C$4:$C$9664,"&gt;="&amp;C292,Discontinuities!$C$4:$C$9664,"&lt;"&amp;D292,Discontinuities!$E$4:$E$9664,"=BC")
-SUMIFS(Discontinuities!$D$4:$D$9664,Discontinuities!$A$4:$A$9664,A292,Discontinuities!$C$4:$C$9664,"&gt;="&amp;C292,Discontinuities!$C$4:$C$9664,"&lt;"&amp;D292,Discontinuities!$E$4:$E$9664,"=LC")
-SUMIFS(Discontinuities!$D$4:$D$9664,Discontinuities!$A$4:$A$9664,A292,Discontinuities!$C$4:$C$9664,"&gt;="&amp;C292,Discontinuities!$C$4:$C$9664,"&lt;"&amp;D292,Discontinuities!$E$4:$E$9664,"=FLT")</f>
        <v>0</v>
      </c>
      <c r="AA292" s="132"/>
      <c r="AB292" s="159">
        <f>IFERROR(ROUND((Data_Geotech[[#This Row],[Fault (m)]]+Data_Geotech[[#This Row],[Broken Core (m)]]+Data_Geotech[[#This Row],[Lost Core (m)]])*30,0),0)</f>
        <v>0</v>
      </c>
      <c r="AC292" s="135">
        <f>IF(Data_Geotech[[#This Row],[Added fractures 
(BC, FLT, LC)]]+Data_Geotech[[#This Row],[Fracture per interval]]=0,99,1/((Data_Geotech[[#This Row],[Fracture per interval]]+Data_Geotech[[#This Row],[Added fractures 
(BC, FLT, LC)]])/Data_Geotech[[#This Row],[Run (m)]]))</f>
        <v>99</v>
      </c>
      <c r="AD292" s="160" t="str" cm="1">
        <f t="array" ref="AD292">IFERROR(_xlfn.XLOOKUP(1,(A292=PLT!$A$4:$A$8886)*(Geotech!C292&lt;=PLT!$F$4:$F$8886)*(Geotech!D292&gt;=PLT!$F$4:$F$8886)*("Valid"=PLT!$P$4:$P$8886),PLT!$V$4:$V$8886),"")</f>
        <v/>
      </c>
      <c r="AE292" s="161" t="str" cm="1">
        <f t="array" ref="AE292">IFERROR(_xlfn.XLOOKUP(1,(A292=PLT!$A$4:$A$8886)*(Geotech!C292&lt;=PLT!$F$4:$F$8886)*(Geotech!D292&gt;=PLT!$F$4:$F$8886)*(PLT!$V$4:$V$8886&lt;&gt;AD292)*("Valid"=PLT!$P$4:$P$7190),PLT!$V$4:$V$8886),"")</f>
        <v/>
      </c>
      <c r="AF292" s="161" t="str" cm="1">
        <f t="array" ref="AF292">IFERROR(_xlfn.XLOOKUP(1,(A292=PLT!$A$4:$A$8886)*(Geotech!C292&lt;=PLT!$F$4:$F$8886)*(Geotech!D292&gt;=PLT!$F$4:$F$8886)*(PLT!$V$4:$V$8886&lt;&gt;AD292)*(PLT!$V$4:$V$8886&lt;&gt;AE292)*("Valid"=PLT!$P$4:$P$7190),PLT!$V$4:$V$8886),"")</f>
        <v/>
      </c>
      <c r="AG292" s="162" t="str">
        <f>IFERROR(IF(AVERAGE(AD292:AF292)&gt;References!$BO$23,References!$BP$23,
IF(AVERAGE(AD292:AF292)&gt;References!$BO$22,References!$BP$22,
IF(AVERAGE(AD292:AF292)&gt;References!$BO$21,References!$BP$21,
IF(AVERAGE(AD292:AF292)&gt;References!$BO$20,References!$BP$20,
IF(AVERAGE(AD292:AF292)&gt;References!$BO$19,References!$BP$19,
IF(AVERAGE(AD292:AF292)&gt;References!$BO$18,References!$BP$18,
0)))))),"")</f>
        <v/>
      </c>
      <c r="AH292" s="163" t="e">
        <f>VLOOKUP(Data_Geotech[[#This Row],[Field Intact Rock Strength]],Table_RMR76_Strength[],2,FALSE)</f>
        <v>#N/A</v>
      </c>
      <c r="AI292" s="163" t="e">
        <f>IF(Data_Geotech[[#This Row],[RQD (%)]]&lt;=25,3,IF(Data_Geotech[[#This Row],[RQD (%)]]&lt;=50,8,IF(Data_Geotech[[#This Row],[RQD (%)]]&lt;=75,13,IF(Data_Geotech[[#This Row],[RQD (%)]]&lt;=90,17,20))))</f>
        <v>#DIV/0!</v>
      </c>
      <c r="AJ292" s="136">
        <f>IF(Data_Geotech[[#This Row],[Joint spacing (m)]]&lt;=0.05,5,IF(Data_Geotech[[#This Row],[Joint spacing (m)]]&lt;=0.3,10,IF(Data_Geotech[[#This Row],[Joint spacing (m)]]&lt;=1,20,IF(Data_Geotech[[#This Row],[Joint spacing (m)]]&lt;=3,25,30))))</f>
        <v>30</v>
      </c>
      <c r="AK29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2" s="6"/>
      <c r="AM292" s="137" t="str">
        <f>IF(Data_Geotech[[#This Row],[FIRS Code]]="R",IFERROR(SUM(Data_Geotech[[#This Row],[RMR76 - Strength rating]:[RMR76 - Ground water rating]]),""),"")</f>
        <v/>
      </c>
      <c r="AN292" s="164" t="str">
        <f>IF(Data_Geotech[[#This Row],[FIRS Code]]="R",(2*Data_Geotech[[#This Row],[RMR76 - Joint condition rating]])+(IF(Data_Geotech[[#This Row],[RQD (%)]]&gt;80,80/2,Data_Geotech[[#This Row],[RQD (%)]]/2)),"")</f>
        <v/>
      </c>
      <c r="AO292" s="136" t="e">
        <f>LEFT(Data_Geotech[[#This Row],[Joint Set Rating]],FIND("-",Data_Geotech[[#This Row],[Joint Set Rating]],1)-2)</f>
        <v>#VALUE!</v>
      </c>
      <c r="AP29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2" s="143">
        <f t="shared" si="5"/>
        <v>1</v>
      </c>
      <c r="AR292" s="165" t="str">
        <f>IF(Data_Geotech[[#This Row],[FIRS Code]]="R",IFERROR((IF(Data_Geotech[[#This Row],[RQD (%)]]&lt;10,10,Data_Geotech[[#This Row],[RQD (%)]])/Data_Geotech[[#This Row],[Jn rating]])*Data_Geotech[[#This Row],[Jr/Ja]],""),"")</f>
        <v/>
      </c>
      <c r="AS292" s="138" t="str">
        <f>IF(Data_Geotech[[#This Row],[FIRS Code]]="R",IFERROR((IF(Data_Geotech[[#This Row],[RQD (%)]]&lt;10,10,Data_Geotech[[#This Row],[RQD (%)]])/Data_Geotech[[#This Row],[Jn rating]])*Data_Geotech[[#This Row],[Jr/Ja]]*Data_Geotech[[#This Row],[Jw/SRF]],""),"")</f>
        <v/>
      </c>
      <c r="AT292" s="12"/>
      <c r="AU292" s="13" t="e">
        <f>100-Data_Geotech[[#This Row],[RQD (%)]]</f>
        <v>#DIV/0!</v>
      </c>
      <c r="AV292" s="13" t="e">
        <f>100-Data_Geotech[[#This Row],[TCR (%)]]</f>
        <v>#DIV/0!</v>
      </c>
      <c r="AW292" s="62" t="e">
        <f>(Data_Geotech[[#This Row],[Fracture per interval]]+Data_Geotech[[#This Row],[Added fractures 
(BC, FLT, LC)]])/Data_Geotech[[#This Row],[TCR (m)]]</f>
        <v>#DIV/0!</v>
      </c>
      <c r="AX292" s="62" t="str">
        <f>MID(Data_Geotech[[#This Row],[Field Intact Rock Strength]],2,1)</f>
        <v/>
      </c>
      <c r="AY292" s="63" t="e">
        <f>7-MID(Data_Geotech[[#This Row],[Field Intact Rock Strength]],2,1)</f>
        <v>#VALUE!</v>
      </c>
      <c r="AZ292" s="63" t="e">
        <f>VLOOKUP(Data_Geotech[[#This Row],[Field Intact Rock Strength]],Table_FieldStrength[],2,FALSE)</f>
        <v>#N/A</v>
      </c>
      <c r="BA292" s="63" t="e">
        <f>VLOOKUP(Data_Geotech[[#This Row],[Field Intact Rock Strength]],Table_FieldStrength[],3,FALSE)</f>
        <v>#N/A</v>
      </c>
      <c r="BB292" s="63" t="e">
        <f>VLOOKUP(Data_Geotech[[#This Row],[Field Intact Rock Strength]],Table_FieldStrength[],4,FALSE)</f>
        <v>#N/A</v>
      </c>
      <c r="BC292" s="63" t="e">
        <f>100-Data_Geotech[[#This Row],[RMR76]]</f>
        <v>#VALUE!</v>
      </c>
      <c r="BD292" s="63" t="e">
        <f>LEFT(Data_Geotech[[#This Row],[Weathering/Alteration]],FIND("-",Data_Geotech[[#This Row],[Weathering/Alteration]])-2)</f>
        <v>#VALUE!</v>
      </c>
    </row>
    <row r="293" spans="1:56" hidden="1" x14ac:dyDescent="0.25">
      <c r="A293" s="14"/>
      <c r="B293" s="16" t="e">
        <f>VLOOKUP(Data_Geotech[[#This Row],[Hole ID]],Data_Log[],2,FALSE)</f>
        <v>#N/A</v>
      </c>
      <c r="C293" s="5"/>
      <c r="D293" s="5"/>
      <c r="E293" s="5">
        <f>(Data_Geotech[[#This Row],[To (m)]]-Data_Geotech[[#This Row],[From (m)]])/2+Data_Geotech[[#This Row],[From (m)]]</f>
        <v>0</v>
      </c>
      <c r="F293" s="13">
        <f>Data_Geotech[[#This Row],[To (m)]]-Data_Geotech[[#This Row],[From (m)]]</f>
        <v>0</v>
      </c>
      <c r="G293" s="5"/>
      <c r="H293" s="61" t="e">
        <f>Data_Geotech[[#This Row],[TCR (m)]]/Data_Geotech[[#This Row],[Run (m)]]*100</f>
        <v>#DIV/0!</v>
      </c>
      <c r="I293" s="151"/>
      <c r="J293" s="151"/>
      <c r="K293" s="5"/>
      <c r="L293" s="61" t="e">
        <f>Data_Geotech[[#This Row],[RQD (m)]]/Data_Geotech[[#This Row],[Run Reel (m)]]*100</f>
        <v>#DIV/0!</v>
      </c>
      <c r="P293" s="115"/>
      <c r="Q293" s="5"/>
      <c r="R293" s="5"/>
      <c r="S293" s="5"/>
      <c r="T293" s="5"/>
      <c r="U293" s="5"/>
      <c r="V293" s="6"/>
      <c r="W293" s="92">
        <f>SUMIFS(Discontinuities!$D$4:$D$9664,Discontinuities!$A$4:$A$9664,A293,Discontinuities!$C$4:$C$9664,"&gt;="&amp;C293,Discontinuities!$C$4:$C$9664,"&lt;"&amp;D293)
-SUMIFS(Discontinuities!$D$4:$D$9664,Discontinuities!$A$4:$A$9664,A293,Discontinuities!$C$4:$C$9664,"&gt;="&amp;C293,Discontinuities!$C$4:$C$9664,"&lt;"&amp;D293,Discontinuities!$E$4:$E$9664,"=BC")
-SUMIFS(Discontinuities!$D$4:$D$9664,Discontinuities!$A$4:$A$9664,A293,Discontinuities!$C$4:$C$9664,"&gt;="&amp;C293,Discontinuities!$C$4:$C$9664,"&lt;"&amp;D293,Discontinuities!$E$4:$E$9664,"=LC")
-SUMIFS(Discontinuities!$D$4:$D$9664,Discontinuities!$A$4:$A$9664,A293,Discontinuities!$C$4:$C$9664,"&gt;="&amp;C293,Discontinuities!$C$4:$C$9664,"&lt;"&amp;D293,Discontinuities!$E$4:$E$9664,"=FLT")</f>
        <v>0</v>
      </c>
      <c r="AA293" s="132"/>
      <c r="AB293" s="159">
        <f>IFERROR(ROUND((Data_Geotech[[#This Row],[Fault (m)]]+Data_Geotech[[#This Row],[Broken Core (m)]]+Data_Geotech[[#This Row],[Lost Core (m)]])*30,0),0)</f>
        <v>0</v>
      </c>
      <c r="AC293" s="135">
        <f>IF(Data_Geotech[[#This Row],[Added fractures 
(BC, FLT, LC)]]+Data_Geotech[[#This Row],[Fracture per interval]]=0,99,1/((Data_Geotech[[#This Row],[Fracture per interval]]+Data_Geotech[[#This Row],[Added fractures 
(BC, FLT, LC)]])/Data_Geotech[[#This Row],[Run (m)]]))</f>
        <v>99</v>
      </c>
      <c r="AD293" s="160" t="str" cm="1">
        <f t="array" ref="AD293">IFERROR(_xlfn.XLOOKUP(1,(A293=PLT!$A$4:$A$8886)*(Geotech!C293&lt;=PLT!$F$4:$F$8886)*(Geotech!D293&gt;=PLT!$F$4:$F$8886)*("Valid"=PLT!$P$4:$P$8886),PLT!$V$4:$V$8886),"")</f>
        <v/>
      </c>
      <c r="AE293" s="161" t="str" cm="1">
        <f t="array" ref="AE293">IFERROR(_xlfn.XLOOKUP(1,(A293=PLT!$A$4:$A$8886)*(Geotech!C293&lt;=PLT!$F$4:$F$8886)*(Geotech!D293&gt;=PLT!$F$4:$F$8886)*(PLT!$V$4:$V$8886&lt;&gt;AD293)*("Valid"=PLT!$P$4:$P$7190),PLT!$V$4:$V$8886),"")</f>
        <v/>
      </c>
      <c r="AF293" s="161" t="str" cm="1">
        <f t="array" ref="AF293">IFERROR(_xlfn.XLOOKUP(1,(A293=PLT!$A$4:$A$8886)*(Geotech!C293&lt;=PLT!$F$4:$F$8886)*(Geotech!D293&gt;=PLT!$F$4:$F$8886)*(PLT!$V$4:$V$8886&lt;&gt;AD293)*(PLT!$V$4:$V$8886&lt;&gt;AE293)*("Valid"=PLT!$P$4:$P$7190),PLT!$V$4:$V$8886),"")</f>
        <v/>
      </c>
      <c r="AG293" s="162" t="str">
        <f>IFERROR(IF(AVERAGE(AD293:AF293)&gt;References!$BO$23,References!$BP$23,
IF(AVERAGE(AD293:AF293)&gt;References!$BO$22,References!$BP$22,
IF(AVERAGE(AD293:AF293)&gt;References!$BO$21,References!$BP$21,
IF(AVERAGE(AD293:AF293)&gt;References!$BO$20,References!$BP$20,
IF(AVERAGE(AD293:AF293)&gt;References!$BO$19,References!$BP$19,
IF(AVERAGE(AD293:AF293)&gt;References!$BO$18,References!$BP$18,
0)))))),"")</f>
        <v/>
      </c>
      <c r="AH293" s="163" t="e">
        <f>VLOOKUP(Data_Geotech[[#This Row],[Field Intact Rock Strength]],Table_RMR76_Strength[],2,FALSE)</f>
        <v>#N/A</v>
      </c>
      <c r="AI293" s="163" t="e">
        <f>IF(Data_Geotech[[#This Row],[RQD (%)]]&lt;=25,3,IF(Data_Geotech[[#This Row],[RQD (%)]]&lt;=50,8,IF(Data_Geotech[[#This Row],[RQD (%)]]&lt;=75,13,IF(Data_Geotech[[#This Row],[RQD (%)]]&lt;=90,17,20))))</f>
        <v>#DIV/0!</v>
      </c>
      <c r="AJ293" s="136">
        <f>IF(Data_Geotech[[#This Row],[Joint spacing (m)]]&lt;=0.05,5,IF(Data_Geotech[[#This Row],[Joint spacing (m)]]&lt;=0.3,10,IF(Data_Geotech[[#This Row],[Joint spacing (m)]]&lt;=1,20,IF(Data_Geotech[[#This Row],[Joint spacing (m)]]&lt;=3,25,30))))</f>
        <v>30</v>
      </c>
      <c r="AK29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3" s="6"/>
      <c r="AM293" s="137" t="str">
        <f>IF(Data_Geotech[[#This Row],[FIRS Code]]="R",IFERROR(SUM(Data_Geotech[[#This Row],[RMR76 - Strength rating]:[RMR76 - Ground water rating]]),""),"")</f>
        <v/>
      </c>
      <c r="AN293" s="164" t="str">
        <f>IF(Data_Geotech[[#This Row],[FIRS Code]]="R",(2*Data_Geotech[[#This Row],[RMR76 - Joint condition rating]])+(IF(Data_Geotech[[#This Row],[RQD (%)]]&gt;80,80/2,Data_Geotech[[#This Row],[RQD (%)]]/2)),"")</f>
        <v/>
      </c>
      <c r="AO293" s="136" t="e">
        <f>LEFT(Data_Geotech[[#This Row],[Joint Set Rating]],FIND("-",Data_Geotech[[#This Row],[Joint Set Rating]],1)-2)</f>
        <v>#VALUE!</v>
      </c>
      <c r="AP29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3" s="143">
        <f t="shared" si="5"/>
        <v>1</v>
      </c>
      <c r="AR293" s="165" t="str">
        <f>IF(Data_Geotech[[#This Row],[FIRS Code]]="R",IFERROR((IF(Data_Geotech[[#This Row],[RQD (%)]]&lt;10,10,Data_Geotech[[#This Row],[RQD (%)]])/Data_Geotech[[#This Row],[Jn rating]])*Data_Geotech[[#This Row],[Jr/Ja]],""),"")</f>
        <v/>
      </c>
      <c r="AS293" s="138" t="str">
        <f>IF(Data_Geotech[[#This Row],[FIRS Code]]="R",IFERROR((IF(Data_Geotech[[#This Row],[RQD (%)]]&lt;10,10,Data_Geotech[[#This Row],[RQD (%)]])/Data_Geotech[[#This Row],[Jn rating]])*Data_Geotech[[#This Row],[Jr/Ja]]*Data_Geotech[[#This Row],[Jw/SRF]],""),"")</f>
        <v/>
      </c>
      <c r="AT293" s="12"/>
      <c r="AU293" s="13" t="e">
        <f>100-Data_Geotech[[#This Row],[RQD (%)]]</f>
        <v>#DIV/0!</v>
      </c>
      <c r="AV293" s="13" t="e">
        <f>100-Data_Geotech[[#This Row],[TCR (%)]]</f>
        <v>#DIV/0!</v>
      </c>
      <c r="AW293" s="62" t="e">
        <f>(Data_Geotech[[#This Row],[Fracture per interval]]+Data_Geotech[[#This Row],[Added fractures 
(BC, FLT, LC)]])/Data_Geotech[[#This Row],[TCR (m)]]</f>
        <v>#DIV/0!</v>
      </c>
      <c r="AX293" s="62" t="str">
        <f>MID(Data_Geotech[[#This Row],[Field Intact Rock Strength]],2,1)</f>
        <v/>
      </c>
      <c r="AY293" s="63" t="e">
        <f>7-MID(Data_Geotech[[#This Row],[Field Intact Rock Strength]],2,1)</f>
        <v>#VALUE!</v>
      </c>
      <c r="AZ293" s="63" t="e">
        <f>VLOOKUP(Data_Geotech[[#This Row],[Field Intact Rock Strength]],Table_FieldStrength[],2,FALSE)</f>
        <v>#N/A</v>
      </c>
      <c r="BA293" s="63" t="e">
        <f>VLOOKUP(Data_Geotech[[#This Row],[Field Intact Rock Strength]],Table_FieldStrength[],3,FALSE)</f>
        <v>#N/A</v>
      </c>
      <c r="BB293" s="63" t="e">
        <f>VLOOKUP(Data_Geotech[[#This Row],[Field Intact Rock Strength]],Table_FieldStrength[],4,FALSE)</f>
        <v>#N/A</v>
      </c>
      <c r="BC293" s="63" t="e">
        <f>100-Data_Geotech[[#This Row],[RMR76]]</f>
        <v>#VALUE!</v>
      </c>
      <c r="BD293" s="63" t="e">
        <f>LEFT(Data_Geotech[[#This Row],[Weathering/Alteration]],FIND("-",Data_Geotech[[#This Row],[Weathering/Alteration]])-2)</f>
        <v>#VALUE!</v>
      </c>
    </row>
    <row r="294" spans="1:56" hidden="1" x14ac:dyDescent="0.25">
      <c r="A294" s="14"/>
      <c r="B294" s="16" t="e">
        <f>VLOOKUP(Data_Geotech[[#This Row],[Hole ID]],Data_Log[],2,FALSE)</f>
        <v>#N/A</v>
      </c>
      <c r="C294" s="5"/>
      <c r="D294" s="5"/>
      <c r="E294" s="5">
        <f>(Data_Geotech[[#This Row],[To (m)]]-Data_Geotech[[#This Row],[From (m)]])/2+Data_Geotech[[#This Row],[From (m)]]</f>
        <v>0</v>
      </c>
      <c r="F294" s="13">
        <f>Data_Geotech[[#This Row],[To (m)]]-Data_Geotech[[#This Row],[From (m)]]</f>
        <v>0</v>
      </c>
      <c r="G294" s="5"/>
      <c r="H294" s="61" t="e">
        <f>Data_Geotech[[#This Row],[TCR (m)]]/Data_Geotech[[#This Row],[Run (m)]]*100</f>
        <v>#DIV/0!</v>
      </c>
      <c r="I294" s="151"/>
      <c r="J294" s="151"/>
      <c r="K294" s="5"/>
      <c r="L294" s="61" t="e">
        <f>Data_Geotech[[#This Row],[RQD (m)]]/Data_Geotech[[#This Row],[Run Reel (m)]]*100</f>
        <v>#DIV/0!</v>
      </c>
      <c r="P294" s="115"/>
      <c r="Q294" s="5"/>
      <c r="R294" s="5"/>
      <c r="S294" s="5"/>
      <c r="T294" s="5"/>
      <c r="U294" s="5"/>
      <c r="V294" s="6"/>
      <c r="W294" s="92">
        <f>SUMIFS(Discontinuities!$D$4:$D$9664,Discontinuities!$A$4:$A$9664,A294,Discontinuities!$C$4:$C$9664,"&gt;="&amp;C294,Discontinuities!$C$4:$C$9664,"&lt;"&amp;D294)
-SUMIFS(Discontinuities!$D$4:$D$9664,Discontinuities!$A$4:$A$9664,A294,Discontinuities!$C$4:$C$9664,"&gt;="&amp;C294,Discontinuities!$C$4:$C$9664,"&lt;"&amp;D294,Discontinuities!$E$4:$E$9664,"=BC")
-SUMIFS(Discontinuities!$D$4:$D$9664,Discontinuities!$A$4:$A$9664,A294,Discontinuities!$C$4:$C$9664,"&gt;="&amp;C294,Discontinuities!$C$4:$C$9664,"&lt;"&amp;D294,Discontinuities!$E$4:$E$9664,"=LC")
-SUMIFS(Discontinuities!$D$4:$D$9664,Discontinuities!$A$4:$A$9664,A294,Discontinuities!$C$4:$C$9664,"&gt;="&amp;C294,Discontinuities!$C$4:$C$9664,"&lt;"&amp;D294,Discontinuities!$E$4:$E$9664,"=FLT")</f>
        <v>0</v>
      </c>
      <c r="AA294" s="132"/>
      <c r="AB294" s="159">
        <f>IFERROR(ROUND((Data_Geotech[[#This Row],[Fault (m)]]+Data_Geotech[[#This Row],[Broken Core (m)]]+Data_Geotech[[#This Row],[Lost Core (m)]])*30,0),0)</f>
        <v>0</v>
      </c>
      <c r="AC294" s="135">
        <f>IF(Data_Geotech[[#This Row],[Added fractures 
(BC, FLT, LC)]]+Data_Geotech[[#This Row],[Fracture per interval]]=0,99,1/((Data_Geotech[[#This Row],[Fracture per interval]]+Data_Geotech[[#This Row],[Added fractures 
(BC, FLT, LC)]])/Data_Geotech[[#This Row],[Run (m)]]))</f>
        <v>99</v>
      </c>
      <c r="AD294" s="160" t="str" cm="1">
        <f t="array" ref="AD294">IFERROR(_xlfn.XLOOKUP(1,(A294=PLT!$A$4:$A$8886)*(Geotech!C294&lt;=PLT!$F$4:$F$8886)*(Geotech!D294&gt;=PLT!$F$4:$F$8886)*("Valid"=PLT!$P$4:$P$8886),PLT!$V$4:$V$8886),"")</f>
        <v/>
      </c>
      <c r="AE294" s="161" t="str" cm="1">
        <f t="array" ref="AE294">IFERROR(_xlfn.XLOOKUP(1,(A294=PLT!$A$4:$A$8886)*(Geotech!C294&lt;=PLT!$F$4:$F$8886)*(Geotech!D294&gt;=PLT!$F$4:$F$8886)*(PLT!$V$4:$V$8886&lt;&gt;AD294)*("Valid"=PLT!$P$4:$P$7190),PLT!$V$4:$V$8886),"")</f>
        <v/>
      </c>
      <c r="AF294" s="161" t="str" cm="1">
        <f t="array" ref="AF294">IFERROR(_xlfn.XLOOKUP(1,(A294=PLT!$A$4:$A$8886)*(Geotech!C294&lt;=PLT!$F$4:$F$8886)*(Geotech!D294&gt;=PLT!$F$4:$F$8886)*(PLT!$V$4:$V$8886&lt;&gt;AD294)*(PLT!$V$4:$V$8886&lt;&gt;AE294)*("Valid"=PLT!$P$4:$P$7190),PLT!$V$4:$V$8886),"")</f>
        <v/>
      </c>
      <c r="AG294" s="162" t="str">
        <f>IFERROR(IF(AVERAGE(AD294:AF294)&gt;References!$BO$23,References!$BP$23,
IF(AVERAGE(AD294:AF294)&gt;References!$BO$22,References!$BP$22,
IF(AVERAGE(AD294:AF294)&gt;References!$BO$21,References!$BP$21,
IF(AVERAGE(AD294:AF294)&gt;References!$BO$20,References!$BP$20,
IF(AVERAGE(AD294:AF294)&gt;References!$BO$19,References!$BP$19,
IF(AVERAGE(AD294:AF294)&gt;References!$BO$18,References!$BP$18,
0)))))),"")</f>
        <v/>
      </c>
      <c r="AH294" s="163" t="e">
        <f>VLOOKUP(Data_Geotech[[#This Row],[Field Intact Rock Strength]],Table_RMR76_Strength[],2,FALSE)</f>
        <v>#N/A</v>
      </c>
      <c r="AI294" s="163" t="e">
        <f>IF(Data_Geotech[[#This Row],[RQD (%)]]&lt;=25,3,IF(Data_Geotech[[#This Row],[RQD (%)]]&lt;=50,8,IF(Data_Geotech[[#This Row],[RQD (%)]]&lt;=75,13,IF(Data_Geotech[[#This Row],[RQD (%)]]&lt;=90,17,20))))</f>
        <v>#DIV/0!</v>
      </c>
      <c r="AJ294" s="136">
        <f>IF(Data_Geotech[[#This Row],[Joint spacing (m)]]&lt;=0.05,5,IF(Data_Geotech[[#This Row],[Joint spacing (m)]]&lt;=0.3,10,IF(Data_Geotech[[#This Row],[Joint spacing (m)]]&lt;=1,20,IF(Data_Geotech[[#This Row],[Joint spacing (m)]]&lt;=3,25,30))))</f>
        <v>30</v>
      </c>
      <c r="AK29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4" s="6"/>
      <c r="AM294" s="137" t="str">
        <f>IF(Data_Geotech[[#This Row],[FIRS Code]]="R",IFERROR(SUM(Data_Geotech[[#This Row],[RMR76 - Strength rating]:[RMR76 - Ground water rating]]),""),"")</f>
        <v/>
      </c>
      <c r="AN294" s="164" t="str">
        <f>IF(Data_Geotech[[#This Row],[FIRS Code]]="R",(2*Data_Geotech[[#This Row],[RMR76 - Joint condition rating]])+(IF(Data_Geotech[[#This Row],[RQD (%)]]&gt;80,80/2,Data_Geotech[[#This Row],[RQD (%)]]/2)),"")</f>
        <v/>
      </c>
      <c r="AO294" s="136" t="e">
        <f>LEFT(Data_Geotech[[#This Row],[Joint Set Rating]],FIND("-",Data_Geotech[[#This Row],[Joint Set Rating]],1)-2)</f>
        <v>#VALUE!</v>
      </c>
      <c r="AP29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4" s="143">
        <f t="shared" si="5"/>
        <v>1</v>
      </c>
      <c r="AR294" s="165" t="str">
        <f>IF(Data_Geotech[[#This Row],[FIRS Code]]="R",IFERROR((IF(Data_Geotech[[#This Row],[RQD (%)]]&lt;10,10,Data_Geotech[[#This Row],[RQD (%)]])/Data_Geotech[[#This Row],[Jn rating]])*Data_Geotech[[#This Row],[Jr/Ja]],""),"")</f>
        <v/>
      </c>
      <c r="AS294" s="138" t="str">
        <f>IF(Data_Geotech[[#This Row],[FIRS Code]]="R",IFERROR((IF(Data_Geotech[[#This Row],[RQD (%)]]&lt;10,10,Data_Geotech[[#This Row],[RQD (%)]])/Data_Geotech[[#This Row],[Jn rating]])*Data_Geotech[[#This Row],[Jr/Ja]]*Data_Geotech[[#This Row],[Jw/SRF]],""),"")</f>
        <v/>
      </c>
      <c r="AT294" s="12"/>
      <c r="AU294" s="13" t="e">
        <f>100-Data_Geotech[[#This Row],[RQD (%)]]</f>
        <v>#DIV/0!</v>
      </c>
      <c r="AV294" s="13" t="e">
        <f>100-Data_Geotech[[#This Row],[TCR (%)]]</f>
        <v>#DIV/0!</v>
      </c>
      <c r="AW294" s="62" t="e">
        <f>(Data_Geotech[[#This Row],[Fracture per interval]]+Data_Geotech[[#This Row],[Added fractures 
(BC, FLT, LC)]])/Data_Geotech[[#This Row],[TCR (m)]]</f>
        <v>#DIV/0!</v>
      </c>
      <c r="AX294" s="62" t="str">
        <f>MID(Data_Geotech[[#This Row],[Field Intact Rock Strength]],2,1)</f>
        <v/>
      </c>
      <c r="AY294" s="63" t="e">
        <f>7-MID(Data_Geotech[[#This Row],[Field Intact Rock Strength]],2,1)</f>
        <v>#VALUE!</v>
      </c>
      <c r="AZ294" s="63" t="e">
        <f>VLOOKUP(Data_Geotech[[#This Row],[Field Intact Rock Strength]],Table_FieldStrength[],2,FALSE)</f>
        <v>#N/A</v>
      </c>
      <c r="BA294" s="63" t="e">
        <f>VLOOKUP(Data_Geotech[[#This Row],[Field Intact Rock Strength]],Table_FieldStrength[],3,FALSE)</f>
        <v>#N/A</v>
      </c>
      <c r="BB294" s="63" t="e">
        <f>VLOOKUP(Data_Geotech[[#This Row],[Field Intact Rock Strength]],Table_FieldStrength[],4,FALSE)</f>
        <v>#N/A</v>
      </c>
      <c r="BC294" s="63" t="e">
        <f>100-Data_Geotech[[#This Row],[RMR76]]</f>
        <v>#VALUE!</v>
      </c>
      <c r="BD294" s="63" t="e">
        <f>LEFT(Data_Geotech[[#This Row],[Weathering/Alteration]],FIND("-",Data_Geotech[[#This Row],[Weathering/Alteration]])-2)</f>
        <v>#VALUE!</v>
      </c>
    </row>
    <row r="295" spans="1:56" hidden="1" x14ac:dyDescent="0.25">
      <c r="A295" s="14"/>
      <c r="B295" s="16" t="e">
        <f>VLOOKUP(Data_Geotech[[#This Row],[Hole ID]],Data_Log[],2,FALSE)</f>
        <v>#N/A</v>
      </c>
      <c r="C295" s="5"/>
      <c r="D295" s="5"/>
      <c r="E295" s="5">
        <f>(Data_Geotech[[#This Row],[To (m)]]-Data_Geotech[[#This Row],[From (m)]])/2+Data_Geotech[[#This Row],[From (m)]]</f>
        <v>0</v>
      </c>
      <c r="F295" s="13">
        <f>Data_Geotech[[#This Row],[To (m)]]-Data_Geotech[[#This Row],[From (m)]]</f>
        <v>0</v>
      </c>
      <c r="G295" s="5"/>
      <c r="H295" s="61" t="e">
        <f>Data_Geotech[[#This Row],[TCR (m)]]/Data_Geotech[[#This Row],[Run (m)]]*100</f>
        <v>#DIV/0!</v>
      </c>
      <c r="I295" s="151"/>
      <c r="J295" s="151"/>
      <c r="K295" s="5"/>
      <c r="L295" s="61" t="e">
        <f>Data_Geotech[[#This Row],[RQD (m)]]/Data_Geotech[[#This Row],[Run Reel (m)]]*100</f>
        <v>#DIV/0!</v>
      </c>
      <c r="P295" s="115"/>
      <c r="Q295" s="5"/>
      <c r="R295" s="5"/>
      <c r="S295" s="5"/>
      <c r="T295" s="5"/>
      <c r="U295" s="5"/>
      <c r="V295" s="6"/>
      <c r="W295" s="92">
        <f>SUMIFS(Discontinuities!$D$4:$D$9664,Discontinuities!$A$4:$A$9664,A295,Discontinuities!$C$4:$C$9664,"&gt;="&amp;C295,Discontinuities!$C$4:$C$9664,"&lt;"&amp;D295)
-SUMIFS(Discontinuities!$D$4:$D$9664,Discontinuities!$A$4:$A$9664,A295,Discontinuities!$C$4:$C$9664,"&gt;="&amp;C295,Discontinuities!$C$4:$C$9664,"&lt;"&amp;D295,Discontinuities!$E$4:$E$9664,"=BC")
-SUMIFS(Discontinuities!$D$4:$D$9664,Discontinuities!$A$4:$A$9664,A295,Discontinuities!$C$4:$C$9664,"&gt;="&amp;C295,Discontinuities!$C$4:$C$9664,"&lt;"&amp;D295,Discontinuities!$E$4:$E$9664,"=LC")
-SUMIFS(Discontinuities!$D$4:$D$9664,Discontinuities!$A$4:$A$9664,A295,Discontinuities!$C$4:$C$9664,"&gt;="&amp;C295,Discontinuities!$C$4:$C$9664,"&lt;"&amp;D295,Discontinuities!$E$4:$E$9664,"=FLT")</f>
        <v>0</v>
      </c>
      <c r="AA295" s="132"/>
      <c r="AB295" s="159">
        <f>IFERROR(ROUND((Data_Geotech[[#This Row],[Fault (m)]]+Data_Geotech[[#This Row],[Broken Core (m)]]+Data_Geotech[[#This Row],[Lost Core (m)]])*30,0),0)</f>
        <v>0</v>
      </c>
      <c r="AC295" s="135">
        <f>IF(Data_Geotech[[#This Row],[Added fractures 
(BC, FLT, LC)]]+Data_Geotech[[#This Row],[Fracture per interval]]=0,99,1/((Data_Geotech[[#This Row],[Fracture per interval]]+Data_Geotech[[#This Row],[Added fractures 
(BC, FLT, LC)]])/Data_Geotech[[#This Row],[Run (m)]]))</f>
        <v>99</v>
      </c>
      <c r="AD295" s="160" t="str" cm="1">
        <f t="array" ref="AD295">IFERROR(_xlfn.XLOOKUP(1,(A295=PLT!$A$4:$A$8886)*(Geotech!C295&lt;=PLT!$F$4:$F$8886)*(Geotech!D295&gt;=PLT!$F$4:$F$8886)*("Valid"=PLT!$P$4:$P$8886),PLT!$V$4:$V$8886),"")</f>
        <v/>
      </c>
      <c r="AE295" s="161" t="str" cm="1">
        <f t="array" ref="AE295">IFERROR(_xlfn.XLOOKUP(1,(A295=PLT!$A$4:$A$8886)*(Geotech!C295&lt;=PLT!$F$4:$F$8886)*(Geotech!D295&gt;=PLT!$F$4:$F$8886)*(PLT!$V$4:$V$8886&lt;&gt;AD295)*("Valid"=PLT!$P$4:$P$7190),PLT!$V$4:$V$8886),"")</f>
        <v/>
      </c>
      <c r="AF295" s="161" t="str" cm="1">
        <f t="array" ref="AF295">IFERROR(_xlfn.XLOOKUP(1,(A295=PLT!$A$4:$A$8886)*(Geotech!C295&lt;=PLT!$F$4:$F$8886)*(Geotech!D295&gt;=PLT!$F$4:$F$8886)*(PLT!$V$4:$V$8886&lt;&gt;AD295)*(PLT!$V$4:$V$8886&lt;&gt;AE295)*("Valid"=PLT!$P$4:$P$7190),PLT!$V$4:$V$8886),"")</f>
        <v/>
      </c>
      <c r="AG295" s="162" t="str">
        <f>IFERROR(IF(AVERAGE(AD295:AF295)&gt;References!$BO$23,References!$BP$23,
IF(AVERAGE(AD295:AF295)&gt;References!$BO$22,References!$BP$22,
IF(AVERAGE(AD295:AF295)&gt;References!$BO$21,References!$BP$21,
IF(AVERAGE(AD295:AF295)&gt;References!$BO$20,References!$BP$20,
IF(AVERAGE(AD295:AF295)&gt;References!$BO$19,References!$BP$19,
IF(AVERAGE(AD295:AF295)&gt;References!$BO$18,References!$BP$18,
0)))))),"")</f>
        <v/>
      </c>
      <c r="AH295" s="163" t="e">
        <f>VLOOKUP(Data_Geotech[[#This Row],[Field Intact Rock Strength]],Table_RMR76_Strength[],2,FALSE)</f>
        <v>#N/A</v>
      </c>
      <c r="AI295" s="163" t="e">
        <f>IF(Data_Geotech[[#This Row],[RQD (%)]]&lt;=25,3,IF(Data_Geotech[[#This Row],[RQD (%)]]&lt;=50,8,IF(Data_Geotech[[#This Row],[RQD (%)]]&lt;=75,13,IF(Data_Geotech[[#This Row],[RQD (%)]]&lt;=90,17,20))))</f>
        <v>#DIV/0!</v>
      </c>
      <c r="AJ295" s="136">
        <f>IF(Data_Geotech[[#This Row],[Joint spacing (m)]]&lt;=0.05,5,IF(Data_Geotech[[#This Row],[Joint spacing (m)]]&lt;=0.3,10,IF(Data_Geotech[[#This Row],[Joint spacing (m)]]&lt;=1,20,IF(Data_Geotech[[#This Row],[Joint spacing (m)]]&lt;=3,25,30))))</f>
        <v>30</v>
      </c>
      <c r="AK29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5" s="6"/>
      <c r="AM295" s="137" t="str">
        <f>IF(Data_Geotech[[#This Row],[FIRS Code]]="R",IFERROR(SUM(Data_Geotech[[#This Row],[RMR76 - Strength rating]:[RMR76 - Ground water rating]]),""),"")</f>
        <v/>
      </c>
      <c r="AN295" s="164" t="str">
        <f>IF(Data_Geotech[[#This Row],[FIRS Code]]="R",(2*Data_Geotech[[#This Row],[RMR76 - Joint condition rating]])+(IF(Data_Geotech[[#This Row],[RQD (%)]]&gt;80,80/2,Data_Geotech[[#This Row],[RQD (%)]]/2)),"")</f>
        <v/>
      </c>
      <c r="AO295" s="136" t="e">
        <f>LEFT(Data_Geotech[[#This Row],[Joint Set Rating]],FIND("-",Data_Geotech[[#This Row],[Joint Set Rating]],1)-2)</f>
        <v>#VALUE!</v>
      </c>
      <c r="AP29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5" s="143">
        <f t="shared" si="5"/>
        <v>1</v>
      </c>
      <c r="AR295" s="165" t="str">
        <f>IF(Data_Geotech[[#This Row],[FIRS Code]]="R",IFERROR((IF(Data_Geotech[[#This Row],[RQD (%)]]&lt;10,10,Data_Geotech[[#This Row],[RQD (%)]])/Data_Geotech[[#This Row],[Jn rating]])*Data_Geotech[[#This Row],[Jr/Ja]],""),"")</f>
        <v/>
      </c>
      <c r="AS295" s="138" t="str">
        <f>IF(Data_Geotech[[#This Row],[FIRS Code]]="R",IFERROR((IF(Data_Geotech[[#This Row],[RQD (%)]]&lt;10,10,Data_Geotech[[#This Row],[RQD (%)]])/Data_Geotech[[#This Row],[Jn rating]])*Data_Geotech[[#This Row],[Jr/Ja]]*Data_Geotech[[#This Row],[Jw/SRF]],""),"")</f>
        <v/>
      </c>
      <c r="AT295" s="12"/>
      <c r="AU295" s="13" t="e">
        <f>100-Data_Geotech[[#This Row],[RQD (%)]]</f>
        <v>#DIV/0!</v>
      </c>
      <c r="AV295" s="13" t="e">
        <f>100-Data_Geotech[[#This Row],[TCR (%)]]</f>
        <v>#DIV/0!</v>
      </c>
      <c r="AW295" s="62" t="e">
        <f>(Data_Geotech[[#This Row],[Fracture per interval]]+Data_Geotech[[#This Row],[Added fractures 
(BC, FLT, LC)]])/Data_Geotech[[#This Row],[TCR (m)]]</f>
        <v>#DIV/0!</v>
      </c>
      <c r="AX295" s="62" t="str">
        <f>MID(Data_Geotech[[#This Row],[Field Intact Rock Strength]],2,1)</f>
        <v/>
      </c>
      <c r="AY295" s="63" t="e">
        <f>7-MID(Data_Geotech[[#This Row],[Field Intact Rock Strength]],2,1)</f>
        <v>#VALUE!</v>
      </c>
      <c r="AZ295" s="63" t="e">
        <f>VLOOKUP(Data_Geotech[[#This Row],[Field Intact Rock Strength]],Table_FieldStrength[],2,FALSE)</f>
        <v>#N/A</v>
      </c>
      <c r="BA295" s="63" t="e">
        <f>VLOOKUP(Data_Geotech[[#This Row],[Field Intact Rock Strength]],Table_FieldStrength[],3,FALSE)</f>
        <v>#N/A</v>
      </c>
      <c r="BB295" s="63" t="e">
        <f>VLOOKUP(Data_Geotech[[#This Row],[Field Intact Rock Strength]],Table_FieldStrength[],4,FALSE)</f>
        <v>#N/A</v>
      </c>
      <c r="BC295" s="63" t="e">
        <f>100-Data_Geotech[[#This Row],[RMR76]]</f>
        <v>#VALUE!</v>
      </c>
      <c r="BD295" s="63" t="e">
        <f>LEFT(Data_Geotech[[#This Row],[Weathering/Alteration]],FIND("-",Data_Geotech[[#This Row],[Weathering/Alteration]])-2)</f>
        <v>#VALUE!</v>
      </c>
    </row>
    <row r="296" spans="1:56" hidden="1" x14ac:dyDescent="0.25">
      <c r="A296" s="14"/>
      <c r="B296" s="16" t="e">
        <f>VLOOKUP(Data_Geotech[[#This Row],[Hole ID]],Data_Log[],2,FALSE)</f>
        <v>#N/A</v>
      </c>
      <c r="C296" s="5"/>
      <c r="D296" s="5"/>
      <c r="E296" s="5">
        <f>(Data_Geotech[[#This Row],[To (m)]]-Data_Geotech[[#This Row],[From (m)]])/2+Data_Geotech[[#This Row],[From (m)]]</f>
        <v>0</v>
      </c>
      <c r="F296" s="13">
        <f>Data_Geotech[[#This Row],[To (m)]]-Data_Geotech[[#This Row],[From (m)]]</f>
        <v>0</v>
      </c>
      <c r="G296" s="5"/>
      <c r="H296" s="61" t="e">
        <f>Data_Geotech[[#This Row],[TCR (m)]]/Data_Geotech[[#This Row],[Run (m)]]*100</f>
        <v>#DIV/0!</v>
      </c>
      <c r="I296" s="151"/>
      <c r="J296" s="151"/>
      <c r="K296" s="5"/>
      <c r="L296" s="61" t="e">
        <f>Data_Geotech[[#This Row],[RQD (m)]]/Data_Geotech[[#This Row],[Run Reel (m)]]*100</f>
        <v>#DIV/0!</v>
      </c>
      <c r="P296" s="115"/>
      <c r="Q296" s="5"/>
      <c r="R296" s="5"/>
      <c r="S296" s="5"/>
      <c r="T296" s="5"/>
      <c r="U296" s="5"/>
      <c r="V296" s="6"/>
      <c r="W296" s="92">
        <f>SUMIFS(Discontinuities!$D$4:$D$9664,Discontinuities!$A$4:$A$9664,A296,Discontinuities!$C$4:$C$9664,"&gt;="&amp;C296,Discontinuities!$C$4:$C$9664,"&lt;"&amp;D296)
-SUMIFS(Discontinuities!$D$4:$D$9664,Discontinuities!$A$4:$A$9664,A296,Discontinuities!$C$4:$C$9664,"&gt;="&amp;C296,Discontinuities!$C$4:$C$9664,"&lt;"&amp;D296,Discontinuities!$E$4:$E$9664,"=BC")
-SUMIFS(Discontinuities!$D$4:$D$9664,Discontinuities!$A$4:$A$9664,A296,Discontinuities!$C$4:$C$9664,"&gt;="&amp;C296,Discontinuities!$C$4:$C$9664,"&lt;"&amp;D296,Discontinuities!$E$4:$E$9664,"=LC")
-SUMIFS(Discontinuities!$D$4:$D$9664,Discontinuities!$A$4:$A$9664,A296,Discontinuities!$C$4:$C$9664,"&gt;="&amp;C296,Discontinuities!$C$4:$C$9664,"&lt;"&amp;D296,Discontinuities!$E$4:$E$9664,"=FLT")</f>
        <v>0</v>
      </c>
      <c r="AA296" s="132"/>
      <c r="AB296" s="159">
        <f>IFERROR(ROUND((Data_Geotech[[#This Row],[Fault (m)]]+Data_Geotech[[#This Row],[Broken Core (m)]]+Data_Geotech[[#This Row],[Lost Core (m)]])*30,0),0)</f>
        <v>0</v>
      </c>
      <c r="AC296" s="135">
        <f>IF(Data_Geotech[[#This Row],[Added fractures 
(BC, FLT, LC)]]+Data_Geotech[[#This Row],[Fracture per interval]]=0,99,1/((Data_Geotech[[#This Row],[Fracture per interval]]+Data_Geotech[[#This Row],[Added fractures 
(BC, FLT, LC)]])/Data_Geotech[[#This Row],[Run (m)]]))</f>
        <v>99</v>
      </c>
      <c r="AD296" s="160" t="str" cm="1">
        <f t="array" ref="AD296">IFERROR(_xlfn.XLOOKUP(1,(A296=PLT!$A$4:$A$8886)*(Geotech!C296&lt;=PLT!$F$4:$F$8886)*(Geotech!D296&gt;=PLT!$F$4:$F$8886)*("Valid"=PLT!$P$4:$P$8886),PLT!$V$4:$V$8886),"")</f>
        <v/>
      </c>
      <c r="AE296" s="161" t="str" cm="1">
        <f t="array" ref="AE296">IFERROR(_xlfn.XLOOKUP(1,(A296=PLT!$A$4:$A$8886)*(Geotech!C296&lt;=PLT!$F$4:$F$8886)*(Geotech!D296&gt;=PLT!$F$4:$F$8886)*(PLT!$V$4:$V$8886&lt;&gt;AD296)*("Valid"=PLT!$P$4:$P$7190),PLT!$V$4:$V$8886),"")</f>
        <v/>
      </c>
      <c r="AF296" s="161" t="str" cm="1">
        <f t="array" ref="AF296">IFERROR(_xlfn.XLOOKUP(1,(A296=PLT!$A$4:$A$8886)*(Geotech!C296&lt;=PLT!$F$4:$F$8886)*(Geotech!D296&gt;=PLT!$F$4:$F$8886)*(PLT!$V$4:$V$8886&lt;&gt;AD296)*(PLT!$V$4:$V$8886&lt;&gt;AE296)*("Valid"=PLT!$P$4:$P$7190),PLT!$V$4:$V$8886),"")</f>
        <v/>
      </c>
      <c r="AG296" s="162" t="str">
        <f>IFERROR(IF(AVERAGE(AD296:AF296)&gt;References!$BO$23,References!$BP$23,
IF(AVERAGE(AD296:AF296)&gt;References!$BO$22,References!$BP$22,
IF(AVERAGE(AD296:AF296)&gt;References!$BO$21,References!$BP$21,
IF(AVERAGE(AD296:AF296)&gt;References!$BO$20,References!$BP$20,
IF(AVERAGE(AD296:AF296)&gt;References!$BO$19,References!$BP$19,
IF(AVERAGE(AD296:AF296)&gt;References!$BO$18,References!$BP$18,
0)))))),"")</f>
        <v/>
      </c>
      <c r="AH296" s="163" t="e">
        <f>VLOOKUP(Data_Geotech[[#This Row],[Field Intact Rock Strength]],Table_RMR76_Strength[],2,FALSE)</f>
        <v>#N/A</v>
      </c>
      <c r="AI296" s="163" t="e">
        <f>IF(Data_Geotech[[#This Row],[RQD (%)]]&lt;=25,3,IF(Data_Geotech[[#This Row],[RQD (%)]]&lt;=50,8,IF(Data_Geotech[[#This Row],[RQD (%)]]&lt;=75,13,IF(Data_Geotech[[#This Row],[RQD (%)]]&lt;=90,17,20))))</f>
        <v>#DIV/0!</v>
      </c>
      <c r="AJ296" s="136">
        <f>IF(Data_Geotech[[#This Row],[Joint spacing (m)]]&lt;=0.05,5,IF(Data_Geotech[[#This Row],[Joint spacing (m)]]&lt;=0.3,10,IF(Data_Geotech[[#This Row],[Joint spacing (m)]]&lt;=1,20,IF(Data_Geotech[[#This Row],[Joint spacing (m)]]&lt;=3,25,30))))</f>
        <v>30</v>
      </c>
      <c r="AK29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6" s="6"/>
      <c r="AM296" s="137" t="str">
        <f>IF(Data_Geotech[[#This Row],[FIRS Code]]="R",IFERROR(SUM(Data_Geotech[[#This Row],[RMR76 - Strength rating]:[RMR76 - Ground water rating]]),""),"")</f>
        <v/>
      </c>
      <c r="AN296" s="164" t="str">
        <f>IF(Data_Geotech[[#This Row],[FIRS Code]]="R",(2*Data_Geotech[[#This Row],[RMR76 - Joint condition rating]])+(IF(Data_Geotech[[#This Row],[RQD (%)]]&gt;80,80/2,Data_Geotech[[#This Row],[RQD (%)]]/2)),"")</f>
        <v/>
      </c>
      <c r="AO296" s="136" t="e">
        <f>LEFT(Data_Geotech[[#This Row],[Joint Set Rating]],FIND("-",Data_Geotech[[#This Row],[Joint Set Rating]],1)-2)</f>
        <v>#VALUE!</v>
      </c>
      <c r="AP29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6" s="143">
        <f t="shared" si="5"/>
        <v>1</v>
      </c>
      <c r="AR296" s="165" t="str">
        <f>IF(Data_Geotech[[#This Row],[FIRS Code]]="R",IFERROR((IF(Data_Geotech[[#This Row],[RQD (%)]]&lt;10,10,Data_Geotech[[#This Row],[RQD (%)]])/Data_Geotech[[#This Row],[Jn rating]])*Data_Geotech[[#This Row],[Jr/Ja]],""),"")</f>
        <v/>
      </c>
      <c r="AS296" s="138" t="str">
        <f>IF(Data_Geotech[[#This Row],[FIRS Code]]="R",IFERROR((IF(Data_Geotech[[#This Row],[RQD (%)]]&lt;10,10,Data_Geotech[[#This Row],[RQD (%)]])/Data_Geotech[[#This Row],[Jn rating]])*Data_Geotech[[#This Row],[Jr/Ja]]*Data_Geotech[[#This Row],[Jw/SRF]],""),"")</f>
        <v/>
      </c>
      <c r="AT296" s="12"/>
      <c r="AU296" s="13" t="e">
        <f>100-Data_Geotech[[#This Row],[RQD (%)]]</f>
        <v>#DIV/0!</v>
      </c>
      <c r="AV296" s="13" t="e">
        <f>100-Data_Geotech[[#This Row],[TCR (%)]]</f>
        <v>#DIV/0!</v>
      </c>
      <c r="AW296" s="62" t="e">
        <f>(Data_Geotech[[#This Row],[Fracture per interval]]+Data_Geotech[[#This Row],[Added fractures 
(BC, FLT, LC)]])/Data_Geotech[[#This Row],[TCR (m)]]</f>
        <v>#DIV/0!</v>
      </c>
      <c r="AX296" s="62" t="str">
        <f>MID(Data_Geotech[[#This Row],[Field Intact Rock Strength]],2,1)</f>
        <v/>
      </c>
      <c r="AY296" s="63" t="e">
        <f>7-MID(Data_Geotech[[#This Row],[Field Intact Rock Strength]],2,1)</f>
        <v>#VALUE!</v>
      </c>
      <c r="AZ296" s="63" t="e">
        <f>VLOOKUP(Data_Geotech[[#This Row],[Field Intact Rock Strength]],Table_FieldStrength[],2,FALSE)</f>
        <v>#N/A</v>
      </c>
      <c r="BA296" s="63" t="e">
        <f>VLOOKUP(Data_Geotech[[#This Row],[Field Intact Rock Strength]],Table_FieldStrength[],3,FALSE)</f>
        <v>#N/A</v>
      </c>
      <c r="BB296" s="63" t="e">
        <f>VLOOKUP(Data_Geotech[[#This Row],[Field Intact Rock Strength]],Table_FieldStrength[],4,FALSE)</f>
        <v>#N/A</v>
      </c>
      <c r="BC296" s="63" t="e">
        <f>100-Data_Geotech[[#This Row],[RMR76]]</f>
        <v>#VALUE!</v>
      </c>
      <c r="BD296" s="63" t="e">
        <f>LEFT(Data_Geotech[[#This Row],[Weathering/Alteration]],FIND("-",Data_Geotech[[#This Row],[Weathering/Alteration]])-2)</f>
        <v>#VALUE!</v>
      </c>
    </row>
    <row r="297" spans="1:56" hidden="1" x14ac:dyDescent="0.25">
      <c r="A297" s="14"/>
      <c r="B297" s="16" t="e">
        <f>VLOOKUP(Data_Geotech[[#This Row],[Hole ID]],Data_Log[],2,FALSE)</f>
        <v>#N/A</v>
      </c>
      <c r="C297" s="5"/>
      <c r="D297" s="5"/>
      <c r="E297" s="5">
        <f>(Data_Geotech[[#This Row],[To (m)]]-Data_Geotech[[#This Row],[From (m)]])/2+Data_Geotech[[#This Row],[From (m)]]</f>
        <v>0</v>
      </c>
      <c r="F297" s="13">
        <f>Data_Geotech[[#This Row],[To (m)]]-Data_Geotech[[#This Row],[From (m)]]</f>
        <v>0</v>
      </c>
      <c r="G297" s="5"/>
      <c r="H297" s="61" t="e">
        <f>Data_Geotech[[#This Row],[TCR (m)]]/Data_Geotech[[#This Row],[Run (m)]]*100</f>
        <v>#DIV/0!</v>
      </c>
      <c r="I297" s="151"/>
      <c r="J297" s="151"/>
      <c r="K297" s="5"/>
      <c r="L297" s="61" t="e">
        <f>Data_Geotech[[#This Row],[RQD (m)]]/Data_Geotech[[#This Row],[Run Reel (m)]]*100</f>
        <v>#DIV/0!</v>
      </c>
      <c r="P297" s="115"/>
      <c r="Q297" s="5"/>
      <c r="R297" s="5"/>
      <c r="S297" s="5"/>
      <c r="T297" s="5"/>
      <c r="U297" s="5"/>
      <c r="V297" s="6"/>
      <c r="W297" s="92">
        <f>SUMIFS(Discontinuities!$D$4:$D$9664,Discontinuities!$A$4:$A$9664,A297,Discontinuities!$C$4:$C$9664,"&gt;="&amp;C297,Discontinuities!$C$4:$C$9664,"&lt;"&amp;D297)
-SUMIFS(Discontinuities!$D$4:$D$9664,Discontinuities!$A$4:$A$9664,A297,Discontinuities!$C$4:$C$9664,"&gt;="&amp;C297,Discontinuities!$C$4:$C$9664,"&lt;"&amp;D297,Discontinuities!$E$4:$E$9664,"=BC")
-SUMIFS(Discontinuities!$D$4:$D$9664,Discontinuities!$A$4:$A$9664,A297,Discontinuities!$C$4:$C$9664,"&gt;="&amp;C297,Discontinuities!$C$4:$C$9664,"&lt;"&amp;D297,Discontinuities!$E$4:$E$9664,"=LC")
-SUMIFS(Discontinuities!$D$4:$D$9664,Discontinuities!$A$4:$A$9664,A297,Discontinuities!$C$4:$C$9664,"&gt;="&amp;C297,Discontinuities!$C$4:$C$9664,"&lt;"&amp;D297,Discontinuities!$E$4:$E$9664,"=FLT")</f>
        <v>0</v>
      </c>
      <c r="AA297" s="132"/>
      <c r="AB297" s="159">
        <f>IFERROR(ROUND((Data_Geotech[[#This Row],[Fault (m)]]+Data_Geotech[[#This Row],[Broken Core (m)]]+Data_Geotech[[#This Row],[Lost Core (m)]])*30,0),0)</f>
        <v>0</v>
      </c>
      <c r="AC297" s="135">
        <f>IF(Data_Geotech[[#This Row],[Added fractures 
(BC, FLT, LC)]]+Data_Geotech[[#This Row],[Fracture per interval]]=0,99,1/((Data_Geotech[[#This Row],[Fracture per interval]]+Data_Geotech[[#This Row],[Added fractures 
(BC, FLT, LC)]])/Data_Geotech[[#This Row],[Run (m)]]))</f>
        <v>99</v>
      </c>
      <c r="AD297" s="160" t="str" cm="1">
        <f t="array" ref="AD297">IFERROR(_xlfn.XLOOKUP(1,(A297=PLT!$A$4:$A$8886)*(Geotech!C297&lt;=PLT!$F$4:$F$8886)*(Geotech!D297&gt;=PLT!$F$4:$F$8886)*("Valid"=PLT!$P$4:$P$8886),PLT!$V$4:$V$8886),"")</f>
        <v/>
      </c>
      <c r="AE297" s="161" t="str" cm="1">
        <f t="array" ref="AE297">IFERROR(_xlfn.XLOOKUP(1,(A297=PLT!$A$4:$A$8886)*(Geotech!C297&lt;=PLT!$F$4:$F$8886)*(Geotech!D297&gt;=PLT!$F$4:$F$8886)*(PLT!$V$4:$V$8886&lt;&gt;AD297)*("Valid"=PLT!$P$4:$P$7190),PLT!$V$4:$V$8886),"")</f>
        <v/>
      </c>
      <c r="AF297" s="161" t="str" cm="1">
        <f t="array" ref="AF297">IFERROR(_xlfn.XLOOKUP(1,(A297=PLT!$A$4:$A$8886)*(Geotech!C297&lt;=PLT!$F$4:$F$8886)*(Geotech!D297&gt;=PLT!$F$4:$F$8886)*(PLT!$V$4:$V$8886&lt;&gt;AD297)*(PLT!$V$4:$V$8886&lt;&gt;AE297)*("Valid"=PLT!$P$4:$P$7190),PLT!$V$4:$V$8886),"")</f>
        <v/>
      </c>
      <c r="AG297" s="162" t="str">
        <f>IFERROR(IF(AVERAGE(AD297:AF297)&gt;References!$BO$23,References!$BP$23,
IF(AVERAGE(AD297:AF297)&gt;References!$BO$22,References!$BP$22,
IF(AVERAGE(AD297:AF297)&gt;References!$BO$21,References!$BP$21,
IF(AVERAGE(AD297:AF297)&gt;References!$BO$20,References!$BP$20,
IF(AVERAGE(AD297:AF297)&gt;References!$BO$19,References!$BP$19,
IF(AVERAGE(AD297:AF297)&gt;References!$BO$18,References!$BP$18,
0)))))),"")</f>
        <v/>
      </c>
      <c r="AH297" s="163" t="e">
        <f>VLOOKUP(Data_Geotech[[#This Row],[Field Intact Rock Strength]],Table_RMR76_Strength[],2,FALSE)</f>
        <v>#N/A</v>
      </c>
      <c r="AI297" s="163" t="e">
        <f>IF(Data_Geotech[[#This Row],[RQD (%)]]&lt;=25,3,IF(Data_Geotech[[#This Row],[RQD (%)]]&lt;=50,8,IF(Data_Geotech[[#This Row],[RQD (%)]]&lt;=75,13,IF(Data_Geotech[[#This Row],[RQD (%)]]&lt;=90,17,20))))</f>
        <v>#DIV/0!</v>
      </c>
      <c r="AJ297" s="136">
        <f>IF(Data_Geotech[[#This Row],[Joint spacing (m)]]&lt;=0.05,5,IF(Data_Geotech[[#This Row],[Joint spacing (m)]]&lt;=0.3,10,IF(Data_Geotech[[#This Row],[Joint spacing (m)]]&lt;=1,20,IF(Data_Geotech[[#This Row],[Joint spacing (m)]]&lt;=3,25,30))))</f>
        <v>30</v>
      </c>
      <c r="AK29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7" s="6"/>
      <c r="AM297" s="137" t="str">
        <f>IF(Data_Geotech[[#This Row],[FIRS Code]]="R",IFERROR(SUM(Data_Geotech[[#This Row],[RMR76 - Strength rating]:[RMR76 - Ground water rating]]),""),"")</f>
        <v/>
      </c>
      <c r="AN297" s="164" t="str">
        <f>IF(Data_Geotech[[#This Row],[FIRS Code]]="R",(2*Data_Geotech[[#This Row],[RMR76 - Joint condition rating]])+(IF(Data_Geotech[[#This Row],[RQD (%)]]&gt;80,80/2,Data_Geotech[[#This Row],[RQD (%)]]/2)),"")</f>
        <v/>
      </c>
      <c r="AO297" s="136" t="e">
        <f>LEFT(Data_Geotech[[#This Row],[Joint Set Rating]],FIND("-",Data_Geotech[[#This Row],[Joint Set Rating]],1)-2)</f>
        <v>#VALUE!</v>
      </c>
      <c r="AP29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7" s="143">
        <f t="shared" si="5"/>
        <v>1</v>
      </c>
      <c r="AR297" s="165" t="str">
        <f>IF(Data_Geotech[[#This Row],[FIRS Code]]="R",IFERROR((IF(Data_Geotech[[#This Row],[RQD (%)]]&lt;10,10,Data_Geotech[[#This Row],[RQD (%)]])/Data_Geotech[[#This Row],[Jn rating]])*Data_Geotech[[#This Row],[Jr/Ja]],""),"")</f>
        <v/>
      </c>
      <c r="AS297" s="138" t="str">
        <f>IF(Data_Geotech[[#This Row],[FIRS Code]]="R",IFERROR((IF(Data_Geotech[[#This Row],[RQD (%)]]&lt;10,10,Data_Geotech[[#This Row],[RQD (%)]])/Data_Geotech[[#This Row],[Jn rating]])*Data_Geotech[[#This Row],[Jr/Ja]]*Data_Geotech[[#This Row],[Jw/SRF]],""),"")</f>
        <v/>
      </c>
      <c r="AT297" s="12"/>
      <c r="AU297" s="13" t="e">
        <f>100-Data_Geotech[[#This Row],[RQD (%)]]</f>
        <v>#DIV/0!</v>
      </c>
      <c r="AV297" s="13" t="e">
        <f>100-Data_Geotech[[#This Row],[TCR (%)]]</f>
        <v>#DIV/0!</v>
      </c>
      <c r="AW297" s="62" t="e">
        <f>(Data_Geotech[[#This Row],[Fracture per interval]]+Data_Geotech[[#This Row],[Added fractures 
(BC, FLT, LC)]])/Data_Geotech[[#This Row],[TCR (m)]]</f>
        <v>#DIV/0!</v>
      </c>
      <c r="AX297" s="62" t="str">
        <f>MID(Data_Geotech[[#This Row],[Field Intact Rock Strength]],2,1)</f>
        <v/>
      </c>
      <c r="AY297" s="63" t="e">
        <f>7-MID(Data_Geotech[[#This Row],[Field Intact Rock Strength]],2,1)</f>
        <v>#VALUE!</v>
      </c>
      <c r="AZ297" s="63" t="e">
        <f>VLOOKUP(Data_Geotech[[#This Row],[Field Intact Rock Strength]],Table_FieldStrength[],2,FALSE)</f>
        <v>#N/A</v>
      </c>
      <c r="BA297" s="63" t="e">
        <f>VLOOKUP(Data_Geotech[[#This Row],[Field Intact Rock Strength]],Table_FieldStrength[],3,FALSE)</f>
        <v>#N/A</v>
      </c>
      <c r="BB297" s="63" t="e">
        <f>VLOOKUP(Data_Geotech[[#This Row],[Field Intact Rock Strength]],Table_FieldStrength[],4,FALSE)</f>
        <v>#N/A</v>
      </c>
      <c r="BC297" s="63" t="e">
        <f>100-Data_Geotech[[#This Row],[RMR76]]</f>
        <v>#VALUE!</v>
      </c>
      <c r="BD297" s="63" t="e">
        <f>LEFT(Data_Geotech[[#This Row],[Weathering/Alteration]],FIND("-",Data_Geotech[[#This Row],[Weathering/Alteration]])-2)</f>
        <v>#VALUE!</v>
      </c>
    </row>
    <row r="298" spans="1:56" hidden="1" x14ac:dyDescent="0.25">
      <c r="A298" s="14"/>
      <c r="B298" s="16" t="e">
        <f>VLOOKUP(Data_Geotech[[#This Row],[Hole ID]],Data_Log[],2,FALSE)</f>
        <v>#N/A</v>
      </c>
      <c r="C298" s="5"/>
      <c r="D298" s="5"/>
      <c r="E298" s="5">
        <f>(Data_Geotech[[#This Row],[To (m)]]-Data_Geotech[[#This Row],[From (m)]])/2+Data_Geotech[[#This Row],[From (m)]]</f>
        <v>0</v>
      </c>
      <c r="F298" s="13">
        <f>Data_Geotech[[#This Row],[To (m)]]-Data_Geotech[[#This Row],[From (m)]]</f>
        <v>0</v>
      </c>
      <c r="G298" s="5"/>
      <c r="H298" s="61" t="e">
        <f>Data_Geotech[[#This Row],[TCR (m)]]/Data_Geotech[[#This Row],[Run (m)]]*100</f>
        <v>#DIV/0!</v>
      </c>
      <c r="I298" s="151"/>
      <c r="J298" s="151"/>
      <c r="K298" s="5"/>
      <c r="L298" s="61" t="e">
        <f>Data_Geotech[[#This Row],[RQD (m)]]/Data_Geotech[[#This Row],[Run Reel (m)]]*100</f>
        <v>#DIV/0!</v>
      </c>
      <c r="P298" s="115"/>
      <c r="Q298" s="5"/>
      <c r="R298" s="5"/>
      <c r="S298" s="5"/>
      <c r="T298" s="5"/>
      <c r="U298" s="5"/>
      <c r="V298" s="6"/>
      <c r="W298" s="92">
        <f>SUMIFS(Discontinuities!$D$4:$D$9664,Discontinuities!$A$4:$A$9664,A298,Discontinuities!$C$4:$C$9664,"&gt;="&amp;C298,Discontinuities!$C$4:$C$9664,"&lt;"&amp;D298)
-SUMIFS(Discontinuities!$D$4:$D$9664,Discontinuities!$A$4:$A$9664,A298,Discontinuities!$C$4:$C$9664,"&gt;="&amp;C298,Discontinuities!$C$4:$C$9664,"&lt;"&amp;D298,Discontinuities!$E$4:$E$9664,"=BC")
-SUMIFS(Discontinuities!$D$4:$D$9664,Discontinuities!$A$4:$A$9664,A298,Discontinuities!$C$4:$C$9664,"&gt;="&amp;C298,Discontinuities!$C$4:$C$9664,"&lt;"&amp;D298,Discontinuities!$E$4:$E$9664,"=LC")
-SUMIFS(Discontinuities!$D$4:$D$9664,Discontinuities!$A$4:$A$9664,A298,Discontinuities!$C$4:$C$9664,"&gt;="&amp;C298,Discontinuities!$C$4:$C$9664,"&lt;"&amp;D298,Discontinuities!$E$4:$E$9664,"=FLT")</f>
        <v>0</v>
      </c>
      <c r="AA298" s="132"/>
      <c r="AB298" s="159">
        <f>IFERROR(ROUND((Data_Geotech[[#This Row],[Fault (m)]]+Data_Geotech[[#This Row],[Broken Core (m)]]+Data_Geotech[[#This Row],[Lost Core (m)]])*30,0),0)</f>
        <v>0</v>
      </c>
      <c r="AC298" s="135">
        <f>IF(Data_Geotech[[#This Row],[Added fractures 
(BC, FLT, LC)]]+Data_Geotech[[#This Row],[Fracture per interval]]=0,99,1/((Data_Geotech[[#This Row],[Fracture per interval]]+Data_Geotech[[#This Row],[Added fractures 
(BC, FLT, LC)]])/Data_Geotech[[#This Row],[Run (m)]]))</f>
        <v>99</v>
      </c>
      <c r="AD298" s="160" t="str" cm="1">
        <f t="array" ref="AD298">IFERROR(_xlfn.XLOOKUP(1,(A298=PLT!$A$4:$A$8886)*(Geotech!C298&lt;=PLT!$F$4:$F$8886)*(Geotech!D298&gt;=PLT!$F$4:$F$8886)*("Valid"=PLT!$P$4:$P$8886),PLT!$V$4:$V$8886),"")</f>
        <v/>
      </c>
      <c r="AE298" s="161" t="str" cm="1">
        <f t="array" ref="AE298">IFERROR(_xlfn.XLOOKUP(1,(A298=PLT!$A$4:$A$8886)*(Geotech!C298&lt;=PLT!$F$4:$F$8886)*(Geotech!D298&gt;=PLT!$F$4:$F$8886)*(PLT!$V$4:$V$8886&lt;&gt;AD298)*("Valid"=PLT!$P$4:$P$7190),PLT!$V$4:$V$8886),"")</f>
        <v/>
      </c>
      <c r="AF298" s="161" t="str" cm="1">
        <f t="array" ref="AF298">IFERROR(_xlfn.XLOOKUP(1,(A298=PLT!$A$4:$A$8886)*(Geotech!C298&lt;=PLT!$F$4:$F$8886)*(Geotech!D298&gt;=PLT!$F$4:$F$8886)*(PLT!$V$4:$V$8886&lt;&gt;AD298)*(PLT!$V$4:$V$8886&lt;&gt;AE298)*("Valid"=PLT!$P$4:$P$7190),PLT!$V$4:$V$8886),"")</f>
        <v/>
      </c>
      <c r="AG298" s="162" t="str">
        <f>IFERROR(IF(AVERAGE(AD298:AF298)&gt;References!$BO$23,References!$BP$23,
IF(AVERAGE(AD298:AF298)&gt;References!$BO$22,References!$BP$22,
IF(AVERAGE(AD298:AF298)&gt;References!$BO$21,References!$BP$21,
IF(AVERAGE(AD298:AF298)&gt;References!$BO$20,References!$BP$20,
IF(AVERAGE(AD298:AF298)&gt;References!$BO$19,References!$BP$19,
IF(AVERAGE(AD298:AF298)&gt;References!$BO$18,References!$BP$18,
0)))))),"")</f>
        <v/>
      </c>
      <c r="AH298" s="163" t="e">
        <f>VLOOKUP(Data_Geotech[[#This Row],[Field Intact Rock Strength]],Table_RMR76_Strength[],2,FALSE)</f>
        <v>#N/A</v>
      </c>
      <c r="AI298" s="163" t="e">
        <f>IF(Data_Geotech[[#This Row],[RQD (%)]]&lt;=25,3,IF(Data_Geotech[[#This Row],[RQD (%)]]&lt;=50,8,IF(Data_Geotech[[#This Row],[RQD (%)]]&lt;=75,13,IF(Data_Geotech[[#This Row],[RQD (%)]]&lt;=90,17,20))))</f>
        <v>#DIV/0!</v>
      </c>
      <c r="AJ298" s="136">
        <f>IF(Data_Geotech[[#This Row],[Joint spacing (m)]]&lt;=0.05,5,IF(Data_Geotech[[#This Row],[Joint spacing (m)]]&lt;=0.3,10,IF(Data_Geotech[[#This Row],[Joint spacing (m)]]&lt;=1,20,IF(Data_Geotech[[#This Row],[Joint spacing (m)]]&lt;=3,25,30))))</f>
        <v>30</v>
      </c>
      <c r="AK29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8" s="6"/>
      <c r="AM298" s="137" t="str">
        <f>IF(Data_Geotech[[#This Row],[FIRS Code]]="R",IFERROR(SUM(Data_Geotech[[#This Row],[RMR76 - Strength rating]:[RMR76 - Ground water rating]]),""),"")</f>
        <v/>
      </c>
      <c r="AN298" s="164" t="str">
        <f>IF(Data_Geotech[[#This Row],[FIRS Code]]="R",(2*Data_Geotech[[#This Row],[RMR76 - Joint condition rating]])+(IF(Data_Geotech[[#This Row],[RQD (%)]]&gt;80,80/2,Data_Geotech[[#This Row],[RQD (%)]]/2)),"")</f>
        <v/>
      </c>
      <c r="AO298" s="136" t="e">
        <f>LEFT(Data_Geotech[[#This Row],[Joint Set Rating]],FIND("-",Data_Geotech[[#This Row],[Joint Set Rating]],1)-2)</f>
        <v>#VALUE!</v>
      </c>
      <c r="AP29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8" s="143">
        <f t="shared" si="5"/>
        <v>1</v>
      </c>
      <c r="AR298" s="165" t="str">
        <f>IF(Data_Geotech[[#This Row],[FIRS Code]]="R",IFERROR((IF(Data_Geotech[[#This Row],[RQD (%)]]&lt;10,10,Data_Geotech[[#This Row],[RQD (%)]])/Data_Geotech[[#This Row],[Jn rating]])*Data_Geotech[[#This Row],[Jr/Ja]],""),"")</f>
        <v/>
      </c>
      <c r="AS298" s="138" t="str">
        <f>IF(Data_Geotech[[#This Row],[FIRS Code]]="R",IFERROR((IF(Data_Geotech[[#This Row],[RQD (%)]]&lt;10,10,Data_Geotech[[#This Row],[RQD (%)]])/Data_Geotech[[#This Row],[Jn rating]])*Data_Geotech[[#This Row],[Jr/Ja]]*Data_Geotech[[#This Row],[Jw/SRF]],""),"")</f>
        <v/>
      </c>
      <c r="AT298" s="12"/>
      <c r="AU298" s="13" t="e">
        <f>100-Data_Geotech[[#This Row],[RQD (%)]]</f>
        <v>#DIV/0!</v>
      </c>
      <c r="AV298" s="13" t="e">
        <f>100-Data_Geotech[[#This Row],[TCR (%)]]</f>
        <v>#DIV/0!</v>
      </c>
      <c r="AW298" s="62" t="e">
        <f>(Data_Geotech[[#This Row],[Fracture per interval]]+Data_Geotech[[#This Row],[Added fractures 
(BC, FLT, LC)]])/Data_Geotech[[#This Row],[TCR (m)]]</f>
        <v>#DIV/0!</v>
      </c>
      <c r="AX298" s="62" t="str">
        <f>MID(Data_Geotech[[#This Row],[Field Intact Rock Strength]],2,1)</f>
        <v/>
      </c>
      <c r="AY298" s="63" t="e">
        <f>7-MID(Data_Geotech[[#This Row],[Field Intact Rock Strength]],2,1)</f>
        <v>#VALUE!</v>
      </c>
      <c r="AZ298" s="63" t="e">
        <f>VLOOKUP(Data_Geotech[[#This Row],[Field Intact Rock Strength]],Table_FieldStrength[],2,FALSE)</f>
        <v>#N/A</v>
      </c>
      <c r="BA298" s="63" t="e">
        <f>VLOOKUP(Data_Geotech[[#This Row],[Field Intact Rock Strength]],Table_FieldStrength[],3,FALSE)</f>
        <v>#N/A</v>
      </c>
      <c r="BB298" s="63" t="e">
        <f>VLOOKUP(Data_Geotech[[#This Row],[Field Intact Rock Strength]],Table_FieldStrength[],4,FALSE)</f>
        <v>#N/A</v>
      </c>
      <c r="BC298" s="63" t="e">
        <f>100-Data_Geotech[[#This Row],[RMR76]]</f>
        <v>#VALUE!</v>
      </c>
      <c r="BD298" s="63" t="e">
        <f>LEFT(Data_Geotech[[#This Row],[Weathering/Alteration]],FIND("-",Data_Geotech[[#This Row],[Weathering/Alteration]])-2)</f>
        <v>#VALUE!</v>
      </c>
    </row>
    <row r="299" spans="1:56" hidden="1" x14ac:dyDescent="0.25">
      <c r="A299" s="14"/>
      <c r="B299" s="16" t="e">
        <f>VLOOKUP(Data_Geotech[[#This Row],[Hole ID]],Data_Log[],2,FALSE)</f>
        <v>#N/A</v>
      </c>
      <c r="C299" s="5"/>
      <c r="D299" s="5"/>
      <c r="E299" s="5">
        <f>(Data_Geotech[[#This Row],[To (m)]]-Data_Geotech[[#This Row],[From (m)]])/2+Data_Geotech[[#This Row],[From (m)]]</f>
        <v>0</v>
      </c>
      <c r="F299" s="13">
        <f>Data_Geotech[[#This Row],[To (m)]]-Data_Geotech[[#This Row],[From (m)]]</f>
        <v>0</v>
      </c>
      <c r="G299" s="5"/>
      <c r="H299" s="61" t="e">
        <f>Data_Geotech[[#This Row],[TCR (m)]]/Data_Geotech[[#This Row],[Run (m)]]*100</f>
        <v>#DIV/0!</v>
      </c>
      <c r="I299" s="151"/>
      <c r="J299" s="151"/>
      <c r="K299" s="5"/>
      <c r="L299" s="61" t="e">
        <f>Data_Geotech[[#This Row],[RQD (m)]]/Data_Geotech[[#This Row],[Run Reel (m)]]*100</f>
        <v>#DIV/0!</v>
      </c>
      <c r="P299" s="115"/>
      <c r="Q299" s="5"/>
      <c r="R299" s="5"/>
      <c r="S299" s="5"/>
      <c r="T299" s="5"/>
      <c r="U299" s="5"/>
      <c r="V299" s="6"/>
      <c r="W299" s="92">
        <f>SUMIFS(Discontinuities!$D$4:$D$9664,Discontinuities!$A$4:$A$9664,A299,Discontinuities!$C$4:$C$9664,"&gt;="&amp;C299,Discontinuities!$C$4:$C$9664,"&lt;"&amp;D299)
-SUMIFS(Discontinuities!$D$4:$D$9664,Discontinuities!$A$4:$A$9664,A299,Discontinuities!$C$4:$C$9664,"&gt;="&amp;C299,Discontinuities!$C$4:$C$9664,"&lt;"&amp;D299,Discontinuities!$E$4:$E$9664,"=BC")
-SUMIFS(Discontinuities!$D$4:$D$9664,Discontinuities!$A$4:$A$9664,A299,Discontinuities!$C$4:$C$9664,"&gt;="&amp;C299,Discontinuities!$C$4:$C$9664,"&lt;"&amp;D299,Discontinuities!$E$4:$E$9664,"=LC")
-SUMIFS(Discontinuities!$D$4:$D$9664,Discontinuities!$A$4:$A$9664,A299,Discontinuities!$C$4:$C$9664,"&gt;="&amp;C299,Discontinuities!$C$4:$C$9664,"&lt;"&amp;D299,Discontinuities!$E$4:$E$9664,"=FLT")</f>
        <v>0</v>
      </c>
      <c r="AA299" s="132"/>
      <c r="AB299" s="159">
        <f>IFERROR(ROUND((Data_Geotech[[#This Row],[Fault (m)]]+Data_Geotech[[#This Row],[Broken Core (m)]]+Data_Geotech[[#This Row],[Lost Core (m)]])*30,0),0)</f>
        <v>0</v>
      </c>
      <c r="AC299" s="135">
        <f>IF(Data_Geotech[[#This Row],[Added fractures 
(BC, FLT, LC)]]+Data_Geotech[[#This Row],[Fracture per interval]]=0,99,1/((Data_Geotech[[#This Row],[Fracture per interval]]+Data_Geotech[[#This Row],[Added fractures 
(BC, FLT, LC)]])/Data_Geotech[[#This Row],[Run (m)]]))</f>
        <v>99</v>
      </c>
      <c r="AD299" s="160" t="str" cm="1">
        <f t="array" ref="AD299">IFERROR(_xlfn.XLOOKUP(1,(A299=PLT!$A$4:$A$8886)*(Geotech!C299&lt;=PLT!$F$4:$F$8886)*(Geotech!D299&gt;=PLT!$F$4:$F$8886)*("Valid"=PLT!$P$4:$P$8886),PLT!$V$4:$V$8886),"")</f>
        <v/>
      </c>
      <c r="AE299" s="161" t="str" cm="1">
        <f t="array" ref="AE299">IFERROR(_xlfn.XLOOKUP(1,(A299=PLT!$A$4:$A$8886)*(Geotech!C299&lt;=PLT!$F$4:$F$8886)*(Geotech!D299&gt;=PLT!$F$4:$F$8886)*(PLT!$V$4:$V$8886&lt;&gt;AD299)*("Valid"=PLT!$P$4:$P$7190),PLT!$V$4:$V$8886),"")</f>
        <v/>
      </c>
      <c r="AF299" s="161" t="str" cm="1">
        <f t="array" ref="AF299">IFERROR(_xlfn.XLOOKUP(1,(A299=PLT!$A$4:$A$8886)*(Geotech!C299&lt;=PLT!$F$4:$F$8886)*(Geotech!D299&gt;=PLT!$F$4:$F$8886)*(PLT!$V$4:$V$8886&lt;&gt;AD299)*(PLT!$V$4:$V$8886&lt;&gt;AE299)*("Valid"=PLT!$P$4:$P$7190),PLT!$V$4:$V$8886),"")</f>
        <v/>
      </c>
      <c r="AG299" s="162" t="str">
        <f>IFERROR(IF(AVERAGE(AD299:AF299)&gt;References!$BO$23,References!$BP$23,
IF(AVERAGE(AD299:AF299)&gt;References!$BO$22,References!$BP$22,
IF(AVERAGE(AD299:AF299)&gt;References!$BO$21,References!$BP$21,
IF(AVERAGE(AD299:AF299)&gt;References!$BO$20,References!$BP$20,
IF(AVERAGE(AD299:AF299)&gt;References!$BO$19,References!$BP$19,
IF(AVERAGE(AD299:AF299)&gt;References!$BO$18,References!$BP$18,
0)))))),"")</f>
        <v/>
      </c>
      <c r="AH299" s="163" t="e">
        <f>VLOOKUP(Data_Geotech[[#This Row],[Field Intact Rock Strength]],Table_RMR76_Strength[],2,FALSE)</f>
        <v>#N/A</v>
      </c>
      <c r="AI299" s="163" t="e">
        <f>IF(Data_Geotech[[#This Row],[RQD (%)]]&lt;=25,3,IF(Data_Geotech[[#This Row],[RQD (%)]]&lt;=50,8,IF(Data_Geotech[[#This Row],[RQD (%)]]&lt;=75,13,IF(Data_Geotech[[#This Row],[RQD (%)]]&lt;=90,17,20))))</f>
        <v>#DIV/0!</v>
      </c>
      <c r="AJ299" s="136">
        <f>IF(Data_Geotech[[#This Row],[Joint spacing (m)]]&lt;=0.05,5,IF(Data_Geotech[[#This Row],[Joint spacing (m)]]&lt;=0.3,10,IF(Data_Geotech[[#This Row],[Joint spacing (m)]]&lt;=1,20,IF(Data_Geotech[[#This Row],[Joint spacing (m)]]&lt;=3,25,30))))</f>
        <v>30</v>
      </c>
      <c r="AK29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299" s="6"/>
      <c r="AM299" s="137" t="str">
        <f>IF(Data_Geotech[[#This Row],[FIRS Code]]="R",IFERROR(SUM(Data_Geotech[[#This Row],[RMR76 - Strength rating]:[RMR76 - Ground water rating]]),""),"")</f>
        <v/>
      </c>
      <c r="AN299" s="164" t="str">
        <f>IF(Data_Geotech[[#This Row],[FIRS Code]]="R",(2*Data_Geotech[[#This Row],[RMR76 - Joint condition rating]])+(IF(Data_Geotech[[#This Row],[RQD (%)]]&gt;80,80/2,Data_Geotech[[#This Row],[RQD (%)]]/2)),"")</f>
        <v/>
      </c>
      <c r="AO299" s="136" t="e">
        <f>LEFT(Data_Geotech[[#This Row],[Joint Set Rating]],FIND("-",Data_Geotech[[#This Row],[Joint Set Rating]],1)-2)</f>
        <v>#VALUE!</v>
      </c>
      <c r="AP29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299" s="143">
        <f t="shared" si="5"/>
        <v>1</v>
      </c>
      <c r="AR299" s="165" t="str">
        <f>IF(Data_Geotech[[#This Row],[FIRS Code]]="R",IFERROR((IF(Data_Geotech[[#This Row],[RQD (%)]]&lt;10,10,Data_Geotech[[#This Row],[RQD (%)]])/Data_Geotech[[#This Row],[Jn rating]])*Data_Geotech[[#This Row],[Jr/Ja]],""),"")</f>
        <v/>
      </c>
      <c r="AS299" s="138" t="str">
        <f>IF(Data_Geotech[[#This Row],[FIRS Code]]="R",IFERROR((IF(Data_Geotech[[#This Row],[RQD (%)]]&lt;10,10,Data_Geotech[[#This Row],[RQD (%)]])/Data_Geotech[[#This Row],[Jn rating]])*Data_Geotech[[#This Row],[Jr/Ja]]*Data_Geotech[[#This Row],[Jw/SRF]],""),"")</f>
        <v/>
      </c>
      <c r="AT299" s="12"/>
      <c r="AU299" s="13" t="e">
        <f>100-Data_Geotech[[#This Row],[RQD (%)]]</f>
        <v>#DIV/0!</v>
      </c>
      <c r="AV299" s="13" t="e">
        <f>100-Data_Geotech[[#This Row],[TCR (%)]]</f>
        <v>#DIV/0!</v>
      </c>
      <c r="AW299" s="62" t="e">
        <f>(Data_Geotech[[#This Row],[Fracture per interval]]+Data_Geotech[[#This Row],[Added fractures 
(BC, FLT, LC)]])/Data_Geotech[[#This Row],[TCR (m)]]</f>
        <v>#DIV/0!</v>
      </c>
      <c r="AX299" s="62" t="str">
        <f>MID(Data_Geotech[[#This Row],[Field Intact Rock Strength]],2,1)</f>
        <v/>
      </c>
      <c r="AY299" s="63" t="e">
        <f>7-MID(Data_Geotech[[#This Row],[Field Intact Rock Strength]],2,1)</f>
        <v>#VALUE!</v>
      </c>
      <c r="AZ299" s="63" t="e">
        <f>VLOOKUP(Data_Geotech[[#This Row],[Field Intact Rock Strength]],Table_FieldStrength[],2,FALSE)</f>
        <v>#N/A</v>
      </c>
      <c r="BA299" s="63" t="e">
        <f>VLOOKUP(Data_Geotech[[#This Row],[Field Intact Rock Strength]],Table_FieldStrength[],3,FALSE)</f>
        <v>#N/A</v>
      </c>
      <c r="BB299" s="63" t="e">
        <f>VLOOKUP(Data_Geotech[[#This Row],[Field Intact Rock Strength]],Table_FieldStrength[],4,FALSE)</f>
        <v>#N/A</v>
      </c>
      <c r="BC299" s="63" t="e">
        <f>100-Data_Geotech[[#This Row],[RMR76]]</f>
        <v>#VALUE!</v>
      </c>
      <c r="BD299" s="63" t="e">
        <f>LEFT(Data_Geotech[[#This Row],[Weathering/Alteration]],FIND("-",Data_Geotech[[#This Row],[Weathering/Alteration]])-2)</f>
        <v>#VALUE!</v>
      </c>
    </row>
    <row r="300" spans="1:56" hidden="1" x14ac:dyDescent="0.25">
      <c r="A300" s="14"/>
      <c r="B300" s="16" t="e">
        <f>VLOOKUP(Data_Geotech[[#This Row],[Hole ID]],Data_Log[],2,FALSE)</f>
        <v>#N/A</v>
      </c>
      <c r="C300" s="5"/>
      <c r="D300" s="5"/>
      <c r="E300" s="5">
        <f>(Data_Geotech[[#This Row],[To (m)]]-Data_Geotech[[#This Row],[From (m)]])/2+Data_Geotech[[#This Row],[From (m)]]</f>
        <v>0</v>
      </c>
      <c r="F300" s="13">
        <f>Data_Geotech[[#This Row],[To (m)]]-Data_Geotech[[#This Row],[From (m)]]</f>
        <v>0</v>
      </c>
      <c r="G300" s="5"/>
      <c r="H300" s="61" t="e">
        <f>Data_Geotech[[#This Row],[TCR (m)]]/Data_Geotech[[#This Row],[Run (m)]]*100</f>
        <v>#DIV/0!</v>
      </c>
      <c r="I300" s="151"/>
      <c r="J300" s="151"/>
      <c r="K300" s="5"/>
      <c r="L300" s="61" t="e">
        <f>Data_Geotech[[#This Row],[RQD (m)]]/Data_Geotech[[#This Row],[Run Reel (m)]]*100</f>
        <v>#DIV/0!</v>
      </c>
      <c r="P300" s="115"/>
      <c r="Q300" s="5"/>
      <c r="R300" s="5"/>
      <c r="S300" s="5"/>
      <c r="T300" s="5"/>
      <c r="U300" s="5"/>
      <c r="V300" s="6"/>
      <c r="W300" s="92">
        <f>SUMIFS(Discontinuities!$D$4:$D$9664,Discontinuities!$A$4:$A$9664,A300,Discontinuities!$C$4:$C$9664,"&gt;="&amp;C300,Discontinuities!$C$4:$C$9664,"&lt;"&amp;D300)
-SUMIFS(Discontinuities!$D$4:$D$9664,Discontinuities!$A$4:$A$9664,A300,Discontinuities!$C$4:$C$9664,"&gt;="&amp;C300,Discontinuities!$C$4:$C$9664,"&lt;"&amp;D300,Discontinuities!$E$4:$E$9664,"=BC")
-SUMIFS(Discontinuities!$D$4:$D$9664,Discontinuities!$A$4:$A$9664,A300,Discontinuities!$C$4:$C$9664,"&gt;="&amp;C300,Discontinuities!$C$4:$C$9664,"&lt;"&amp;D300,Discontinuities!$E$4:$E$9664,"=LC")
-SUMIFS(Discontinuities!$D$4:$D$9664,Discontinuities!$A$4:$A$9664,A300,Discontinuities!$C$4:$C$9664,"&gt;="&amp;C300,Discontinuities!$C$4:$C$9664,"&lt;"&amp;D300,Discontinuities!$E$4:$E$9664,"=FLT")</f>
        <v>0</v>
      </c>
      <c r="AA300" s="132"/>
      <c r="AB300" s="159">
        <f>IFERROR(ROUND((Data_Geotech[[#This Row],[Fault (m)]]+Data_Geotech[[#This Row],[Broken Core (m)]]+Data_Geotech[[#This Row],[Lost Core (m)]])*30,0),0)</f>
        <v>0</v>
      </c>
      <c r="AC300" s="135">
        <f>IF(Data_Geotech[[#This Row],[Added fractures 
(BC, FLT, LC)]]+Data_Geotech[[#This Row],[Fracture per interval]]=0,99,1/((Data_Geotech[[#This Row],[Fracture per interval]]+Data_Geotech[[#This Row],[Added fractures 
(BC, FLT, LC)]])/Data_Geotech[[#This Row],[Run (m)]]))</f>
        <v>99</v>
      </c>
      <c r="AD300" s="160" t="str" cm="1">
        <f t="array" ref="AD300">IFERROR(_xlfn.XLOOKUP(1,(A300=PLT!$A$4:$A$8886)*(Geotech!C300&lt;=PLT!$F$4:$F$8886)*(Geotech!D300&gt;=PLT!$F$4:$F$8886)*("Valid"=PLT!$P$4:$P$8886),PLT!$V$4:$V$8886),"")</f>
        <v/>
      </c>
      <c r="AE300" s="161" t="str" cm="1">
        <f t="array" ref="AE300">IFERROR(_xlfn.XLOOKUP(1,(A300=PLT!$A$4:$A$8886)*(Geotech!C300&lt;=PLT!$F$4:$F$8886)*(Geotech!D300&gt;=PLT!$F$4:$F$8886)*(PLT!$V$4:$V$8886&lt;&gt;AD300)*("Valid"=PLT!$P$4:$P$7190),PLT!$V$4:$V$8886),"")</f>
        <v/>
      </c>
      <c r="AF300" s="161" t="str" cm="1">
        <f t="array" ref="AF300">IFERROR(_xlfn.XLOOKUP(1,(A300=PLT!$A$4:$A$8886)*(Geotech!C300&lt;=PLT!$F$4:$F$8886)*(Geotech!D300&gt;=PLT!$F$4:$F$8886)*(PLT!$V$4:$V$8886&lt;&gt;AD300)*(PLT!$V$4:$V$8886&lt;&gt;AE300)*("Valid"=PLT!$P$4:$P$7190),PLT!$V$4:$V$8886),"")</f>
        <v/>
      </c>
      <c r="AG300" s="162" t="str">
        <f>IFERROR(IF(AVERAGE(AD300:AF300)&gt;References!$BO$23,References!$BP$23,
IF(AVERAGE(AD300:AF300)&gt;References!$BO$22,References!$BP$22,
IF(AVERAGE(AD300:AF300)&gt;References!$BO$21,References!$BP$21,
IF(AVERAGE(AD300:AF300)&gt;References!$BO$20,References!$BP$20,
IF(AVERAGE(AD300:AF300)&gt;References!$BO$19,References!$BP$19,
IF(AVERAGE(AD300:AF300)&gt;References!$BO$18,References!$BP$18,
0)))))),"")</f>
        <v/>
      </c>
      <c r="AH300" s="163" t="e">
        <f>VLOOKUP(Data_Geotech[[#This Row],[Field Intact Rock Strength]],Table_RMR76_Strength[],2,FALSE)</f>
        <v>#N/A</v>
      </c>
      <c r="AI300" s="163" t="e">
        <f>IF(Data_Geotech[[#This Row],[RQD (%)]]&lt;=25,3,IF(Data_Geotech[[#This Row],[RQD (%)]]&lt;=50,8,IF(Data_Geotech[[#This Row],[RQD (%)]]&lt;=75,13,IF(Data_Geotech[[#This Row],[RQD (%)]]&lt;=90,17,20))))</f>
        <v>#DIV/0!</v>
      </c>
      <c r="AJ300" s="136">
        <f>IF(Data_Geotech[[#This Row],[Joint spacing (m)]]&lt;=0.05,5,IF(Data_Geotech[[#This Row],[Joint spacing (m)]]&lt;=0.3,10,IF(Data_Geotech[[#This Row],[Joint spacing (m)]]&lt;=1,20,IF(Data_Geotech[[#This Row],[Joint spacing (m)]]&lt;=3,25,30))))</f>
        <v>30</v>
      </c>
      <c r="AK30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0" s="6"/>
      <c r="AM300" s="137" t="str">
        <f>IF(Data_Geotech[[#This Row],[FIRS Code]]="R",IFERROR(SUM(Data_Geotech[[#This Row],[RMR76 - Strength rating]:[RMR76 - Ground water rating]]),""),"")</f>
        <v/>
      </c>
      <c r="AN300" s="164" t="str">
        <f>IF(Data_Geotech[[#This Row],[FIRS Code]]="R",(2*Data_Geotech[[#This Row],[RMR76 - Joint condition rating]])+(IF(Data_Geotech[[#This Row],[RQD (%)]]&gt;80,80/2,Data_Geotech[[#This Row],[RQD (%)]]/2)),"")</f>
        <v/>
      </c>
      <c r="AO300" s="136" t="e">
        <f>LEFT(Data_Geotech[[#This Row],[Joint Set Rating]],FIND("-",Data_Geotech[[#This Row],[Joint Set Rating]],1)-2)</f>
        <v>#VALUE!</v>
      </c>
      <c r="AP30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0" s="143">
        <f t="shared" si="5"/>
        <v>1</v>
      </c>
      <c r="AR300" s="165" t="str">
        <f>IF(Data_Geotech[[#This Row],[FIRS Code]]="R",IFERROR((IF(Data_Geotech[[#This Row],[RQD (%)]]&lt;10,10,Data_Geotech[[#This Row],[RQD (%)]])/Data_Geotech[[#This Row],[Jn rating]])*Data_Geotech[[#This Row],[Jr/Ja]],""),"")</f>
        <v/>
      </c>
      <c r="AS300" s="138" t="str">
        <f>IF(Data_Geotech[[#This Row],[FIRS Code]]="R",IFERROR((IF(Data_Geotech[[#This Row],[RQD (%)]]&lt;10,10,Data_Geotech[[#This Row],[RQD (%)]])/Data_Geotech[[#This Row],[Jn rating]])*Data_Geotech[[#This Row],[Jr/Ja]]*Data_Geotech[[#This Row],[Jw/SRF]],""),"")</f>
        <v/>
      </c>
      <c r="AT300" s="12"/>
      <c r="AU300" s="13" t="e">
        <f>100-Data_Geotech[[#This Row],[RQD (%)]]</f>
        <v>#DIV/0!</v>
      </c>
      <c r="AV300" s="13" t="e">
        <f>100-Data_Geotech[[#This Row],[TCR (%)]]</f>
        <v>#DIV/0!</v>
      </c>
      <c r="AW300" s="62" t="e">
        <f>(Data_Geotech[[#This Row],[Fracture per interval]]+Data_Geotech[[#This Row],[Added fractures 
(BC, FLT, LC)]])/Data_Geotech[[#This Row],[TCR (m)]]</f>
        <v>#DIV/0!</v>
      </c>
      <c r="AX300" s="62" t="str">
        <f>MID(Data_Geotech[[#This Row],[Field Intact Rock Strength]],2,1)</f>
        <v/>
      </c>
      <c r="AY300" s="63" t="e">
        <f>7-MID(Data_Geotech[[#This Row],[Field Intact Rock Strength]],2,1)</f>
        <v>#VALUE!</v>
      </c>
      <c r="AZ300" s="63" t="e">
        <f>VLOOKUP(Data_Geotech[[#This Row],[Field Intact Rock Strength]],Table_FieldStrength[],2,FALSE)</f>
        <v>#N/A</v>
      </c>
      <c r="BA300" s="63" t="e">
        <f>VLOOKUP(Data_Geotech[[#This Row],[Field Intact Rock Strength]],Table_FieldStrength[],3,FALSE)</f>
        <v>#N/A</v>
      </c>
      <c r="BB300" s="63" t="e">
        <f>VLOOKUP(Data_Geotech[[#This Row],[Field Intact Rock Strength]],Table_FieldStrength[],4,FALSE)</f>
        <v>#N/A</v>
      </c>
      <c r="BC300" s="63" t="e">
        <f>100-Data_Geotech[[#This Row],[RMR76]]</f>
        <v>#VALUE!</v>
      </c>
      <c r="BD300" s="63" t="e">
        <f>LEFT(Data_Geotech[[#This Row],[Weathering/Alteration]],FIND("-",Data_Geotech[[#This Row],[Weathering/Alteration]])-2)</f>
        <v>#VALUE!</v>
      </c>
    </row>
    <row r="301" spans="1:56" hidden="1" x14ac:dyDescent="0.25">
      <c r="A301" s="14"/>
      <c r="B301" s="166" t="e">
        <f>VLOOKUP(Data_Geotech[[#This Row],[Hole ID]],Data_Log[],2,FALSE)</f>
        <v>#N/A</v>
      </c>
      <c r="C301" s="5"/>
      <c r="D301" s="5"/>
      <c r="E301" s="5">
        <f>(Data_Geotech[[#This Row],[To (m)]]-Data_Geotech[[#This Row],[From (m)]])/2+Data_Geotech[[#This Row],[From (m)]]</f>
        <v>0</v>
      </c>
      <c r="F301" s="13">
        <f>Data_Geotech[[#This Row],[To (m)]]-Data_Geotech[[#This Row],[From (m)]]</f>
        <v>0</v>
      </c>
      <c r="G301" s="5"/>
      <c r="H301" s="13" t="e">
        <f>Data_Geotech[[#This Row],[TCR (m)]]/Data_Geotech[[#This Row],[Run (m)]]*100</f>
        <v>#DIV/0!</v>
      </c>
      <c r="I301" s="5"/>
      <c r="J301" s="5"/>
      <c r="K301" s="5"/>
      <c r="L301" s="13" t="e">
        <f>Data_Geotech[[#This Row],[RQD (m)]]/Data_Geotech[[#This Row],[Run Reel (m)]]*100</f>
        <v>#DIV/0!</v>
      </c>
      <c r="P301" s="115"/>
      <c r="Q301" s="5"/>
      <c r="R301" s="5"/>
      <c r="S301" s="5"/>
      <c r="T301" s="5"/>
      <c r="U301" s="5"/>
      <c r="V301" s="6"/>
      <c r="W301" s="92">
        <f>SUMIFS(Discontinuities!$D$4:$D$9664,Discontinuities!$A$4:$A$9664,A301,Discontinuities!$C$4:$C$9664,"&gt;="&amp;C301,Discontinuities!$C$4:$C$9664,"&lt;"&amp;D301)
-SUMIFS(Discontinuities!$D$4:$D$9664,Discontinuities!$A$4:$A$9664,A301,Discontinuities!$C$4:$C$9664,"&gt;="&amp;C301,Discontinuities!$C$4:$C$9664,"&lt;"&amp;D301,Discontinuities!$E$4:$E$9664,"=BC")
-SUMIFS(Discontinuities!$D$4:$D$9664,Discontinuities!$A$4:$A$9664,A301,Discontinuities!$C$4:$C$9664,"&gt;="&amp;C301,Discontinuities!$C$4:$C$9664,"&lt;"&amp;D301,Discontinuities!$E$4:$E$9664,"=LC")
-SUMIFS(Discontinuities!$D$4:$D$9664,Discontinuities!$A$4:$A$9664,A301,Discontinuities!$C$4:$C$9664,"&gt;="&amp;C301,Discontinuities!$C$4:$C$9664,"&lt;"&amp;D301,Discontinuities!$E$4:$E$9664,"=FLT")</f>
        <v>0</v>
      </c>
      <c r="AA301" s="132"/>
      <c r="AB301" s="133">
        <f>IFERROR(ROUND((Data_Geotech[[#This Row],[Fault (m)]]+Data_Geotech[[#This Row],[Broken Core (m)]]+Data_Geotech[[#This Row],[Lost Core (m)]])*30,0),0)</f>
        <v>0</v>
      </c>
      <c r="AC301" s="134">
        <f>IF(Data_Geotech[[#This Row],[Added fractures 
(BC, FLT, LC)]]+Data_Geotech[[#This Row],[Fracture per interval]]=0,99,1/((Data_Geotech[[#This Row],[Fracture per interval]]+Data_Geotech[[#This Row],[Added fractures 
(BC, FLT, LC)]])/Data_Geotech[[#This Row],[Run (m)]]))</f>
        <v>99</v>
      </c>
      <c r="AD301" s="160" t="str" cm="1">
        <f t="array" ref="AD301">IFERROR(_xlfn.XLOOKUP(1,(A301=PLT!$A$4:$A$8886)*(Geotech!C301&lt;=PLT!$F$4:$F$8886)*(Geotech!D301&gt;=PLT!$F$4:$F$8886)*("Valid"=PLT!$P$4:$P$8886),PLT!$V$4:$V$8886),"")</f>
        <v/>
      </c>
      <c r="AE301" s="161" t="str" cm="1">
        <f t="array" ref="AE301">IFERROR(_xlfn.XLOOKUP(1,(A301=PLT!$A$4:$A$8886)*(Geotech!C301&lt;=PLT!$F$4:$F$8886)*(Geotech!D301&gt;=PLT!$F$4:$F$8886)*(PLT!$V$4:$V$8886&lt;&gt;AD301)*("Valid"=PLT!$P$4:$P$7190),PLT!$V$4:$V$8886),"")</f>
        <v/>
      </c>
      <c r="AF301" s="161" t="str" cm="1">
        <f t="array" ref="AF301">IFERROR(_xlfn.XLOOKUP(1,(A301=PLT!$A$4:$A$8886)*(Geotech!C301&lt;=PLT!$F$4:$F$8886)*(Geotech!D301&gt;=PLT!$F$4:$F$8886)*(PLT!$V$4:$V$8886&lt;&gt;AD301)*(PLT!$V$4:$V$8886&lt;&gt;AE301)*("Valid"=PLT!$P$4:$P$7190),PLT!$V$4:$V$8886),"")</f>
        <v/>
      </c>
      <c r="AG301" s="162" t="str">
        <f>IFERROR(IF(AVERAGE(AD301:AF301)&gt;References!$BO$23,References!$BP$23,
IF(AVERAGE(AD301:AF301)&gt;References!$BO$22,References!$BP$22,
IF(AVERAGE(AD301:AF301)&gt;References!$BO$21,References!$BP$21,
IF(AVERAGE(AD301:AF301)&gt;References!$BO$20,References!$BP$20,
IF(AVERAGE(AD301:AF301)&gt;References!$BO$19,References!$BP$19,
IF(AVERAGE(AD301:AF301)&gt;References!$BO$18,References!$BP$18,
0)))))),"")</f>
        <v/>
      </c>
      <c r="AH301" s="136" t="e">
        <f>VLOOKUP(Data_Geotech[[#This Row],[Field Intact Rock Strength]],Table_RMR76_Strength[],2,FALSE)</f>
        <v>#N/A</v>
      </c>
      <c r="AI301" s="136" t="e">
        <f>IF(Data_Geotech[[#This Row],[RQD (%)]]&lt;=25,3,IF(Data_Geotech[[#This Row],[RQD (%)]]&lt;=50,8,IF(Data_Geotech[[#This Row],[RQD (%)]]&lt;=75,13,IF(Data_Geotech[[#This Row],[RQD (%)]]&lt;=90,17,20))))</f>
        <v>#DIV/0!</v>
      </c>
      <c r="AJ301" s="136">
        <f>IF(Data_Geotech[[#This Row],[Joint spacing (m)]]&lt;=0.05,5,IF(Data_Geotech[[#This Row],[Joint spacing (m)]]&lt;=0.3,10,IF(Data_Geotech[[#This Row],[Joint spacing (m)]]&lt;=1,20,IF(Data_Geotech[[#This Row],[Joint spacing (m)]]&lt;=3,25,30))))</f>
        <v>30</v>
      </c>
      <c r="AK30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1" s="6"/>
      <c r="AM301" s="137" t="str">
        <f>IF(Data_Geotech[[#This Row],[FIRS Code]]="R",IFERROR(SUM(Data_Geotech[[#This Row],[RMR76 - Strength rating]:[RMR76 - Ground water rating]]),""),"")</f>
        <v/>
      </c>
      <c r="AN301" s="137" t="str">
        <f>IF(Data_Geotech[[#This Row],[FIRS Code]]="R",(2*Data_Geotech[[#This Row],[RMR76 - Joint condition rating]])+(IF(Data_Geotech[[#This Row],[RQD (%)]]&gt;80,80/2,Data_Geotech[[#This Row],[RQD (%)]]/2)),"")</f>
        <v/>
      </c>
      <c r="AO301" s="136" t="e">
        <f>LEFT(Data_Geotech[[#This Row],[Joint Set Rating]],FIND("-",Data_Geotech[[#This Row],[Joint Set Rating]],1)-2)</f>
        <v>#VALUE!</v>
      </c>
      <c r="AP30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1" s="143">
        <f t="shared" ref="AQ301:AQ332" si="6">1/1</f>
        <v>1</v>
      </c>
      <c r="AR301" s="138" t="str">
        <f>IF(Data_Geotech[[#This Row],[FIRS Code]]="R",IFERROR((IF(Data_Geotech[[#This Row],[RQD (%)]]&lt;10,10,Data_Geotech[[#This Row],[RQD (%)]])/Data_Geotech[[#This Row],[Jn rating]])*Data_Geotech[[#This Row],[Jr/Ja]],""),"")</f>
        <v/>
      </c>
      <c r="AS301" s="138" t="str">
        <f>IF(Data_Geotech[[#This Row],[FIRS Code]]="R",IFERROR((IF(Data_Geotech[[#This Row],[RQD (%)]]&lt;10,10,Data_Geotech[[#This Row],[RQD (%)]])/Data_Geotech[[#This Row],[Jn rating]])*Data_Geotech[[#This Row],[Jr/Ja]]*Data_Geotech[[#This Row],[Jw/SRF]],""),"")</f>
        <v/>
      </c>
      <c r="AT301" s="12"/>
      <c r="AU301" s="13" t="e">
        <f>100-Data_Geotech[[#This Row],[RQD (%)]]</f>
        <v>#DIV/0!</v>
      </c>
      <c r="AV301" s="13" t="e">
        <f>100-Data_Geotech[[#This Row],[TCR (%)]]</f>
        <v>#DIV/0!</v>
      </c>
      <c r="AW301" s="62" t="e">
        <f>(Data_Geotech[[#This Row],[Fracture per interval]]+Data_Geotech[[#This Row],[Added fractures 
(BC, FLT, LC)]])/Data_Geotech[[#This Row],[TCR (m)]]</f>
        <v>#DIV/0!</v>
      </c>
      <c r="AX301" s="62" t="str">
        <f>MID(Data_Geotech[[#This Row],[Field Intact Rock Strength]],2,1)</f>
        <v/>
      </c>
      <c r="AY301" s="63" t="e">
        <f>7-MID(Data_Geotech[[#This Row],[Field Intact Rock Strength]],2,1)</f>
        <v>#VALUE!</v>
      </c>
      <c r="AZ301" s="63" t="e">
        <f>VLOOKUP(Data_Geotech[[#This Row],[Field Intact Rock Strength]],Table_FieldStrength[],2,FALSE)</f>
        <v>#N/A</v>
      </c>
      <c r="BA301" s="63" t="e">
        <f>VLOOKUP(Data_Geotech[[#This Row],[Field Intact Rock Strength]],Table_FieldStrength[],3,FALSE)</f>
        <v>#N/A</v>
      </c>
      <c r="BB301" s="63" t="e">
        <f>VLOOKUP(Data_Geotech[[#This Row],[Field Intact Rock Strength]],Table_FieldStrength[],4,FALSE)</f>
        <v>#N/A</v>
      </c>
      <c r="BC301" s="63" t="e">
        <f>100-Data_Geotech[[#This Row],[RMR76]]</f>
        <v>#VALUE!</v>
      </c>
      <c r="BD301" s="63" t="e">
        <f>LEFT(Data_Geotech[[#This Row],[Weathering/Alteration]],FIND("-",Data_Geotech[[#This Row],[Weathering/Alteration]])-2)</f>
        <v>#VALUE!</v>
      </c>
    </row>
    <row r="302" spans="1:56" hidden="1" x14ac:dyDescent="0.25">
      <c r="A302" s="14"/>
      <c r="B302" s="166" t="e">
        <f>VLOOKUP(Data_Geotech[[#This Row],[Hole ID]],Data_Log[],2,FALSE)</f>
        <v>#N/A</v>
      </c>
      <c r="C302" s="5"/>
      <c r="D302" s="5"/>
      <c r="E302" s="5">
        <f>(Data_Geotech[[#This Row],[To (m)]]-Data_Geotech[[#This Row],[From (m)]])/2+Data_Geotech[[#This Row],[From (m)]]</f>
        <v>0</v>
      </c>
      <c r="F302" s="13">
        <f>Data_Geotech[[#This Row],[To (m)]]-Data_Geotech[[#This Row],[From (m)]]</f>
        <v>0</v>
      </c>
      <c r="G302" s="5"/>
      <c r="H302" s="13" t="e">
        <f>Data_Geotech[[#This Row],[TCR (m)]]/Data_Geotech[[#This Row],[Run (m)]]*100</f>
        <v>#DIV/0!</v>
      </c>
      <c r="I302" s="5"/>
      <c r="J302" s="5"/>
      <c r="K302" s="5"/>
      <c r="L302" s="13" t="e">
        <f>Data_Geotech[[#This Row],[RQD (m)]]/Data_Geotech[[#This Row],[Run Reel (m)]]*100</f>
        <v>#DIV/0!</v>
      </c>
      <c r="P302" s="115"/>
      <c r="Q302" s="5"/>
      <c r="R302" s="5"/>
      <c r="S302" s="5"/>
      <c r="T302" s="5"/>
      <c r="U302" s="5"/>
      <c r="V302" s="6"/>
      <c r="W302" s="92">
        <f>SUMIFS(Discontinuities!$D$4:$D$9664,Discontinuities!$A$4:$A$9664,A302,Discontinuities!$C$4:$C$9664,"&gt;="&amp;C302,Discontinuities!$C$4:$C$9664,"&lt;"&amp;D302)
-SUMIFS(Discontinuities!$D$4:$D$9664,Discontinuities!$A$4:$A$9664,A302,Discontinuities!$C$4:$C$9664,"&gt;="&amp;C302,Discontinuities!$C$4:$C$9664,"&lt;"&amp;D302,Discontinuities!$E$4:$E$9664,"=BC")
-SUMIFS(Discontinuities!$D$4:$D$9664,Discontinuities!$A$4:$A$9664,A302,Discontinuities!$C$4:$C$9664,"&gt;="&amp;C302,Discontinuities!$C$4:$C$9664,"&lt;"&amp;D302,Discontinuities!$E$4:$E$9664,"=LC")
-SUMIFS(Discontinuities!$D$4:$D$9664,Discontinuities!$A$4:$A$9664,A302,Discontinuities!$C$4:$C$9664,"&gt;="&amp;C302,Discontinuities!$C$4:$C$9664,"&lt;"&amp;D302,Discontinuities!$E$4:$E$9664,"=FLT")</f>
        <v>0</v>
      </c>
      <c r="AA302" s="132"/>
      <c r="AB302" s="159">
        <f>IFERROR(ROUND((Data_Geotech[[#This Row],[Fault (m)]]+Data_Geotech[[#This Row],[Broken Core (m)]]+Data_Geotech[[#This Row],[Lost Core (m)]])*30,0),0)</f>
        <v>0</v>
      </c>
      <c r="AC302" s="135">
        <f>IF(Data_Geotech[[#This Row],[Added fractures 
(BC, FLT, LC)]]+Data_Geotech[[#This Row],[Fracture per interval]]=0,99,1/((Data_Geotech[[#This Row],[Fracture per interval]]+Data_Geotech[[#This Row],[Added fractures 
(BC, FLT, LC)]])/Data_Geotech[[#This Row],[Run (m)]]))</f>
        <v>99</v>
      </c>
      <c r="AD302" s="160" t="str" cm="1">
        <f t="array" ref="AD302">IFERROR(_xlfn.XLOOKUP(1,(A302=PLT!$A$4:$A$8886)*(Geotech!C302&lt;=PLT!$F$4:$F$8886)*(Geotech!D302&gt;=PLT!$F$4:$F$8886)*("Valid"=PLT!$P$4:$P$8886),PLT!$V$4:$V$8886),"")</f>
        <v/>
      </c>
      <c r="AE302" s="161" t="str" cm="1">
        <f t="array" ref="AE302">IFERROR(_xlfn.XLOOKUP(1,(A302=PLT!$A$4:$A$8886)*(Geotech!C302&lt;=PLT!$F$4:$F$8886)*(Geotech!D302&gt;=PLT!$F$4:$F$8886)*(PLT!$V$4:$V$8886&lt;&gt;AD302)*("Valid"=PLT!$P$4:$P$7190),PLT!$V$4:$V$8886),"")</f>
        <v/>
      </c>
      <c r="AF302" s="161" t="str" cm="1">
        <f t="array" ref="AF302">IFERROR(_xlfn.XLOOKUP(1,(A302=PLT!$A$4:$A$8886)*(Geotech!C302&lt;=PLT!$F$4:$F$8886)*(Geotech!D302&gt;=PLT!$F$4:$F$8886)*(PLT!$V$4:$V$8886&lt;&gt;AD302)*(PLT!$V$4:$V$8886&lt;&gt;AE302)*("Valid"=PLT!$P$4:$P$7190),PLT!$V$4:$V$8886),"")</f>
        <v/>
      </c>
      <c r="AG302" s="162" t="str">
        <f>IFERROR(IF(AVERAGE(AD302:AF302)&gt;References!$BO$23,References!$BP$23,
IF(AVERAGE(AD302:AF302)&gt;References!$BO$22,References!$BP$22,
IF(AVERAGE(AD302:AF302)&gt;References!$BO$21,References!$BP$21,
IF(AVERAGE(AD302:AF302)&gt;References!$BO$20,References!$BP$20,
IF(AVERAGE(AD302:AF302)&gt;References!$BO$19,References!$BP$19,
IF(AVERAGE(AD302:AF302)&gt;References!$BO$18,References!$BP$18,
0)))))),"")</f>
        <v/>
      </c>
      <c r="AH302" s="163" t="e">
        <f>VLOOKUP(Data_Geotech[[#This Row],[Field Intact Rock Strength]],Table_RMR76_Strength[],2,FALSE)</f>
        <v>#N/A</v>
      </c>
      <c r="AI302" s="163" t="e">
        <f>IF(Data_Geotech[[#This Row],[RQD (%)]]&lt;=25,3,IF(Data_Geotech[[#This Row],[RQD (%)]]&lt;=50,8,IF(Data_Geotech[[#This Row],[RQD (%)]]&lt;=75,13,IF(Data_Geotech[[#This Row],[RQD (%)]]&lt;=90,17,20))))</f>
        <v>#DIV/0!</v>
      </c>
      <c r="AJ302" s="136">
        <f>IF(Data_Geotech[[#This Row],[Joint spacing (m)]]&lt;=0.05,5,IF(Data_Geotech[[#This Row],[Joint spacing (m)]]&lt;=0.3,10,IF(Data_Geotech[[#This Row],[Joint spacing (m)]]&lt;=1,20,IF(Data_Geotech[[#This Row],[Joint spacing (m)]]&lt;=3,25,30))))</f>
        <v>30</v>
      </c>
      <c r="AK30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2" s="6"/>
      <c r="AM302" s="137" t="str">
        <f>IF(Data_Geotech[[#This Row],[FIRS Code]]="R",IFERROR(SUM(Data_Geotech[[#This Row],[RMR76 - Strength rating]:[RMR76 - Ground water rating]]),""),"")</f>
        <v/>
      </c>
      <c r="AN302" s="164" t="str">
        <f>IF(Data_Geotech[[#This Row],[FIRS Code]]="R",(2*Data_Geotech[[#This Row],[RMR76 - Joint condition rating]])+(IF(Data_Geotech[[#This Row],[RQD (%)]]&gt;80,80/2,Data_Geotech[[#This Row],[RQD (%)]]/2)),"")</f>
        <v/>
      </c>
      <c r="AO302" s="136" t="e">
        <f>LEFT(Data_Geotech[[#This Row],[Joint Set Rating]],FIND("-",Data_Geotech[[#This Row],[Joint Set Rating]],1)-2)</f>
        <v>#VALUE!</v>
      </c>
      <c r="AP30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2" s="143">
        <f t="shared" si="6"/>
        <v>1</v>
      </c>
      <c r="AR302" s="165" t="str">
        <f>IF(Data_Geotech[[#This Row],[FIRS Code]]="R",IFERROR((IF(Data_Geotech[[#This Row],[RQD (%)]]&lt;10,10,Data_Geotech[[#This Row],[RQD (%)]])/Data_Geotech[[#This Row],[Jn rating]])*Data_Geotech[[#This Row],[Jr/Ja]],""),"")</f>
        <v/>
      </c>
      <c r="AS302" s="138" t="str">
        <f>IF(Data_Geotech[[#This Row],[FIRS Code]]="R",IFERROR((IF(Data_Geotech[[#This Row],[RQD (%)]]&lt;10,10,Data_Geotech[[#This Row],[RQD (%)]])/Data_Geotech[[#This Row],[Jn rating]])*Data_Geotech[[#This Row],[Jr/Ja]]*Data_Geotech[[#This Row],[Jw/SRF]],""),"")</f>
        <v/>
      </c>
      <c r="AT302" s="12"/>
      <c r="AU302" s="13" t="e">
        <f>100-Data_Geotech[[#This Row],[RQD (%)]]</f>
        <v>#DIV/0!</v>
      </c>
      <c r="AV302" s="13" t="e">
        <f>100-Data_Geotech[[#This Row],[TCR (%)]]</f>
        <v>#DIV/0!</v>
      </c>
      <c r="AW302" s="62" t="e">
        <f>(Data_Geotech[[#This Row],[Fracture per interval]]+Data_Geotech[[#This Row],[Added fractures 
(BC, FLT, LC)]])/Data_Geotech[[#This Row],[TCR (m)]]</f>
        <v>#DIV/0!</v>
      </c>
      <c r="AX302" s="62" t="str">
        <f>MID(Data_Geotech[[#This Row],[Field Intact Rock Strength]],2,1)</f>
        <v/>
      </c>
      <c r="AY302" s="63" t="e">
        <f>7-MID(Data_Geotech[[#This Row],[Field Intact Rock Strength]],2,1)</f>
        <v>#VALUE!</v>
      </c>
      <c r="AZ302" s="63" t="e">
        <f>VLOOKUP(Data_Geotech[[#This Row],[Field Intact Rock Strength]],Table_FieldStrength[],2,FALSE)</f>
        <v>#N/A</v>
      </c>
      <c r="BA302" s="63" t="e">
        <f>VLOOKUP(Data_Geotech[[#This Row],[Field Intact Rock Strength]],Table_FieldStrength[],3,FALSE)</f>
        <v>#N/A</v>
      </c>
      <c r="BB302" s="63" t="e">
        <f>VLOOKUP(Data_Geotech[[#This Row],[Field Intact Rock Strength]],Table_FieldStrength[],4,FALSE)</f>
        <v>#N/A</v>
      </c>
      <c r="BC302" s="63" t="e">
        <f>100-Data_Geotech[[#This Row],[RMR76]]</f>
        <v>#VALUE!</v>
      </c>
      <c r="BD302" s="63" t="e">
        <f>LEFT(Data_Geotech[[#This Row],[Weathering/Alteration]],FIND("-",Data_Geotech[[#This Row],[Weathering/Alteration]])-2)</f>
        <v>#VALUE!</v>
      </c>
    </row>
    <row r="303" spans="1:56" hidden="1" x14ac:dyDescent="0.25">
      <c r="A303" s="14"/>
      <c r="B303" s="166" t="e">
        <f>VLOOKUP(Data_Geotech[[#This Row],[Hole ID]],Data_Log[],2,FALSE)</f>
        <v>#N/A</v>
      </c>
      <c r="C303" s="5"/>
      <c r="D303" s="5"/>
      <c r="E303" s="5">
        <f>(Data_Geotech[[#This Row],[To (m)]]-Data_Geotech[[#This Row],[From (m)]])/2+Data_Geotech[[#This Row],[From (m)]]</f>
        <v>0</v>
      </c>
      <c r="F303" s="13">
        <f>Data_Geotech[[#This Row],[To (m)]]-Data_Geotech[[#This Row],[From (m)]]</f>
        <v>0</v>
      </c>
      <c r="G303" s="5"/>
      <c r="H303" s="13" t="e">
        <f>Data_Geotech[[#This Row],[TCR (m)]]/Data_Geotech[[#This Row],[Run (m)]]*100</f>
        <v>#DIV/0!</v>
      </c>
      <c r="I303" s="5"/>
      <c r="J303" s="5"/>
      <c r="K303" s="5"/>
      <c r="L303" s="13" t="e">
        <f>Data_Geotech[[#This Row],[RQD (m)]]/Data_Geotech[[#This Row],[Run Reel (m)]]*100</f>
        <v>#DIV/0!</v>
      </c>
      <c r="P303" s="115"/>
      <c r="Q303" s="5"/>
      <c r="R303" s="5"/>
      <c r="S303" s="5"/>
      <c r="T303" s="5"/>
      <c r="U303" s="5"/>
      <c r="V303" s="6"/>
      <c r="W303" s="92">
        <f>SUMIFS(Discontinuities!$D$4:$D$9664,Discontinuities!$A$4:$A$9664,A303,Discontinuities!$C$4:$C$9664,"&gt;="&amp;C303,Discontinuities!$C$4:$C$9664,"&lt;"&amp;D303)
-SUMIFS(Discontinuities!$D$4:$D$9664,Discontinuities!$A$4:$A$9664,A303,Discontinuities!$C$4:$C$9664,"&gt;="&amp;C303,Discontinuities!$C$4:$C$9664,"&lt;"&amp;D303,Discontinuities!$E$4:$E$9664,"=BC")
-SUMIFS(Discontinuities!$D$4:$D$9664,Discontinuities!$A$4:$A$9664,A303,Discontinuities!$C$4:$C$9664,"&gt;="&amp;C303,Discontinuities!$C$4:$C$9664,"&lt;"&amp;D303,Discontinuities!$E$4:$E$9664,"=LC")
-SUMIFS(Discontinuities!$D$4:$D$9664,Discontinuities!$A$4:$A$9664,A303,Discontinuities!$C$4:$C$9664,"&gt;="&amp;C303,Discontinuities!$C$4:$C$9664,"&lt;"&amp;D303,Discontinuities!$E$4:$E$9664,"=FLT")</f>
        <v>0</v>
      </c>
      <c r="AA303" s="132"/>
      <c r="AB303" s="159">
        <f>IFERROR(ROUND((Data_Geotech[[#This Row],[Fault (m)]]+Data_Geotech[[#This Row],[Broken Core (m)]]+Data_Geotech[[#This Row],[Lost Core (m)]])*30,0),0)</f>
        <v>0</v>
      </c>
      <c r="AC303" s="135">
        <f>IF(Data_Geotech[[#This Row],[Added fractures 
(BC, FLT, LC)]]+Data_Geotech[[#This Row],[Fracture per interval]]=0,99,1/((Data_Geotech[[#This Row],[Fracture per interval]]+Data_Geotech[[#This Row],[Added fractures 
(BC, FLT, LC)]])/Data_Geotech[[#This Row],[Run (m)]]))</f>
        <v>99</v>
      </c>
      <c r="AD303" s="160" t="str" cm="1">
        <f t="array" ref="AD303">IFERROR(_xlfn.XLOOKUP(1,(A303=PLT!$A$4:$A$8886)*(Geotech!C303&lt;=PLT!$F$4:$F$8886)*(Geotech!D303&gt;=PLT!$F$4:$F$8886)*("Valid"=PLT!$P$4:$P$8886),PLT!$V$4:$V$8886),"")</f>
        <v/>
      </c>
      <c r="AE303" s="161" t="str" cm="1">
        <f t="array" ref="AE303">IFERROR(_xlfn.XLOOKUP(1,(A303=PLT!$A$4:$A$8886)*(Geotech!C303&lt;=PLT!$F$4:$F$8886)*(Geotech!D303&gt;=PLT!$F$4:$F$8886)*(PLT!$V$4:$V$8886&lt;&gt;AD303)*("Valid"=PLT!$P$4:$P$7190),PLT!$V$4:$V$8886),"")</f>
        <v/>
      </c>
      <c r="AF303" s="161" t="str" cm="1">
        <f t="array" ref="AF303">IFERROR(_xlfn.XLOOKUP(1,(A303=PLT!$A$4:$A$8886)*(Geotech!C303&lt;=PLT!$F$4:$F$8886)*(Geotech!D303&gt;=PLT!$F$4:$F$8886)*(PLT!$V$4:$V$8886&lt;&gt;AD303)*(PLT!$V$4:$V$8886&lt;&gt;AE303)*("Valid"=PLT!$P$4:$P$7190),PLT!$V$4:$V$8886),"")</f>
        <v/>
      </c>
      <c r="AG303" s="162" t="str">
        <f>IFERROR(IF(AVERAGE(AD303:AF303)&gt;References!$BO$23,References!$BP$23,
IF(AVERAGE(AD303:AF303)&gt;References!$BO$22,References!$BP$22,
IF(AVERAGE(AD303:AF303)&gt;References!$BO$21,References!$BP$21,
IF(AVERAGE(AD303:AF303)&gt;References!$BO$20,References!$BP$20,
IF(AVERAGE(AD303:AF303)&gt;References!$BO$19,References!$BP$19,
IF(AVERAGE(AD303:AF303)&gt;References!$BO$18,References!$BP$18,
0)))))),"")</f>
        <v/>
      </c>
      <c r="AH303" s="163" t="e">
        <f>VLOOKUP(Data_Geotech[[#This Row],[Field Intact Rock Strength]],Table_RMR76_Strength[],2,FALSE)</f>
        <v>#N/A</v>
      </c>
      <c r="AI303" s="163" t="e">
        <f>IF(Data_Geotech[[#This Row],[RQD (%)]]&lt;=25,3,IF(Data_Geotech[[#This Row],[RQD (%)]]&lt;=50,8,IF(Data_Geotech[[#This Row],[RQD (%)]]&lt;=75,13,IF(Data_Geotech[[#This Row],[RQD (%)]]&lt;=90,17,20))))</f>
        <v>#DIV/0!</v>
      </c>
      <c r="AJ303" s="136">
        <f>IF(Data_Geotech[[#This Row],[Joint spacing (m)]]&lt;=0.05,5,IF(Data_Geotech[[#This Row],[Joint spacing (m)]]&lt;=0.3,10,IF(Data_Geotech[[#This Row],[Joint spacing (m)]]&lt;=1,20,IF(Data_Geotech[[#This Row],[Joint spacing (m)]]&lt;=3,25,30))))</f>
        <v>30</v>
      </c>
      <c r="AK30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3" s="6"/>
      <c r="AM303" s="137" t="str">
        <f>IF(Data_Geotech[[#This Row],[FIRS Code]]="R",IFERROR(SUM(Data_Geotech[[#This Row],[RMR76 - Strength rating]:[RMR76 - Ground water rating]]),""),"")</f>
        <v/>
      </c>
      <c r="AN303" s="164" t="str">
        <f>IF(Data_Geotech[[#This Row],[FIRS Code]]="R",(2*Data_Geotech[[#This Row],[RMR76 - Joint condition rating]])+(IF(Data_Geotech[[#This Row],[RQD (%)]]&gt;80,80/2,Data_Geotech[[#This Row],[RQD (%)]]/2)),"")</f>
        <v/>
      </c>
      <c r="AO303" s="136" t="e">
        <f>LEFT(Data_Geotech[[#This Row],[Joint Set Rating]],FIND("-",Data_Geotech[[#This Row],[Joint Set Rating]],1)-2)</f>
        <v>#VALUE!</v>
      </c>
      <c r="AP30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3" s="143">
        <f t="shared" si="6"/>
        <v>1</v>
      </c>
      <c r="AR303" s="165" t="str">
        <f>IF(Data_Geotech[[#This Row],[FIRS Code]]="R",IFERROR((IF(Data_Geotech[[#This Row],[RQD (%)]]&lt;10,10,Data_Geotech[[#This Row],[RQD (%)]])/Data_Geotech[[#This Row],[Jn rating]])*Data_Geotech[[#This Row],[Jr/Ja]],""),"")</f>
        <v/>
      </c>
      <c r="AS303" s="138" t="str">
        <f>IF(Data_Geotech[[#This Row],[FIRS Code]]="R",IFERROR((IF(Data_Geotech[[#This Row],[RQD (%)]]&lt;10,10,Data_Geotech[[#This Row],[RQD (%)]])/Data_Geotech[[#This Row],[Jn rating]])*Data_Geotech[[#This Row],[Jr/Ja]]*Data_Geotech[[#This Row],[Jw/SRF]],""),"")</f>
        <v/>
      </c>
      <c r="AT303" s="12"/>
      <c r="AU303" s="13" t="e">
        <f>100-Data_Geotech[[#This Row],[RQD (%)]]</f>
        <v>#DIV/0!</v>
      </c>
      <c r="AV303" s="13" t="e">
        <f>100-Data_Geotech[[#This Row],[TCR (%)]]</f>
        <v>#DIV/0!</v>
      </c>
      <c r="AW303" s="62" t="e">
        <f>(Data_Geotech[[#This Row],[Fracture per interval]]+Data_Geotech[[#This Row],[Added fractures 
(BC, FLT, LC)]])/Data_Geotech[[#This Row],[TCR (m)]]</f>
        <v>#DIV/0!</v>
      </c>
      <c r="AX303" s="62" t="str">
        <f>MID(Data_Geotech[[#This Row],[Field Intact Rock Strength]],2,1)</f>
        <v/>
      </c>
      <c r="AY303" s="63" t="e">
        <f>7-MID(Data_Geotech[[#This Row],[Field Intact Rock Strength]],2,1)</f>
        <v>#VALUE!</v>
      </c>
      <c r="AZ303" s="63" t="e">
        <f>VLOOKUP(Data_Geotech[[#This Row],[Field Intact Rock Strength]],Table_FieldStrength[],2,FALSE)</f>
        <v>#N/A</v>
      </c>
      <c r="BA303" s="63" t="e">
        <f>VLOOKUP(Data_Geotech[[#This Row],[Field Intact Rock Strength]],Table_FieldStrength[],3,FALSE)</f>
        <v>#N/A</v>
      </c>
      <c r="BB303" s="63" t="e">
        <f>VLOOKUP(Data_Geotech[[#This Row],[Field Intact Rock Strength]],Table_FieldStrength[],4,FALSE)</f>
        <v>#N/A</v>
      </c>
      <c r="BC303" s="63" t="e">
        <f>100-Data_Geotech[[#This Row],[RMR76]]</f>
        <v>#VALUE!</v>
      </c>
      <c r="BD303" s="63" t="e">
        <f>LEFT(Data_Geotech[[#This Row],[Weathering/Alteration]],FIND("-",Data_Geotech[[#This Row],[Weathering/Alteration]])-2)</f>
        <v>#VALUE!</v>
      </c>
    </row>
    <row r="304" spans="1:56" hidden="1" x14ac:dyDescent="0.25">
      <c r="A304" s="14"/>
      <c r="B304" s="166" t="e">
        <f>VLOOKUP(Data_Geotech[[#This Row],[Hole ID]],Data_Log[],2,FALSE)</f>
        <v>#N/A</v>
      </c>
      <c r="C304" s="5"/>
      <c r="D304" s="5"/>
      <c r="E304" s="5">
        <f>(Data_Geotech[[#This Row],[To (m)]]-Data_Geotech[[#This Row],[From (m)]])/2+Data_Geotech[[#This Row],[From (m)]]</f>
        <v>0</v>
      </c>
      <c r="F304" s="13">
        <f>Data_Geotech[[#This Row],[To (m)]]-Data_Geotech[[#This Row],[From (m)]]</f>
        <v>0</v>
      </c>
      <c r="G304" s="5"/>
      <c r="H304" s="13" t="e">
        <f>Data_Geotech[[#This Row],[TCR (m)]]/Data_Geotech[[#This Row],[Run (m)]]*100</f>
        <v>#DIV/0!</v>
      </c>
      <c r="I304" s="5"/>
      <c r="J304" s="5"/>
      <c r="K304" s="5"/>
      <c r="L304" s="13" t="e">
        <f>Data_Geotech[[#This Row],[RQD (m)]]/Data_Geotech[[#This Row],[Run Reel (m)]]*100</f>
        <v>#DIV/0!</v>
      </c>
      <c r="P304" s="115"/>
      <c r="Q304" s="5"/>
      <c r="R304" s="5"/>
      <c r="S304" s="5"/>
      <c r="T304" s="5"/>
      <c r="U304" s="5"/>
      <c r="V304" s="6"/>
      <c r="W304" s="92">
        <f>SUMIFS(Discontinuities!$D$4:$D$9664,Discontinuities!$A$4:$A$9664,A304,Discontinuities!$C$4:$C$9664,"&gt;="&amp;C304,Discontinuities!$C$4:$C$9664,"&lt;"&amp;D304)
-SUMIFS(Discontinuities!$D$4:$D$9664,Discontinuities!$A$4:$A$9664,A304,Discontinuities!$C$4:$C$9664,"&gt;="&amp;C304,Discontinuities!$C$4:$C$9664,"&lt;"&amp;D304,Discontinuities!$E$4:$E$9664,"=BC")
-SUMIFS(Discontinuities!$D$4:$D$9664,Discontinuities!$A$4:$A$9664,A304,Discontinuities!$C$4:$C$9664,"&gt;="&amp;C304,Discontinuities!$C$4:$C$9664,"&lt;"&amp;D304,Discontinuities!$E$4:$E$9664,"=LC")
-SUMIFS(Discontinuities!$D$4:$D$9664,Discontinuities!$A$4:$A$9664,A304,Discontinuities!$C$4:$C$9664,"&gt;="&amp;C304,Discontinuities!$C$4:$C$9664,"&lt;"&amp;D304,Discontinuities!$E$4:$E$9664,"=FLT")</f>
        <v>0</v>
      </c>
      <c r="AA304" s="132"/>
      <c r="AB304" s="159">
        <f>IFERROR(ROUND((Data_Geotech[[#This Row],[Fault (m)]]+Data_Geotech[[#This Row],[Broken Core (m)]]+Data_Geotech[[#This Row],[Lost Core (m)]])*30,0),0)</f>
        <v>0</v>
      </c>
      <c r="AC304" s="135">
        <f>IF(Data_Geotech[[#This Row],[Added fractures 
(BC, FLT, LC)]]+Data_Geotech[[#This Row],[Fracture per interval]]=0,99,1/((Data_Geotech[[#This Row],[Fracture per interval]]+Data_Geotech[[#This Row],[Added fractures 
(BC, FLT, LC)]])/Data_Geotech[[#This Row],[Run (m)]]))</f>
        <v>99</v>
      </c>
      <c r="AD304" s="160" t="str" cm="1">
        <f t="array" ref="AD304">IFERROR(_xlfn.XLOOKUP(1,(A304=PLT!$A$4:$A$8886)*(Geotech!C304&lt;=PLT!$F$4:$F$8886)*(Geotech!D304&gt;=PLT!$F$4:$F$8886)*("Valid"=PLT!$P$4:$P$8886),PLT!$V$4:$V$8886),"")</f>
        <v/>
      </c>
      <c r="AE304" s="161" t="str" cm="1">
        <f t="array" ref="AE304">IFERROR(_xlfn.XLOOKUP(1,(A304=PLT!$A$4:$A$8886)*(Geotech!C304&lt;=PLT!$F$4:$F$8886)*(Geotech!D304&gt;=PLT!$F$4:$F$8886)*(PLT!$V$4:$V$8886&lt;&gt;AD304)*("Valid"=PLT!$P$4:$P$7190),PLT!$V$4:$V$8886),"")</f>
        <v/>
      </c>
      <c r="AF304" s="161" t="str" cm="1">
        <f t="array" ref="AF304">IFERROR(_xlfn.XLOOKUP(1,(A304=PLT!$A$4:$A$8886)*(Geotech!C304&lt;=PLT!$F$4:$F$8886)*(Geotech!D304&gt;=PLT!$F$4:$F$8886)*(PLT!$V$4:$V$8886&lt;&gt;AD304)*(PLT!$V$4:$V$8886&lt;&gt;AE304)*("Valid"=PLT!$P$4:$P$7190),PLT!$V$4:$V$8886),"")</f>
        <v/>
      </c>
      <c r="AG304" s="162" t="str">
        <f>IFERROR(IF(AVERAGE(AD304:AF304)&gt;References!$BO$23,References!$BP$23,
IF(AVERAGE(AD304:AF304)&gt;References!$BO$22,References!$BP$22,
IF(AVERAGE(AD304:AF304)&gt;References!$BO$21,References!$BP$21,
IF(AVERAGE(AD304:AF304)&gt;References!$BO$20,References!$BP$20,
IF(AVERAGE(AD304:AF304)&gt;References!$BO$19,References!$BP$19,
IF(AVERAGE(AD304:AF304)&gt;References!$BO$18,References!$BP$18,
0)))))),"")</f>
        <v/>
      </c>
      <c r="AH304" s="163" t="e">
        <f>VLOOKUP(Data_Geotech[[#This Row],[Field Intact Rock Strength]],Table_RMR76_Strength[],2,FALSE)</f>
        <v>#N/A</v>
      </c>
      <c r="AI304" s="163" t="e">
        <f>IF(Data_Geotech[[#This Row],[RQD (%)]]&lt;=25,3,IF(Data_Geotech[[#This Row],[RQD (%)]]&lt;=50,8,IF(Data_Geotech[[#This Row],[RQD (%)]]&lt;=75,13,IF(Data_Geotech[[#This Row],[RQD (%)]]&lt;=90,17,20))))</f>
        <v>#DIV/0!</v>
      </c>
      <c r="AJ304" s="136">
        <f>IF(Data_Geotech[[#This Row],[Joint spacing (m)]]&lt;=0.05,5,IF(Data_Geotech[[#This Row],[Joint spacing (m)]]&lt;=0.3,10,IF(Data_Geotech[[#This Row],[Joint spacing (m)]]&lt;=1,20,IF(Data_Geotech[[#This Row],[Joint spacing (m)]]&lt;=3,25,30))))</f>
        <v>30</v>
      </c>
      <c r="AK30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4" s="6"/>
      <c r="AM304" s="137" t="str">
        <f>IF(Data_Geotech[[#This Row],[FIRS Code]]="R",IFERROR(SUM(Data_Geotech[[#This Row],[RMR76 - Strength rating]:[RMR76 - Ground water rating]]),""),"")</f>
        <v/>
      </c>
      <c r="AN304" s="164" t="str">
        <f>IF(Data_Geotech[[#This Row],[FIRS Code]]="R",(2*Data_Geotech[[#This Row],[RMR76 - Joint condition rating]])+(IF(Data_Geotech[[#This Row],[RQD (%)]]&gt;80,80/2,Data_Geotech[[#This Row],[RQD (%)]]/2)),"")</f>
        <v/>
      </c>
      <c r="AO304" s="136" t="e">
        <f>LEFT(Data_Geotech[[#This Row],[Joint Set Rating]],FIND("-",Data_Geotech[[#This Row],[Joint Set Rating]],1)-2)</f>
        <v>#VALUE!</v>
      </c>
      <c r="AP30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4" s="143">
        <f t="shared" si="6"/>
        <v>1</v>
      </c>
      <c r="AR304" s="165" t="str">
        <f>IF(Data_Geotech[[#This Row],[FIRS Code]]="R",IFERROR((IF(Data_Geotech[[#This Row],[RQD (%)]]&lt;10,10,Data_Geotech[[#This Row],[RQD (%)]])/Data_Geotech[[#This Row],[Jn rating]])*Data_Geotech[[#This Row],[Jr/Ja]],""),"")</f>
        <v/>
      </c>
      <c r="AS304" s="138" t="str">
        <f>IF(Data_Geotech[[#This Row],[FIRS Code]]="R",IFERROR((IF(Data_Geotech[[#This Row],[RQD (%)]]&lt;10,10,Data_Geotech[[#This Row],[RQD (%)]])/Data_Geotech[[#This Row],[Jn rating]])*Data_Geotech[[#This Row],[Jr/Ja]]*Data_Geotech[[#This Row],[Jw/SRF]],""),"")</f>
        <v/>
      </c>
      <c r="AT304" s="12"/>
      <c r="AU304" s="13" t="e">
        <f>100-Data_Geotech[[#This Row],[RQD (%)]]</f>
        <v>#DIV/0!</v>
      </c>
      <c r="AV304" s="13" t="e">
        <f>100-Data_Geotech[[#This Row],[TCR (%)]]</f>
        <v>#DIV/0!</v>
      </c>
      <c r="AW304" s="62" t="e">
        <f>(Data_Geotech[[#This Row],[Fracture per interval]]+Data_Geotech[[#This Row],[Added fractures 
(BC, FLT, LC)]])/Data_Geotech[[#This Row],[TCR (m)]]</f>
        <v>#DIV/0!</v>
      </c>
      <c r="AX304" s="62" t="str">
        <f>MID(Data_Geotech[[#This Row],[Field Intact Rock Strength]],2,1)</f>
        <v/>
      </c>
      <c r="AY304" s="63" t="e">
        <f>7-MID(Data_Geotech[[#This Row],[Field Intact Rock Strength]],2,1)</f>
        <v>#VALUE!</v>
      </c>
      <c r="AZ304" s="63" t="e">
        <f>VLOOKUP(Data_Geotech[[#This Row],[Field Intact Rock Strength]],Table_FieldStrength[],2,FALSE)</f>
        <v>#N/A</v>
      </c>
      <c r="BA304" s="63" t="e">
        <f>VLOOKUP(Data_Geotech[[#This Row],[Field Intact Rock Strength]],Table_FieldStrength[],3,FALSE)</f>
        <v>#N/A</v>
      </c>
      <c r="BB304" s="63" t="e">
        <f>VLOOKUP(Data_Geotech[[#This Row],[Field Intact Rock Strength]],Table_FieldStrength[],4,FALSE)</f>
        <v>#N/A</v>
      </c>
      <c r="BC304" s="63" t="e">
        <f>100-Data_Geotech[[#This Row],[RMR76]]</f>
        <v>#VALUE!</v>
      </c>
      <c r="BD304" s="63" t="e">
        <f>LEFT(Data_Geotech[[#This Row],[Weathering/Alteration]],FIND("-",Data_Geotech[[#This Row],[Weathering/Alteration]])-2)</f>
        <v>#VALUE!</v>
      </c>
    </row>
    <row r="305" spans="1:56" hidden="1" x14ac:dyDescent="0.25">
      <c r="A305" s="14"/>
      <c r="B305" s="166" t="e">
        <f>VLOOKUP(Data_Geotech[[#This Row],[Hole ID]],Data_Log[],2,FALSE)</f>
        <v>#N/A</v>
      </c>
      <c r="C305" s="5"/>
      <c r="D305" s="5"/>
      <c r="E305" s="5">
        <f>(Data_Geotech[[#This Row],[To (m)]]-Data_Geotech[[#This Row],[From (m)]])/2+Data_Geotech[[#This Row],[From (m)]]</f>
        <v>0</v>
      </c>
      <c r="F305" s="13">
        <f>Data_Geotech[[#This Row],[To (m)]]-Data_Geotech[[#This Row],[From (m)]]</f>
        <v>0</v>
      </c>
      <c r="G305" s="5"/>
      <c r="H305" s="13" t="e">
        <f>Data_Geotech[[#This Row],[TCR (m)]]/Data_Geotech[[#This Row],[Run (m)]]*100</f>
        <v>#DIV/0!</v>
      </c>
      <c r="I305" s="5"/>
      <c r="J305" s="5"/>
      <c r="K305" s="5"/>
      <c r="L305" s="13" t="e">
        <f>Data_Geotech[[#This Row],[RQD (m)]]/Data_Geotech[[#This Row],[Run Reel (m)]]*100</f>
        <v>#DIV/0!</v>
      </c>
      <c r="P305" s="115"/>
      <c r="Q305" s="5"/>
      <c r="R305" s="5"/>
      <c r="S305" s="5"/>
      <c r="T305" s="5"/>
      <c r="U305" s="5"/>
      <c r="V305" s="6"/>
      <c r="W305" s="92">
        <f>SUMIFS(Discontinuities!$D$4:$D$9664,Discontinuities!$A$4:$A$9664,A305,Discontinuities!$C$4:$C$9664,"&gt;="&amp;C305,Discontinuities!$C$4:$C$9664,"&lt;"&amp;D305)
-SUMIFS(Discontinuities!$D$4:$D$9664,Discontinuities!$A$4:$A$9664,A305,Discontinuities!$C$4:$C$9664,"&gt;="&amp;C305,Discontinuities!$C$4:$C$9664,"&lt;"&amp;D305,Discontinuities!$E$4:$E$9664,"=BC")
-SUMIFS(Discontinuities!$D$4:$D$9664,Discontinuities!$A$4:$A$9664,A305,Discontinuities!$C$4:$C$9664,"&gt;="&amp;C305,Discontinuities!$C$4:$C$9664,"&lt;"&amp;D305,Discontinuities!$E$4:$E$9664,"=LC")
-SUMIFS(Discontinuities!$D$4:$D$9664,Discontinuities!$A$4:$A$9664,A305,Discontinuities!$C$4:$C$9664,"&gt;="&amp;C305,Discontinuities!$C$4:$C$9664,"&lt;"&amp;D305,Discontinuities!$E$4:$E$9664,"=FLT")</f>
        <v>0</v>
      </c>
      <c r="AA305" s="132"/>
      <c r="AB305" s="159">
        <f>IFERROR(ROUND((Data_Geotech[[#This Row],[Fault (m)]]+Data_Geotech[[#This Row],[Broken Core (m)]]+Data_Geotech[[#This Row],[Lost Core (m)]])*30,0),0)</f>
        <v>0</v>
      </c>
      <c r="AC305" s="135">
        <f>IF(Data_Geotech[[#This Row],[Added fractures 
(BC, FLT, LC)]]+Data_Geotech[[#This Row],[Fracture per interval]]=0,99,1/((Data_Geotech[[#This Row],[Fracture per interval]]+Data_Geotech[[#This Row],[Added fractures 
(BC, FLT, LC)]])/Data_Geotech[[#This Row],[Run (m)]]))</f>
        <v>99</v>
      </c>
      <c r="AD305" s="160" t="str" cm="1">
        <f t="array" ref="AD305">IFERROR(_xlfn.XLOOKUP(1,(A305=PLT!$A$4:$A$8886)*(Geotech!C305&lt;=PLT!$F$4:$F$8886)*(Geotech!D305&gt;=PLT!$F$4:$F$8886)*("Valid"=PLT!$P$4:$P$8886),PLT!$V$4:$V$8886),"")</f>
        <v/>
      </c>
      <c r="AE305" s="161" t="str" cm="1">
        <f t="array" ref="AE305">IFERROR(_xlfn.XLOOKUP(1,(A305=PLT!$A$4:$A$8886)*(Geotech!C305&lt;=PLT!$F$4:$F$8886)*(Geotech!D305&gt;=PLT!$F$4:$F$8886)*(PLT!$V$4:$V$8886&lt;&gt;AD305)*("Valid"=PLT!$P$4:$P$7190),PLT!$V$4:$V$8886),"")</f>
        <v/>
      </c>
      <c r="AF305" s="161" t="str" cm="1">
        <f t="array" ref="AF305">IFERROR(_xlfn.XLOOKUP(1,(A305=PLT!$A$4:$A$8886)*(Geotech!C305&lt;=PLT!$F$4:$F$8886)*(Geotech!D305&gt;=PLT!$F$4:$F$8886)*(PLT!$V$4:$V$8886&lt;&gt;AD305)*(PLT!$V$4:$V$8886&lt;&gt;AE305)*("Valid"=PLT!$P$4:$P$7190),PLT!$V$4:$V$8886),"")</f>
        <v/>
      </c>
      <c r="AG305" s="162" t="str">
        <f>IFERROR(IF(AVERAGE(AD305:AF305)&gt;References!$BO$23,References!$BP$23,
IF(AVERAGE(AD305:AF305)&gt;References!$BO$22,References!$BP$22,
IF(AVERAGE(AD305:AF305)&gt;References!$BO$21,References!$BP$21,
IF(AVERAGE(AD305:AF305)&gt;References!$BO$20,References!$BP$20,
IF(AVERAGE(AD305:AF305)&gt;References!$BO$19,References!$BP$19,
IF(AVERAGE(AD305:AF305)&gt;References!$BO$18,References!$BP$18,
0)))))),"")</f>
        <v/>
      </c>
      <c r="AH305" s="163" t="e">
        <f>VLOOKUP(Data_Geotech[[#This Row],[Field Intact Rock Strength]],Table_RMR76_Strength[],2,FALSE)</f>
        <v>#N/A</v>
      </c>
      <c r="AI305" s="163" t="e">
        <f>IF(Data_Geotech[[#This Row],[RQD (%)]]&lt;=25,3,IF(Data_Geotech[[#This Row],[RQD (%)]]&lt;=50,8,IF(Data_Geotech[[#This Row],[RQD (%)]]&lt;=75,13,IF(Data_Geotech[[#This Row],[RQD (%)]]&lt;=90,17,20))))</f>
        <v>#DIV/0!</v>
      </c>
      <c r="AJ305" s="136">
        <f>IF(Data_Geotech[[#This Row],[Joint spacing (m)]]&lt;=0.05,5,IF(Data_Geotech[[#This Row],[Joint spacing (m)]]&lt;=0.3,10,IF(Data_Geotech[[#This Row],[Joint spacing (m)]]&lt;=1,20,IF(Data_Geotech[[#This Row],[Joint spacing (m)]]&lt;=3,25,30))))</f>
        <v>30</v>
      </c>
      <c r="AK30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5" s="6"/>
      <c r="AM305" s="137" t="str">
        <f>IF(Data_Geotech[[#This Row],[FIRS Code]]="R",IFERROR(SUM(Data_Geotech[[#This Row],[RMR76 - Strength rating]:[RMR76 - Ground water rating]]),""),"")</f>
        <v/>
      </c>
      <c r="AN305" s="164" t="str">
        <f>IF(Data_Geotech[[#This Row],[FIRS Code]]="R",(2*Data_Geotech[[#This Row],[RMR76 - Joint condition rating]])+(IF(Data_Geotech[[#This Row],[RQD (%)]]&gt;80,80/2,Data_Geotech[[#This Row],[RQD (%)]]/2)),"")</f>
        <v/>
      </c>
      <c r="AO305" s="136" t="e">
        <f>LEFT(Data_Geotech[[#This Row],[Joint Set Rating]],FIND("-",Data_Geotech[[#This Row],[Joint Set Rating]],1)-2)</f>
        <v>#VALUE!</v>
      </c>
      <c r="AP30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5" s="143">
        <f t="shared" si="6"/>
        <v>1</v>
      </c>
      <c r="AR305" s="165" t="str">
        <f>IF(Data_Geotech[[#This Row],[FIRS Code]]="R",IFERROR((IF(Data_Geotech[[#This Row],[RQD (%)]]&lt;10,10,Data_Geotech[[#This Row],[RQD (%)]])/Data_Geotech[[#This Row],[Jn rating]])*Data_Geotech[[#This Row],[Jr/Ja]],""),"")</f>
        <v/>
      </c>
      <c r="AS305" s="138" t="str">
        <f>IF(Data_Geotech[[#This Row],[FIRS Code]]="R",IFERROR((IF(Data_Geotech[[#This Row],[RQD (%)]]&lt;10,10,Data_Geotech[[#This Row],[RQD (%)]])/Data_Geotech[[#This Row],[Jn rating]])*Data_Geotech[[#This Row],[Jr/Ja]]*Data_Geotech[[#This Row],[Jw/SRF]],""),"")</f>
        <v/>
      </c>
      <c r="AT305" s="12"/>
      <c r="AU305" s="13" t="e">
        <f>100-Data_Geotech[[#This Row],[RQD (%)]]</f>
        <v>#DIV/0!</v>
      </c>
      <c r="AV305" s="13" t="e">
        <f>100-Data_Geotech[[#This Row],[TCR (%)]]</f>
        <v>#DIV/0!</v>
      </c>
      <c r="AW305" s="62" t="e">
        <f>(Data_Geotech[[#This Row],[Fracture per interval]]+Data_Geotech[[#This Row],[Added fractures 
(BC, FLT, LC)]])/Data_Geotech[[#This Row],[TCR (m)]]</f>
        <v>#DIV/0!</v>
      </c>
      <c r="AX305" s="62" t="str">
        <f>MID(Data_Geotech[[#This Row],[Field Intact Rock Strength]],2,1)</f>
        <v/>
      </c>
      <c r="AY305" s="63" t="e">
        <f>7-MID(Data_Geotech[[#This Row],[Field Intact Rock Strength]],2,1)</f>
        <v>#VALUE!</v>
      </c>
      <c r="AZ305" s="63" t="e">
        <f>VLOOKUP(Data_Geotech[[#This Row],[Field Intact Rock Strength]],Table_FieldStrength[],2,FALSE)</f>
        <v>#N/A</v>
      </c>
      <c r="BA305" s="63" t="e">
        <f>VLOOKUP(Data_Geotech[[#This Row],[Field Intact Rock Strength]],Table_FieldStrength[],3,FALSE)</f>
        <v>#N/A</v>
      </c>
      <c r="BB305" s="63" t="e">
        <f>VLOOKUP(Data_Geotech[[#This Row],[Field Intact Rock Strength]],Table_FieldStrength[],4,FALSE)</f>
        <v>#N/A</v>
      </c>
      <c r="BC305" s="63" t="e">
        <f>100-Data_Geotech[[#This Row],[RMR76]]</f>
        <v>#VALUE!</v>
      </c>
      <c r="BD305" s="63" t="e">
        <f>LEFT(Data_Geotech[[#This Row],[Weathering/Alteration]],FIND("-",Data_Geotech[[#This Row],[Weathering/Alteration]])-2)</f>
        <v>#VALUE!</v>
      </c>
    </row>
    <row r="306" spans="1:56" hidden="1" x14ac:dyDescent="0.25">
      <c r="A306" s="14"/>
      <c r="B306" s="166" t="e">
        <f>VLOOKUP(Data_Geotech[[#This Row],[Hole ID]],Data_Log[],2,FALSE)</f>
        <v>#N/A</v>
      </c>
      <c r="C306" s="5"/>
      <c r="D306" s="5"/>
      <c r="E306" s="5">
        <f>(Data_Geotech[[#This Row],[To (m)]]-Data_Geotech[[#This Row],[From (m)]])/2+Data_Geotech[[#This Row],[From (m)]]</f>
        <v>0</v>
      </c>
      <c r="F306" s="13">
        <f>Data_Geotech[[#This Row],[To (m)]]-Data_Geotech[[#This Row],[From (m)]]</f>
        <v>0</v>
      </c>
      <c r="G306" s="5"/>
      <c r="H306" s="13" t="e">
        <f>Data_Geotech[[#This Row],[TCR (m)]]/Data_Geotech[[#This Row],[Run (m)]]*100</f>
        <v>#DIV/0!</v>
      </c>
      <c r="I306" s="5"/>
      <c r="J306" s="5"/>
      <c r="K306" s="5"/>
      <c r="L306" s="13" t="e">
        <f>Data_Geotech[[#This Row],[RQD (m)]]/Data_Geotech[[#This Row],[Run Reel (m)]]*100</f>
        <v>#DIV/0!</v>
      </c>
      <c r="P306" s="115"/>
      <c r="Q306" s="5"/>
      <c r="R306" s="5"/>
      <c r="S306" s="5"/>
      <c r="T306" s="5"/>
      <c r="U306" s="5"/>
      <c r="V306" s="6"/>
      <c r="W306" s="92">
        <f>SUMIFS(Discontinuities!$D$4:$D$9664,Discontinuities!$A$4:$A$9664,A306,Discontinuities!$C$4:$C$9664,"&gt;="&amp;C306,Discontinuities!$C$4:$C$9664,"&lt;"&amp;D306)
-SUMIFS(Discontinuities!$D$4:$D$9664,Discontinuities!$A$4:$A$9664,A306,Discontinuities!$C$4:$C$9664,"&gt;="&amp;C306,Discontinuities!$C$4:$C$9664,"&lt;"&amp;D306,Discontinuities!$E$4:$E$9664,"=BC")
-SUMIFS(Discontinuities!$D$4:$D$9664,Discontinuities!$A$4:$A$9664,A306,Discontinuities!$C$4:$C$9664,"&gt;="&amp;C306,Discontinuities!$C$4:$C$9664,"&lt;"&amp;D306,Discontinuities!$E$4:$E$9664,"=LC")
-SUMIFS(Discontinuities!$D$4:$D$9664,Discontinuities!$A$4:$A$9664,A306,Discontinuities!$C$4:$C$9664,"&gt;="&amp;C306,Discontinuities!$C$4:$C$9664,"&lt;"&amp;D306,Discontinuities!$E$4:$E$9664,"=FLT")</f>
        <v>0</v>
      </c>
      <c r="AA306" s="132"/>
      <c r="AB306" s="159">
        <f>IFERROR(ROUND((Data_Geotech[[#This Row],[Fault (m)]]+Data_Geotech[[#This Row],[Broken Core (m)]]+Data_Geotech[[#This Row],[Lost Core (m)]])*30,0),0)</f>
        <v>0</v>
      </c>
      <c r="AC306" s="135">
        <f>IF(Data_Geotech[[#This Row],[Added fractures 
(BC, FLT, LC)]]+Data_Geotech[[#This Row],[Fracture per interval]]=0,99,1/((Data_Geotech[[#This Row],[Fracture per interval]]+Data_Geotech[[#This Row],[Added fractures 
(BC, FLT, LC)]])/Data_Geotech[[#This Row],[Run (m)]]))</f>
        <v>99</v>
      </c>
      <c r="AD306" s="160" t="str" cm="1">
        <f t="array" ref="AD306">IFERROR(_xlfn.XLOOKUP(1,(A306=PLT!$A$4:$A$8886)*(Geotech!C306&lt;=PLT!$F$4:$F$8886)*(Geotech!D306&gt;=PLT!$F$4:$F$8886)*("Valid"=PLT!$P$4:$P$8886),PLT!$V$4:$V$8886),"")</f>
        <v/>
      </c>
      <c r="AE306" s="161" t="str" cm="1">
        <f t="array" ref="AE306">IFERROR(_xlfn.XLOOKUP(1,(A306=PLT!$A$4:$A$8886)*(Geotech!C306&lt;=PLT!$F$4:$F$8886)*(Geotech!D306&gt;=PLT!$F$4:$F$8886)*(PLT!$V$4:$V$8886&lt;&gt;AD306)*("Valid"=PLT!$P$4:$P$7190),PLT!$V$4:$V$8886),"")</f>
        <v/>
      </c>
      <c r="AF306" s="161" t="str" cm="1">
        <f t="array" ref="AF306">IFERROR(_xlfn.XLOOKUP(1,(A306=PLT!$A$4:$A$8886)*(Geotech!C306&lt;=PLT!$F$4:$F$8886)*(Geotech!D306&gt;=PLT!$F$4:$F$8886)*(PLT!$V$4:$V$8886&lt;&gt;AD306)*(PLT!$V$4:$V$8886&lt;&gt;AE306)*("Valid"=PLT!$P$4:$P$7190),PLT!$V$4:$V$8886),"")</f>
        <v/>
      </c>
      <c r="AG306" s="162" t="str">
        <f>IFERROR(IF(AVERAGE(AD306:AF306)&gt;References!$BO$23,References!$BP$23,
IF(AVERAGE(AD306:AF306)&gt;References!$BO$22,References!$BP$22,
IF(AVERAGE(AD306:AF306)&gt;References!$BO$21,References!$BP$21,
IF(AVERAGE(AD306:AF306)&gt;References!$BO$20,References!$BP$20,
IF(AVERAGE(AD306:AF306)&gt;References!$BO$19,References!$BP$19,
IF(AVERAGE(AD306:AF306)&gt;References!$BO$18,References!$BP$18,
0)))))),"")</f>
        <v/>
      </c>
      <c r="AH306" s="163" t="e">
        <f>VLOOKUP(Data_Geotech[[#This Row],[Field Intact Rock Strength]],Table_RMR76_Strength[],2,FALSE)</f>
        <v>#N/A</v>
      </c>
      <c r="AI306" s="163" t="e">
        <f>IF(Data_Geotech[[#This Row],[RQD (%)]]&lt;=25,3,IF(Data_Geotech[[#This Row],[RQD (%)]]&lt;=50,8,IF(Data_Geotech[[#This Row],[RQD (%)]]&lt;=75,13,IF(Data_Geotech[[#This Row],[RQD (%)]]&lt;=90,17,20))))</f>
        <v>#DIV/0!</v>
      </c>
      <c r="AJ306" s="136">
        <f>IF(Data_Geotech[[#This Row],[Joint spacing (m)]]&lt;=0.05,5,IF(Data_Geotech[[#This Row],[Joint spacing (m)]]&lt;=0.3,10,IF(Data_Geotech[[#This Row],[Joint spacing (m)]]&lt;=1,20,IF(Data_Geotech[[#This Row],[Joint spacing (m)]]&lt;=3,25,30))))</f>
        <v>30</v>
      </c>
      <c r="AK30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6" s="6"/>
      <c r="AM306" s="137" t="str">
        <f>IF(Data_Geotech[[#This Row],[FIRS Code]]="R",IFERROR(SUM(Data_Geotech[[#This Row],[RMR76 - Strength rating]:[RMR76 - Ground water rating]]),""),"")</f>
        <v/>
      </c>
      <c r="AN306" s="164" t="str">
        <f>IF(Data_Geotech[[#This Row],[FIRS Code]]="R",(2*Data_Geotech[[#This Row],[RMR76 - Joint condition rating]])+(IF(Data_Geotech[[#This Row],[RQD (%)]]&gt;80,80/2,Data_Geotech[[#This Row],[RQD (%)]]/2)),"")</f>
        <v/>
      </c>
      <c r="AO306" s="136" t="e">
        <f>LEFT(Data_Geotech[[#This Row],[Joint Set Rating]],FIND("-",Data_Geotech[[#This Row],[Joint Set Rating]],1)-2)</f>
        <v>#VALUE!</v>
      </c>
      <c r="AP30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6" s="143">
        <f t="shared" si="6"/>
        <v>1</v>
      </c>
      <c r="AR306" s="165" t="str">
        <f>IF(Data_Geotech[[#This Row],[FIRS Code]]="R",IFERROR((IF(Data_Geotech[[#This Row],[RQD (%)]]&lt;10,10,Data_Geotech[[#This Row],[RQD (%)]])/Data_Geotech[[#This Row],[Jn rating]])*Data_Geotech[[#This Row],[Jr/Ja]],""),"")</f>
        <v/>
      </c>
      <c r="AS306" s="138" t="str">
        <f>IF(Data_Geotech[[#This Row],[FIRS Code]]="R",IFERROR((IF(Data_Geotech[[#This Row],[RQD (%)]]&lt;10,10,Data_Geotech[[#This Row],[RQD (%)]])/Data_Geotech[[#This Row],[Jn rating]])*Data_Geotech[[#This Row],[Jr/Ja]]*Data_Geotech[[#This Row],[Jw/SRF]],""),"")</f>
        <v/>
      </c>
      <c r="AT306" s="12"/>
      <c r="AU306" s="13" t="e">
        <f>100-Data_Geotech[[#This Row],[RQD (%)]]</f>
        <v>#DIV/0!</v>
      </c>
      <c r="AV306" s="13" t="e">
        <f>100-Data_Geotech[[#This Row],[TCR (%)]]</f>
        <v>#DIV/0!</v>
      </c>
      <c r="AW306" s="62" t="e">
        <f>(Data_Geotech[[#This Row],[Fracture per interval]]+Data_Geotech[[#This Row],[Added fractures 
(BC, FLT, LC)]])/Data_Geotech[[#This Row],[TCR (m)]]</f>
        <v>#DIV/0!</v>
      </c>
      <c r="AX306" s="62" t="str">
        <f>MID(Data_Geotech[[#This Row],[Field Intact Rock Strength]],2,1)</f>
        <v/>
      </c>
      <c r="AY306" s="63" t="e">
        <f>7-MID(Data_Geotech[[#This Row],[Field Intact Rock Strength]],2,1)</f>
        <v>#VALUE!</v>
      </c>
      <c r="AZ306" s="63" t="e">
        <f>VLOOKUP(Data_Geotech[[#This Row],[Field Intact Rock Strength]],Table_FieldStrength[],2,FALSE)</f>
        <v>#N/A</v>
      </c>
      <c r="BA306" s="63" t="e">
        <f>VLOOKUP(Data_Geotech[[#This Row],[Field Intact Rock Strength]],Table_FieldStrength[],3,FALSE)</f>
        <v>#N/A</v>
      </c>
      <c r="BB306" s="63" t="e">
        <f>VLOOKUP(Data_Geotech[[#This Row],[Field Intact Rock Strength]],Table_FieldStrength[],4,FALSE)</f>
        <v>#N/A</v>
      </c>
      <c r="BC306" s="63" t="e">
        <f>100-Data_Geotech[[#This Row],[RMR76]]</f>
        <v>#VALUE!</v>
      </c>
      <c r="BD306" s="63" t="e">
        <f>LEFT(Data_Geotech[[#This Row],[Weathering/Alteration]],FIND("-",Data_Geotech[[#This Row],[Weathering/Alteration]])-2)</f>
        <v>#VALUE!</v>
      </c>
    </row>
    <row r="307" spans="1:56" hidden="1" x14ac:dyDescent="0.25">
      <c r="A307" s="14"/>
      <c r="B307" s="166" t="e">
        <f>VLOOKUP(Data_Geotech[[#This Row],[Hole ID]],Data_Log[],2,FALSE)</f>
        <v>#N/A</v>
      </c>
      <c r="C307" s="5"/>
      <c r="D307" s="5"/>
      <c r="E307" s="5">
        <f>(Data_Geotech[[#This Row],[To (m)]]-Data_Geotech[[#This Row],[From (m)]])/2+Data_Geotech[[#This Row],[From (m)]]</f>
        <v>0</v>
      </c>
      <c r="F307" s="13">
        <f>Data_Geotech[[#This Row],[To (m)]]-Data_Geotech[[#This Row],[From (m)]]</f>
        <v>0</v>
      </c>
      <c r="G307" s="5"/>
      <c r="H307" s="13" t="e">
        <f>Data_Geotech[[#This Row],[TCR (m)]]/Data_Geotech[[#This Row],[Run (m)]]*100</f>
        <v>#DIV/0!</v>
      </c>
      <c r="I307" s="5"/>
      <c r="J307" s="5"/>
      <c r="K307" s="5"/>
      <c r="L307" s="13" t="e">
        <f>Data_Geotech[[#This Row],[RQD (m)]]/Data_Geotech[[#This Row],[Run Reel (m)]]*100</f>
        <v>#DIV/0!</v>
      </c>
      <c r="P307" s="115"/>
      <c r="Q307" s="5"/>
      <c r="R307" s="5"/>
      <c r="S307" s="5"/>
      <c r="T307" s="5"/>
      <c r="U307" s="5"/>
      <c r="V307" s="6"/>
      <c r="W307" s="92">
        <f>SUMIFS(Discontinuities!$D$4:$D$9664,Discontinuities!$A$4:$A$9664,A307,Discontinuities!$C$4:$C$9664,"&gt;="&amp;C307,Discontinuities!$C$4:$C$9664,"&lt;"&amp;D307)
-SUMIFS(Discontinuities!$D$4:$D$9664,Discontinuities!$A$4:$A$9664,A307,Discontinuities!$C$4:$C$9664,"&gt;="&amp;C307,Discontinuities!$C$4:$C$9664,"&lt;"&amp;D307,Discontinuities!$E$4:$E$9664,"=BC")
-SUMIFS(Discontinuities!$D$4:$D$9664,Discontinuities!$A$4:$A$9664,A307,Discontinuities!$C$4:$C$9664,"&gt;="&amp;C307,Discontinuities!$C$4:$C$9664,"&lt;"&amp;D307,Discontinuities!$E$4:$E$9664,"=LC")
-SUMIFS(Discontinuities!$D$4:$D$9664,Discontinuities!$A$4:$A$9664,A307,Discontinuities!$C$4:$C$9664,"&gt;="&amp;C307,Discontinuities!$C$4:$C$9664,"&lt;"&amp;D307,Discontinuities!$E$4:$E$9664,"=FLT")</f>
        <v>0</v>
      </c>
      <c r="AA307" s="132"/>
      <c r="AB307" s="159">
        <f>IFERROR(ROUND((Data_Geotech[[#This Row],[Fault (m)]]+Data_Geotech[[#This Row],[Broken Core (m)]]+Data_Geotech[[#This Row],[Lost Core (m)]])*30,0),0)</f>
        <v>0</v>
      </c>
      <c r="AC307" s="135">
        <f>IF(Data_Geotech[[#This Row],[Added fractures 
(BC, FLT, LC)]]+Data_Geotech[[#This Row],[Fracture per interval]]=0,99,1/((Data_Geotech[[#This Row],[Fracture per interval]]+Data_Geotech[[#This Row],[Added fractures 
(BC, FLT, LC)]])/Data_Geotech[[#This Row],[Run (m)]]))</f>
        <v>99</v>
      </c>
      <c r="AD307" s="160" t="str" cm="1">
        <f t="array" ref="AD307">IFERROR(_xlfn.XLOOKUP(1,(A307=PLT!$A$4:$A$8886)*(Geotech!C307&lt;=PLT!$F$4:$F$8886)*(Geotech!D307&gt;=PLT!$F$4:$F$8886)*("Valid"=PLT!$P$4:$P$8886),PLT!$V$4:$V$8886),"")</f>
        <v/>
      </c>
      <c r="AE307" s="161" t="str" cm="1">
        <f t="array" ref="AE307">IFERROR(_xlfn.XLOOKUP(1,(A307=PLT!$A$4:$A$8886)*(Geotech!C307&lt;=PLT!$F$4:$F$8886)*(Geotech!D307&gt;=PLT!$F$4:$F$8886)*(PLT!$V$4:$V$8886&lt;&gt;AD307)*("Valid"=PLT!$P$4:$P$7190),PLT!$V$4:$V$8886),"")</f>
        <v/>
      </c>
      <c r="AF307" s="161" t="str" cm="1">
        <f t="array" ref="AF307">IFERROR(_xlfn.XLOOKUP(1,(A307=PLT!$A$4:$A$8886)*(Geotech!C307&lt;=PLT!$F$4:$F$8886)*(Geotech!D307&gt;=PLT!$F$4:$F$8886)*(PLT!$V$4:$V$8886&lt;&gt;AD307)*(PLT!$V$4:$V$8886&lt;&gt;AE307)*("Valid"=PLT!$P$4:$P$7190),PLT!$V$4:$V$8886),"")</f>
        <v/>
      </c>
      <c r="AG307" s="162" t="str">
        <f>IFERROR(IF(AVERAGE(AD307:AF307)&gt;References!$BO$23,References!$BP$23,
IF(AVERAGE(AD307:AF307)&gt;References!$BO$22,References!$BP$22,
IF(AVERAGE(AD307:AF307)&gt;References!$BO$21,References!$BP$21,
IF(AVERAGE(AD307:AF307)&gt;References!$BO$20,References!$BP$20,
IF(AVERAGE(AD307:AF307)&gt;References!$BO$19,References!$BP$19,
IF(AVERAGE(AD307:AF307)&gt;References!$BO$18,References!$BP$18,
0)))))),"")</f>
        <v/>
      </c>
      <c r="AH307" s="163" t="e">
        <f>VLOOKUP(Data_Geotech[[#This Row],[Field Intact Rock Strength]],Table_RMR76_Strength[],2,FALSE)</f>
        <v>#N/A</v>
      </c>
      <c r="AI307" s="163" t="e">
        <f>IF(Data_Geotech[[#This Row],[RQD (%)]]&lt;=25,3,IF(Data_Geotech[[#This Row],[RQD (%)]]&lt;=50,8,IF(Data_Geotech[[#This Row],[RQD (%)]]&lt;=75,13,IF(Data_Geotech[[#This Row],[RQD (%)]]&lt;=90,17,20))))</f>
        <v>#DIV/0!</v>
      </c>
      <c r="AJ307" s="136">
        <f>IF(Data_Geotech[[#This Row],[Joint spacing (m)]]&lt;=0.05,5,IF(Data_Geotech[[#This Row],[Joint spacing (m)]]&lt;=0.3,10,IF(Data_Geotech[[#This Row],[Joint spacing (m)]]&lt;=1,20,IF(Data_Geotech[[#This Row],[Joint spacing (m)]]&lt;=3,25,30))))</f>
        <v>30</v>
      </c>
      <c r="AK30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7" s="6"/>
      <c r="AM307" s="137" t="str">
        <f>IF(Data_Geotech[[#This Row],[FIRS Code]]="R",IFERROR(SUM(Data_Geotech[[#This Row],[RMR76 - Strength rating]:[RMR76 - Ground water rating]]),""),"")</f>
        <v/>
      </c>
      <c r="AN307" s="164" t="str">
        <f>IF(Data_Geotech[[#This Row],[FIRS Code]]="R",(2*Data_Geotech[[#This Row],[RMR76 - Joint condition rating]])+(IF(Data_Geotech[[#This Row],[RQD (%)]]&gt;80,80/2,Data_Geotech[[#This Row],[RQD (%)]]/2)),"")</f>
        <v/>
      </c>
      <c r="AO307" s="136" t="e">
        <f>LEFT(Data_Geotech[[#This Row],[Joint Set Rating]],FIND("-",Data_Geotech[[#This Row],[Joint Set Rating]],1)-2)</f>
        <v>#VALUE!</v>
      </c>
      <c r="AP30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7" s="143">
        <f t="shared" si="6"/>
        <v>1</v>
      </c>
      <c r="AR307" s="165" t="str">
        <f>IF(Data_Geotech[[#This Row],[FIRS Code]]="R",IFERROR((IF(Data_Geotech[[#This Row],[RQD (%)]]&lt;10,10,Data_Geotech[[#This Row],[RQD (%)]])/Data_Geotech[[#This Row],[Jn rating]])*Data_Geotech[[#This Row],[Jr/Ja]],""),"")</f>
        <v/>
      </c>
      <c r="AS307" s="138" t="str">
        <f>IF(Data_Geotech[[#This Row],[FIRS Code]]="R",IFERROR((IF(Data_Geotech[[#This Row],[RQD (%)]]&lt;10,10,Data_Geotech[[#This Row],[RQD (%)]])/Data_Geotech[[#This Row],[Jn rating]])*Data_Geotech[[#This Row],[Jr/Ja]]*Data_Geotech[[#This Row],[Jw/SRF]],""),"")</f>
        <v/>
      </c>
      <c r="AT307" s="12"/>
      <c r="AU307" s="13" t="e">
        <f>100-Data_Geotech[[#This Row],[RQD (%)]]</f>
        <v>#DIV/0!</v>
      </c>
      <c r="AV307" s="13" t="e">
        <f>100-Data_Geotech[[#This Row],[TCR (%)]]</f>
        <v>#DIV/0!</v>
      </c>
      <c r="AW307" s="62" t="e">
        <f>(Data_Geotech[[#This Row],[Fracture per interval]]+Data_Geotech[[#This Row],[Added fractures 
(BC, FLT, LC)]])/Data_Geotech[[#This Row],[TCR (m)]]</f>
        <v>#DIV/0!</v>
      </c>
      <c r="AX307" s="62" t="str">
        <f>MID(Data_Geotech[[#This Row],[Field Intact Rock Strength]],2,1)</f>
        <v/>
      </c>
      <c r="AY307" s="63" t="e">
        <f>7-MID(Data_Geotech[[#This Row],[Field Intact Rock Strength]],2,1)</f>
        <v>#VALUE!</v>
      </c>
      <c r="AZ307" s="63" t="e">
        <f>VLOOKUP(Data_Geotech[[#This Row],[Field Intact Rock Strength]],Table_FieldStrength[],2,FALSE)</f>
        <v>#N/A</v>
      </c>
      <c r="BA307" s="63" t="e">
        <f>VLOOKUP(Data_Geotech[[#This Row],[Field Intact Rock Strength]],Table_FieldStrength[],3,FALSE)</f>
        <v>#N/A</v>
      </c>
      <c r="BB307" s="63" t="e">
        <f>VLOOKUP(Data_Geotech[[#This Row],[Field Intact Rock Strength]],Table_FieldStrength[],4,FALSE)</f>
        <v>#N/A</v>
      </c>
      <c r="BC307" s="63" t="e">
        <f>100-Data_Geotech[[#This Row],[RMR76]]</f>
        <v>#VALUE!</v>
      </c>
      <c r="BD307" s="63" t="e">
        <f>LEFT(Data_Geotech[[#This Row],[Weathering/Alteration]],FIND("-",Data_Geotech[[#This Row],[Weathering/Alteration]])-2)</f>
        <v>#VALUE!</v>
      </c>
    </row>
    <row r="308" spans="1:56" hidden="1" x14ac:dyDescent="0.25">
      <c r="A308" s="14"/>
      <c r="B308" s="166" t="e">
        <f>VLOOKUP(Data_Geotech[[#This Row],[Hole ID]],Data_Log[],2,FALSE)</f>
        <v>#N/A</v>
      </c>
      <c r="C308" s="5"/>
      <c r="D308" s="5"/>
      <c r="E308" s="5">
        <f>(Data_Geotech[[#This Row],[To (m)]]-Data_Geotech[[#This Row],[From (m)]])/2+Data_Geotech[[#This Row],[From (m)]]</f>
        <v>0</v>
      </c>
      <c r="F308" s="13">
        <f>Data_Geotech[[#This Row],[To (m)]]-Data_Geotech[[#This Row],[From (m)]]</f>
        <v>0</v>
      </c>
      <c r="G308" s="5"/>
      <c r="H308" s="13" t="e">
        <f>Data_Geotech[[#This Row],[TCR (m)]]/Data_Geotech[[#This Row],[Run (m)]]*100</f>
        <v>#DIV/0!</v>
      </c>
      <c r="I308" s="5"/>
      <c r="J308" s="5"/>
      <c r="K308" s="5"/>
      <c r="L308" s="13" t="e">
        <f>Data_Geotech[[#This Row],[RQD (m)]]/Data_Geotech[[#This Row],[Run Reel (m)]]*100</f>
        <v>#DIV/0!</v>
      </c>
      <c r="P308" s="115"/>
      <c r="Q308" s="5"/>
      <c r="R308" s="5"/>
      <c r="S308" s="5"/>
      <c r="T308" s="5"/>
      <c r="U308" s="5"/>
      <c r="V308" s="6"/>
      <c r="W308" s="92">
        <f>SUMIFS(Discontinuities!$D$4:$D$9664,Discontinuities!$A$4:$A$9664,A308,Discontinuities!$C$4:$C$9664,"&gt;="&amp;C308,Discontinuities!$C$4:$C$9664,"&lt;"&amp;D308)
-SUMIFS(Discontinuities!$D$4:$D$9664,Discontinuities!$A$4:$A$9664,A308,Discontinuities!$C$4:$C$9664,"&gt;="&amp;C308,Discontinuities!$C$4:$C$9664,"&lt;"&amp;D308,Discontinuities!$E$4:$E$9664,"=BC")
-SUMIFS(Discontinuities!$D$4:$D$9664,Discontinuities!$A$4:$A$9664,A308,Discontinuities!$C$4:$C$9664,"&gt;="&amp;C308,Discontinuities!$C$4:$C$9664,"&lt;"&amp;D308,Discontinuities!$E$4:$E$9664,"=LC")
-SUMIFS(Discontinuities!$D$4:$D$9664,Discontinuities!$A$4:$A$9664,A308,Discontinuities!$C$4:$C$9664,"&gt;="&amp;C308,Discontinuities!$C$4:$C$9664,"&lt;"&amp;D308,Discontinuities!$E$4:$E$9664,"=FLT")</f>
        <v>0</v>
      </c>
      <c r="AA308" s="132"/>
      <c r="AB308" s="159">
        <f>IFERROR(ROUND((Data_Geotech[[#This Row],[Fault (m)]]+Data_Geotech[[#This Row],[Broken Core (m)]]+Data_Geotech[[#This Row],[Lost Core (m)]])*30,0),0)</f>
        <v>0</v>
      </c>
      <c r="AC308" s="135">
        <f>IF(Data_Geotech[[#This Row],[Added fractures 
(BC, FLT, LC)]]+Data_Geotech[[#This Row],[Fracture per interval]]=0,99,1/((Data_Geotech[[#This Row],[Fracture per interval]]+Data_Geotech[[#This Row],[Added fractures 
(BC, FLT, LC)]])/Data_Geotech[[#This Row],[Run (m)]]))</f>
        <v>99</v>
      </c>
      <c r="AD308" s="160" t="str" cm="1">
        <f t="array" ref="AD308">IFERROR(_xlfn.XLOOKUP(1,(A308=PLT!$A$4:$A$8886)*(Geotech!C308&lt;=PLT!$F$4:$F$8886)*(Geotech!D308&gt;=PLT!$F$4:$F$8886)*("Valid"=PLT!$P$4:$P$8886),PLT!$V$4:$V$8886),"")</f>
        <v/>
      </c>
      <c r="AE308" s="161" t="str" cm="1">
        <f t="array" ref="AE308">IFERROR(_xlfn.XLOOKUP(1,(A308=PLT!$A$4:$A$8886)*(Geotech!C308&lt;=PLT!$F$4:$F$8886)*(Geotech!D308&gt;=PLT!$F$4:$F$8886)*(PLT!$V$4:$V$8886&lt;&gt;AD308)*("Valid"=PLT!$P$4:$P$7190),PLT!$V$4:$V$8886),"")</f>
        <v/>
      </c>
      <c r="AF308" s="161" t="str" cm="1">
        <f t="array" ref="AF308">IFERROR(_xlfn.XLOOKUP(1,(A308=PLT!$A$4:$A$8886)*(Geotech!C308&lt;=PLT!$F$4:$F$8886)*(Geotech!D308&gt;=PLT!$F$4:$F$8886)*(PLT!$V$4:$V$8886&lt;&gt;AD308)*(PLT!$V$4:$V$8886&lt;&gt;AE308)*("Valid"=PLT!$P$4:$P$7190),PLT!$V$4:$V$8886),"")</f>
        <v/>
      </c>
      <c r="AG308" s="162" t="str">
        <f>IFERROR(IF(AVERAGE(AD308:AF308)&gt;References!$BO$23,References!$BP$23,
IF(AVERAGE(AD308:AF308)&gt;References!$BO$22,References!$BP$22,
IF(AVERAGE(AD308:AF308)&gt;References!$BO$21,References!$BP$21,
IF(AVERAGE(AD308:AF308)&gt;References!$BO$20,References!$BP$20,
IF(AVERAGE(AD308:AF308)&gt;References!$BO$19,References!$BP$19,
IF(AVERAGE(AD308:AF308)&gt;References!$BO$18,References!$BP$18,
0)))))),"")</f>
        <v/>
      </c>
      <c r="AH308" s="163" t="e">
        <f>VLOOKUP(Data_Geotech[[#This Row],[Field Intact Rock Strength]],Table_RMR76_Strength[],2,FALSE)</f>
        <v>#N/A</v>
      </c>
      <c r="AI308" s="163" t="e">
        <f>IF(Data_Geotech[[#This Row],[RQD (%)]]&lt;=25,3,IF(Data_Geotech[[#This Row],[RQD (%)]]&lt;=50,8,IF(Data_Geotech[[#This Row],[RQD (%)]]&lt;=75,13,IF(Data_Geotech[[#This Row],[RQD (%)]]&lt;=90,17,20))))</f>
        <v>#DIV/0!</v>
      </c>
      <c r="AJ308" s="136">
        <f>IF(Data_Geotech[[#This Row],[Joint spacing (m)]]&lt;=0.05,5,IF(Data_Geotech[[#This Row],[Joint spacing (m)]]&lt;=0.3,10,IF(Data_Geotech[[#This Row],[Joint spacing (m)]]&lt;=1,20,IF(Data_Geotech[[#This Row],[Joint spacing (m)]]&lt;=3,25,30))))</f>
        <v>30</v>
      </c>
      <c r="AK30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8" s="6"/>
      <c r="AM308" s="137" t="str">
        <f>IF(Data_Geotech[[#This Row],[FIRS Code]]="R",IFERROR(SUM(Data_Geotech[[#This Row],[RMR76 - Strength rating]:[RMR76 - Ground water rating]]),""),"")</f>
        <v/>
      </c>
      <c r="AN308" s="164" t="str">
        <f>IF(Data_Geotech[[#This Row],[FIRS Code]]="R",(2*Data_Geotech[[#This Row],[RMR76 - Joint condition rating]])+(IF(Data_Geotech[[#This Row],[RQD (%)]]&gt;80,80/2,Data_Geotech[[#This Row],[RQD (%)]]/2)),"")</f>
        <v/>
      </c>
      <c r="AO308" s="136" t="e">
        <f>LEFT(Data_Geotech[[#This Row],[Joint Set Rating]],FIND("-",Data_Geotech[[#This Row],[Joint Set Rating]],1)-2)</f>
        <v>#VALUE!</v>
      </c>
      <c r="AP30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8" s="143">
        <f t="shared" si="6"/>
        <v>1</v>
      </c>
      <c r="AR308" s="165" t="str">
        <f>IF(Data_Geotech[[#This Row],[FIRS Code]]="R",IFERROR((IF(Data_Geotech[[#This Row],[RQD (%)]]&lt;10,10,Data_Geotech[[#This Row],[RQD (%)]])/Data_Geotech[[#This Row],[Jn rating]])*Data_Geotech[[#This Row],[Jr/Ja]],""),"")</f>
        <v/>
      </c>
      <c r="AS308" s="138" t="str">
        <f>IF(Data_Geotech[[#This Row],[FIRS Code]]="R",IFERROR((IF(Data_Geotech[[#This Row],[RQD (%)]]&lt;10,10,Data_Geotech[[#This Row],[RQD (%)]])/Data_Geotech[[#This Row],[Jn rating]])*Data_Geotech[[#This Row],[Jr/Ja]]*Data_Geotech[[#This Row],[Jw/SRF]],""),"")</f>
        <v/>
      </c>
      <c r="AT308" s="12"/>
      <c r="AU308" s="13" t="e">
        <f>100-Data_Geotech[[#This Row],[RQD (%)]]</f>
        <v>#DIV/0!</v>
      </c>
      <c r="AV308" s="13" t="e">
        <f>100-Data_Geotech[[#This Row],[TCR (%)]]</f>
        <v>#DIV/0!</v>
      </c>
      <c r="AW308" s="62" t="e">
        <f>(Data_Geotech[[#This Row],[Fracture per interval]]+Data_Geotech[[#This Row],[Added fractures 
(BC, FLT, LC)]])/Data_Geotech[[#This Row],[TCR (m)]]</f>
        <v>#DIV/0!</v>
      </c>
      <c r="AX308" s="62" t="str">
        <f>MID(Data_Geotech[[#This Row],[Field Intact Rock Strength]],2,1)</f>
        <v/>
      </c>
      <c r="AY308" s="63" t="e">
        <f>7-MID(Data_Geotech[[#This Row],[Field Intact Rock Strength]],2,1)</f>
        <v>#VALUE!</v>
      </c>
      <c r="AZ308" s="63" t="e">
        <f>VLOOKUP(Data_Geotech[[#This Row],[Field Intact Rock Strength]],Table_FieldStrength[],2,FALSE)</f>
        <v>#N/A</v>
      </c>
      <c r="BA308" s="63" t="e">
        <f>VLOOKUP(Data_Geotech[[#This Row],[Field Intact Rock Strength]],Table_FieldStrength[],3,FALSE)</f>
        <v>#N/A</v>
      </c>
      <c r="BB308" s="63" t="e">
        <f>VLOOKUP(Data_Geotech[[#This Row],[Field Intact Rock Strength]],Table_FieldStrength[],4,FALSE)</f>
        <v>#N/A</v>
      </c>
      <c r="BC308" s="63" t="e">
        <f>100-Data_Geotech[[#This Row],[RMR76]]</f>
        <v>#VALUE!</v>
      </c>
      <c r="BD308" s="63" t="e">
        <f>LEFT(Data_Geotech[[#This Row],[Weathering/Alteration]],FIND("-",Data_Geotech[[#This Row],[Weathering/Alteration]])-2)</f>
        <v>#VALUE!</v>
      </c>
    </row>
    <row r="309" spans="1:56" hidden="1" x14ac:dyDescent="0.25">
      <c r="A309" s="14"/>
      <c r="B309" s="166" t="e">
        <f>VLOOKUP(Data_Geotech[[#This Row],[Hole ID]],Data_Log[],2,FALSE)</f>
        <v>#N/A</v>
      </c>
      <c r="C309" s="5"/>
      <c r="D309" s="5"/>
      <c r="E309" s="5">
        <f>(Data_Geotech[[#This Row],[To (m)]]-Data_Geotech[[#This Row],[From (m)]])/2+Data_Geotech[[#This Row],[From (m)]]</f>
        <v>0</v>
      </c>
      <c r="F309" s="13">
        <f>Data_Geotech[[#This Row],[To (m)]]-Data_Geotech[[#This Row],[From (m)]]</f>
        <v>0</v>
      </c>
      <c r="G309" s="5"/>
      <c r="H309" s="13" t="e">
        <f>Data_Geotech[[#This Row],[TCR (m)]]/Data_Geotech[[#This Row],[Run (m)]]*100</f>
        <v>#DIV/0!</v>
      </c>
      <c r="I309" s="5"/>
      <c r="J309" s="5"/>
      <c r="K309" s="5"/>
      <c r="L309" s="13" t="e">
        <f>Data_Geotech[[#This Row],[RQD (m)]]/Data_Geotech[[#This Row],[Run Reel (m)]]*100</f>
        <v>#DIV/0!</v>
      </c>
      <c r="P309" s="115"/>
      <c r="Q309" s="5"/>
      <c r="R309" s="5"/>
      <c r="S309" s="5"/>
      <c r="T309" s="5"/>
      <c r="U309" s="5"/>
      <c r="V309" s="6"/>
      <c r="W309" s="92">
        <f>SUMIFS(Discontinuities!$D$4:$D$9664,Discontinuities!$A$4:$A$9664,A309,Discontinuities!$C$4:$C$9664,"&gt;="&amp;C309,Discontinuities!$C$4:$C$9664,"&lt;"&amp;D309)
-SUMIFS(Discontinuities!$D$4:$D$9664,Discontinuities!$A$4:$A$9664,A309,Discontinuities!$C$4:$C$9664,"&gt;="&amp;C309,Discontinuities!$C$4:$C$9664,"&lt;"&amp;D309,Discontinuities!$E$4:$E$9664,"=BC")
-SUMIFS(Discontinuities!$D$4:$D$9664,Discontinuities!$A$4:$A$9664,A309,Discontinuities!$C$4:$C$9664,"&gt;="&amp;C309,Discontinuities!$C$4:$C$9664,"&lt;"&amp;D309,Discontinuities!$E$4:$E$9664,"=LC")
-SUMIFS(Discontinuities!$D$4:$D$9664,Discontinuities!$A$4:$A$9664,A309,Discontinuities!$C$4:$C$9664,"&gt;="&amp;C309,Discontinuities!$C$4:$C$9664,"&lt;"&amp;D309,Discontinuities!$E$4:$E$9664,"=FLT")</f>
        <v>0</v>
      </c>
      <c r="AA309" s="132"/>
      <c r="AB309" s="159">
        <f>IFERROR(ROUND((Data_Geotech[[#This Row],[Fault (m)]]+Data_Geotech[[#This Row],[Broken Core (m)]]+Data_Geotech[[#This Row],[Lost Core (m)]])*30,0),0)</f>
        <v>0</v>
      </c>
      <c r="AC309" s="135">
        <f>IF(Data_Geotech[[#This Row],[Added fractures 
(BC, FLT, LC)]]+Data_Geotech[[#This Row],[Fracture per interval]]=0,99,1/((Data_Geotech[[#This Row],[Fracture per interval]]+Data_Geotech[[#This Row],[Added fractures 
(BC, FLT, LC)]])/Data_Geotech[[#This Row],[Run (m)]]))</f>
        <v>99</v>
      </c>
      <c r="AD309" s="160" t="str" cm="1">
        <f t="array" ref="AD309">IFERROR(_xlfn.XLOOKUP(1,(A309=PLT!$A$4:$A$8886)*(Geotech!C309&lt;=PLT!$F$4:$F$8886)*(Geotech!D309&gt;=PLT!$F$4:$F$8886)*("Valid"=PLT!$P$4:$P$8886),PLT!$V$4:$V$8886),"")</f>
        <v/>
      </c>
      <c r="AE309" s="161" t="str" cm="1">
        <f t="array" ref="AE309">IFERROR(_xlfn.XLOOKUP(1,(A309=PLT!$A$4:$A$8886)*(Geotech!C309&lt;=PLT!$F$4:$F$8886)*(Geotech!D309&gt;=PLT!$F$4:$F$8886)*(PLT!$V$4:$V$8886&lt;&gt;AD309)*("Valid"=PLT!$P$4:$P$7190),PLT!$V$4:$V$8886),"")</f>
        <v/>
      </c>
      <c r="AF309" s="161" t="str" cm="1">
        <f t="array" ref="AF309">IFERROR(_xlfn.XLOOKUP(1,(A309=PLT!$A$4:$A$8886)*(Geotech!C309&lt;=PLT!$F$4:$F$8886)*(Geotech!D309&gt;=PLT!$F$4:$F$8886)*(PLT!$V$4:$V$8886&lt;&gt;AD309)*(PLT!$V$4:$V$8886&lt;&gt;AE309)*("Valid"=PLT!$P$4:$P$7190),PLT!$V$4:$V$8886),"")</f>
        <v/>
      </c>
      <c r="AG309" s="162" t="str">
        <f>IFERROR(IF(AVERAGE(AD309:AF309)&gt;References!$BO$23,References!$BP$23,
IF(AVERAGE(AD309:AF309)&gt;References!$BO$22,References!$BP$22,
IF(AVERAGE(AD309:AF309)&gt;References!$BO$21,References!$BP$21,
IF(AVERAGE(AD309:AF309)&gt;References!$BO$20,References!$BP$20,
IF(AVERAGE(AD309:AF309)&gt;References!$BO$19,References!$BP$19,
IF(AVERAGE(AD309:AF309)&gt;References!$BO$18,References!$BP$18,
0)))))),"")</f>
        <v/>
      </c>
      <c r="AH309" s="163" t="e">
        <f>VLOOKUP(Data_Geotech[[#This Row],[Field Intact Rock Strength]],Table_RMR76_Strength[],2,FALSE)</f>
        <v>#N/A</v>
      </c>
      <c r="AI309" s="163" t="e">
        <f>IF(Data_Geotech[[#This Row],[RQD (%)]]&lt;=25,3,IF(Data_Geotech[[#This Row],[RQD (%)]]&lt;=50,8,IF(Data_Geotech[[#This Row],[RQD (%)]]&lt;=75,13,IF(Data_Geotech[[#This Row],[RQD (%)]]&lt;=90,17,20))))</f>
        <v>#DIV/0!</v>
      </c>
      <c r="AJ309" s="136">
        <f>IF(Data_Geotech[[#This Row],[Joint spacing (m)]]&lt;=0.05,5,IF(Data_Geotech[[#This Row],[Joint spacing (m)]]&lt;=0.3,10,IF(Data_Geotech[[#This Row],[Joint spacing (m)]]&lt;=1,20,IF(Data_Geotech[[#This Row],[Joint spacing (m)]]&lt;=3,25,30))))</f>
        <v>30</v>
      </c>
      <c r="AK30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09" s="6"/>
      <c r="AM309" s="137" t="str">
        <f>IF(Data_Geotech[[#This Row],[FIRS Code]]="R",IFERROR(SUM(Data_Geotech[[#This Row],[RMR76 - Strength rating]:[RMR76 - Ground water rating]]),""),"")</f>
        <v/>
      </c>
      <c r="AN309" s="164" t="str">
        <f>IF(Data_Geotech[[#This Row],[FIRS Code]]="R",(2*Data_Geotech[[#This Row],[RMR76 - Joint condition rating]])+(IF(Data_Geotech[[#This Row],[RQD (%)]]&gt;80,80/2,Data_Geotech[[#This Row],[RQD (%)]]/2)),"")</f>
        <v/>
      </c>
      <c r="AO309" s="136" t="e">
        <f>LEFT(Data_Geotech[[#This Row],[Joint Set Rating]],FIND("-",Data_Geotech[[#This Row],[Joint Set Rating]],1)-2)</f>
        <v>#VALUE!</v>
      </c>
      <c r="AP30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09" s="143">
        <f t="shared" si="6"/>
        <v>1</v>
      </c>
      <c r="AR309" s="165" t="str">
        <f>IF(Data_Geotech[[#This Row],[FIRS Code]]="R",IFERROR((IF(Data_Geotech[[#This Row],[RQD (%)]]&lt;10,10,Data_Geotech[[#This Row],[RQD (%)]])/Data_Geotech[[#This Row],[Jn rating]])*Data_Geotech[[#This Row],[Jr/Ja]],""),"")</f>
        <v/>
      </c>
      <c r="AS309" s="138" t="str">
        <f>IF(Data_Geotech[[#This Row],[FIRS Code]]="R",IFERROR((IF(Data_Geotech[[#This Row],[RQD (%)]]&lt;10,10,Data_Geotech[[#This Row],[RQD (%)]])/Data_Geotech[[#This Row],[Jn rating]])*Data_Geotech[[#This Row],[Jr/Ja]]*Data_Geotech[[#This Row],[Jw/SRF]],""),"")</f>
        <v/>
      </c>
      <c r="AT309" s="12"/>
      <c r="AU309" s="13" t="e">
        <f>100-Data_Geotech[[#This Row],[RQD (%)]]</f>
        <v>#DIV/0!</v>
      </c>
      <c r="AV309" s="13" t="e">
        <f>100-Data_Geotech[[#This Row],[TCR (%)]]</f>
        <v>#DIV/0!</v>
      </c>
      <c r="AW309" s="62" t="e">
        <f>(Data_Geotech[[#This Row],[Fracture per interval]]+Data_Geotech[[#This Row],[Added fractures 
(BC, FLT, LC)]])/Data_Geotech[[#This Row],[TCR (m)]]</f>
        <v>#DIV/0!</v>
      </c>
      <c r="AX309" s="62" t="str">
        <f>MID(Data_Geotech[[#This Row],[Field Intact Rock Strength]],2,1)</f>
        <v/>
      </c>
      <c r="AY309" s="63" t="e">
        <f>7-MID(Data_Geotech[[#This Row],[Field Intact Rock Strength]],2,1)</f>
        <v>#VALUE!</v>
      </c>
      <c r="AZ309" s="63" t="e">
        <f>VLOOKUP(Data_Geotech[[#This Row],[Field Intact Rock Strength]],Table_FieldStrength[],2,FALSE)</f>
        <v>#N/A</v>
      </c>
      <c r="BA309" s="63" t="e">
        <f>VLOOKUP(Data_Geotech[[#This Row],[Field Intact Rock Strength]],Table_FieldStrength[],3,FALSE)</f>
        <v>#N/A</v>
      </c>
      <c r="BB309" s="63" t="e">
        <f>VLOOKUP(Data_Geotech[[#This Row],[Field Intact Rock Strength]],Table_FieldStrength[],4,FALSE)</f>
        <v>#N/A</v>
      </c>
      <c r="BC309" s="63" t="e">
        <f>100-Data_Geotech[[#This Row],[RMR76]]</f>
        <v>#VALUE!</v>
      </c>
      <c r="BD309" s="63" t="e">
        <f>LEFT(Data_Geotech[[#This Row],[Weathering/Alteration]],FIND("-",Data_Geotech[[#This Row],[Weathering/Alteration]])-2)</f>
        <v>#VALUE!</v>
      </c>
    </row>
    <row r="310" spans="1:56" hidden="1" x14ac:dyDescent="0.25">
      <c r="A310" s="14"/>
      <c r="B310" s="166" t="e">
        <f>VLOOKUP(Data_Geotech[[#This Row],[Hole ID]],Data_Log[],2,FALSE)</f>
        <v>#N/A</v>
      </c>
      <c r="C310" s="5"/>
      <c r="D310" s="5"/>
      <c r="E310" s="5">
        <f>(Data_Geotech[[#This Row],[To (m)]]-Data_Geotech[[#This Row],[From (m)]])/2+Data_Geotech[[#This Row],[From (m)]]</f>
        <v>0</v>
      </c>
      <c r="F310" s="13">
        <f>Data_Geotech[[#This Row],[To (m)]]-Data_Geotech[[#This Row],[From (m)]]</f>
        <v>0</v>
      </c>
      <c r="G310" s="5"/>
      <c r="H310" s="13" t="e">
        <f>Data_Geotech[[#This Row],[TCR (m)]]/Data_Geotech[[#This Row],[Run (m)]]*100</f>
        <v>#DIV/0!</v>
      </c>
      <c r="I310" s="5"/>
      <c r="J310" s="5"/>
      <c r="K310" s="5"/>
      <c r="L310" s="13" t="e">
        <f>Data_Geotech[[#This Row],[RQD (m)]]/Data_Geotech[[#This Row],[Run Reel (m)]]*100</f>
        <v>#DIV/0!</v>
      </c>
      <c r="P310" s="115"/>
      <c r="Q310" s="5"/>
      <c r="R310" s="5"/>
      <c r="S310" s="5"/>
      <c r="T310" s="5"/>
      <c r="U310" s="5"/>
      <c r="V310" s="6"/>
      <c r="W310" s="92">
        <f>SUMIFS(Discontinuities!$D$4:$D$9664,Discontinuities!$A$4:$A$9664,A310,Discontinuities!$C$4:$C$9664,"&gt;="&amp;C310,Discontinuities!$C$4:$C$9664,"&lt;"&amp;D310)
-SUMIFS(Discontinuities!$D$4:$D$9664,Discontinuities!$A$4:$A$9664,A310,Discontinuities!$C$4:$C$9664,"&gt;="&amp;C310,Discontinuities!$C$4:$C$9664,"&lt;"&amp;D310,Discontinuities!$E$4:$E$9664,"=BC")
-SUMIFS(Discontinuities!$D$4:$D$9664,Discontinuities!$A$4:$A$9664,A310,Discontinuities!$C$4:$C$9664,"&gt;="&amp;C310,Discontinuities!$C$4:$C$9664,"&lt;"&amp;D310,Discontinuities!$E$4:$E$9664,"=LC")
-SUMIFS(Discontinuities!$D$4:$D$9664,Discontinuities!$A$4:$A$9664,A310,Discontinuities!$C$4:$C$9664,"&gt;="&amp;C310,Discontinuities!$C$4:$C$9664,"&lt;"&amp;D310,Discontinuities!$E$4:$E$9664,"=FLT")</f>
        <v>0</v>
      </c>
      <c r="AA310" s="132"/>
      <c r="AB310" s="159">
        <f>IFERROR(ROUND((Data_Geotech[[#This Row],[Fault (m)]]+Data_Geotech[[#This Row],[Broken Core (m)]]+Data_Geotech[[#This Row],[Lost Core (m)]])*30,0),0)</f>
        <v>0</v>
      </c>
      <c r="AC310" s="135">
        <f>IF(Data_Geotech[[#This Row],[Added fractures 
(BC, FLT, LC)]]+Data_Geotech[[#This Row],[Fracture per interval]]=0,99,1/((Data_Geotech[[#This Row],[Fracture per interval]]+Data_Geotech[[#This Row],[Added fractures 
(BC, FLT, LC)]])/Data_Geotech[[#This Row],[Run (m)]]))</f>
        <v>99</v>
      </c>
      <c r="AD310" s="160" t="str" cm="1">
        <f t="array" ref="AD310">IFERROR(_xlfn.XLOOKUP(1,(A310=PLT!$A$4:$A$8886)*(Geotech!C310&lt;=PLT!$F$4:$F$8886)*(Geotech!D310&gt;=PLT!$F$4:$F$8886)*("Valid"=PLT!$P$4:$P$8886),PLT!$V$4:$V$8886),"")</f>
        <v/>
      </c>
      <c r="AE310" s="161" t="str" cm="1">
        <f t="array" ref="AE310">IFERROR(_xlfn.XLOOKUP(1,(A310=PLT!$A$4:$A$8886)*(Geotech!C310&lt;=PLT!$F$4:$F$8886)*(Geotech!D310&gt;=PLT!$F$4:$F$8886)*(PLT!$V$4:$V$8886&lt;&gt;AD310)*("Valid"=PLT!$P$4:$P$7190),PLT!$V$4:$V$8886),"")</f>
        <v/>
      </c>
      <c r="AF310" s="161" t="str" cm="1">
        <f t="array" ref="AF310">IFERROR(_xlfn.XLOOKUP(1,(A310=PLT!$A$4:$A$8886)*(Geotech!C310&lt;=PLT!$F$4:$F$8886)*(Geotech!D310&gt;=PLT!$F$4:$F$8886)*(PLT!$V$4:$V$8886&lt;&gt;AD310)*(PLT!$V$4:$V$8886&lt;&gt;AE310)*("Valid"=PLT!$P$4:$P$7190),PLT!$V$4:$V$8886),"")</f>
        <v/>
      </c>
      <c r="AG310" s="162" t="str">
        <f>IFERROR(IF(AVERAGE(AD310:AF310)&gt;References!$BO$23,References!$BP$23,
IF(AVERAGE(AD310:AF310)&gt;References!$BO$22,References!$BP$22,
IF(AVERAGE(AD310:AF310)&gt;References!$BO$21,References!$BP$21,
IF(AVERAGE(AD310:AF310)&gt;References!$BO$20,References!$BP$20,
IF(AVERAGE(AD310:AF310)&gt;References!$BO$19,References!$BP$19,
IF(AVERAGE(AD310:AF310)&gt;References!$BO$18,References!$BP$18,
0)))))),"")</f>
        <v/>
      </c>
      <c r="AH310" s="163" t="e">
        <f>VLOOKUP(Data_Geotech[[#This Row],[Field Intact Rock Strength]],Table_RMR76_Strength[],2,FALSE)</f>
        <v>#N/A</v>
      </c>
      <c r="AI310" s="163" t="e">
        <f>IF(Data_Geotech[[#This Row],[RQD (%)]]&lt;=25,3,IF(Data_Geotech[[#This Row],[RQD (%)]]&lt;=50,8,IF(Data_Geotech[[#This Row],[RQD (%)]]&lt;=75,13,IF(Data_Geotech[[#This Row],[RQD (%)]]&lt;=90,17,20))))</f>
        <v>#DIV/0!</v>
      </c>
      <c r="AJ310" s="136">
        <f>IF(Data_Geotech[[#This Row],[Joint spacing (m)]]&lt;=0.05,5,IF(Data_Geotech[[#This Row],[Joint spacing (m)]]&lt;=0.3,10,IF(Data_Geotech[[#This Row],[Joint spacing (m)]]&lt;=1,20,IF(Data_Geotech[[#This Row],[Joint spacing (m)]]&lt;=3,25,30))))</f>
        <v>30</v>
      </c>
      <c r="AK3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0" s="6"/>
      <c r="AM310" s="137" t="str">
        <f>IF(Data_Geotech[[#This Row],[FIRS Code]]="R",IFERROR(SUM(Data_Geotech[[#This Row],[RMR76 - Strength rating]:[RMR76 - Ground water rating]]),""),"")</f>
        <v/>
      </c>
      <c r="AN310" s="164" t="str">
        <f>IF(Data_Geotech[[#This Row],[FIRS Code]]="R",(2*Data_Geotech[[#This Row],[RMR76 - Joint condition rating]])+(IF(Data_Geotech[[#This Row],[RQD (%)]]&gt;80,80/2,Data_Geotech[[#This Row],[RQD (%)]]/2)),"")</f>
        <v/>
      </c>
      <c r="AO310" s="136" t="e">
        <f>LEFT(Data_Geotech[[#This Row],[Joint Set Rating]],FIND("-",Data_Geotech[[#This Row],[Joint Set Rating]],1)-2)</f>
        <v>#VALUE!</v>
      </c>
      <c r="AP3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0" s="143">
        <f t="shared" si="6"/>
        <v>1</v>
      </c>
      <c r="AR310" s="165" t="str">
        <f>IF(Data_Geotech[[#This Row],[FIRS Code]]="R",IFERROR((IF(Data_Geotech[[#This Row],[RQD (%)]]&lt;10,10,Data_Geotech[[#This Row],[RQD (%)]])/Data_Geotech[[#This Row],[Jn rating]])*Data_Geotech[[#This Row],[Jr/Ja]],""),"")</f>
        <v/>
      </c>
      <c r="AS310" s="138" t="str">
        <f>IF(Data_Geotech[[#This Row],[FIRS Code]]="R",IFERROR((IF(Data_Geotech[[#This Row],[RQD (%)]]&lt;10,10,Data_Geotech[[#This Row],[RQD (%)]])/Data_Geotech[[#This Row],[Jn rating]])*Data_Geotech[[#This Row],[Jr/Ja]]*Data_Geotech[[#This Row],[Jw/SRF]],""),"")</f>
        <v/>
      </c>
      <c r="AT310" s="12"/>
      <c r="AU310" s="13" t="e">
        <f>100-Data_Geotech[[#This Row],[RQD (%)]]</f>
        <v>#DIV/0!</v>
      </c>
      <c r="AV310" s="13" t="e">
        <f>100-Data_Geotech[[#This Row],[TCR (%)]]</f>
        <v>#DIV/0!</v>
      </c>
      <c r="AW310" s="62" t="e">
        <f>(Data_Geotech[[#This Row],[Fracture per interval]]+Data_Geotech[[#This Row],[Added fractures 
(BC, FLT, LC)]])/Data_Geotech[[#This Row],[TCR (m)]]</f>
        <v>#DIV/0!</v>
      </c>
      <c r="AX310" s="62" t="str">
        <f>MID(Data_Geotech[[#This Row],[Field Intact Rock Strength]],2,1)</f>
        <v/>
      </c>
      <c r="AY310" s="63" t="e">
        <f>7-MID(Data_Geotech[[#This Row],[Field Intact Rock Strength]],2,1)</f>
        <v>#VALUE!</v>
      </c>
      <c r="AZ310" s="63" t="e">
        <f>VLOOKUP(Data_Geotech[[#This Row],[Field Intact Rock Strength]],Table_FieldStrength[],2,FALSE)</f>
        <v>#N/A</v>
      </c>
      <c r="BA310" s="63" t="e">
        <f>VLOOKUP(Data_Geotech[[#This Row],[Field Intact Rock Strength]],Table_FieldStrength[],3,FALSE)</f>
        <v>#N/A</v>
      </c>
      <c r="BB310" s="63" t="e">
        <f>VLOOKUP(Data_Geotech[[#This Row],[Field Intact Rock Strength]],Table_FieldStrength[],4,FALSE)</f>
        <v>#N/A</v>
      </c>
      <c r="BC310" s="63" t="e">
        <f>100-Data_Geotech[[#This Row],[RMR76]]</f>
        <v>#VALUE!</v>
      </c>
      <c r="BD310" s="63" t="e">
        <f>LEFT(Data_Geotech[[#This Row],[Weathering/Alteration]],FIND("-",Data_Geotech[[#This Row],[Weathering/Alteration]])-2)</f>
        <v>#VALUE!</v>
      </c>
    </row>
    <row r="311" spans="1:56" hidden="1" x14ac:dyDescent="0.25">
      <c r="A311" s="14"/>
      <c r="B311" s="166" t="e">
        <f>VLOOKUP(Data_Geotech[[#This Row],[Hole ID]],Data_Log[],2,FALSE)</f>
        <v>#N/A</v>
      </c>
      <c r="C311" s="5"/>
      <c r="D311" s="5"/>
      <c r="E311" s="5">
        <f>(Data_Geotech[[#This Row],[To (m)]]-Data_Geotech[[#This Row],[From (m)]])/2+Data_Geotech[[#This Row],[From (m)]]</f>
        <v>0</v>
      </c>
      <c r="F311" s="13">
        <f>Data_Geotech[[#This Row],[To (m)]]-Data_Geotech[[#This Row],[From (m)]]</f>
        <v>0</v>
      </c>
      <c r="G311" s="5"/>
      <c r="H311" s="13" t="e">
        <f>Data_Geotech[[#This Row],[TCR (m)]]/Data_Geotech[[#This Row],[Run (m)]]*100</f>
        <v>#DIV/0!</v>
      </c>
      <c r="I311" s="5"/>
      <c r="J311" s="5"/>
      <c r="K311" s="5"/>
      <c r="L311" s="13" t="e">
        <f>Data_Geotech[[#This Row],[RQD (m)]]/Data_Geotech[[#This Row],[Run Reel (m)]]*100</f>
        <v>#DIV/0!</v>
      </c>
      <c r="P311" s="115"/>
      <c r="Q311" s="5"/>
      <c r="R311" s="5"/>
      <c r="S311" s="5"/>
      <c r="T311" s="5"/>
      <c r="U311" s="5"/>
      <c r="V311" s="6"/>
      <c r="W311" s="92">
        <f>SUMIFS(Discontinuities!$D$4:$D$9664,Discontinuities!$A$4:$A$9664,A311,Discontinuities!$C$4:$C$9664,"&gt;="&amp;C311,Discontinuities!$C$4:$C$9664,"&lt;"&amp;D311)
-SUMIFS(Discontinuities!$D$4:$D$9664,Discontinuities!$A$4:$A$9664,A311,Discontinuities!$C$4:$C$9664,"&gt;="&amp;C311,Discontinuities!$C$4:$C$9664,"&lt;"&amp;D311,Discontinuities!$E$4:$E$9664,"=BC")
-SUMIFS(Discontinuities!$D$4:$D$9664,Discontinuities!$A$4:$A$9664,A311,Discontinuities!$C$4:$C$9664,"&gt;="&amp;C311,Discontinuities!$C$4:$C$9664,"&lt;"&amp;D311,Discontinuities!$E$4:$E$9664,"=LC")
-SUMIFS(Discontinuities!$D$4:$D$9664,Discontinuities!$A$4:$A$9664,A311,Discontinuities!$C$4:$C$9664,"&gt;="&amp;C311,Discontinuities!$C$4:$C$9664,"&lt;"&amp;D311,Discontinuities!$E$4:$E$9664,"=FLT")</f>
        <v>0</v>
      </c>
      <c r="AA311" s="132"/>
      <c r="AB311" s="159">
        <f>IFERROR(ROUND((Data_Geotech[[#This Row],[Fault (m)]]+Data_Geotech[[#This Row],[Broken Core (m)]]+Data_Geotech[[#This Row],[Lost Core (m)]])*30,0),0)</f>
        <v>0</v>
      </c>
      <c r="AC311" s="135">
        <f>IF(Data_Geotech[[#This Row],[Added fractures 
(BC, FLT, LC)]]+Data_Geotech[[#This Row],[Fracture per interval]]=0,99,1/((Data_Geotech[[#This Row],[Fracture per interval]]+Data_Geotech[[#This Row],[Added fractures 
(BC, FLT, LC)]])/Data_Geotech[[#This Row],[Run (m)]]))</f>
        <v>99</v>
      </c>
      <c r="AD311" s="160" t="str" cm="1">
        <f t="array" ref="AD311">IFERROR(_xlfn.XLOOKUP(1,(A311=PLT!$A$4:$A$8886)*(Geotech!C311&lt;=PLT!$F$4:$F$8886)*(Geotech!D311&gt;=PLT!$F$4:$F$8886)*("Valid"=PLT!$P$4:$P$8886),PLT!$V$4:$V$8886),"")</f>
        <v/>
      </c>
      <c r="AE311" s="161" t="str" cm="1">
        <f t="array" ref="AE311">IFERROR(_xlfn.XLOOKUP(1,(A311=PLT!$A$4:$A$8886)*(Geotech!C311&lt;=PLT!$F$4:$F$8886)*(Geotech!D311&gt;=PLT!$F$4:$F$8886)*(PLT!$V$4:$V$8886&lt;&gt;AD311)*("Valid"=PLT!$P$4:$P$7190),PLT!$V$4:$V$8886),"")</f>
        <v/>
      </c>
      <c r="AF311" s="161" t="str" cm="1">
        <f t="array" ref="AF311">IFERROR(_xlfn.XLOOKUP(1,(A311=PLT!$A$4:$A$8886)*(Geotech!C311&lt;=PLT!$F$4:$F$8886)*(Geotech!D311&gt;=PLT!$F$4:$F$8886)*(PLT!$V$4:$V$8886&lt;&gt;AD311)*(PLT!$V$4:$V$8886&lt;&gt;AE311)*("Valid"=PLT!$P$4:$P$7190),PLT!$V$4:$V$8886),"")</f>
        <v/>
      </c>
      <c r="AG311" s="162" t="str">
        <f>IFERROR(IF(AVERAGE(AD311:AF311)&gt;References!$BO$23,References!$BP$23,
IF(AVERAGE(AD311:AF311)&gt;References!$BO$22,References!$BP$22,
IF(AVERAGE(AD311:AF311)&gt;References!$BO$21,References!$BP$21,
IF(AVERAGE(AD311:AF311)&gt;References!$BO$20,References!$BP$20,
IF(AVERAGE(AD311:AF311)&gt;References!$BO$19,References!$BP$19,
IF(AVERAGE(AD311:AF311)&gt;References!$BO$18,References!$BP$18,
0)))))),"")</f>
        <v/>
      </c>
      <c r="AH311" s="163" t="e">
        <f>VLOOKUP(Data_Geotech[[#This Row],[Field Intact Rock Strength]],Table_RMR76_Strength[],2,FALSE)</f>
        <v>#N/A</v>
      </c>
      <c r="AI311" s="163" t="e">
        <f>IF(Data_Geotech[[#This Row],[RQD (%)]]&lt;=25,3,IF(Data_Geotech[[#This Row],[RQD (%)]]&lt;=50,8,IF(Data_Geotech[[#This Row],[RQD (%)]]&lt;=75,13,IF(Data_Geotech[[#This Row],[RQD (%)]]&lt;=90,17,20))))</f>
        <v>#DIV/0!</v>
      </c>
      <c r="AJ311" s="136">
        <f>IF(Data_Geotech[[#This Row],[Joint spacing (m)]]&lt;=0.05,5,IF(Data_Geotech[[#This Row],[Joint spacing (m)]]&lt;=0.3,10,IF(Data_Geotech[[#This Row],[Joint spacing (m)]]&lt;=1,20,IF(Data_Geotech[[#This Row],[Joint spacing (m)]]&lt;=3,25,30))))</f>
        <v>30</v>
      </c>
      <c r="AK3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1" s="6"/>
      <c r="AM311" s="137" t="str">
        <f>IF(Data_Geotech[[#This Row],[FIRS Code]]="R",IFERROR(SUM(Data_Geotech[[#This Row],[RMR76 - Strength rating]:[RMR76 - Ground water rating]]),""),"")</f>
        <v/>
      </c>
      <c r="AN311" s="164" t="str">
        <f>IF(Data_Geotech[[#This Row],[FIRS Code]]="R",(2*Data_Geotech[[#This Row],[RMR76 - Joint condition rating]])+(IF(Data_Geotech[[#This Row],[RQD (%)]]&gt;80,80/2,Data_Geotech[[#This Row],[RQD (%)]]/2)),"")</f>
        <v/>
      </c>
      <c r="AO311" s="136" t="e">
        <f>LEFT(Data_Geotech[[#This Row],[Joint Set Rating]],FIND("-",Data_Geotech[[#This Row],[Joint Set Rating]],1)-2)</f>
        <v>#VALUE!</v>
      </c>
      <c r="AP3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1" s="143">
        <f t="shared" si="6"/>
        <v>1</v>
      </c>
      <c r="AR311" s="165" t="str">
        <f>IF(Data_Geotech[[#This Row],[FIRS Code]]="R",IFERROR((IF(Data_Geotech[[#This Row],[RQD (%)]]&lt;10,10,Data_Geotech[[#This Row],[RQD (%)]])/Data_Geotech[[#This Row],[Jn rating]])*Data_Geotech[[#This Row],[Jr/Ja]],""),"")</f>
        <v/>
      </c>
      <c r="AS311" s="138" t="str">
        <f>IF(Data_Geotech[[#This Row],[FIRS Code]]="R",IFERROR((IF(Data_Geotech[[#This Row],[RQD (%)]]&lt;10,10,Data_Geotech[[#This Row],[RQD (%)]])/Data_Geotech[[#This Row],[Jn rating]])*Data_Geotech[[#This Row],[Jr/Ja]]*Data_Geotech[[#This Row],[Jw/SRF]],""),"")</f>
        <v/>
      </c>
      <c r="AT311" s="12"/>
      <c r="AU311" s="13" t="e">
        <f>100-Data_Geotech[[#This Row],[RQD (%)]]</f>
        <v>#DIV/0!</v>
      </c>
      <c r="AV311" s="13" t="e">
        <f>100-Data_Geotech[[#This Row],[TCR (%)]]</f>
        <v>#DIV/0!</v>
      </c>
      <c r="AW311" s="62" t="e">
        <f>(Data_Geotech[[#This Row],[Fracture per interval]]+Data_Geotech[[#This Row],[Added fractures 
(BC, FLT, LC)]])/Data_Geotech[[#This Row],[TCR (m)]]</f>
        <v>#DIV/0!</v>
      </c>
      <c r="AX311" s="62" t="str">
        <f>MID(Data_Geotech[[#This Row],[Field Intact Rock Strength]],2,1)</f>
        <v/>
      </c>
      <c r="AY311" s="63" t="e">
        <f>7-MID(Data_Geotech[[#This Row],[Field Intact Rock Strength]],2,1)</f>
        <v>#VALUE!</v>
      </c>
      <c r="AZ311" s="63" t="e">
        <f>VLOOKUP(Data_Geotech[[#This Row],[Field Intact Rock Strength]],Table_FieldStrength[],2,FALSE)</f>
        <v>#N/A</v>
      </c>
      <c r="BA311" s="63" t="e">
        <f>VLOOKUP(Data_Geotech[[#This Row],[Field Intact Rock Strength]],Table_FieldStrength[],3,FALSE)</f>
        <v>#N/A</v>
      </c>
      <c r="BB311" s="63" t="e">
        <f>VLOOKUP(Data_Geotech[[#This Row],[Field Intact Rock Strength]],Table_FieldStrength[],4,FALSE)</f>
        <v>#N/A</v>
      </c>
      <c r="BC311" s="63" t="e">
        <f>100-Data_Geotech[[#This Row],[RMR76]]</f>
        <v>#VALUE!</v>
      </c>
      <c r="BD311" s="63" t="e">
        <f>LEFT(Data_Geotech[[#This Row],[Weathering/Alteration]],FIND("-",Data_Geotech[[#This Row],[Weathering/Alteration]])-2)</f>
        <v>#VALUE!</v>
      </c>
    </row>
    <row r="312" spans="1:56" hidden="1" x14ac:dyDescent="0.25">
      <c r="A312" s="14"/>
      <c r="B312" s="166" t="e">
        <f>VLOOKUP(Data_Geotech[[#This Row],[Hole ID]],Data_Log[],2,FALSE)</f>
        <v>#N/A</v>
      </c>
      <c r="C312" s="5"/>
      <c r="D312" s="5"/>
      <c r="E312" s="5">
        <f>(Data_Geotech[[#This Row],[To (m)]]-Data_Geotech[[#This Row],[From (m)]])/2+Data_Geotech[[#This Row],[From (m)]]</f>
        <v>0</v>
      </c>
      <c r="F312" s="13">
        <f>Data_Geotech[[#This Row],[To (m)]]-Data_Geotech[[#This Row],[From (m)]]</f>
        <v>0</v>
      </c>
      <c r="G312" s="5"/>
      <c r="H312" s="13" t="e">
        <f>Data_Geotech[[#This Row],[TCR (m)]]/Data_Geotech[[#This Row],[Run (m)]]*100</f>
        <v>#DIV/0!</v>
      </c>
      <c r="I312" s="5"/>
      <c r="J312" s="5"/>
      <c r="K312" s="5"/>
      <c r="L312" s="13" t="e">
        <f>Data_Geotech[[#This Row],[RQD (m)]]/Data_Geotech[[#This Row],[Run Reel (m)]]*100</f>
        <v>#DIV/0!</v>
      </c>
      <c r="P312" s="115"/>
      <c r="Q312" s="5"/>
      <c r="R312" s="5"/>
      <c r="S312" s="5"/>
      <c r="T312" s="5"/>
      <c r="U312" s="5"/>
      <c r="V312" s="6"/>
      <c r="W312" s="92">
        <f>SUMIFS(Discontinuities!$D$4:$D$9664,Discontinuities!$A$4:$A$9664,A312,Discontinuities!$C$4:$C$9664,"&gt;="&amp;C312,Discontinuities!$C$4:$C$9664,"&lt;"&amp;D312)
-SUMIFS(Discontinuities!$D$4:$D$9664,Discontinuities!$A$4:$A$9664,A312,Discontinuities!$C$4:$C$9664,"&gt;="&amp;C312,Discontinuities!$C$4:$C$9664,"&lt;"&amp;D312,Discontinuities!$E$4:$E$9664,"=BC")
-SUMIFS(Discontinuities!$D$4:$D$9664,Discontinuities!$A$4:$A$9664,A312,Discontinuities!$C$4:$C$9664,"&gt;="&amp;C312,Discontinuities!$C$4:$C$9664,"&lt;"&amp;D312,Discontinuities!$E$4:$E$9664,"=LC")
-SUMIFS(Discontinuities!$D$4:$D$9664,Discontinuities!$A$4:$A$9664,A312,Discontinuities!$C$4:$C$9664,"&gt;="&amp;C312,Discontinuities!$C$4:$C$9664,"&lt;"&amp;D312,Discontinuities!$E$4:$E$9664,"=FLT")</f>
        <v>0</v>
      </c>
      <c r="AA312" s="132"/>
      <c r="AB312" s="159">
        <f>IFERROR(ROUND((Data_Geotech[[#This Row],[Fault (m)]]+Data_Geotech[[#This Row],[Broken Core (m)]]+Data_Geotech[[#This Row],[Lost Core (m)]])*30,0),0)</f>
        <v>0</v>
      </c>
      <c r="AC312" s="135">
        <f>IF(Data_Geotech[[#This Row],[Added fractures 
(BC, FLT, LC)]]+Data_Geotech[[#This Row],[Fracture per interval]]=0,99,1/((Data_Geotech[[#This Row],[Fracture per interval]]+Data_Geotech[[#This Row],[Added fractures 
(BC, FLT, LC)]])/Data_Geotech[[#This Row],[Run (m)]]))</f>
        <v>99</v>
      </c>
      <c r="AD312" s="160" t="str" cm="1">
        <f t="array" ref="AD312">IFERROR(_xlfn.XLOOKUP(1,(A312=PLT!$A$4:$A$8886)*(Geotech!C312&lt;=PLT!$F$4:$F$8886)*(Geotech!D312&gt;=PLT!$F$4:$F$8886)*("Valid"=PLT!$P$4:$P$8886),PLT!$V$4:$V$8886),"")</f>
        <v/>
      </c>
      <c r="AE312" s="161" t="str" cm="1">
        <f t="array" ref="AE312">IFERROR(_xlfn.XLOOKUP(1,(A312=PLT!$A$4:$A$8886)*(Geotech!C312&lt;=PLT!$F$4:$F$8886)*(Geotech!D312&gt;=PLT!$F$4:$F$8886)*(PLT!$V$4:$V$8886&lt;&gt;AD312)*("Valid"=PLT!$P$4:$P$7190),PLT!$V$4:$V$8886),"")</f>
        <v/>
      </c>
      <c r="AF312" s="161" t="str" cm="1">
        <f t="array" ref="AF312">IFERROR(_xlfn.XLOOKUP(1,(A312=PLT!$A$4:$A$8886)*(Geotech!C312&lt;=PLT!$F$4:$F$8886)*(Geotech!D312&gt;=PLT!$F$4:$F$8886)*(PLT!$V$4:$V$8886&lt;&gt;AD312)*(PLT!$V$4:$V$8886&lt;&gt;AE312)*("Valid"=PLT!$P$4:$P$7190),PLT!$V$4:$V$8886),"")</f>
        <v/>
      </c>
      <c r="AG312" s="162" t="str">
        <f>IFERROR(IF(AVERAGE(AD312:AF312)&gt;References!$BO$23,References!$BP$23,
IF(AVERAGE(AD312:AF312)&gt;References!$BO$22,References!$BP$22,
IF(AVERAGE(AD312:AF312)&gt;References!$BO$21,References!$BP$21,
IF(AVERAGE(AD312:AF312)&gt;References!$BO$20,References!$BP$20,
IF(AVERAGE(AD312:AF312)&gt;References!$BO$19,References!$BP$19,
IF(AVERAGE(AD312:AF312)&gt;References!$BO$18,References!$BP$18,
0)))))),"")</f>
        <v/>
      </c>
      <c r="AH312" s="163" t="e">
        <f>VLOOKUP(Data_Geotech[[#This Row],[Field Intact Rock Strength]],Table_RMR76_Strength[],2,FALSE)</f>
        <v>#N/A</v>
      </c>
      <c r="AI312" s="163" t="e">
        <f>IF(Data_Geotech[[#This Row],[RQD (%)]]&lt;=25,3,IF(Data_Geotech[[#This Row],[RQD (%)]]&lt;=50,8,IF(Data_Geotech[[#This Row],[RQD (%)]]&lt;=75,13,IF(Data_Geotech[[#This Row],[RQD (%)]]&lt;=90,17,20))))</f>
        <v>#DIV/0!</v>
      </c>
      <c r="AJ312" s="136">
        <f>IF(Data_Geotech[[#This Row],[Joint spacing (m)]]&lt;=0.05,5,IF(Data_Geotech[[#This Row],[Joint spacing (m)]]&lt;=0.3,10,IF(Data_Geotech[[#This Row],[Joint spacing (m)]]&lt;=1,20,IF(Data_Geotech[[#This Row],[Joint spacing (m)]]&lt;=3,25,30))))</f>
        <v>30</v>
      </c>
      <c r="AK3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2" s="6"/>
      <c r="AM312" s="137" t="str">
        <f>IF(Data_Geotech[[#This Row],[FIRS Code]]="R",IFERROR(SUM(Data_Geotech[[#This Row],[RMR76 - Strength rating]:[RMR76 - Ground water rating]]),""),"")</f>
        <v/>
      </c>
      <c r="AN312" s="164" t="str">
        <f>IF(Data_Geotech[[#This Row],[FIRS Code]]="R",(2*Data_Geotech[[#This Row],[RMR76 - Joint condition rating]])+(IF(Data_Geotech[[#This Row],[RQD (%)]]&gt;80,80/2,Data_Geotech[[#This Row],[RQD (%)]]/2)),"")</f>
        <v/>
      </c>
      <c r="AO312" s="136" t="e">
        <f>LEFT(Data_Geotech[[#This Row],[Joint Set Rating]],FIND("-",Data_Geotech[[#This Row],[Joint Set Rating]],1)-2)</f>
        <v>#VALUE!</v>
      </c>
      <c r="AP3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2" s="143">
        <f t="shared" si="6"/>
        <v>1</v>
      </c>
      <c r="AR312" s="165" t="str">
        <f>IF(Data_Geotech[[#This Row],[FIRS Code]]="R",IFERROR((IF(Data_Geotech[[#This Row],[RQD (%)]]&lt;10,10,Data_Geotech[[#This Row],[RQD (%)]])/Data_Geotech[[#This Row],[Jn rating]])*Data_Geotech[[#This Row],[Jr/Ja]],""),"")</f>
        <v/>
      </c>
      <c r="AS312" s="138" t="str">
        <f>IF(Data_Geotech[[#This Row],[FIRS Code]]="R",IFERROR((IF(Data_Geotech[[#This Row],[RQD (%)]]&lt;10,10,Data_Geotech[[#This Row],[RQD (%)]])/Data_Geotech[[#This Row],[Jn rating]])*Data_Geotech[[#This Row],[Jr/Ja]]*Data_Geotech[[#This Row],[Jw/SRF]],""),"")</f>
        <v/>
      </c>
      <c r="AT312" s="12"/>
      <c r="AU312" s="13" t="e">
        <f>100-Data_Geotech[[#This Row],[RQD (%)]]</f>
        <v>#DIV/0!</v>
      </c>
      <c r="AV312" s="13" t="e">
        <f>100-Data_Geotech[[#This Row],[TCR (%)]]</f>
        <v>#DIV/0!</v>
      </c>
      <c r="AW312" s="62" t="e">
        <f>(Data_Geotech[[#This Row],[Fracture per interval]]+Data_Geotech[[#This Row],[Added fractures 
(BC, FLT, LC)]])/Data_Geotech[[#This Row],[TCR (m)]]</f>
        <v>#DIV/0!</v>
      </c>
      <c r="AX312" s="62" t="str">
        <f>MID(Data_Geotech[[#This Row],[Field Intact Rock Strength]],2,1)</f>
        <v/>
      </c>
      <c r="AY312" s="63" t="e">
        <f>7-MID(Data_Geotech[[#This Row],[Field Intact Rock Strength]],2,1)</f>
        <v>#VALUE!</v>
      </c>
      <c r="AZ312" s="63" t="e">
        <f>VLOOKUP(Data_Geotech[[#This Row],[Field Intact Rock Strength]],Table_FieldStrength[],2,FALSE)</f>
        <v>#N/A</v>
      </c>
      <c r="BA312" s="63" t="e">
        <f>VLOOKUP(Data_Geotech[[#This Row],[Field Intact Rock Strength]],Table_FieldStrength[],3,FALSE)</f>
        <v>#N/A</v>
      </c>
      <c r="BB312" s="63" t="e">
        <f>VLOOKUP(Data_Geotech[[#This Row],[Field Intact Rock Strength]],Table_FieldStrength[],4,FALSE)</f>
        <v>#N/A</v>
      </c>
      <c r="BC312" s="63" t="e">
        <f>100-Data_Geotech[[#This Row],[RMR76]]</f>
        <v>#VALUE!</v>
      </c>
      <c r="BD312" s="63" t="e">
        <f>LEFT(Data_Geotech[[#This Row],[Weathering/Alteration]],FIND("-",Data_Geotech[[#This Row],[Weathering/Alteration]])-2)</f>
        <v>#VALUE!</v>
      </c>
    </row>
    <row r="313" spans="1:56" hidden="1" x14ac:dyDescent="0.25">
      <c r="A313" s="14"/>
      <c r="B313" s="166" t="e">
        <f>VLOOKUP(Data_Geotech[[#This Row],[Hole ID]],Data_Log[],2,FALSE)</f>
        <v>#N/A</v>
      </c>
      <c r="C313" s="5"/>
      <c r="D313" s="5"/>
      <c r="E313" s="5">
        <f>(Data_Geotech[[#This Row],[To (m)]]-Data_Geotech[[#This Row],[From (m)]])/2+Data_Geotech[[#This Row],[From (m)]]</f>
        <v>0</v>
      </c>
      <c r="F313" s="13">
        <f>Data_Geotech[[#This Row],[To (m)]]-Data_Geotech[[#This Row],[From (m)]]</f>
        <v>0</v>
      </c>
      <c r="G313" s="5"/>
      <c r="H313" s="13" t="e">
        <f>Data_Geotech[[#This Row],[TCR (m)]]/Data_Geotech[[#This Row],[Run (m)]]*100</f>
        <v>#DIV/0!</v>
      </c>
      <c r="I313" s="5"/>
      <c r="J313" s="5"/>
      <c r="K313" s="5"/>
      <c r="L313" s="13" t="e">
        <f>Data_Geotech[[#This Row],[RQD (m)]]/Data_Geotech[[#This Row],[Run Reel (m)]]*100</f>
        <v>#DIV/0!</v>
      </c>
      <c r="P313" s="115"/>
      <c r="Q313" s="5"/>
      <c r="R313" s="5"/>
      <c r="S313" s="5"/>
      <c r="T313" s="5"/>
      <c r="U313" s="5"/>
      <c r="V313" s="6"/>
      <c r="W313" s="92">
        <f>SUMIFS(Discontinuities!$D$4:$D$9664,Discontinuities!$A$4:$A$9664,A313,Discontinuities!$C$4:$C$9664,"&gt;="&amp;C313,Discontinuities!$C$4:$C$9664,"&lt;"&amp;D313)
-SUMIFS(Discontinuities!$D$4:$D$9664,Discontinuities!$A$4:$A$9664,A313,Discontinuities!$C$4:$C$9664,"&gt;="&amp;C313,Discontinuities!$C$4:$C$9664,"&lt;"&amp;D313,Discontinuities!$E$4:$E$9664,"=BC")
-SUMIFS(Discontinuities!$D$4:$D$9664,Discontinuities!$A$4:$A$9664,A313,Discontinuities!$C$4:$C$9664,"&gt;="&amp;C313,Discontinuities!$C$4:$C$9664,"&lt;"&amp;D313,Discontinuities!$E$4:$E$9664,"=LC")
-SUMIFS(Discontinuities!$D$4:$D$9664,Discontinuities!$A$4:$A$9664,A313,Discontinuities!$C$4:$C$9664,"&gt;="&amp;C313,Discontinuities!$C$4:$C$9664,"&lt;"&amp;D313,Discontinuities!$E$4:$E$9664,"=FLT")</f>
        <v>0</v>
      </c>
      <c r="AA313" s="132"/>
      <c r="AB313" s="159">
        <f>IFERROR(ROUND((Data_Geotech[[#This Row],[Fault (m)]]+Data_Geotech[[#This Row],[Broken Core (m)]]+Data_Geotech[[#This Row],[Lost Core (m)]])*30,0),0)</f>
        <v>0</v>
      </c>
      <c r="AC313" s="135">
        <f>IF(Data_Geotech[[#This Row],[Added fractures 
(BC, FLT, LC)]]+Data_Geotech[[#This Row],[Fracture per interval]]=0,99,1/((Data_Geotech[[#This Row],[Fracture per interval]]+Data_Geotech[[#This Row],[Added fractures 
(BC, FLT, LC)]])/Data_Geotech[[#This Row],[Run (m)]]))</f>
        <v>99</v>
      </c>
      <c r="AD313" s="160" t="str" cm="1">
        <f t="array" ref="AD313">IFERROR(_xlfn.XLOOKUP(1,(A313=PLT!$A$4:$A$8886)*(Geotech!C313&lt;=PLT!$F$4:$F$8886)*(Geotech!D313&gt;=PLT!$F$4:$F$8886)*("Valid"=PLT!$P$4:$P$8886),PLT!$V$4:$V$8886),"")</f>
        <v/>
      </c>
      <c r="AE313" s="161" t="str" cm="1">
        <f t="array" ref="AE313">IFERROR(_xlfn.XLOOKUP(1,(A313=PLT!$A$4:$A$8886)*(Geotech!C313&lt;=PLT!$F$4:$F$8886)*(Geotech!D313&gt;=PLT!$F$4:$F$8886)*(PLT!$V$4:$V$8886&lt;&gt;AD313)*("Valid"=PLT!$P$4:$P$7190),PLT!$V$4:$V$8886),"")</f>
        <v/>
      </c>
      <c r="AF313" s="161" t="str" cm="1">
        <f t="array" ref="AF313">IFERROR(_xlfn.XLOOKUP(1,(A313=PLT!$A$4:$A$8886)*(Geotech!C313&lt;=PLT!$F$4:$F$8886)*(Geotech!D313&gt;=PLT!$F$4:$F$8886)*(PLT!$V$4:$V$8886&lt;&gt;AD313)*(PLT!$V$4:$V$8886&lt;&gt;AE313)*("Valid"=PLT!$P$4:$P$7190),PLT!$V$4:$V$8886),"")</f>
        <v/>
      </c>
      <c r="AG313" s="162" t="str">
        <f>IFERROR(IF(AVERAGE(AD313:AF313)&gt;References!$BO$23,References!$BP$23,
IF(AVERAGE(AD313:AF313)&gt;References!$BO$22,References!$BP$22,
IF(AVERAGE(AD313:AF313)&gt;References!$BO$21,References!$BP$21,
IF(AVERAGE(AD313:AF313)&gt;References!$BO$20,References!$BP$20,
IF(AVERAGE(AD313:AF313)&gt;References!$BO$19,References!$BP$19,
IF(AVERAGE(AD313:AF313)&gt;References!$BO$18,References!$BP$18,
0)))))),"")</f>
        <v/>
      </c>
      <c r="AH313" s="163" t="e">
        <f>VLOOKUP(Data_Geotech[[#This Row],[Field Intact Rock Strength]],Table_RMR76_Strength[],2,FALSE)</f>
        <v>#N/A</v>
      </c>
      <c r="AI313" s="163" t="e">
        <f>IF(Data_Geotech[[#This Row],[RQD (%)]]&lt;=25,3,IF(Data_Geotech[[#This Row],[RQD (%)]]&lt;=50,8,IF(Data_Geotech[[#This Row],[RQD (%)]]&lt;=75,13,IF(Data_Geotech[[#This Row],[RQD (%)]]&lt;=90,17,20))))</f>
        <v>#DIV/0!</v>
      </c>
      <c r="AJ313" s="136">
        <f>IF(Data_Geotech[[#This Row],[Joint spacing (m)]]&lt;=0.05,5,IF(Data_Geotech[[#This Row],[Joint spacing (m)]]&lt;=0.3,10,IF(Data_Geotech[[#This Row],[Joint spacing (m)]]&lt;=1,20,IF(Data_Geotech[[#This Row],[Joint spacing (m)]]&lt;=3,25,30))))</f>
        <v>30</v>
      </c>
      <c r="AK31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3" s="6"/>
      <c r="AM313" s="137" t="str">
        <f>IF(Data_Geotech[[#This Row],[FIRS Code]]="R",IFERROR(SUM(Data_Geotech[[#This Row],[RMR76 - Strength rating]:[RMR76 - Ground water rating]]),""),"")</f>
        <v/>
      </c>
      <c r="AN313" s="164" t="str">
        <f>IF(Data_Geotech[[#This Row],[FIRS Code]]="R",(2*Data_Geotech[[#This Row],[RMR76 - Joint condition rating]])+(IF(Data_Geotech[[#This Row],[RQD (%)]]&gt;80,80/2,Data_Geotech[[#This Row],[RQD (%)]]/2)),"")</f>
        <v/>
      </c>
      <c r="AO313" s="136" t="e">
        <f>LEFT(Data_Geotech[[#This Row],[Joint Set Rating]],FIND("-",Data_Geotech[[#This Row],[Joint Set Rating]],1)-2)</f>
        <v>#VALUE!</v>
      </c>
      <c r="AP31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3" s="143">
        <f t="shared" si="6"/>
        <v>1</v>
      </c>
      <c r="AR313" s="165" t="str">
        <f>IF(Data_Geotech[[#This Row],[FIRS Code]]="R",IFERROR((IF(Data_Geotech[[#This Row],[RQD (%)]]&lt;10,10,Data_Geotech[[#This Row],[RQD (%)]])/Data_Geotech[[#This Row],[Jn rating]])*Data_Geotech[[#This Row],[Jr/Ja]],""),"")</f>
        <v/>
      </c>
      <c r="AS313" s="138" t="str">
        <f>IF(Data_Geotech[[#This Row],[FIRS Code]]="R",IFERROR((IF(Data_Geotech[[#This Row],[RQD (%)]]&lt;10,10,Data_Geotech[[#This Row],[RQD (%)]])/Data_Geotech[[#This Row],[Jn rating]])*Data_Geotech[[#This Row],[Jr/Ja]]*Data_Geotech[[#This Row],[Jw/SRF]],""),"")</f>
        <v/>
      </c>
      <c r="AT313" s="12"/>
      <c r="AU313" s="13" t="e">
        <f>100-Data_Geotech[[#This Row],[RQD (%)]]</f>
        <v>#DIV/0!</v>
      </c>
      <c r="AV313" s="13" t="e">
        <f>100-Data_Geotech[[#This Row],[TCR (%)]]</f>
        <v>#DIV/0!</v>
      </c>
      <c r="AW313" s="62" t="e">
        <f>(Data_Geotech[[#This Row],[Fracture per interval]]+Data_Geotech[[#This Row],[Added fractures 
(BC, FLT, LC)]])/Data_Geotech[[#This Row],[TCR (m)]]</f>
        <v>#DIV/0!</v>
      </c>
      <c r="AX313" s="62" t="str">
        <f>MID(Data_Geotech[[#This Row],[Field Intact Rock Strength]],2,1)</f>
        <v/>
      </c>
      <c r="AY313" s="63" t="e">
        <f>7-MID(Data_Geotech[[#This Row],[Field Intact Rock Strength]],2,1)</f>
        <v>#VALUE!</v>
      </c>
      <c r="AZ313" s="63" t="e">
        <f>VLOOKUP(Data_Geotech[[#This Row],[Field Intact Rock Strength]],Table_FieldStrength[],2,FALSE)</f>
        <v>#N/A</v>
      </c>
      <c r="BA313" s="63" t="e">
        <f>VLOOKUP(Data_Geotech[[#This Row],[Field Intact Rock Strength]],Table_FieldStrength[],3,FALSE)</f>
        <v>#N/A</v>
      </c>
      <c r="BB313" s="63" t="e">
        <f>VLOOKUP(Data_Geotech[[#This Row],[Field Intact Rock Strength]],Table_FieldStrength[],4,FALSE)</f>
        <v>#N/A</v>
      </c>
      <c r="BC313" s="63" t="e">
        <f>100-Data_Geotech[[#This Row],[RMR76]]</f>
        <v>#VALUE!</v>
      </c>
      <c r="BD313" s="63" t="e">
        <f>LEFT(Data_Geotech[[#This Row],[Weathering/Alteration]],FIND("-",Data_Geotech[[#This Row],[Weathering/Alteration]])-2)</f>
        <v>#VALUE!</v>
      </c>
    </row>
    <row r="314" spans="1:56" hidden="1" x14ac:dyDescent="0.25">
      <c r="A314" s="14"/>
      <c r="B314" s="166" t="e">
        <f>VLOOKUP(Data_Geotech[[#This Row],[Hole ID]],Data_Log[],2,FALSE)</f>
        <v>#N/A</v>
      </c>
      <c r="C314" s="5"/>
      <c r="D314" s="5"/>
      <c r="E314" s="5">
        <f>(Data_Geotech[[#This Row],[To (m)]]-Data_Geotech[[#This Row],[From (m)]])/2+Data_Geotech[[#This Row],[From (m)]]</f>
        <v>0</v>
      </c>
      <c r="F314" s="13">
        <f>Data_Geotech[[#This Row],[To (m)]]-Data_Geotech[[#This Row],[From (m)]]</f>
        <v>0</v>
      </c>
      <c r="G314" s="5"/>
      <c r="H314" s="13" t="e">
        <f>Data_Geotech[[#This Row],[TCR (m)]]/Data_Geotech[[#This Row],[Run (m)]]*100</f>
        <v>#DIV/0!</v>
      </c>
      <c r="I314" s="5"/>
      <c r="J314" s="5"/>
      <c r="K314" s="5"/>
      <c r="L314" s="13" t="e">
        <f>Data_Geotech[[#This Row],[RQD (m)]]/Data_Geotech[[#This Row],[Run Reel (m)]]*100</f>
        <v>#DIV/0!</v>
      </c>
      <c r="P314" s="115"/>
      <c r="Q314" s="5"/>
      <c r="R314" s="5"/>
      <c r="S314" s="5"/>
      <c r="T314" s="5"/>
      <c r="U314" s="5"/>
      <c r="V314" s="6"/>
      <c r="W314" s="92">
        <f>SUMIFS(Discontinuities!$D$4:$D$9664,Discontinuities!$A$4:$A$9664,A314,Discontinuities!$C$4:$C$9664,"&gt;="&amp;C314,Discontinuities!$C$4:$C$9664,"&lt;"&amp;D314)
-SUMIFS(Discontinuities!$D$4:$D$9664,Discontinuities!$A$4:$A$9664,A314,Discontinuities!$C$4:$C$9664,"&gt;="&amp;C314,Discontinuities!$C$4:$C$9664,"&lt;"&amp;D314,Discontinuities!$E$4:$E$9664,"=BC")
-SUMIFS(Discontinuities!$D$4:$D$9664,Discontinuities!$A$4:$A$9664,A314,Discontinuities!$C$4:$C$9664,"&gt;="&amp;C314,Discontinuities!$C$4:$C$9664,"&lt;"&amp;D314,Discontinuities!$E$4:$E$9664,"=LC")
-SUMIFS(Discontinuities!$D$4:$D$9664,Discontinuities!$A$4:$A$9664,A314,Discontinuities!$C$4:$C$9664,"&gt;="&amp;C314,Discontinuities!$C$4:$C$9664,"&lt;"&amp;D314,Discontinuities!$E$4:$E$9664,"=FLT")</f>
        <v>0</v>
      </c>
      <c r="AA314" s="132"/>
      <c r="AB314" s="159">
        <f>IFERROR(ROUND((Data_Geotech[[#This Row],[Fault (m)]]+Data_Geotech[[#This Row],[Broken Core (m)]]+Data_Geotech[[#This Row],[Lost Core (m)]])*30,0),0)</f>
        <v>0</v>
      </c>
      <c r="AC314" s="135">
        <f>IF(Data_Geotech[[#This Row],[Added fractures 
(BC, FLT, LC)]]+Data_Geotech[[#This Row],[Fracture per interval]]=0,99,1/((Data_Geotech[[#This Row],[Fracture per interval]]+Data_Geotech[[#This Row],[Added fractures 
(BC, FLT, LC)]])/Data_Geotech[[#This Row],[Run (m)]]))</f>
        <v>99</v>
      </c>
      <c r="AD314" s="160" t="str" cm="1">
        <f t="array" ref="AD314">IFERROR(_xlfn.XLOOKUP(1,(A314=PLT!$A$4:$A$8886)*(Geotech!C314&lt;=PLT!$F$4:$F$8886)*(Geotech!D314&gt;=PLT!$F$4:$F$8886)*("Valid"=PLT!$P$4:$P$8886),PLT!$V$4:$V$8886),"")</f>
        <v/>
      </c>
      <c r="AE314" s="161" t="str" cm="1">
        <f t="array" ref="AE314">IFERROR(_xlfn.XLOOKUP(1,(A314=PLT!$A$4:$A$8886)*(Geotech!C314&lt;=PLT!$F$4:$F$8886)*(Geotech!D314&gt;=PLT!$F$4:$F$8886)*(PLT!$V$4:$V$8886&lt;&gt;AD314)*("Valid"=PLT!$P$4:$P$7190),PLT!$V$4:$V$8886),"")</f>
        <v/>
      </c>
      <c r="AF314" s="161" t="str" cm="1">
        <f t="array" ref="AF314">IFERROR(_xlfn.XLOOKUP(1,(A314=PLT!$A$4:$A$8886)*(Geotech!C314&lt;=PLT!$F$4:$F$8886)*(Geotech!D314&gt;=PLT!$F$4:$F$8886)*(PLT!$V$4:$V$8886&lt;&gt;AD314)*(PLT!$V$4:$V$8886&lt;&gt;AE314)*("Valid"=PLT!$P$4:$P$7190),PLT!$V$4:$V$8886),"")</f>
        <v/>
      </c>
      <c r="AG314" s="162" t="str">
        <f>IFERROR(IF(AVERAGE(AD314:AF314)&gt;References!$BO$23,References!$BP$23,
IF(AVERAGE(AD314:AF314)&gt;References!$BO$22,References!$BP$22,
IF(AVERAGE(AD314:AF314)&gt;References!$BO$21,References!$BP$21,
IF(AVERAGE(AD314:AF314)&gt;References!$BO$20,References!$BP$20,
IF(AVERAGE(AD314:AF314)&gt;References!$BO$19,References!$BP$19,
IF(AVERAGE(AD314:AF314)&gt;References!$BO$18,References!$BP$18,
0)))))),"")</f>
        <v/>
      </c>
      <c r="AH314" s="163" t="e">
        <f>VLOOKUP(Data_Geotech[[#This Row],[Field Intact Rock Strength]],Table_RMR76_Strength[],2,FALSE)</f>
        <v>#N/A</v>
      </c>
      <c r="AI314" s="163" t="e">
        <f>IF(Data_Geotech[[#This Row],[RQD (%)]]&lt;=25,3,IF(Data_Geotech[[#This Row],[RQD (%)]]&lt;=50,8,IF(Data_Geotech[[#This Row],[RQD (%)]]&lt;=75,13,IF(Data_Geotech[[#This Row],[RQD (%)]]&lt;=90,17,20))))</f>
        <v>#DIV/0!</v>
      </c>
      <c r="AJ314" s="136">
        <f>IF(Data_Geotech[[#This Row],[Joint spacing (m)]]&lt;=0.05,5,IF(Data_Geotech[[#This Row],[Joint spacing (m)]]&lt;=0.3,10,IF(Data_Geotech[[#This Row],[Joint spacing (m)]]&lt;=1,20,IF(Data_Geotech[[#This Row],[Joint spacing (m)]]&lt;=3,25,30))))</f>
        <v>30</v>
      </c>
      <c r="AK3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4" s="6"/>
      <c r="AM314" s="137" t="str">
        <f>IF(Data_Geotech[[#This Row],[FIRS Code]]="R",IFERROR(SUM(Data_Geotech[[#This Row],[RMR76 - Strength rating]:[RMR76 - Ground water rating]]),""),"")</f>
        <v/>
      </c>
      <c r="AN314" s="164" t="str">
        <f>IF(Data_Geotech[[#This Row],[FIRS Code]]="R",(2*Data_Geotech[[#This Row],[RMR76 - Joint condition rating]])+(IF(Data_Geotech[[#This Row],[RQD (%)]]&gt;80,80/2,Data_Geotech[[#This Row],[RQD (%)]]/2)),"")</f>
        <v/>
      </c>
      <c r="AO314" s="136" t="e">
        <f>LEFT(Data_Geotech[[#This Row],[Joint Set Rating]],FIND("-",Data_Geotech[[#This Row],[Joint Set Rating]],1)-2)</f>
        <v>#VALUE!</v>
      </c>
      <c r="AP3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4" s="143">
        <f t="shared" si="6"/>
        <v>1</v>
      </c>
      <c r="AR314" s="165" t="str">
        <f>IF(Data_Geotech[[#This Row],[FIRS Code]]="R",IFERROR((IF(Data_Geotech[[#This Row],[RQD (%)]]&lt;10,10,Data_Geotech[[#This Row],[RQD (%)]])/Data_Geotech[[#This Row],[Jn rating]])*Data_Geotech[[#This Row],[Jr/Ja]],""),"")</f>
        <v/>
      </c>
      <c r="AS314" s="138" t="str">
        <f>IF(Data_Geotech[[#This Row],[FIRS Code]]="R",IFERROR((IF(Data_Geotech[[#This Row],[RQD (%)]]&lt;10,10,Data_Geotech[[#This Row],[RQD (%)]])/Data_Geotech[[#This Row],[Jn rating]])*Data_Geotech[[#This Row],[Jr/Ja]]*Data_Geotech[[#This Row],[Jw/SRF]],""),"")</f>
        <v/>
      </c>
      <c r="AT314" s="12"/>
      <c r="AU314" s="13" t="e">
        <f>100-Data_Geotech[[#This Row],[RQD (%)]]</f>
        <v>#DIV/0!</v>
      </c>
      <c r="AV314" s="13" t="e">
        <f>100-Data_Geotech[[#This Row],[TCR (%)]]</f>
        <v>#DIV/0!</v>
      </c>
      <c r="AW314" s="62" t="e">
        <f>(Data_Geotech[[#This Row],[Fracture per interval]]+Data_Geotech[[#This Row],[Added fractures 
(BC, FLT, LC)]])/Data_Geotech[[#This Row],[TCR (m)]]</f>
        <v>#DIV/0!</v>
      </c>
      <c r="AX314" s="62" t="str">
        <f>MID(Data_Geotech[[#This Row],[Field Intact Rock Strength]],2,1)</f>
        <v/>
      </c>
      <c r="AY314" s="63" t="e">
        <f>7-MID(Data_Geotech[[#This Row],[Field Intact Rock Strength]],2,1)</f>
        <v>#VALUE!</v>
      </c>
      <c r="AZ314" s="63" t="e">
        <f>VLOOKUP(Data_Geotech[[#This Row],[Field Intact Rock Strength]],Table_FieldStrength[],2,FALSE)</f>
        <v>#N/A</v>
      </c>
      <c r="BA314" s="63" t="e">
        <f>VLOOKUP(Data_Geotech[[#This Row],[Field Intact Rock Strength]],Table_FieldStrength[],3,FALSE)</f>
        <v>#N/A</v>
      </c>
      <c r="BB314" s="63" t="e">
        <f>VLOOKUP(Data_Geotech[[#This Row],[Field Intact Rock Strength]],Table_FieldStrength[],4,FALSE)</f>
        <v>#N/A</v>
      </c>
      <c r="BC314" s="63" t="e">
        <f>100-Data_Geotech[[#This Row],[RMR76]]</f>
        <v>#VALUE!</v>
      </c>
      <c r="BD314" s="63" t="e">
        <f>LEFT(Data_Geotech[[#This Row],[Weathering/Alteration]],FIND("-",Data_Geotech[[#This Row],[Weathering/Alteration]])-2)</f>
        <v>#VALUE!</v>
      </c>
    </row>
    <row r="315" spans="1:56" hidden="1" x14ac:dyDescent="0.25">
      <c r="A315" s="14"/>
      <c r="B315" s="166" t="e">
        <f>VLOOKUP(Data_Geotech[[#This Row],[Hole ID]],Data_Log[],2,FALSE)</f>
        <v>#N/A</v>
      </c>
      <c r="C315" s="5"/>
      <c r="D315" s="5"/>
      <c r="E315" s="5">
        <f>(Data_Geotech[[#This Row],[To (m)]]-Data_Geotech[[#This Row],[From (m)]])/2+Data_Geotech[[#This Row],[From (m)]]</f>
        <v>0</v>
      </c>
      <c r="F315" s="13">
        <f>Data_Geotech[[#This Row],[To (m)]]-Data_Geotech[[#This Row],[From (m)]]</f>
        <v>0</v>
      </c>
      <c r="G315" s="5"/>
      <c r="H315" s="13" t="e">
        <f>Data_Geotech[[#This Row],[TCR (m)]]/Data_Geotech[[#This Row],[Run (m)]]*100</f>
        <v>#DIV/0!</v>
      </c>
      <c r="I315" s="5"/>
      <c r="J315" s="5"/>
      <c r="K315" s="5"/>
      <c r="L315" s="13" t="e">
        <f>Data_Geotech[[#This Row],[RQD (m)]]/Data_Geotech[[#This Row],[Run Reel (m)]]*100</f>
        <v>#DIV/0!</v>
      </c>
      <c r="P315" s="115"/>
      <c r="Q315" s="5"/>
      <c r="R315" s="5"/>
      <c r="S315" s="5"/>
      <c r="T315" s="5"/>
      <c r="U315" s="5"/>
      <c r="V315" s="6"/>
      <c r="W315" s="92">
        <f>SUMIFS(Discontinuities!$D$4:$D$9664,Discontinuities!$A$4:$A$9664,A315,Discontinuities!$C$4:$C$9664,"&gt;="&amp;C315,Discontinuities!$C$4:$C$9664,"&lt;"&amp;D315)
-SUMIFS(Discontinuities!$D$4:$D$9664,Discontinuities!$A$4:$A$9664,A315,Discontinuities!$C$4:$C$9664,"&gt;="&amp;C315,Discontinuities!$C$4:$C$9664,"&lt;"&amp;D315,Discontinuities!$E$4:$E$9664,"=BC")
-SUMIFS(Discontinuities!$D$4:$D$9664,Discontinuities!$A$4:$A$9664,A315,Discontinuities!$C$4:$C$9664,"&gt;="&amp;C315,Discontinuities!$C$4:$C$9664,"&lt;"&amp;D315,Discontinuities!$E$4:$E$9664,"=LC")
-SUMIFS(Discontinuities!$D$4:$D$9664,Discontinuities!$A$4:$A$9664,A315,Discontinuities!$C$4:$C$9664,"&gt;="&amp;C315,Discontinuities!$C$4:$C$9664,"&lt;"&amp;D315,Discontinuities!$E$4:$E$9664,"=FLT")</f>
        <v>0</v>
      </c>
      <c r="AA315" s="132"/>
      <c r="AB315" s="159">
        <f>IFERROR(ROUND((Data_Geotech[[#This Row],[Fault (m)]]+Data_Geotech[[#This Row],[Broken Core (m)]]+Data_Geotech[[#This Row],[Lost Core (m)]])*30,0),0)</f>
        <v>0</v>
      </c>
      <c r="AC315" s="135">
        <f>IF(Data_Geotech[[#This Row],[Added fractures 
(BC, FLT, LC)]]+Data_Geotech[[#This Row],[Fracture per interval]]=0,99,1/((Data_Geotech[[#This Row],[Fracture per interval]]+Data_Geotech[[#This Row],[Added fractures 
(BC, FLT, LC)]])/Data_Geotech[[#This Row],[Run (m)]]))</f>
        <v>99</v>
      </c>
      <c r="AD315" s="160" t="str" cm="1">
        <f t="array" ref="AD315">IFERROR(_xlfn.XLOOKUP(1,(A315=PLT!$A$4:$A$8886)*(Geotech!C315&lt;=PLT!$F$4:$F$8886)*(Geotech!D315&gt;=PLT!$F$4:$F$8886)*("Valid"=PLT!$P$4:$P$8886),PLT!$V$4:$V$8886),"")</f>
        <v/>
      </c>
      <c r="AE315" s="161" t="str" cm="1">
        <f t="array" ref="AE315">IFERROR(_xlfn.XLOOKUP(1,(A315=PLT!$A$4:$A$8886)*(Geotech!C315&lt;=PLT!$F$4:$F$8886)*(Geotech!D315&gt;=PLT!$F$4:$F$8886)*(PLT!$V$4:$V$8886&lt;&gt;AD315)*("Valid"=PLT!$P$4:$P$7190),PLT!$V$4:$V$8886),"")</f>
        <v/>
      </c>
      <c r="AF315" s="161" t="str" cm="1">
        <f t="array" ref="AF315">IFERROR(_xlfn.XLOOKUP(1,(A315=PLT!$A$4:$A$8886)*(Geotech!C315&lt;=PLT!$F$4:$F$8886)*(Geotech!D315&gt;=PLT!$F$4:$F$8886)*(PLT!$V$4:$V$8886&lt;&gt;AD315)*(PLT!$V$4:$V$8886&lt;&gt;AE315)*("Valid"=PLT!$P$4:$P$7190),PLT!$V$4:$V$8886),"")</f>
        <v/>
      </c>
      <c r="AG315" s="162" t="str">
        <f>IFERROR(IF(AVERAGE(AD315:AF315)&gt;References!$BO$23,References!$BP$23,
IF(AVERAGE(AD315:AF315)&gt;References!$BO$22,References!$BP$22,
IF(AVERAGE(AD315:AF315)&gt;References!$BO$21,References!$BP$21,
IF(AVERAGE(AD315:AF315)&gt;References!$BO$20,References!$BP$20,
IF(AVERAGE(AD315:AF315)&gt;References!$BO$19,References!$BP$19,
IF(AVERAGE(AD315:AF315)&gt;References!$BO$18,References!$BP$18,
0)))))),"")</f>
        <v/>
      </c>
      <c r="AH315" s="163" t="e">
        <f>VLOOKUP(Data_Geotech[[#This Row],[Field Intact Rock Strength]],Table_RMR76_Strength[],2,FALSE)</f>
        <v>#N/A</v>
      </c>
      <c r="AI315" s="163" t="e">
        <f>IF(Data_Geotech[[#This Row],[RQD (%)]]&lt;=25,3,IF(Data_Geotech[[#This Row],[RQD (%)]]&lt;=50,8,IF(Data_Geotech[[#This Row],[RQD (%)]]&lt;=75,13,IF(Data_Geotech[[#This Row],[RQD (%)]]&lt;=90,17,20))))</f>
        <v>#DIV/0!</v>
      </c>
      <c r="AJ315" s="136">
        <f>IF(Data_Geotech[[#This Row],[Joint spacing (m)]]&lt;=0.05,5,IF(Data_Geotech[[#This Row],[Joint spacing (m)]]&lt;=0.3,10,IF(Data_Geotech[[#This Row],[Joint spacing (m)]]&lt;=1,20,IF(Data_Geotech[[#This Row],[Joint spacing (m)]]&lt;=3,25,30))))</f>
        <v>30</v>
      </c>
      <c r="AK3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5" s="6"/>
      <c r="AM315" s="137" t="str">
        <f>IF(Data_Geotech[[#This Row],[FIRS Code]]="R",IFERROR(SUM(Data_Geotech[[#This Row],[RMR76 - Strength rating]:[RMR76 - Ground water rating]]),""),"")</f>
        <v/>
      </c>
      <c r="AN315" s="164" t="str">
        <f>IF(Data_Geotech[[#This Row],[FIRS Code]]="R",(2*Data_Geotech[[#This Row],[RMR76 - Joint condition rating]])+(IF(Data_Geotech[[#This Row],[RQD (%)]]&gt;80,80/2,Data_Geotech[[#This Row],[RQD (%)]]/2)),"")</f>
        <v/>
      </c>
      <c r="AO315" s="136" t="e">
        <f>LEFT(Data_Geotech[[#This Row],[Joint Set Rating]],FIND("-",Data_Geotech[[#This Row],[Joint Set Rating]],1)-2)</f>
        <v>#VALUE!</v>
      </c>
      <c r="AP3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5" s="143">
        <f t="shared" si="6"/>
        <v>1</v>
      </c>
      <c r="AR315" s="165" t="str">
        <f>IF(Data_Geotech[[#This Row],[FIRS Code]]="R",IFERROR((IF(Data_Geotech[[#This Row],[RQD (%)]]&lt;10,10,Data_Geotech[[#This Row],[RQD (%)]])/Data_Geotech[[#This Row],[Jn rating]])*Data_Geotech[[#This Row],[Jr/Ja]],""),"")</f>
        <v/>
      </c>
      <c r="AS315" s="138" t="str">
        <f>IF(Data_Geotech[[#This Row],[FIRS Code]]="R",IFERROR((IF(Data_Geotech[[#This Row],[RQD (%)]]&lt;10,10,Data_Geotech[[#This Row],[RQD (%)]])/Data_Geotech[[#This Row],[Jn rating]])*Data_Geotech[[#This Row],[Jr/Ja]]*Data_Geotech[[#This Row],[Jw/SRF]],""),"")</f>
        <v/>
      </c>
      <c r="AT315" s="12"/>
      <c r="AU315" s="13" t="e">
        <f>100-Data_Geotech[[#This Row],[RQD (%)]]</f>
        <v>#DIV/0!</v>
      </c>
      <c r="AV315" s="13" t="e">
        <f>100-Data_Geotech[[#This Row],[TCR (%)]]</f>
        <v>#DIV/0!</v>
      </c>
      <c r="AW315" s="62" t="e">
        <f>(Data_Geotech[[#This Row],[Fracture per interval]]+Data_Geotech[[#This Row],[Added fractures 
(BC, FLT, LC)]])/Data_Geotech[[#This Row],[TCR (m)]]</f>
        <v>#DIV/0!</v>
      </c>
      <c r="AX315" s="62" t="str">
        <f>MID(Data_Geotech[[#This Row],[Field Intact Rock Strength]],2,1)</f>
        <v/>
      </c>
      <c r="AY315" s="63" t="e">
        <f>7-MID(Data_Geotech[[#This Row],[Field Intact Rock Strength]],2,1)</f>
        <v>#VALUE!</v>
      </c>
      <c r="AZ315" s="63" t="e">
        <f>VLOOKUP(Data_Geotech[[#This Row],[Field Intact Rock Strength]],Table_FieldStrength[],2,FALSE)</f>
        <v>#N/A</v>
      </c>
      <c r="BA315" s="63" t="e">
        <f>VLOOKUP(Data_Geotech[[#This Row],[Field Intact Rock Strength]],Table_FieldStrength[],3,FALSE)</f>
        <v>#N/A</v>
      </c>
      <c r="BB315" s="63" t="e">
        <f>VLOOKUP(Data_Geotech[[#This Row],[Field Intact Rock Strength]],Table_FieldStrength[],4,FALSE)</f>
        <v>#N/A</v>
      </c>
      <c r="BC315" s="63" t="e">
        <f>100-Data_Geotech[[#This Row],[RMR76]]</f>
        <v>#VALUE!</v>
      </c>
      <c r="BD315" s="63" t="e">
        <f>LEFT(Data_Geotech[[#This Row],[Weathering/Alteration]],FIND("-",Data_Geotech[[#This Row],[Weathering/Alteration]])-2)</f>
        <v>#VALUE!</v>
      </c>
    </row>
    <row r="316" spans="1:56" hidden="1" x14ac:dyDescent="0.25">
      <c r="A316" s="14"/>
      <c r="B316" s="166" t="e">
        <f>VLOOKUP(Data_Geotech[[#This Row],[Hole ID]],Data_Log[],2,FALSE)</f>
        <v>#N/A</v>
      </c>
      <c r="C316" s="5"/>
      <c r="D316" s="5"/>
      <c r="E316" s="5">
        <f>(Data_Geotech[[#This Row],[To (m)]]-Data_Geotech[[#This Row],[From (m)]])/2+Data_Geotech[[#This Row],[From (m)]]</f>
        <v>0</v>
      </c>
      <c r="F316" s="13">
        <f>Data_Geotech[[#This Row],[To (m)]]-Data_Geotech[[#This Row],[From (m)]]</f>
        <v>0</v>
      </c>
      <c r="G316" s="5"/>
      <c r="H316" s="13" t="e">
        <f>Data_Geotech[[#This Row],[TCR (m)]]/Data_Geotech[[#This Row],[Run (m)]]*100</f>
        <v>#DIV/0!</v>
      </c>
      <c r="I316" s="5"/>
      <c r="J316" s="5"/>
      <c r="K316" s="5"/>
      <c r="L316" s="13" t="e">
        <f>Data_Geotech[[#This Row],[RQD (m)]]/Data_Geotech[[#This Row],[Run Reel (m)]]*100</f>
        <v>#DIV/0!</v>
      </c>
      <c r="P316" s="115"/>
      <c r="Q316" s="5"/>
      <c r="R316" s="5"/>
      <c r="S316" s="5"/>
      <c r="T316" s="5"/>
      <c r="U316" s="5"/>
      <c r="V316" s="6"/>
      <c r="W316" s="92">
        <f>SUMIFS(Discontinuities!$D$4:$D$9664,Discontinuities!$A$4:$A$9664,A316,Discontinuities!$C$4:$C$9664,"&gt;="&amp;C316,Discontinuities!$C$4:$C$9664,"&lt;"&amp;D316)
-SUMIFS(Discontinuities!$D$4:$D$9664,Discontinuities!$A$4:$A$9664,A316,Discontinuities!$C$4:$C$9664,"&gt;="&amp;C316,Discontinuities!$C$4:$C$9664,"&lt;"&amp;D316,Discontinuities!$E$4:$E$9664,"=BC")
-SUMIFS(Discontinuities!$D$4:$D$9664,Discontinuities!$A$4:$A$9664,A316,Discontinuities!$C$4:$C$9664,"&gt;="&amp;C316,Discontinuities!$C$4:$C$9664,"&lt;"&amp;D316,Discontinuities!$E$4:$E$9664,"=LC")
-SUMIFS(Discontinuities!$D$4:$D$9664,Discontinuities!$A$4:$A$9664,A316,Discontinuities!$C$4:$C$9664,"&gt;="&amp;C316,Discontinuities!$C$4:$C$9664,"&lt;"&amp;D316,Discontinuities!$E$4:$E$9664,"=FLT")</f>
        <v>0</v>
      </c>
      <c r="AA316" s="132"/>
      <c r="AB316" s="159">
        <f>IFERROR(ROUND((Data_Geotech[[#This Row],[Fault (m)]]+Data_Geotech[[#This Row],[Broken Core (m)]]+Data_Geotech[[#This Row],[Lost Core (m)]])*30,0),0)</f>
        <v>0</v>
      </c>
      <c r="AC316" s="135">
        <f>IF(Data_Geotech[[#This Row],[Added fractures 
(BC, FLT, LC)]]+Data_Geotech[[#This Row],[Fracture per interval]]=0,99,1/((Data_Geotech[[#This Row],[Fracture per interval]]+Data_Geotech[[#This Row],[Added fractures 
(BC, FLT, LC)]])/Data_Geotech[[#This Row],[Run (m)]]))</f>
        <v>99</v>
      </c>
      <c r="AD316" s="160" t="str" cm="1">
        <f t="array" ref="AD316">IFERROR(_xlfn.XLOOKUP(1,(A316=PLT!$A$4:$A$8886)*(Geotech!C316&lt;=PLT!$F$4:$F$8886)*(Geotech!D316&gt;=PLT!$F$4:$F$8886)*("Valid"=PLT!$P$4:$P$8886),PLT!$V$4:$V$8886),"")</f>
        <v/>
      </c>
      <c r="AE316" s="161" t="str" cm="1">
        <f t="array" ref="AE316">IFERROR(_xlfn.XLOOKUP(1,(A316=PLT!$A$4:$A$8886)*(Geotech!C316&lt;=PLT!$F$4:$F$8886)*(Geotech!D316&gt;=PLT!$F$4:$F$8886)*(PLT!$V$4:$V$8886&lt;&gt;AD316)*("Valid"=PLT!$P$4:$P$7190),PLT!$V$4:$V$8886),"")</f>
        <v/>
      </c>
      <c r="AF316" s="161" t="str" cm="1">
        <f t="array" ref="AF316">IFERROR(_xlfn.XLOOKUP(1,(A316=PLT!$A$4:$A$8886)*(Geotech!C316&lt;=PLT!$F$4:$F$8886)*(Geotech!D316&gt;=PLT!$F$4:$F$8886)*(PLT!$V$4:$V$8886&lt;&gt;AD316)*(PLT!$V$4:$V$8886&lt;&gt;AE316)*("Valid"=PLT!$P$4:$P$7190),PLT!$V$4:$V$8886),"")</f>
        <v/>
      </c>
      <c r="AG316" s="162" t="str">
        <f>IFERROR(IF(AVERAGE(AD316:AF316)&gt;References!$BO$23,References!$BP$23,
IF(AVERAGE(AD316:AF316)&gt;References!$BO$22,References!$BP$22,
IF(AVERAGE(AD316:AF316)&gt;References!$BO$21,References!$BP$21,
IF(AVERAGE(AD316:AF316)&gt;References!$BO$20,References!$BP$20,
IF(AVERAGE(AD316:AF316)&gt;References!$BO$19,References!$BP$19,
IF(AVERAGE(AD316:AF316)&gt;References!$BO$18,References!$BP$18,
0)))))),"")</f>
        <v/>
      </c>
      <c r="AH316" s="163" t="e">
        <f>VLOOKUP(Data_Geotech[[#This Row],[Field Intact Rock Strength]],Table_RMR76_Strength[],2,FALSE)</f>
        <v>#N/A</v>
      </c>
      <c r="AI316" s="163" t="e">
        <f>IF(Data_Geotech[[#This Row],[RQD (%)]]&lt;=25,3,IF(Data_Geotech[[#This Row],[RQD (%)]]&lt;=50,8,IF(Data_Geotech[[#This Row],[RQD (%)]]&lt;=75,13,IF(Data_Geotech[[#This Row],[RQD (%)]]&lt;=90,17,20))))</f>
        <v>#DIV/0!</v>
      </c>
      <c r="AJ316" s="136">
        <f>IF(Data_Geotech[[#This Row],[Joint spacing (m)]]&lt;=0.05,5,IF(Data_Geotech[[#This Row],[Joint spacing (m)]]&lt;=0.3,10,IF(Data_Geotech[[#This Row],[Joint spacing (m)]]&lt;=1,20,IF(Data_Geotech[[#This Row],[Joint spacing (m)]]&lt;=3,25,30))))</f>
        <v>30</v>
      </c>
      <c r="AK3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6" s="6"/>
      <c r="AM316" s="137" t="str">
        <f>IF(Data_Geotech[[#This Row],[FIRS Code]]="R",IFERROR(SUM(Data_Geotech[[#This Row],[RMR76 - Strength rating]:[RMR76 - Ground water rating]]),""),"")</f>
        <v/>
      </c>
      <c r="AN316" s="164" t="str">
        <f>IF(Data_Geotech[[#This Row],[FIRS Code]]="R",(2*Data_Geotech[[#This Row],[RMR76 - Joint condition rating]])+(IF(Data_Geotech[[#This Row],[RQD (%)]]&gt;80,80/2,Data_Geotech[[#This Row],[RQD (%)]]/2)),"")</f>
        <v/>
      </c>
      <c r="AO316" s="136" t="e">
        <f>LEFT(Data_Geotech[[#This Row],[Joint Set Rating]],FIND("-",Data_Geotech[[#This Row],[Joint Set Rating]],1)-2)</f>
        <v>#VALUE!</v>
      </c>
      <c r="AP3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6" s="143">
        <f t="shared" si="6"/>
        <v>1</v>
      </c>
      <c r="AR316" s="165" t="str">
        <f>IF(Data_Geotech[[#This Row],[FIRS Code]]="R",IFERROR((IF(Data_Geotech[[#This Row],[RQD (%)]]&lt;10,10,Data_Geotech[[#This Row],[RQD (%)]])/Data_Geotech[[#This Row],[Jn rating]])*Data_Geotech[[#This Row],[Jr/Ja]],""),"")</f>
        <v/>
      </c>
      <c r="AS316" s="138" t="str">
        <f>IF(Data_Geotech[[#This Row],[FIRS Code]]="R",IFERROR((IF(Data_Geotech[[#This Row],[RQD (%)]]&lt;10,10,Data_Geotech[[#This Row],[RQD (%)]])/Data_Geotech[[#This Row],[Jn rating]])*Data_Geotech[[#This Row],[Jr/Ja]]*Data_Geotech[[#This Row],[Jw/SRF]],""),"")</f>
        <v/>
      </c>
      <c r="AT316" s="12"/>
      <c r="AU316" s="13" t="e">
        <f>100-Data_Geotech[[#This Row],[RQD (%)]]</f>
        <v>#DIV/0!</v>
      </c>
      <c r="AV316" s="13" t="e">
        <f>100-Data_Geotech[[#This Row],[TCR (%)]]</f>
        <v>#DIV/0!</v>
      </c>
      <c r="AW316" s="62" t="e">
        <f>(Data_Geotech[[#This Row],[Fracture per interval]]+Data_Geotech[[#This Row],[Added fractures 
(BC, FLT, LC)]])/Data_Geotech[[#This Row],[TCR (m)]]</f>
        <v>#DIV/0!</v>
      </c>
      <c r="AX316" s="62" t="str">
        <f>MID(Data_Geotech[[#This Row],[Field Intact Rock Strength]],2,1)</f>
        <v/>
      </c>
      <c r="AY316" s="63" t="e">
        <f>7-MID(Data_Geotech[[#This Row],[Field Intact Rock Strength]],2,1)</f>
        <v>#VALUE!</v>
      </c>
      <c r="AZ316" s="63" t="e">
        <f>VLOOKUP(Data_Geotech[[#This Row],[Field Intact Rock Strength]],Table_FieldStrength[],2,FALSE)</f>
        <v>#N/A</v>
      </c>
      <c r="BA316" s="63" t="e">
        <f>VLOOKUP(Data_Geotech[[#This Row],[Field Intact Rock Strength]],Table_FieldStrength[],3,FALSE)</f>
        <v>#N/A</v>
      </c>
      <c r="BB316" s="63" t="e">
        <f>VLOOKUP(Data_Geotech[[#This Row],[Field Intact Rock Strength]],Table_FieldStrength[],4,FALSE)</f>
        <v>#N/A</v>
      </c>
      <c r="BC316" s="63" t="e">
        <f>100-Data_Geotech[[#This Row],[RMR76]]</f>
        <v>#VALUE!</v>
      </c>
      <c r="BD316" s="63" t="e">
        <f>LEFT(Data_Geotech[[#This Row],[Weathering/Alteration]],FIND("-",Data_Geotech[[#This Row],[Weathering/Alteration]])-2)</f>
        <v>#VALUE!</v>
      </c>
    </row>
    <row r="317" spans="1:56" hidden="1" x14ac:dyDescent="0.25">
      <c r="A317" s="14"/>
      <c r="B317" s="166" t="e">
        <f>VLOOKUP(Data_Geotech[[#This Row],[Hole ID]],Data_Log[],2,FALSE)</f>
        <v>#N/A</v>
      </c>
      <c r="C317" s="5"/>
      <c r="D317" s="5"/>
      <c r="E317" s="5">
        <f>(Data_Geotech[[#This Row],[To (m)]]-Data_Geotech[[#This Row],[From (m)]])/2+Data_Geotech[[#This Row],[From (m)]]</f>
        <v>0</v>
      </c>
      <c r="F317" s="13">
        <f>Data_Geotech[[#This Row],[To (m)]]-Data_Geotech[[#This Row],[From (m)]]</f>
        <v>0</v>
      </c>
      <c r="G317" s="5"/>
      <c r="H317" s="13" t="e">
        <f>Data_Geotech[[#This Row],[TCR (m)]]/Data_Geotech[[#This Row],[Run (m)]]*100</f>
        <v>#DIV/0!</v>
      </c>
      <c r="I317" s="5"/>
      <c r="J317" s="5"/>
      <c r="K317" s="5"/>
      <c r="L317" s="13" t="e">
        <f>Data_Geotech[[#This Row],[RQD (m)]]/Data_Geotech[[#This Row],[Run Reel (m)]]*100</f>
        <v>#DIV/0!</v>
      </c>
      <c r="P317" s="115"/>
      <c r="Q317" s="5"/>
      <c r="R317" s="5"/>
      <c r="S317" s="5"/>
      <c r="T317" s="5"/>
      <c r="U317" s="5"/>
      <c r="V317" s="6"/>
      <c r="W317" s="92">
        <f>SUMIFS(Discontinuities!$D$4:$D$9664,Discontinuities!$A$4:$A$9664,A317,Discontinuities!$C$4:$C$9664,"&gt;="&amp;C317,Discontinuities!$C$4:$C$9664,"&lt;"&amp;D317)
-SUMIFS(Discontinuities!$D$4:$D$9664,Discontinuities!$A$4:$A$9664,A317,Discontinuities!$C$4:$C$9664,"&gt;="&amp;C317,Discontinuities!$C$4:$C$9664,"&lt;"&amp;D317,Discontinuities!$E$4:$E$9664,"=BC")
-SUMIFS(Discontinuities!$D$4:$D$9664,Discontinuities!$A$4:$A$9664,A317,Discontinuities!$C$4:$C$9664,"&gt;="&amp;C317,Discontinuities!$C$4:$C$9664,"&lt;"&amp;D317,Discontinuities!$E$4:$E$9664,"=LC")
-SUMIFS(Discontinuities!$D$4:$D$9664,Discontinuities!$A$4:$A$9664,A317,Discontinuities!$C$4:$C$9664,"&gt;="&amp;C317,Discontinuities!$C$4:$C$9664,"&lt;"&amp;D317,Discontinuities!$E$4:$E$9664,"=FLT")</f>
        <v>0</v>
      </c>
      <c r="AA317" s="132"/>
      <c r="AB317" s="159">
        <f>IFERROR(ROUND((Data_Geotech[[#This Row],[Fault (m)]]+Data_Geotech[[#This Row],[Broken Core (m)]]+Data_Geotech[[#This Row],[Lost Core (m)]])*30,0),0)</f>
        <v>0</v>
      </c>
      <c r="AC317" s="135">
        <f>IF(Data_Geotech[[#This Row],[Added fractures 
(BC, FLT, LC)]]+Data_Geotech[[#This Row],[Fracture per interval]]=0,99,1/((Data_Geotech[[#This Row],[Fracture per interval]]+Data_Geotech[[#This Row],[Added fractures 
(BC, FLT, LC)]])/Data_Geotech[[#This Row],[Run (m)]]))</f>
        <v>99</v>
      </c>
      <c r="AD317" s="160" t="str" cm="1">
        <f t="array" ref="AD317">IFERROR(_xlfn.XLOOKUP(1,(A317=PLT!$A$4:$A$8886)*(Geotech!C317&lt;=PLT!$F$4:$F$8886)*(Geotech!D317&gt;=PLT!$F$4:$F$8886)*("Valid"=PLT!$P$4:$P$8886),PLT!$V$4:$V$8886),"")</f>
        <v/>
      </c>
      <c r="AE317" s="161" t="str" cm="1">
        <f t="array" ref="AE317">IFERROR(_xlfn.XLOOKUP(1,(A317=PLT!$A$4:$A$8886)*(Geotech!C317&lt;=PLT!$F$4:$F$8886)*(Geotech!D317&gt;=PLT!$F$4:$F$8886)*(PLT!$V$4:$V$8886&lt;&gt;AD317)*("Valid"=PLT!$P$4:$P$7190),PLT!$V$4:$V$8886),"")</f>
        <v/>
      </c>
      <c r="AF317" s="161" t="str" cm="1">
        <f t="array" ref="AF317">IFERROR(_xlfn.XLOOKUP(1,(A317=PLT!$A$4:$A$8886)*(Geotech!C317&lt;=PLT!$F$4:$F$8886)*(Geotech!D317&gt;=PLT!$F$4:$F$8886)*(PLT!$V$4:$V$8886&lt;&gt;AD317)*(PLT!$V$4:$V$8886&lt;&gt;AE317)*("Valid"=PLT!$P$4:$P$7190),PLT!$V$4:$V$8886),"")</f>
        <v/>
      </c>
      <c r="AG317" s="162" t="str">
        <f>IFERROR(IF(AVERAGE(AD317:AF317)&gt;References!$BO$23,References!$BP$23,
IF(AVERAGE(AD317:AF317)&gt;References!$BO$22,References!$BP$22,
IF(AVERAGE(AD317:AF317)&gt;References!$BO$21,References!$BP$21,
IF(AVERAGE(AD317:AF317)&gt;References!$BO$20,References!$BP$20,
IF(AVERAGE(AD317:AF317)&gt;References!$BO$19,References!$BP$19,
IF(AVERAGE(AD317:AF317)&gt;References!$BO$18,References!$BP$18,
0)))))),"")</f>
        <v/>
      </c>
      <c r="AH317" s="163" t="e">
        <f>VLOOKUP(Data_Geotech[[#This Row],[Field Intact Rock Strength]],Table_RMR76_Strength[],2,FALSE)</f>
        <v>#N/A</v>
      </c>
      <c r="AI317" s="163" t="e">
        <f>IF(Data_Geotech[[#This Row],[RQD (%)]]&lt;=25,3,IF(Data_Geotech[[#This Row],[RQD (%)]]&lt;=50,8,IF(Data_Geotech[[#This Row],[RQD (%)]]&lt;=75,13,IF(Data_Geotech[[#This Row],[RQD (%)]]&lt;=90,17,20))))</f>
        <v>#DIV/0!</v>
      </c>
      <c r="AJ317" s="136">
        <f>IF(Data_Geotech[[#This Row],[Joint spacing (m)]]&lt;=0.05,5,IF(Data_Geotech[[#This Row],[Joint spacing (m)]]&lt;=0.3,10,IF(Data_Geotech[[#This Row],[Joint spacing (m)]]&lt;=1,20,IF(Data_Geotech[[#This Row],[Joint spacing (m)]]&lt;=3,25,30))))</f>
        <v>30</v>
      </c>
      <c r="AK3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7" s="6"/>
      <c r="AM317" s="137" t="str">
        <f>IF(Data_Geotech[[#This Row],[FIRS Code]]="R",IFERROR(SUM(Data_Geotech[[#This Row],[RMR76 - Strength rating]:[RMR76 - Ground water rating]]),""),"")</f>
        <v/>
      </c>
      <c r="AN317" s="164" t="str">
        <f>IF(Data_Geotech[[#This Row],[FIRS Code]]="R",(2*Data_Geotech[[#This Row],[RMR76 - Joint condition rating]])+(IF(Data_Geotech[[#This Row],[RQD (%)]]&gt;80,80/2,Data_Geotech[[#This Row],[RQD (%)]]/2)),"")</f>
        <v/>
      </c>
      <c r="AO317" s="136" t="e">
        <f>LEFT(Data_Geotech[[#This Row],[Joint Set Rating]],FIND("-",Data_Geotech[[#This Row],[Joint Set Rating]],1)-2)</f>
        <v>#VALUE!</v>
      </c>
      <c r="AP3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7" s="143">
        <f t="shared" si="6"/>
        <v>1</v>
      </c>
      <c r="AR317" s="165" t="str">
        <f>IF(Data_Geotech[[#This Row],[FIRS Code]]="R",IFERROR((IF(Data_Geotech[[#This Row],[RQD (%)]]&lt;10,10,Data_Geotech[[#This Row],[RQD (%)]])/Data_Geotech[[#This Row],[Jn rating]])*Data_Geotech[[#This Row],[Jr/Ja]],""),"")</f>
        <v/>
      </c>
      <c r="AS317" s="138" t="str">
        <f>IF(Data_Geotech[[#This Row],[FIRS Code]]="R",IFERROR((IF(Data_Geotech[[#This Row],[RQD (%)]]&lt;10,10,Data_Geotech[[#This Row],[RQD (%)]])/Data_Geotech[[#This Row],[Jn rating]])*Data_Geotech[[#This Row],[Jr/Ja]]*Data_Geotech[[#This Row],[Jw/SRF]],""),"")</f>
        <v/>
      </c>
      <c r="AT317" s="12"/>
      <c r="AU317" s="13" t="e">
        <f>100-Data_Geotech[[#This Row],[RQD (%)]]</f>
        <v>#DIV/0!</v>
      </c>
      <c r="AV317" s="13" t="e">
        <f>100-Data_Geotech[[#This Row],[TCR (%)]]</f>
        <v>#DIV/0!</v>
      </c>
      <c r="AW317" s="62" t="e">
        <f>(Data_Geotech[[#This Row],[Fracture per interval]]+Data_Geotech[[#This Row],[Added fractures 
(BC, FLT, LC)]])/Data_Geotech[[#This Row],[TCR (m)]]</f>
        <v>#DIV/0!</v>
      </c>
      <c r="AX317" s="62" t="str">
        <f>MID(Data_Geotech[[#This Row],[Field Intact Rock Strength]],2,1)</f>
        <v/>
      </c>
      <c r="AY317" s="63" t="e">
        <f>7-MID(Data_Geotech[[#This Row],[Field Intact Rock Strength]],2,1)</f>
        <v>#VALUE!</v>
      </c>
      <c r="AZ317" s="63" t="e">
        <f>VLOOKUP(Data_Geotech[[#This Row],[Field Intact Rock Strength]],Table_FieldStrength[],2,FALSE)</f>
        <v>#N/A</v>
      </c>
      <c r="BA317" s="63" t="e">
        <f>VLOOKUP(Data_Geotech[[#This Row],[Field Intact Rock Strength]],Table_FieldStrength[],3,FALSE)</f>
        <v>#N/A</v>
      </c>
      <c r="BB317" s="63" t="e">
        <f>VLOOKUP(Data_Geotech[[#This Row],[Field Intact Rock Strength]],Table_FieldStrength[],4,FALSE)</f>
        <v>#N/A</v>
      </c>
      <c r="BC317" s="63" t="e">
        <f>100-Data_Geotech[[#This Row],[RMR76]]</f>
        <v>#VALUE!</v>
      </c>
      <c r="BD317" s="63" t="e">
        <f>LEFT(Data_Geotech[[#This Row],[Weathering/Alteration]],FIND("-",Data_Geotech[[#This Row],[Weathering/Alteration]])-2)</f>
        <v>#VALUE!</v>
      </c>
    </row>
    <row r="318" spans="1:56" hidden="1" x14ac:dyDescent="0.25">
      <c r="A318" s="14"/>
      <c r="B318" s="166" t="e">
        <f>VLOOKUP(Data_Geotech[[#This Row],[Hole ID]],Data_Log[],2,FALSE)</f>
        <v>#N/A</v>
      </c>
      <c r="C318" s="5"/>
      <c r="D318" s="5"/>
      <c r="E318" s="5">
        <f>(Data_Geotech[[#This Row],[To (m)]]-Data_Geotech[[#This Row],[From (m)]])/2+Data_Geotech[[#This Row],[From (m)]]</f>
        <v>0</v>
      </c>
      <c r="F318" s="13">
        <f>Data_Geotech[[#This Row],[To (m)]]-Data_Geotech[[#This Row],[From (m)]]</f>
        <v>0</v>
      </c>
      <c r="G318" s="5"/>
      <c r="H318" s="13" t="e">
        <f>Data_Geotech[[#This Row],[TCR (m)]]/Data_Geotech[[#This Row],[Run (m)]]*100</f>
        <v>#DIV/0!</v>
      </c>
      <c r="I318" s="5"/>
      <c r="J318" s="5"/>
      <c r="K318" s="5"/>
      <c r="L318" s="13" t="e">
        <f>Data_Geotech[[#This Row],[RQD (m)]]/Data_Geotech[[#This Row],[Run Reel (m)]]*100</f>
        <v>#DIV/0!</v>
      </c>
      <c r="P318" s="115"/>
      <c r="Q318" s="5"/>
      <c r="R318" s="5"/>
      <c r="S318" s="5"/>
      <c r="T318" s="5"/>
      <c r="U318" s="5"/>
      <c r="V318" s="6"/>
      <c r="W318" s="92">
        <f>SUMIFS(Discontinuities!$D$4:$D$9664,Discontinuities!$A$4:$A$9664,A318,Discontinuities!$C$4:$C$9664,"&gt;="&amp;C318,Discontinuities!$C$4:$C$9664,"&lt;"&amp;D318)
-SUMIFS(Discontinuities!$D$4:$D$9664,Discontinuities!$A$4:$A$9664,A318,Discontinuities!$C$4:$C$9664,"&gt;="&amp;C318,Discontinuities!$C$4:$C$9664,"&lt;"&amp;D318,Discontinuities!$E$4:$E$9664,"=BC")
-SUMIFS(Discontinuities!$D$4:$D$9664,Discontinuities!$A$4:$A$9664,A318,Discontinuities!$C$4:$C$9664,"&gt;="&amp;C318,Discontinuities!$C$4:$C$9664,"&lt;"&amp;D318,Discontinuities!$E$4:$E$9664,"=LC")
-SUMIFS(Discontinuities!$D$4:$D$9664,Discontinuities!$A$4:$A$9664,A318,Discontinuities!$C$4:$C$9664,"&gt;="&amp;C318,Discontinuities!$C$4:$C$9664,"&lt;"&amp;D318,Discontinuities!$E$4:$E$9664,"=FLT")</f>
        <v>0</v>
      </c>
      <c r="AA318" s="132"/>
      <c r="AB318" s="159">
        <f>IFERROR(ROUND((Data_Geotech[[#This Row],[Fault (m)]]+Data_Geotech[[#This Row],[Broken Core (m)]]+Data_Geotech[[#This Row],[Lost Core (m)]])*30,0),0)</f>
        <v>0</v>
      </c>
      <c r="AC318" s="135">
        <f>IF(Data_Geotech[[#This Row],[Added fractures 
(BC, FLT, LC)]]+Data_Geotech[[#This Row],[Fracture per interval]]=0,99,1/((Data_Geotech[[#This Row],[Fracture per interval]]+Data_Geotech[[#This Row],[Added fractures 
(BC, FLT, LC)]])/Data_Geotech[[#This Row],[Run (m)]]))</f>
        <v>99</v>
      </c>
      <c r="AD318" s="160" t="str" cm="1">
        <f t="array" ref="AD318">IFERROR(_xlfn.XLOOKUP(1,(A318=PLT!$A$4:$A$8886)*(Geotech!C318&lt;=PLT!$F$4:$F$8886)*(Geotech!D318&gt;=PLT!$F$4:$F$8886)*("Valid"=PLT!$P$4:$P$8886),PLT!$V$4:$V$8886),"")</f>
        <v/>
      </c>
      <c r="AE318" s="161" t="str" cm="1">
        <f t="array" ref="AE318">IFERROR(_xlfn.XLOOKUP(1,(A318=PLT!$A$4:$A$8886)*(Geotech!C318&lt;=PLT!$F$4:$F$8886)*(Geotech!D318&gt;=PLT!$F$4:$F$8886)*(PLT!$V$4:$V$8886&lt;&gt;AD318)*("Valid"=PLT!$P$4:$P$7190),PLT!$V$4:$V$8886),"")</f>
        <v/>
      </c>
      <c r="AF318" s="161" t="str" cm="1">
        <f t="array" ref="AF318">IFERROR(_xlfn.XLOOKUP(1,(A318=PLT!$A$4:$A$8886)*(Geotech!C318&lt;=PLT!$F$4:$F$8886)*(Geotech!D318&gt;=PLT!$F$4:$F$8886)*(PLT!$V$4:$V$8886&lt;&gt;AD318)*(PLT!$V$4:$V$8886&lt;&gt;AE318)*("Valid"=PLT!$P$4:$P$7190),PLT!$V$4:$V$8886),"")</f>
        <v/>
      </c>
      <c r="AG318" s="162" t="str">
        <f>IFERROR(IF(AVERAGE(AD318:AF318)&gt;References!$BO$23,References!$BP$23,
IF(AVERAGE(AD318:AF318)&gt;References!$BO$22,References!$BP$22,
IF(AVERAGE(AD318:AF318)&gt;References!$BO$21,References!$BP$21,
IF(AVERAGE(AD318:AF318)&gt;References!$BO$20,References!$BP$20,
IF(AVERAGE(AD318:AF318)&gt;References!$BO$19,References!$BP$19,
IF(AVERAGE(AD318:AF318)&gt;References!$BO$18,References!$BP$18,
0)))))),"")</f>
        <v/>
      </c>
      <c r="AH318" s="163" t="e">
        <f>VLOOKUP(Data_Geotech[[#This Row],[Field Intact Rock Strength]],Table_RMR76_Strength[],2,FALSE)</f>
        <v>#N/A</v>
      </c>
      <c r="AI318" s="163" t="e">
        <f>IF(Data_Geotech[[#This Row],[RQD (%)]]&lt;=25,3,IF(Data_Geotech[[#This Row],[RQD (%)]]&lt;=50,8,IF(Data_Geotech[[#This Row],[RQD (%)]]&lt;=75,13,IF(Data_Geotech[[#This Row],[RQD (%)]]&lt;=90,17,20))))</f>
        <v>#DIV/0!</v>
      </c>
      <c r="AJ318" s="136">
        <f>IF(Data_Geotech[[#This Row],[Joint spacing (m)]]&lt;=0.05,5,IF(Data_Geotech[[#This Row],[Joint spacing (m)]]&lt;=0.3,10,IF(Data_Geotech[[#This Row],[Joint spacing (m)]]&lt;=1,20,IF(Data_Geotech[[#This Row],[Joint spacing (m)]]&lt;=3,25,30))))</f>
        <v>30</v>
      </c>
      <c r="AK31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8" s="6"/>
      <c r="AM318" s="137" t="str">
        <f>IF(Data_Geotech[[#This Row],[FIRS Code]]="R",IFERROR(SUM(Data_Geotech[[#This Row],[RMR76 - Strength rating]:[RMR76 - Ground water rating]]),""),"")</f>
        <v/>
      </c>
      <c r="AN318" s="164" t="str">
        <f>IF(Data_Geotech[[#This Row],[FIRS Code]]="R",(2*Data_Geotech[[#This Row],[RMR76 - Joint condition rating]])+(IF(Data_Geotech[[#This Row],[RQD (%)]]&gt;80,80/2,Data_Geotech[[#This Row],[RQD (%)]]/2)),"")</f>
        <v/>
      </c>
      <c r="AO318" s="136" t="e">
        <f>LEFT(Data_Geotech[[#This Row],[Joint Set Rating]],FIND("-",Data_Geotech[[#This Row],[Joint Set Rating]],1)-2)</f>
        <v>#VALUE!</v>
      </c>
      <c r="AP31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8" s="143">
        <f t="shared" si="6"/>
        <v>1</v>
      </c>
      <c r="AR318" s="165" t="str">
        <f>IF(Data_Geotech[[#This Row],[FIRS Code]]="R",IFERROR((IF(Data_Geotech[[#This Row],[RQD (%)]]&lt;10,10,Data_Geotech[[#This Row],[RQD (%)]])/Data_Geotech[[#This Row],[Jn rating]])*Data_Geotech[[#This Row],[Jr/Ja]],""),"")</f>
        <v/>
      </c>
      <c r="AS318" s="138" t="str">
        <f>IF(Data_Geotech[[#This Row],[FIRS Code]]="R",IFERROR((IF(Data_Geotech[[#This Row],[RQD (%)]]&lt;10,10,Data_Geotech[[#This Row],[RQD (%)]])/Data_Geotech[[#This Row],[Jn rating]])*Data_Geotech[[#This Row],[Jr/Ja]]*Data_Geotech[[#This Row],[Jw/SRF]],""),"")</f>
        <v/>
      </c>
      <c r="AT318" s="12"/>
      <c r="AU318" s="13" t="e">
        <f>100-Data_Geotech[[#This Row],[RQD (%)]]</f>
        <v>#DIV/0!</v>
      </c>
      <c r="AV318" s="13" t="e">
        <f>100-Data_Geotech[[#This Row],[TCR (%)]]</f>
        <v>#DIV/0!</v>
      </c>
      <c r="AW318" s="62" t="e">
        <f>(Data_Geotech[[#This Row],[Fracture per interval]]+Data_Geotech[[#This Row],[Added fractures 
(BC, FLT, LC)]])/Data_Geotech[[#This Row],[TCR (m)]]</f>
        <v>#DIV/0!</v>
      </c>
      <c r="AX318" s="62" t="str">
        <f>MID(Data_Geotech[[#This Row],[Field Intact Rock Strength]],2,1)</f>
        <v/>
      </c>
      <c r="AY318" s="63" t="e">
        <f>7-MID(Data_Geotech[[#This Row],[Field Intact Rock Strength]],2,1)</f>
        <v>#VALUE!</v>
      </c>
      <c r="AZ318" s="63" t="e">
        <f>VLOOKUP(Data_Geotech[[#This Row],[Field Intact Rock Strength]],Table_FieldStrength[],2,FALSE)</f>
        <v>#N/A</v>
      </c>
      <c r="BA318" s="63" t="e">
        <f>VLOOKUP(Data_Geotech[[#This Row],[Field Intact Rock Strength]],Table_FieldStrength[],3,FALSE)</f>
        <v>#N/A</v>
      </c>
      <c r="BB318" s="63" t="e">
        <f>VLOOKUP(Data_Geotech[[#This Row],[Field Intact Rock Strength]],Table_FieldStrength[],4,FALSE)</f>
        <v>#N/A</v>
      </c>
      <c r="BC318" s="63" t="e">
        <f>100-Data_Geotech[[#This Row],[RMR76]]</f>
        <v>#VALUE!</v>
      </c>
      <c r="BD318" s="63" t="e">
        <f>LEFT(Data_Geotech[[#This Row],[Weathering/Alteration]],FIND("-",Data_Geotech[[#This Row],[Weathering/Alteration]])-2)</f>
        <v>#VALUE!</v>
      </c>
    </row>
    <row r="319" spans="1:56" hidden="1" x14ac:dyDescent="0.25">
      <c r="A319" s="14"/>
      <c r="B319" s="166" t="e">
        <f>VLOOKUP(Data_Geotech[[#This Row],[Hole ID]],Data_Log[],2,FALSE)</f>
        <v>#N/A</v>
      </c>
      <c r="C319" s="5"/>
      <c r="D319" s="5"/>
      <c r="E319" s="5">
        <f>(Data_Geotech[[#This Row],[To (m)]]-Data_Geotech[[#This Row],[From (m)]])/2+Data_Geotech[[#This Row],[From (m)]]</f>
        <v>0</v>
      </c>
      <c r="F319" s="13">
        <f>Data_Geotech[[#This Row],[To (m)]]-Data_Geotech[[#This Row],[From (m)]]</f>
        <v>0</v>
      </c>
      <c r="G319" s="5"/>
      <c r="H319" s="13" t="e">
        <f>Data_Geotech[[#This Row],[TCR (m)]]/Data_Geotech[[#This Row],[Run (m)]]*100</f>
        <v>#DIV/0!</v>
      </c>
      <c r="I319" s="5"/>
      <c r="J319" s="5"/>
      <c r="K319" s="5"/>
      <c r="L319" s="13" t="e">
        <f>Data_Geotech[[#This Row],[RQD (m)]]/Data_Geotech[[#This Row],[Run Reel (m)]]*100</f>
        <v>#DIV/0!</v>
      </c>
      <c r="P319" s="115"/>
      <c r="Q319" s="5"/>
      <c r="R319" s="5"/>
      <c r="S319" s="5"/>
      <c r="T319" s="5"/>
      <c r="U319" s="5"/>
      <c r="V319" s="6"/>
      <c r="W319" s="92">
        <f>SUMIFS(Discontinuities!$D$4:$D$9664,Discontinuities!$A$4:$A$9664,A319,Discontinuities!$C$4:$C$9664,"&gt;="&amp;C319,Discontinuities!$C$4:$C$9664,"&lt;"&amp;D319)
-SUMIFS(Discontinuities!$D$4:$D$9664,Discontinuities!$A$4:$A$9664,A319,Discontinuities!$C$4:$C$9664,"&gt;="&amp;C319,Discontinuities!$C$4:$C$9664,"&lt;"&amp;D319,Discontinuities!$E$4:$E$9664,"=BC")
-SUMIFS(Discontinuities!$D$4:$D$9664,Discontinuities!$A$4:$A$9664,A319,Discontinuities!$C$4:$C$9664,"&gt;="&amp;C319,Discontinuities!$C$4:$C$9664,"&lt;"&amp;D319,Discontinuities!$E$4:$E$9664,"=LC")
-SUMIFS(Discontinuities!$D$4:$D$9664,Discontinuities!$A$4:$A$9664,A319,Discontinuities!$C$4:$C$9664,"&gt;="&amp;C319,Discontinuities!$C$4:$C$9664,"&lt;"&amp;D319,Discontinuities!$E$4:$E$9664,"=FLT")</f>
        <v>0</v>
      </c>
      <c r="AA319" s="132"/>
      <c r="AB319" s="159">
        <f>IFERROR(ROUND((Data_Geotech[[#This Row],[Fault (m)]]+Data_Geotech[[#This Row],[Broken Core (m)]]+Data_Geotech[[#This Row],[Lost Core (m)]])*30,0),0)</f>
        <v>0</v>
      </c>
      <c r="AC319" s="135">
        <f>IF(Data_Geotech[[#This Row],[Added fractures 
(BC, FLT, LC)]]+Data_Geotech[[#This Row],[Fracture per interval]]=0,99,1/((Data_Geotech[[#This Row],[Fracture per interval]]+Data_Geotech[[#This Row],[Added fractures 
(BC, FLT, LC)]])/Data_Geotech[[#This Row],[Run (m)]]))</f>
        <v>99</v>
      </c>
      <c r="AD319" s="160" t="str" cm="1">
        <f t="array" ref="AD319">IFERROR(_xlfn.XLOOKUP(1,(A319=PLT!$A$4:$A$8886)*(Geotech!C319&lt;=PLT!$F$4:$F$8886)*(Geotech!D319&gt;=PLT!$F$4:$F$8886)*("Valid"=PLT!$P$4:$P$8886),PLT!$V$4:$V$8886),"")</f>
        <v/>
      </c>
      <c r="AE319" s="161" t="str" cm="1">
        <f t="array" ref="AE319">IFERROR(_xlfn.XLOOKUP(1,(A319=PLT!$A$4:$A$8886)*(Geotech!C319&lt;=PLT!$F$4:$F$8886)*(Geotech!D319&gt;=PLT!$F$4:$F$8886)*(PLT!$V$4:$V$8886&lt;&gt;AD319)*("Valid"=PLT!$P$4:$P$7190),PLT!$V$4:$V$8886),"")</f>
        <v/>
      </c>
      <c r="AF319" s="161" t="str" cm="1">
        <f t="array" ref="AF319">IFERROR(_xlfn.XLOOKUP(1,(A319=PLT!$A$4:$A$8886)*(Geotech!C319&lt;=PLT!$F$4:$F$8886)*(Geotech!D319&gt;=PLT!$F$4:$F$8886)*(PLT!$V$4:$V$8886&lt;&gt;AD319)*(PLT!$V$4:$V$8886&lt;&gt;AE319)*("Valid"=PLT!$P$4:$P$7190),PLT!$V$4:$V$8886),"")</f>
        <v/>
      </c>
      <c r="AG319" s="162" t="str">
        <f>IFERROR(IF(AVERAGE(AD319:AF319)&gt;References!$BO$23,References!$BP$23,
IF(AVERAGE(AD319:AF319)&gt;References!$BO$22,References!$BP$22,
IF(AVERAGE(AD319:AF319)&gt;References!$BO$21,References!$BP$21,
IF(AVERAGE(AD319:AF319)&gt;References!$BO$20,References!$BP$20,
IF(AVERAGE(AD319:AF319)&gt;References!$BO$19,References!$BP$19,
IF(AVERAGE(AD319:AF319)&gt;References!$BO$18,References!$BP$18,
0)))))),"")</f>
        <v/>
      </c>
      <c r="AH319" s="163" t="e">
        <f>VLOOKUP(Data_Geotech[[#This Row],[Field Intact Rock Strength]],Table_RMR76_Strength[],2,FALSE)</f>
        <v>#N/A</v>
      </c>
      <c r="AI319" s="163" t="e">
        <f>IF(Data_Geotech[[#This Row],[RQD (%)]]&lt;=25,3,IF(Data_Geotech[[#This Row],[RQD (%)]]&lt;=50,8,IF(Data_Geotech[[#This Row],[RQD (%)]]&lt;=75,13,IF(Data_Geotech[[#This Row],[RQD (%)]]&lt;=90,17,20))))</f>
        <v>#DIV/0!</v>
      </c>
      <c r="AJ319" s="136">
        <f>IF(Data_Geotech[[#This Row],[Joint spacing (m)]]&lt;=0.05,5,IF(Data_Geotech[[#This Row],[Joint spacing (m)]]&lt;=0.3,10,IF(Data_Geotech[[#This Row],[Joint spacing (m)]]&lt;=1,20,IF(Data_Geotech[[#This Row],[Joint spacing (m)]]&lt;=3,25,30))))</f>
        <v>30</v>
      </c>
      <c r="AK31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19" s="6"/>
      <c r="AM319" s="137" t="str">
        <f>IF(Data_Geotech[[#This Row],[FIRS Code]]="R",IFERROR(SUM(Data_Geotech[[#This Row],[RMR76 - Strength rating]:[RMR76 - Ground water rating]]),""),"")</f>
        <v/>
      </c>
      <c r="AN319" s="164" t="str">
        <f>IF(Data_Geotech[[#This Row],[FIRS Code]]="R",(2*Data_Geotech[[#This Row],[RMR76 - Joint condition rating]])+(IF(Data_Geotech[[#This Row],[RQD (%)]]&gt;80,80/2,Data_Geotech[[#This Row],[RQD (%)]]/2)),"")</f>
        <v/>
      </c>
      <c r="AO319" s="136" t="e">
        <f>LEFT(Data_Geotech[[#This Row],[Joint Set Rating]],FIND("-",Data_Geotech[[#This Row],[Joint Set Rating]],1)-2)</f>
        <v>#VALUE!</v>
      </c>
      <c r="AP31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19" s="143">
        <f t="shared" si="6"/>
        <v>1</v>
      </c>
      <c r="AR319" s="165" t="str">
        <f>IF(Data_Geotech[[#This Row],[FIRS Code]]="R",IFERROR((IF(Data_Geotech[[#This Row],[RQD (%)]]&lt;10,10,Data_Geotech[[#This Row],[RQD (%)]])/Data_Geotech[[#This Row],[Jn rating]])*Data_Geotech[[#This Row],[Jr/Ja]],""),"")</f>
        <v/>
      </c>
      <c r="AS319" s="138" t="str">
        <f>IF(Data_Geotech[[#This Row],[FIRS Code]]="R",IFERROR((IF(Data_Geotech[[#This Row],[RQD (%)]]&lt;10,10,Data_Geotech[[#This Row],[RQD (%)]])/Data_Geotech[[#This Row],[Jn rating]])*Data_Geotech[[#This Row],[Jr/Ja]]*Data_Geotech[[#This Row],[Jw/SRF]],""),"")</f>
        <v/>
      </c>
      <c r="AT319" s="12"/>
      <c r="AU319" s="13" t="e">
        <f>100-Data_Geotech[[#This Row],[RQD (%)]]</f>
        <v>#DIV/0!</v>
      </c>
      <c r="AV319" s="13" t="e">
        <f>100-Data_Geotech[[#This Row],[TCR (%)]]</f>
        <v>#DIV/0!</v>
      </c>
      <c r="AW319" s="62" t="e">
        <f>(Data_Geotech[[#This Row],[Fracture per interval]]+Data_Geotech[[#This Row],[Added fractures 
(BC, FLT, LC)]])/Data_Geotech[[#This Row],[TCR (m)]]</f>
        <v>#DIV/0!</v>
      </c>
      <c r="AX319" s="62" t="str">
        <f>MID(Data_Geotech[[#This Row],[Field Intact Rock Strength]],2,1)</f>
        <v/>
      </c>
      <c r="AY319" s="63" t="e">
        <f>7-MID(Data_Geotech[[#This Row],[Field Intact Rock Strength]],2,1)</f>
        <v>#VALUE!</v>
      </c>
      <c r="AZ319" s="63" t="e">
        <f>VLOOKUP(Data_Geotech[[#This Row],[Field Intact Rock Strength]],Table_FieldStrength[],2,FALSE)</f>
        <v>#N/A</v>
      </c>
      <c r="BA319" s="63" t="e">
        <f>VLOOKUP(Data_Geotech[[#This Row],[Field Intact Rock Strength]],Table_FieldStrength[],3,FALSE)</f>
        <v>#N/A</v>
      </c>
      <c r="BB319" s="63" t="e">
        <f>VLOOKUP(Data_Geotech[[#This Row],[Field Intact Rock Strength]],Table_FieldStrength[],4,FALSE)</f>
        <v>#N/A</v>
      </c>
      <c r="BC319" s="63" t="e">
        <f>100-Data_Geotech[[#This Row],[RMR76]]</f>
        <v>#VALUE!</v>
      </c>
      <c r="BD319" s="63" t="e">
        <f>LEFT(Data_Geotech[[#This Row],[Weathering/Alteration]],FIND("-",Data_Geotech[[#This Row],[Weathering/Alteration]])-2)</f>
        <v>#VALUE!</v>
      </c>
    </row>
    <row r="320" spans="1:56" hidden="1" x14ac:dyDescent="0.25">
      <c r="A320" s="14"/>
      <c r="B320" s="166" t="e">
        <f>VLOOKUP(Data_Geotech[[#This Row],[Hole ID]],Data_Log[],2,FALSE)</f>
        <v>#N/A</v>
      </c>
      <c r="C320" s="5"/>
      <c r="D320" s="5"/>
      <c r="E320" s="5">
        <f>(Data_Geotech[[#This Row],[To (m)]]-Data_Geotech[[#This Row],[From (m)]])/2+Data_Geotech[[#This Row],[From (m)]]</f>
        <v>0</v>
      </c>
      <c r="F320" s="13">
        <f>Data_Geotech[[#This Row],[To (m)]]-Data_Geotech[[#This Row],[From (m)]]</f>
        <v>0</v>
      </c>
      <c r="G320" s="5"/>
      <c r="H320" s="13" t="e">
        <f>Data_Geotech[[#This Row],[TCR (m)]]/Data_Geotech[[#This Row],[Run (m)]]*100</f>
        <v>#DIV/0!</v>
      </c>
      <c r="I320" s="5"/>
      <c r="J320" s="5"/>
      <c r="K320" s="5"/>
      <c r="L320" s="13" t="e">
        <f>Data_Geotech[[#This Row],[RQD (m)]]/Data_Geotech[[#This Row],[Run Reel (m)]]*100</f>
        <v>#DIV/0!</v>
      </c>
      <c r="P320" s="115"/>
      <c r="Q320" s="5"/>
      <c r="R320" s="5"/>
      <c r="S320" s="5"/>
      <c r="T320" s="5"/>
      <c r="U320" s="5"/>
      <c r="V320" s="6"/>
      <c r="W320" s="92">
        <f>SUMIFS(Discontinuities!$D$4:$D$9664,Discontinuities!$A$4:$A$9664,A320,Discontinuities!$C$4:$C$9664,"&gt;="&amp;C320,Discontinuities!$C$4:$C$9664,"&lt;"&amp;D320)
-SUMIFS(Discontinuities!$D$4:$D$9664,Discontinuities!$A$4:$A$9664,A320,Discontinuities!$C$4:$C$9664,"&gt;="&amp;C320,Discontinuities!$C$4:$C$9664,"&lt;"&amp;D320,Discontinuities!$E$4:$E$9664,"=BC")
-SUMIFS(Discontinuities!$D$4:$D$9664,Discontinuities!$A$4:$A$9664,A320,Discontinuities!$C$4:$C$9664,"&gt;="&amp;C320,Discontinuities!$C$4:$C$9664,"&lt;"&amp;D320,Discontinuities!$E$4:$E$9664,"=LC")
-SUMIFS(Discontinuities!$D$4:$D$9664,Discontinuities!$A$4:$A$9664,A320,Discontinuities!$C$4:$C$9664,"&gt;="&amp;C320,Discontinuities!$C$4:$C$9664,"&lt;"&amp;D320,Discontinuities!$E$4:$E$9664,"=FLT")</f>
        <v>0</v>
      </c>
      <c r="AA320" s="132"/>
      <c r="AB320" s="159">
        <f>IFERROR(ROUND((Data_Geotech[[#This Row],[Fault (m)]]+Data_Geotech[[#This Row],[Broken Core (m)]]+Data_Geotech[[#This Row],[Lost Core (m)]])*30,0),0)</f>
        <v>0</v>
      </c>
      <c r="AC320" s="135">
        <f>IF(Data_Geotech[[#This Row],[Added fractures 
(BC, FLT, LC)]]+Data_Geotech[[#This Row],[Fracture per interval]]=0,99,1/((Data_Geotech[[#This Row],[Fracture per interval]]+Data_Geotech[[#This Row],[Added fractures 
(BC, FLT, LC)]])/Data_Geotech[[#This Row],[Run (m)]]))</f>
        <v>99</v>
      </c>
      <c r="AD320" s="160" t="str" cm="1">
        <f t="array" ref="AD320">IFERROR(_xlfn.XLOOKUP(1,(A320=PLT!$A$4:$A$8886)*(Geotech!C320&lt;=PLT!$F$4:$F$8886)*(Geotech!D320&gt;=PLT!$F$4:$F$8886)*("Valid"=PLT!$P$4:$P$8886),PLT!$V$4:$V$8886),"")</f>
        <v/>
      </c>
      <c r="AE320" s="161" t="str" cm="1">
        <f t="array" ref="AE320">IFERROR(_xlfn.XLOOKUP(1,(A320=PLT!$A$4:$A$8886)*(Geotech!C320&lt;=PLT!$F$4:$F$8886)*(Geotech!D320&gt;=PLT!$F$4:$F$8886)*(PLT!$V$4:$V$8886&lt;&gt;AD320)*("Valid"=PLT!$P$4:$P$7190),PLT!$V$4:$V$8886),"")</f>
        <v/>
      </c>
      <c r="AF320" s="161" t="str" cm="1">
        <f t="array" ref="AF320">IFERROR(_xlfn.XLOOKUP(1,(A320=PLT!$A$4:$A$8886)*(Geotech!C320&lt;=PLT!$F$4:$F$8886)*(Geotech!D320&gt;=PLT!$F$4:$F$8886)*(PLT!$V$4:$V$8886&lt;&gt;AD320)*(PLT!$V$4:$V$8886&lt;&gt;AE320)*("Valid"=PLT!$P$4:$P$7190),PLT!$V$4:$V$8886),"")</f>
        <v/>
      </c>
      <c r="AG320" s="162" t="str">
        <f>IFERROR(IF(AVERAGE(AD320:AF320)&gt;References!$BO$23,References!$BP$23,
IF(AVERAGE(AD320:AF320)&gt;References!$BO$22,References!$BP$22,
IF(AVERAGE(AD320:AF320)&gt;References!$BO$21,References!$BP$21,
IF(AVERAGE(AD320:AF320)&gt;References!$BO$20,References!$BP$20,
IF(AVERAGE(AD320:AF320)&gt;References!$BO$19,References!$BP$19,
IF(AVERAGE(AD320:AF320)&gt;References!$BO$18,References!$BP$18,
0)))))),"")</f>
        <v/>
      </c>
      <c r="AH320" s="163" t="e">
        <f>VLOOKUP(Data_Geotech[[#This Row],[Field Intact Rock Strength]],Table_RMR76_Strength[],2,FALSE)</f>
        <v>#N/A</v>
      </c>
      <c r="AI320" s="163" t="e">
        <f>IF(Data_Geotech[[#This Row],[RQD (%)]]&lt;=25,3,IF(Data_Geotech[[#This Row],[RQD (%)]]&lt;=50,8,IF(Data_Geotech[[#This Row],[RQD (%)]]&lt;=75,13,IF(Data_Geotech[[#This Row],[RQD (%)]]&lt;=90,17,20))))</f>
        <v>#DIV/0!</v>
      </c>
      <c r="AJ320" s="136">
        <f>IF(Data_Geotech[[#This Row],[Joint spacing (m)]]&lt;=0.05,5,IF(Data_Geotech[[#This Row],[Joint spacing (m)]]&lt;=0.3,10,IF(Data_Geotech[[#This Row],[Joint spacing (m)]]&lt;=1,20,IF(Data_Geotech[[#This Row],[Joint spacing (m)]]&lt;=3,25,30))))</f>
        <v>30</v>
      </c>
      <c r="AK32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0" s="6"/>
      <c r="AM320" s="137" t="str">
        <f>IF(Data_Geotech[[#This Row],[FIRS Code]]="R",IFERROR(SUM(Data_Geotech[[#This Row],[RMR76 - Strength rating]:[RMR76 - Ground water rating]]),""),"")</f>
        <v/>
      </c>
      <c r="AN320" s="164" t="str">
        <f>IF(Data_Geotech[[#This Row],[FIRS Code]]="R",(2*Data_Geotech[[#This Row],[RMR76 - Joint condition rating]])+(IF(Data_Geotech[[#This Row],[RQD (%)]]&gt;80,80/2,Data_Geotech[[#This Row],[RQD (%)]]/2)),"")</f>
        <v/>
      </c>
      <c r="AO320" s="136" t="e">
        <f>LEFT(Data_Geotech[[#This Row],[Joint Set Rating]],FIND("-",Data_Geotech[[#This Row],[Joint Set Rating]],1)-2)</f>
        <v>#VALUE!</v>
      </c>
      <c r="AP32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0" s="143">
        <f t="shared" si="6"/>
        <v>1</v>
      </c>
      <c r="AR320" s="165" t="str">
        <f>IF(Data_Geotech[[#This Row],[FIRS Code]]="R",IFERROR((IF(Data_Geotech[[#This Row],[RQD (%)]]&lt;10,10,Data_Geotech[[#This Row],[RQD (%)]])/Data_Geotech[[#This Row],[Jn rating]])*Data_Geotech[[#This Row],[Jr/Ja]],""),"")</f>
        <v/>
      </c>
      <c r="AS320" s="138" t="str">
        <f>IF(Data_Geotech[[#This Row],[FIRS Code]]="R",IFERROR((IF(Data_Geotech[[#This Row],[RQD (%)]]&lt;10,10,Data_Geotech[[#This Row],[RQD (%)]])/Data_Geotech[[#This Row],[Jn rating]])*Data_Geotech[[#This Row],[Jr/Ja]]*Data_Geotech[[#This Row],[Jw/SRF]],""),"")</f>
        <v/>
      </c>
      <c r="AT320" s="12"/>
      <c r="AU320" s="13" t="e">
        <f>100-Data_Geotech[[#This Row],[RQD (%)]]</f>
        <v>#DIV/0!</v>
      </c>
      <c r="AV320" s="13" t="e">
        <f>100-Data_Geotech[[#This Row],[TCR (%)]]</f>
        <v>#DIV/0!</v>
      </c>
      <c r="AW320" s="62" t="e">
        <f>(Data_Geotech[[#This Row],[Fracture per interval]]+Data_Geotech[[#This Row],[Added fractures 
(BC, FLT, LC)]])/Data_Geotech[[#This Row],[TCR (m)]]</f>
        <v>#DIV/0!</v>
      </c>
      <c r="AX320" s="62" t="str">
        <f>MID(Data_Geotech[[#This Row],[Field Intact Rock Strength]],2,1)</f>
        <v/>
      </c>
      <c r="AY320" s="63" t="e">
        <f>7-MID(Data_Geotech[[#This Row],[Field Intact Rock Strength]],2,1)</f>
        <v>#VALUE!</v>
      </c>
      <c r="AZ320" s="63" t="e">
        <f>VLOOKUP(Data_Geotech[[#This Row],[Field Intact Rock Strength]],Table_FieldStrength[],2,FALSE)</f>
        <v>#N/A</v>
      </c>
      <c r="BA320" s="63" t="e">
        <f>VLOOKUP(Data_Geotech[[#This Row],[Field Intact Rock Strength]],Table_FieldStrength[],3,FALSE)</f>
        <v>#N/A</v>
      </c>
      <c r="BB320" s="63" t="e">
        <f>VLOOKUP(Data_Geotech[[#This Row],[Field Intact Rock Strength]],Table_FieldStrength[],4,FALSE)</f>
        <v>#N/A</v>
      </c>
      <c r="BC320" s="63" t="e">
        <f>100-Data_Geotech[[#This Row],[RMR76]]</f>
        <v>#VALUE!</v>
      </c>
      <c r="BD320" s="63" t="e">
        <f>LEFT(Data_Geotech[[#This Row],[Weathering/Alteration]],FIND("-",Data_Geotech[[#This Row],[Weathering/Alteration]])-2)</f>
        <v>#VALUE!</v>
      </c>
    </row>
    <row r="321" spans="1:56" hidden="1" x14ac:dyDescent="0.25">
      <c r="A321" s="14"/>
      <c r="B321" s="166" t="e">
        <f>VLOOKUP(Data_Geotech[[#This Row],[Hole ID]],Data_Log[],2,FALSE)</f>
        <v>#N/A</v>
      </c>
      <c r="C321" s="5"/>
      <c r="D321" s="5"/>
      <c r="E321" s="5">
        <f>(Data_Geotech[[#This Row],[To (m)]]-Data_Geotech[[#This Row],[From (m)]])/2+Data_Geotech[[#This Row],[From (m)]]</f>
        <v>0</v>
      </c>
      <c r="F321" s="13">
        <f>Data_Geotech[[#This Row],[To (m)]]-Data_Geotech[[#This Row],[From (m)]]</f>
        <v>0</v>
      </c>
      <c r="G321" s="5"/>
      <c r="H321" s="13" t="e">
        <f>Data_Geotech[[#This Row],[TCR (m)]]/Data_Geotech[[#This Row],[Run (m)]]*100</f>
        <v>#DIV/0!</v>
      </c>
      <c r="I321" s="5"/>
      <c r="J321" s="5"/>
      <c r="K321" s="5"/>
      <c r="L321" s="13" t="e">
        <f>Data_Geotech[[#This Row],[RQD (m)]]/Data_Geotech[[#This Row],[Run Reel (m)]]*100</f>
        <v>#DIV/0!</v>
      </c>
      <c r="P321" s="115"/>
      <c r="Q321" s="5"/>
      <c r="R321" s="5"/>
      <c r="S321" s="5"/>
      <c r="T321" s="5"/>
      <c r="U321" s="5"/>
      <c r="V321" s="6"/>
      <c r="W321" s="92">
        <f>SUMIFS(Discontinuities!$D$4:$D$9664,Discontinuities!$A$4:$A$9664,A321,Discontinuities!$C$4:$C$9664,"&gt;="&amp;C321,Discontinuities!$C$4:$C$9664,"&lt;"&amp;D321)
-SUMIFS(Discontinuities!$D$4:$D$9664,Discontinuities!$A$4:$A$9664,A321,Discontinuities!$C$4:$C$9664,"&gt;="&amp;C321,Discontinuities!$C$4:$C$9664,"&lt;"&amp;D321,Discontinuities!$E$4:$E$9664,"=BC")
-SUMIFS(Discontinuities!$D$4:$D$9664,Discontinuities!$A$4:$A$9664,A321,Discontinuities!$C$4:$C$9664,"&gt;="&amp;C321,Discontinuities!$C$4:$C$9664,"&lt;"&amp;D321,Discontinuities!$E$4:$E$9664,"=LC")
-SUMIFS(Discontinuities!$D$4:$D$9664,Discontinuities!$A$4:$A$9664,A321,Discontinuities!$C$4:$C$9664,"&gt;="&amp;C321,Discontinuities!$C$4:$C$9664,"&lt;"&amp;D321,Discontinuities!$E$4:$E$9664,"=FLT")</f>
        <v>0</v>
      </c>
      <c r="AA321" s="132"/>
      <c r="AB321" s="159">
        <f>IFERROR(ROUND((Data_Geotech[[#This Row],[Fault (m)]]+Data_Geotech[[#This Row],[Broken Core (m)]]+Data_Geotech[[#This Row],[Lost Core (m)]])*30,0),0)</f>
        <v>0</v>
      </c>
      <c r="AC321" s="135">
        <f>IF(Data_Geotech[[#This Row],[Added fractures 
(BC, FLT, LC)]]+Data_Geotech[[#This Row],[Fracture per interval]]=0,99,1/((Data_Geotech[[#This Row],[Fracture per interval]]+Data_Geotech[[#This Row],[Added fractures 
(BC, FLT, LC)]])/Data_Geotech[[#This Row],[Run (m)]]))</f>
        <v>99</v>
      </c>
      <c r="AD321" s="160" t="str" cm="1">
        <f t="array" ref="AD321">IFERROR(_xlfn.XLOOKUP(1,(A321=PLT!$A$4:$A$8886)*(Geotech!C321&lt;=PLT!$F$4:$F$8886)*(Geotech!D321&gt;=PLT!$F$4:$F$8886)*("Valid"=PLT!$P$4:$P$8886),PLT!$V$4:$V$8886),"")</f>
        <v/>
      </c>
      <c r="AE321" s="161" t="str" cm="1">
        <f t="array" ref="AE321">IFERROR(_xlfn.XLOOKUP(1,(A321=PLT!$A$4:$A$8886)*(Geotech!C321&lt;=PLT!$F$4:$F$8886)*(Geotech!D321&gt;=PLT!$F$4:$F$8886)*(PLT!$V$4:$V$8886&lt;&gt;AD321)*("Valid"=PLT!$P$4:$P$7190),PLT!$V$4:$V$8886),"")</f>
        <v/>
      </c>
      <c r="AF321" s="161" t="str" cm="1">
        <f t="array" ref="AF321">IFERROR(_xlfn.XLOOKUP(1,(A321=PLT!$A$4:$A$8886)*(Geotech!C321&lt;=PLT!$F$4:$F$8886)*(Geotech!D321&gt;=PLT!$F$4:$F$8886)*(PLT!$V$4:$V$8886&lt;&gt;AD321)*(PLT!$V$4:$V$8886&lt;&gt;AE321)*("Valid"=PLT!$P$4:$P$7190),PLT!$V$4:$V$8886),"")</f>
        <v/>
      </c>
      <c r="AG321" s="162" t="str">
        <f>IFERROR(IF(AVERAGE(AD321:AF321)&gt;References!$BO$23,References!$BP$23,
IF(AVERAGE(AD321:AF321)&gt;References!$BO$22,References!$BP$22,
IF(AVERAGE(AD321:AF321)&gt;References!$BO$21,References!$BP$21,
IF(AVERAGE(AD321:AF321)&gt;References!$BO$20,References!$BP$20,
IF(AVERAGE(AD321:AF321)&gt;References!$BO$19,References!$BP$19,
IF(AVERAGE(AD321:AF321)&gt;References!$BO$18,References!$BP$18,
0)))))),"")</f>
        <v/>
      </c>
      <c r="AH321" s="163" t="e">
        <f>VLOOKUP(Data_Geotech[[#This Row],[Field Intact Rock Strength]],Table_RMR76_Strength[],2,FALSE)</f>
        <v>#N/A</v>
      </c>
      <c r="AI321" s="163" t="e">
        <f>IF(Data_Geotech[[#This Row],[RQD (%)]]&lt;=25,3,IF(Data_Geotech[[#This Row],[RQD (%)]]&lt;=50,8,IF(Data_Geotech[[#This Row],[RQD (%)]]&lt;=75,13,IF(Data_Geotech[[#This Row],[RQD (%)]]&lt;=90,17,20))))</f>
        <v>#DIV/0!</v>
      </c>
      <c r="AJ321" s="136">
        <f>IF(Data_Geotech[[#This Row],[Joint spacing (m)]]&lt;=0.05,5,IF(Data_Geotech[[#This Row],[Joint spacing (m)]]&lt;=0.3,10,IF(Data_Geotech[[#This Row],[Joint spacing (m)]]&lt;=1,20,IF(Data_Geotech[[#This Row],[Joint spacing (m)]]&lt;=3,25,30))))</f>
        <v>30</v>
      </c>
      <c r="AK32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1" s="6"/>
      <c r="AM321" s="137" t="str">
        <f>IF(Data_Geotech[[#This Row],[FIRS Code]]="R",IFERROR(SUM(Data_Geotech[[#This Row],[RMR76 - Strength rating]:[RMR76 - Ground water rating]]),""),"")</f>
        <v/>
      </c>
      <c r="AN321" s="164" t="str">
        <f>IF(Data_Geotech[[#This Row],[FIRS Code]]="R",(2*Data_Geotech[[#This Row],[RMR76 - Joint condition rating]])+(IF(Data_Geotech[[#This Row],[RQD (%)]]&gt;80,80/2,Data_Geotech[[#This Row],[RQD (%)]]/2)),"")</f>
        <v/>
      </c>
      <c r="AO321" s="136" t="e">
        <f>LEFT(Data_Geotech[[#This Row],[Joint Set Rating]],FIND("-",Data_Geotech[[#This Row],[Joint Set Rating]],1)-2)</f>
        <v>#VALUE!</v>
      </c>
      <c r="AP32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1" s="143">
        <f t="shared" si="6"/>
        <v>1</v>
      </c>
      <c r="AR321" s="165" t="str">
        <f>IF(Data_Geotech[[#This Row],[FIRS Code]]="R",IFERROR((IF(Data_Geotech[[#This Row],[RQD (%)]]&lt;10,10,Data_Geotech[[#This Row],[RQD (%)]])/Data_Geotech[[#This Row],[Jn rating]])*Data_Geotech[[#This Row],[Jr/Ja]],""),"")</f>
        <v/>
      </c>
      <c r="AS321" s="138" t="str">
        <f>IF(Data_Geotech[[#This Row],[FIRS Code]]="R",IFERROR((IF(Data_Geotech[[#This Row],[RQD (%)]]&lt;10,10,Data_Geotech[[#This Row],[RQD (%)]])/Data_Geotech[[#This Row],[Jn rating]])*Data_Geotech[[#This Row],[Jr/Ja]]*Data_Geotech[[#This Row],[Jw/SRF]],""),"")</f>
        <v/>
      </c>
      <c r="AT321" s="12"/>
      <c r="AU321" s="13" t="e">
        <f>100-Data_Geotech[[#This Row],[RQD (%)]]</f>
        <v>#DIV/0!</v>
      </c>
      <c r="AV321" s="13" t="e">
        <f>100-Data_Geotech[[#This Row],[TCR (%)]]</f>
        <v>#DIV/0!</v>
      </c>
      <c r="AW321" s="62" t="e">
        <f>(Data_Geotech[[#This Row],[Fracture per interval]]+Data_Geotech[[#This Row],[Added fractures 
(BC, FLT, LC)]])/Data_Geotech[[#This Row],[TCR (m)]]</f>
        <v>#DIV/0!</v>
      </c>
      <c r="AX321" s="62" t="str">
        <f>MID(Data_Geotech[[#This Row],[Field Intact Rock Strength]],2,1)</f>
        <v/>
      </c>
      <c r="AY321" s="63" t="e">
        <f>7-MID(Data_Geotech[[#This Row],[Field Intact Rock Strength]],2,1)</f>
        <v>#VALUE!</v>
      </c>
      <c r="AZ321" s="63" t="e">
        <f>VLOOKUP(Data_Geotech[[#This Row],[Field Intact Rock Strength]],Table_FieldStrength[],2,FALSE)</f>
        <v>#N/A</v>
      </c>
      <c r="BA321" s="63" t="e">
        <f>VLOOKUP(Data_Geotech[[#This Row],[Field Intact Rock Strength]],Table_FieldStrength[],3,FALSE)</f>
        <v>#N/A</v>
      </c>
      <c r="BB321" s="63" t="e">
        <f>VLOOKUP(Data_Geotech[[#This Row],[Field Intact Rock Strength]],Table_FieldStrength[],4,FALSE)</f>
        <v>#N/A</v>
      </c>
      <c r="BC321" s="63" t="e">
        <f>100-Data_Geotech[[#This Row],[RMR76]]</f>
        <v>#VALUE!</v>
      </c>
      <c r="BD321" s="63" t="e">
        <f>LEFT(Data_Geotech[[#This Row],[Weathering/Alteration]],FIND("-",Data_Geotech[[#This Row],[Weathering/Alteration]])-2)</f>
        <v>#VALUE!</v>
      </c>
    </row>
    <row r="322" spans="1:56" hidden="1" x14ac:dyDescent="0.25">
      <c r="A322" s="14"/>
      <c r="B322" s="166" t="e">
        <f>VLOOKUP(Data_Geotech[[#This Row],[Hole ID]],Data_Log[],2,FALSE)</f>
        <v>#N/A</v>
      </c>
      <c r="C322" s="5"/>
      <c r="D322" s="5"/>
      <c r="E322" s="5">
        <f>(Data_Geotech[[#This Row],[To (m)]]-Data_Geotech[[#This Row],[From (m)]])/2+Data_Geotech[[#This Row],[From (m)]]</f>
        <v>0</v>
      </c>
      <c r="F322" s="13">
        <f>Data_Geotech[[#This Row],[To (m)]]-Data_Geotech[[#This Row],[From (m)]]</f>
        <v>0</v>
      </c>
      <c r="G322" s="5"/>
      <c r="H322" s="13" t="e">
        <f>Data_Geotech[[#This Row],[TCR (m)]]/Data_Geotech[[#This Row],[Run (m)]]*100</f>
        <v>#DIV/0!</v>
      </c>
      <c r="I322" s="5"/>
      <c r="J322" s="5"/>
      <c r="K322" s="5"/>
      <c r="L322" s="13" t="e">
        <f>Data_Geotech[[#This Row],[RQD (m)]]/Data_Geotech[[#This Row],[Run Reel (m)]]*100</f>
        <v>#DIV/0!</v>
      </c>
      <c r="P322" s="115"/>
      <c r="Q322" s="5"/>
      <c r="R322" s="5"/>
      <c r="S322" s="5"/>
      <c r="T322" s="5"/>
      <c r="U322" s="5"/>
      <c r="V322" s="6"/>
      <c r="W322" s="92">
        <f>SUMIFS(Discontinuities!$D$4:$D$9664,Discontinuities!$A$4:$A$9664,A322,Discontinuities!$C$4:$C$9664,"&gt;="&amp;C322,Discontinuities!$C$4:$C$9664,"&lt;"&amp;D322)
-SUMIFS(Discontinuities!$D$4:$D$9664,Discontinuities!$A$4:$A$9664,A322,Discontinuities!$C$4:$C$9664,"&gt;="&amp;C322,Discontinuities!$C$4:$C$9664,"&lt;"&amp;D322,Discontinuities!$E$4:$E$9664,"=BC")
-SUMIFS(Discontinuities!$D$4:$D$9664,Discontinuities!$A$4:$A$9664,A322,Discontinuities!$C$4:$C$9664,"&gt;="&amp;C322,Discontinuities!$C$4:$C$9664,"&lt;"&amp;D322,Discontinuities!$E$4:$E$9664,"=LC")
-SUMIFS(Discontinuities!$D$4:$D$9664,Discontinuities!$A$4:$A$9664,A322,Discontinuities!$C$4:$C$9664,"&gt;="&amp;C322,Discontinuities!$C$4:$C$9664,"&lt;"&amp;D322,Discontinuities!$E$4:$E$9664,"=FLT")</f>
        <v>0</v>
      </c>
      <c r="AA322" s="132"/>
      <c r="AB322" s="159">
        <f>IFERROR(ROUND((Data_Geotech[[#This Row],[Fault (m)]]+Data_Geotech[[#This Row],[Broken Core (m)]]+Data_Geotech[[#This Row],[Lost Core (m)]])*30,0),0)</f>
        <v>0</v>
      </c>
      <c r="AC322" s="135">
        <f>IF(Data_Geotech[[#This Row],[Added fractures 
(BC, FLT, LC)]]+Data_Geotech[[#This Row],[Fracture per interval]]=0,99,1/((Data_Geotech[[#This Row],[Fracture per interval]]+Data_Geotech[[#This Row],[Added fractures 
(BC, FLT, LC)]])/Data_Geotech[[#This Row],[Run (m)]]))</f>
        <v>99</v>
      </c>
      <c r="AD322" s="160" t="str" cm="1">
        <f t="array" ref="AD322">IFERROR(_xlfn.XLOOKUP(1,(A322=PLT!$A$4:$A$8886)*(Geotech!C322&lt;=PLT!$F$4:$F$8886)*(Geotech!D322&gt;=PLT!$F$4:$F$8886)*("Valid"=PLT!$P$4:$P$8886),PLT!$V$4:$V$8886),"")</f>
        <v/>
      </c>
      <c r="AE322" s="161" t="str" cm="1">
        <f t="array" ref="AE322">IFERROR(_xlfn.XLOOKUP(1,(A322=PLT!$A$4:$A$8886)*(Geotech!C322&lt;=PLT!$F$4:$F$8886)*(Geotech!D322&gt;=PLT!$F$4:$F$8886)*(PLT!$V$4:$V$8886&lt;&gt;AD322)*("Valid"=PLT!$P$4:$P$7190),PLT!$V$4:$V$8886),"")</f>
        <v/>
      </c>
      <c r="AF322" s="161" t="str" cm="1">
        <f t="array" ref="AF322">IFERROR(_xlfn.XLOOKUP(1,(A322=PLT!$A$4:$A$8886)*(Geotech!C322&lt;=PLT!$F$4:$F$8886)*(Geotech!D322&gt;=PLT!$F$4:$F$8886)*(PLT!$V$4:$V$8886&lt;&gt;AD322)*(PLT!$V$4:$V$8886&lt;&gt;AE322)*("Valid"=PLT!$P$4:$P$7190),PLT!$V$4:$V$8886),"")</f>
        <v/>
      </c>
      <c r="AG322" s="162" t="str">
        <f>IFERROR(IF(AVERAGE(AD322:AF322)&gt;References!$BO$23,References!$BP$23,
IF(AVERAGE(AD322:AF322)&gt;References!$BO$22,References!$BP$22,
IF(AVERAGE(AD322:AF322)&gt;References!$BO$21,References!$BP$21,
IF(AVERAGE(AD322:AF322)&gt;References!$BO$20,References!$BP$20,
IF(AVERAGE(AD322:AF322)&gt;References!$BO$19,References!$BP$19,
IF(AVERAGE(AD322:AF322)&gt;References!$BO$18,References!$BP$18,
0)))))),"")</f>
        <v/>
      </c>
      <c r="AH322" s="163" t="e">
        <f>VLOOKUP(Data_Geotech[[#This Row],[Field Intact Rock Strength]],Table_RMR76_Strength[],2,FALSE)</f>
        <v>#N/A</v>
      </c>
      <c r="AI322" s="163" t="e">
        <f>IF(Data_Geotech[[#This Row],[RQD (%)]]&lt;=25,3,IF(Data_Geotech[[#This Row],[RQD (%)]]&lt;=50,8,IF(Data_Geotech[[#This Row],[RQD (%)]]&lt;=75,13,IF(Data_Geotech[[#This Row],[RQD (%)]]&lt;=90,17,20))))</f>
        <v>#DIV/0!</v>
      </c>
      <c r="AJ322" s="136">
        <f>IF(Data_Geotech[[#This Row],[Joint spacing (m)]]&lt;=0.05,5,IF(Data_Geotech[[#This Row],[Joint spacing (m)]]&lt;=0.3,10,IF(Data_Geotech[[#This Row],[Joint spacing (m)]]&lt;=1,20,IF(Data_Geotech[[#This Row],[Joint spacing (m)]]&lt;=3,25,30))))</f>
        <v>30</v>
      </c>
      <c r="AK32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2" s="6"/>
      <c r="AM322" s="137" t="str">
        <f>IF(Data_Geotech[[#This Row],[FIRS Code]]="R",IFERROR(SUM(Data_Geotech[[#This Row],[RMR76 - Strength rating]:[RMR76 - Ground water rating]]),""),"")</f>
        <v/>
      </c>
      <c r="AN322" s="164" t="str">
        <f>IF(Data_Geotech[[#This Row],[FIRS Code]]="R",(2*Data_Geotech[[#This Row],[RMR76 - Joint condition rating]])+(IF(Data_Geotech[[#This Row],[RQD (%)]]&gt;80,80/2,Data_Geotech[[#This Row],[RQD (%)]]/2)),"")</f>
        <v/>
      </c>
      <c r="AO322" s="136" t="e">
        <f>LEFT(Data_Geotech[[#This Row],[Joint Set Rating]],FIND("-",Data_Geotech[[#This Row],[Joint Set Rating]],1)-2)</f>
        <v>#VALUE!</v>
      </c>
      <c r="AP32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2" s="143">
        <f t="shared" si="6"/>
        <v>1</v>
      </c>
      <c r="AR322" s="165" t="str">
        <f>IF(Data_Geotech[[#This Row],[FIRS Code]]="R",IFERROR((IF(Data_Geotech[[#This Row],[RQD (%)]]&lt;10,10,Data_Geotech[[#This Row],[RQD (%)]])/Data_Geotech[[#This Row],[Jn rating]])*Data_Geotech[[#This Row],[Jr/Ja]],""),"")</f>
        <v/>
      </c>
      <c r="AS322" s="138" t="str">
        <f>IF(Data_Geotech[[#This Row],[FIRS Code]]="R",IFERROR((IF(Data_Geotech[[#This Row],[RQD (%)]]&lt;10,10,Data_Geotech[[#This Row],[RQD (%)]])/Data_Geotech[[#This Row],[Jn rating]])*Data_Geotech[[#This Row],[Jr/Ja]]*Data_Geotech[[#This Row],[Jw/SRF]],""),"")</f>
        <v/>
      </c>
      <c r="AT322" s="12"/>
      <c r="AU322" s="13" t="e">
        <f>100-Data_Geotech[[#This Row],[RQD (%)]]</f>
        <v>#DIV/0!</v>
      </c>
      <c r="AV322" s="13" t="e">
        <f>100-Data_Geotech[[#This Row],[TCR (%)]]</f>
        <v>#DIV/0!</v>
      </c>
      <c r="AW322" s="62" t="e">
        <f>(Data_Geotech[[#This Row],[Fracture per interval]]+Data_Geotech[[#This Row],[Added fractures 
(BC, FLT, LC)]])/Data_Geotech[[#This Row],[TCR (m)]]</f>
        <v>#DIV/0!</v>
      </c>
      <c r="AX322" s="62" t="str">
        <f>MID(Data_Geotech[[#This Row],[Field Intact Rock Strength]],2,1)</f>
        <v/>
      </c>
      <c r="AY322" s="63" t="e">
        <f>7-MID(Data_Geotech[[#This Row],[Field Intact Rock Strength]],2,1)</f>
        <v>#VALUE!</v>
      </c>
      <c r="AZ322" s="63" t="e">
        <f>VLOOKUP(Data_Geotech[[#This Row],[Field Intact Rock Strength]],Table_FieldStrength[],2,FALSE)</f>
        <v>#N/A</v>
      </c>
      <c r="BA322" s="63" t="e">
        <f>VLOOKUP(Data_Geotech[[#This Row],[Field Intact Rock Strength]],Table_FieldStrength[],3,FALSE)</f>
        <v>#N/A</v>
      </c>
      <c r="BB322" s="63" t="e">
        <f>VLOOKUP(Data_Geotech[[#This Row],[Field Intact Rock Strength]],Table_FieldStrength[],4,FALSE)</f>
        <v>#N/A</v>
      </c>
      <c r="BC322" s="63" t="e">
        <f>100-Data_Geotech[[#This Row],[RMR76]]</f>
        <v>#VALUE!</v>
      </c>
      <c r="BD322" s="63" t="e">
        <f>LEFT(Data_Geotech[[#This Row],[Weathering/Alteration]],FIND("-",Data_Geotech[[#This Row],[Weathering/Alteration]])-2)</f>
        <v>#VALUE!</v>
      </c>
    </row>
    <row r="323" spans="1:56" hidden="1" x14ac:dyDescent="0.25">
      <c r="A323" s="14"/>
      <c r="B323" s="166" t="e">
        <f>VLOOKUP(Data_Geotech[[#This Row],[Hole ID]],Data_Log[],2,FALSE)</f>
        <v>#N/A</v>
      </c>
      <c r="C323" s="5"/>
      <c r="D323" s="5"/>
      <c r="E323" s="5">
        <f>(Data_Geotech[[#This Row],[To (m)]]-Data_Geotech[[#This Row],[From (m)]])/2+Data_Geotech[[#This Row],[From (m)]]</f>
        <v>0</v>
      </c>
      <c r="F323" s="13">
        <f>Data_Geotech[[#This Row],[To (m)]]-Data_Geotech[[#This Row],[From (m)]]</f>
        <v>0</v>
      </c>
      <c r="G323" s="5"/>
      <c r="H323" s="13" t="e">
        <f>Data_Geotech[[#This Row],[TCR (m)]]/Data_Geotech[[#This Row],[Run (m)]]*100</f>
        <v>#DIV/0!</v>
      </c>
      <c r="I323" s="5"/>
      <c r="J323" s="5"/>
      <c r="K323" s="5"/>
      <c r="L323" s="13" t="e">
        <f>Data_Geotech[[#This Row],[RQD (m)]]/Data_Geotech[[#This Row],[Run Reel (m)]]*100</f>
        <v>#DIV/0!</v>
      </c>
      <c r="P323" s="115"/>
      <c r="Q323" s="5"/>
      <c r="R323" s="5"/>
      <c r="S323" s="5"/>
      <c r="T323" s="5"/>
      <c r="U323" s="5"/>
      <c r="V323" s="6"/>
      <c r="W323" s="92">
        <f>SUMIFS(Discontinuities!$D$4:$D$9664,Discontinuities!$A$4:$A$9664,A323,Discontinuities!$C$4:$C$9664,"&gt;="&amp;C323,Discontinuities!$C$4:$C$9664,"&lt;"&amp;D323)
-SUMIFS(Discontinuities!$D$4:$D$9664,Discontinuities!$A$4:$A$9664,A323,Discontinuities!$C$4:$C$9664,"&gt;="&amp;C323,Discontinuities!$C$4:$C$9664,"&lt;"&amp;D323,Discontinuities!$E$4:$E$9664,"=BC")
-SUMIFS(Discontinuities!$D$4:$D$9664,Discontinuities!$A$4:$A$9664,A323,Discontinuities!$C$4:$C$9664,"&gt;="&amp;C323,Discontinuities!$C$4:$C$9664,"&lt;"&amp;D323,Discontinuities!$E$4:$E$9664,"=LC")
-SUMIFS(Discontinuities!$D$4:$D$9664,Discontinuities!$A$4:$A$9664,A323,Discontinuities!$C$4:$C$9664,"&gt;="&amp;C323,Discontinuities!$C$4:$C$9664,"&lt;"&amp;D323,Discontinuities!$E$4:$E$9664,"=FLT")</f>
        <v>0</v>
      </c>
      <c r="AA323" s="132"/>
      <c r="AB323" s="159">
        <f>IFERROR(ROUND((Data_Geotech[[#This Row],[Fault (m)]]+Data_Geotech[[#This Row],[Broken Core (m)]]+Data_Geotech[[#This Row],[Lost Core (m)]])*30,0),0)</f>
        <v>0</v>
      </c>
      <c r="AC323" s="135">
        <f>IF(Data_Geotech[[#This Row],[Added fractures 
(BC, FLT, LC)]]+Data_Geotech[[#This Row],[Fracture per interval]]=0,99,1/((Data_Geotech[[#This Row],[Fracture per interval]]+Data_Geotech[[#This Row],[Added fractures 
(BC, FLT, LC)]])/Data_Geotech[[#This Row],[Run (m)]]))</f>
        <v>99</v>
      </c>
      <c r="AD323" s="160" t="str" cm="1">
        <f t="array" ref="AD323">IFERROR(_xlfn.XLOOKUP(1,(A323=PLT!$A$4:$A$8886)*(Geotech!C323&lt;=PLT!$F$4:$F$8886)*(Geotech!D323&gt;=PLT!$F$4:$F$8886)*("Valid"=PLT!$P$4:$P$8886),PLT!$V$4:$V$8886),"")</f>
        <v/>
      </c>
      <c r="AE323" s="161" t="str" cm="1">
        <f t="array" ref="AE323">IFERROR(_xlfn.XLOOKUP(1,(A323=PLT!$A$4:$A$8886)*(Geotech!C323&lt;=PLT!$F$4:$F$8886)*(Geotech!D323&gt;=PLT!$F$4:$F$8886)*(PLT!$V$4:$V$8886&lt;&gt;AD323)*("Valid"=PLT!$P$4:$P$7190),PLT!$V$4:$V$8886),"")</f>
        <v/>
      </c>
      <c r="AF323" s="161" t="str" cm="1">
        <f t="array" ref="AF323">IFERROR(_xlfn.XLOOKUP(1,(A323=PLT!$A$4:$A$8886)*(Geotech!C323&lt;=PLT!$F$4:$F$8886)*(Geotech!D323&gt;=PLT!$F$4:$F$8886)*(PLT!$V$4:$V$8886&lt;&gt;AD323)*(PLT!$V$4:$V$8886&lt;&gt;AE323)*("Valid"=PLT!$P$4:$P$7190),PLT!$V$4:$V$8886),"")</f>
        <v/>
      </c>
      <c r="AG323" s="162" t="str">
        <f>IFERROR(IF(AVERAGE(AD323:AF323)&gt;References!$BO$23,References!$BP$23,
IF(AVERAGE(AD323:AF323)&gt;References!$BO$22,References!$BP$22,
IF(AVERAGE(AD323:AF323)&gt;References!$BO$21,References!$BP$21,
IF(AVERAGE(AD323:AF323)&gt;References!$BO$20,References!$BP$20,
IF(AVERAGE(AD323:AF323)&gt;References!$BO$19,References!$BP$19,
IF(AVERAGE(AD323:AF323)&gt;References!$BO$18,References!$BP$18,
0)))))),"")</f>
        <v/>
      </c>
      <c r="AH323" s="163" t="e">
        <f>VLOOKUP(Data_Geotech[[#This Row],[Field Intact Rock Strength]],Table_RMR76_Strength[],2,FALSE)</f>
        <v>#N/A</v>
      </c>
      <c r="AI323" s="163" t="e">
        <f>IF(Data_Geotech[[#This Row],[RQD (%)]]&lt;=25,3,IF(Data_Geotech[[#This Row],[RQD (%)]]&lt;=50,8,IF(Data_Geotech[[#This Row],[RQD (%)]]&lt;=75,13,IF(Data_Geotech[[#This Row],[RQD (%)]]&lt;=90,17,20))))</f>
        <v>#DIV/0!</v>
      </c>
      <c r="AJ323" s="136">
        <f>IF(Data_Geotech[[#This Row],[Joint spacing (m)]]&lt;=0.05,5,IF(Data_Geotech[[#This Row],[Joint spacing (m)]]&lt;=0.3,10,IF(Data_Geotech[[#This Row],[Joint spacing (m)]]&lt;=1,20,IF(Data_Geotech[[#This Row],[Joint spacing (m)]]&lt;=3,25,30))))</f>
        <v>30</v>
      </c>
      <c r="AK32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3" s="6"/>
      <c r="AM323" s="137" t="str">
        <f>IF(Data_Geotech[[#This Row],[FIRS Code]]="R",IFERROR(SUM(Data_Geotech[[#This Row],[RMR76 - Strength rating]:[RMR76 - Ground water rating]]),""),"")</f>
        <v/>
      </c>
      <c r="AN323" s="164" t="str">
        <f>IF(Data_Geotech[[#This Row],[FIRS Code]]="R",(2*Data_Geotech[[#This Row],[RMR76 - Joint condition rating]])+(IF(Data_Geotech[[#This Row],[RQD (%)]]&gt;80,80/2,Data_Geotech[[#This Row],[RQD (%)]]/2)),"")</f>
        <v/>
      </c>
      <c r="AO323" s="136" t="e">
        <f>LEFT(Data_Geotech[[#This Row],[Joint Set Rating]],FIND("-",Data_Geotech[[#This Row],[Joint Set Rating]],1)-2)</f>
        <v>#VALUE!</v>
      </c>
      <c r="AP32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3" s="143">
        <f t="shared" si="6"/>
        <v>1</v>
      </c>
      <c r="AR323" s="165" t="str">
        <f>IF(Data_Geotech[[#This Row],[FIRS Code]]="R",IFERROR((IF(Data_Geotech[[#This Row],[RQD (%)]]&lt;10,10,Data_Geotech[[#This Row],[RQD (%)]])/Data_Geotech[[#This Row],[Jn rating]])*Data_Geotech[[#This Row],[Jr/Ja]],""),"")</f>
        <v/>
      </c>
      <c r="AS323" s="138" t="str">
        <f>IF(Data_Geotech[[#This Row],[FIRS Code]]="R",IFERROR((IF(Data_Geotech[[#This Row],[RQD (%)]]&lt;10,10,Data_Geotech[[#This Row],[RQD (%)]])/Data_Geotech[[#This Row],[Jn rating]])*Data_Geotech[[#This Row],[Jr/Ja]]*Data_Geotech[[#This Row],[Jw/SRF]],""),"")</f>
        <v/>
      </c>
      <c r="AT323" s="12"/>
      <c r="AU323" s="13" t="e">
        <f>100-Data_Geotech[[#This Row],[RQD (%)]]</f>
        <v>#DIV/0!</v>
      </c>
      <c r="AV323" s="13" t="e">
        <f>100-Data_Geotech[[#This Row],[TCR (%)]]</f>
        <v>#DIV/0!</v>
      </c>
      <c r="AW323" s="62" t="e">
        <f>(Data_Geotech[[#This Row],[Fracture per interval]]+Data_Geotech[[#This Row],[Added fractures 
(BC, FLT, LC)]])/Data_Geotech[[#This Row],[TCR (m)]]</f>
        <v>#DIV/0!</v>
      </c>
      <c r="AX323" s="62" t="str">
        <f>MID(Data_Geotech[[#This Row],[Field Intact Rock Strength]],2,1)</f>
        <v/>
      </c>
      <c r="AY323" s="63" t="e">
        <f>7-MID(Data_Geotech[[#This Row],[Field Intact Rock Strength]],2,1)</f>
        <v>#VALUE!</v>
      </c>
      <c r="AZ323" s="63" t="e">
        <f>VLOOKUP(Data_Geotech[[#This Row],[Field Intact Rock Strength]],Table_FieldStrength[],2,FALSE)</f>
        <v>#N/A</v>
      </c>
      <c r="BA323" s="63" t="e">
        <f>VLOOKUP(Data_Geotech[[#This Row],[Field Intact Rock Strength]],Table_FieldStrength[],3,FALSE)</f>
        <v>#N/A</v>
      </c>
      <c r="BB323" s="63" t="e">
        <f>VLOOKUP(Data_Geotech[[#This Row],[Field Intact Rock Strength]],Table_FieldStrength[],4,FALSE)</f>
        <v>#N/A</v>
      </c>
      <c r="BC323" s="63" t="e">
        <f>100-Data_Geotech[[#This Row],[RMR76]]</f>
        <v>#VALUE!</v>
      </c>
      <c r="BD323" s="63" t="e">
        <f>LEFT(Data_Geotech[[#This Row],[Weathering/Alteration]],FIND("-",Data_Geotech[[#This Row],[Weathering/Alteration]])-2)</f>
        <v>#VALUE!</v>
      </c>
    </row>
    <row r="324" spans="1:56" hidden="1" x14ac:dyDescent="0.25">
      <c r="A324" s="14"/>
      <c r="B324" s="166" t="e">
        <f>VLOOKUP(Data_Geotech[[#This Row],[Hole ID]],Data_Log[],2,FALSE)</f>
        <v>#N/A</v>
      </c>
      <c r="C324" s="5"/>
      <c r="D324" s="5"/>
      <c r="E324" s="5">
        <f>(Data_Geotech[[#This Row],[To (m)]]-Data_Geotech[[#This Row],[From (m)]])/2+Data_Geotech[[#This Row],[From (m)]]</f>
        <v>0</v>
      </c>
      <c r="F324" s="13">
        <f>Data_Geotech[[#This Row],[To (m)]]-Data_Geotech[[#This Row],[From (m)]]</f>
        <v>0</v>
      </c>
      <c r="G324" s="5"/>
      <c r="H324" s="13" t="e">
        <f>Data_Geotech[[#This Row],[TCR (m)]]/Data_Geotech[[#This Row],[Run (m)]]*100</f>
        <v>#DIV/0!</v>
      </c>
      <c r="I324" s="5"/>
      <c r="J324" s="5"/>
      <c r="K324" s="5"/>
      <c r="L324" s="13" t="e">
        <f>Data_Geotech[[#This Row],[RQD (m)]]/Data_Geotech[[#This Row],[Run Reel (m)]]*100</f>
        <v>#DIV/0!</v>
      </c>
      <c r="P324" s="115"/>
      <c r="Q324" s="5"/>
      <c r="R324" s="5"/>
      <c r="S324" s="5"/>
      <c r="T324" s="5"/>
      <c r="U324" s="5"/>
      <c r="V324" s="6"/>
      <c r="W324" s="92">
        <f>SUMIFS(Discontinuities!$D$4:$D$9664,Discontinuities!$A$4:$A$9664,A324,Discontinuities!$C$4:$C$9664,"&gt;="&amp;C324,Discontinuities!$C$4:$C$9664,"&lt;"&amp;D324)
-SUMIFS(Discontinuities!$D$4:$D$9664,Discontinuities!$A$4:$A$9664,A324,Discontinuities!$C$4:$C$9664,"&gt;="&amp;C324,Discontinuities!$C$4:$C$9664,"&lt;"&amp;D324,Discontinuities!$E$4:$E$9664,"=BC")
-SUMIFS(Discontinuities!$D$4:$D$9664,Discontinuities!$A$4:$A$9664,A324,Discontinuities!$C$4:$C$9664,"&gt;="&amp;C324,Discontinuities!$C$4:$C$9664,"&lt;"&amp;D324,Discontinuities!$E$4:$E$9664,"=LC")
-SUMIFS(Discontinuities!$D$4:$D$9664,Discontinuities!$A$4:$A$9664,A324,Discontinuities!$C$4:$C$9664,"&gt;="&amp;C324,Discontinuities!$C$4:$C$9664,"&lt;"&amp;D324,Discontinuities!$E$4:$E$9664,"=FLT")</f>
        <v>0</v>
      </c>
      <c r="AA324" s="132"/>
      <c r="AB324" s="159">
        <f>IFERROR(ROUND((Data_Geotech[[#This Row],[Fault (m)]]+Data_Geotech[[#This Row],[Broken Core (m)]]+Data_Geotech[[#This Row],[Lost Core (m)]])*30,0),0)</f>
        <v>0</v>
      </c>
      <c r="AC324" s="135">
        <f>IF(Data_Geotech[[#This Row],[Added fractures 
(BC, FLT, LC)]]+Data_Geotech[[#This Row],[Fracture per interval]]=0,99,1/((Data_Geotech[[#This Row],[Fracture per interval]]+Data_Geotech[[#This Row],[Added fractures 
(BC, FLT, LC)]])/Data_Geotech[[#This Row],[Run (m)]]))</f>
        <v>99</v>
      </c>
      <c r="AD324" s="160" t="str" cm="1">
        <f t="array" ref="AD324">IFERROR(_xlfn.XLOOKUP(1,(A324=PLT!$A$4:$A$8886)*(Geotech!C324&lt;=PLT!$F$4:$F$8886)*(Geotech!D324&gt;=PLT!$F$4:$F$8886)*("Valid"=PLT!$P$4:$P$8886),PLT!$V$4:$V$8886),"")</f>
        <v/>
      </c>
      <c r="AE324" s="161" t="str" cm="1">
        <f t="array" ref="AE324">IFERROR(_xlfn.XLOOKUP(1,(A324=PLT!$A$4:$A$8886)*(Geotech!C324&lt;=PLT!$F$4:$F$8886)*(Geotech!D324&gt;=PLT!$F$4:$F$8886)*(PLT!$V$4:$V$8886&lt;&gt;AD324)*("Valid"=PLT!$P$4:$P$7190),PLT!$V$4:$V$8886),"")</f>
        <v/>
      </c>
      <c r="AF324" s="161" t="str" cm="1">
        <f t="array" ref="AF324">IFERROR(_xlfn.XLOOKUP(1,(A324=PLT!$A$4:$A$8886)*(Geotech!C324&lt;=PLT!$F$4:$F$8886)*(Geotech!D324&gt;=PLT!$F$4:$F$8886)*(PLT!$V$4:$V$8886&lt;&gt;AD324)*(PLT!$V$4:$V$8886&lt;&gt;AE324)*("Valid"=PLT!$P$4:$P$7190),PLT!$V$4:$V$8886),"")</f>
        <v/>
      </c>
      <c r="AG324" s="162" t="str">
        <f>IFERROR(IF(AVERAGE(AD324:AF324)&gt;References!$BO$23,References!$BP$23,
IF(AVERAGE(AD324:AF324)&gt;References!$BO$22,References!$BP$22,
IF(AVERAGE(AD324:AF324)&gt;References!$BO$21,References!$BP$21,
IF(AVERAGE(AD324:AF324)&gt;References!$BO$20,References!$BP$20,
IF(AVERAGE(AD324:AF324)&gt;References!$BO$19,References!$BP$19,
IF(AVERAGE(AD324:AF324)&gt;References!$BO$18,References!$BP$18,
0)))))),"")</f>
        <v/>
      </c>
      <c r="AH324" s="163" t="e">
        <f>VLOOKUP(Data_Geotech[[#This Row],[Field Intact Rock Strength]],Table_RMR76_Strength[],2,FALSE)</f>
        <v>#N/A</v>
      </c>
      <c r="AI324" s="163" t="e">
        <f>IF(Data_Geotech[[#This Row],[RQD (%)]]&lt;=25,3,IF(Data_Geotech[[#This Row],[RQD (%)]]&lt;=50,8,IF(Data_Geotech[[#This Row],[RQD (%)]]&lt;=75,13,IF(Data_Geotech[[#This Row],[RQD (%)]]&lt;=90,17,20))))</f>
        <v>#DIV/0!</v>
      </c>
      <c r="AJ324" s="136">
        <f>IF(Data_Geotech[[#This Row],[Joint spacing (m)]]&lt;=0.05,5,IF(Data_Geotech[[#This Row],[Joint spacing (m)]]&lt;=0.3,10,IF(Data_Geotech[[#This Row],[Joint spacing (m)]]&lt;=1,20,IF(Data_Geotech[[#This Row],[Joint spacing (m)]]&lt;=3,25,30))))</f>
        <v>30</v>
      </c>
      <c r="AK32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4" s="6"/>
      <c r="AM324" s="137" t="str">
        <f>IF(Data_Geotech[[#This Row],[FIRS Code]]="R",IFERROR(SUM(Data_Geotech[[#This Row],[RMR76 - Strength rating]:[RMR76 - Ground water rating]]),""),"")</f>
        <v/>
      </c>
      <c r="AN324" s="164" t="str">
        <f>IF(Data_Geotech[[#This Row],[FIRS Code]]="R",(2*Data_Geotech[[#This Row],[RMR76 - Joint condition rating]])+(IF(Data_Geotech[[#This Row],[RQD (%)]]&gt;80,80/2,Data_Geotech[[#This Row],[RQD (%)]]/2)),"")</f>
        <v/>
      </c>
      <c r="AO324" s="136" t="e">
        <f>LEFT(Data_Geotech[[#This Row],[Joint Set Rating]],FIND("-",Data_Geotech[[#This Row],[Joint Set Rating]],1)-2)</f>
        <v>#VALUE!</v>
      </c>
      <c r="AP32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4" s="143">
        <f t="shared" si="6"/>
        <v>1</v>
      </c>
      <c r="AR324" s="165" t="str">
        <f>IF(Data_Geotech[[#This Row],[FIRS Code]]="R",IFERROR((IF(Data_Geotech[[#This Row],[RQD (%)]]&lt;10,10,Data_Geotech[[#This Row],[RQD (%)]])/Data_Geotech[[#This Row],[Jn rating]])*Data_Geotech[[#This Row],[Jr/Ja]],""),"")</f>
        <v/>
      </c>
      <c r="AS324" s="138" t="str">
        <f>IF(Data_Geotech[[#This Row],[FIRS Code]]="R",IFERROR((IF(Data_Geotech[[#This Row],[RQD (%)]]&lt;10,10,Data_Geotech[[#This Row],[RQD (%)]])/Data_Geotech[[#This Row],[Jn rating]])*Data_Geotech[[#This Row],[Jr/Ja]]*Data_Geotech[[#This Row],[Jw/SRF]],""),"")</f>
        <v/>
      </c>
      <c r="AT324" s="12"/>
      <c r="AU324" s="13" t="e">
        <f>100-Data_Geotech[[#This Row],[RQD (%)]]</f>
        <v>#DIV/0!</v>
      </c>
      <c r="AV324" s="13" t="e">
        <f>100-Data_Geotech[[#This Row],[TCR (%)]]</f>
        <v>#DIV/0!</v>
      </c>
      <c r="AW324" s="62" t="e">
        <f>(Data_Geotech[[#This Row],[Fracture per interval]]+Data_Geotech[[#This Row],[Added fractures 
(BC, FLT, LC)]])/Data_Geotech[[#This Row],[TCR (m)]]</f>
        <v>#DIV/0!</v>
      </c>
      <c r="AX324" s="62" t="str">
        <f>MID(Data_Geotech[[#This Row],[Field Intact Rock Strength]],2,1)</f>
        <v/>
      </c>
      <c r="AY324" s="63" t="e">
        <f>7-MID(Data_Geotech[[#This Row],[Field Intact Rock Strength]],2,1)</f>
        <v>#VALUE!</v>
      </c>
      <c r="AZ324" s="63" t="e">
        <f>VLOOKUP(Data_Geotech[[#This Row],[Field Intact Rock Strength]],Table_FieldStrength[],2,FALSE)</f>
        <v>#N/A</v>
      </c>
      <c r="BA324" s="63" t="e">
        <f>VLOOKUP(Data_Geotech[[#This Row],[Field Intact Rock Strength]],Table_FieldStrength[],3,FALSE)</f>
        <v>#N/A</v>
      </c>
      <c r="BB324" s="63" t="e">
        <f>VLOOKUP(Data_Geotech[[#This Row],[Field Intact Rock Strength]],Table_FieldStrength[],4,FALSE)</f>
        <v>#N/A</v>
      </c>
      <c r="BC324" s="63" t="e">
        <f>100-Data_Geotech[[#This Row],[RMR76]]</f>
        <v>#VALUE!</v>
      </c>
      <c r="BD324" s="63" t="e">
        <f>LEFT(Data_Geotech[[#This Row],[Weathering/Alteration]],FIND("-",Data_Geotech[[#This Row],[Weathering/Alteration]])-2)</f>
        <v>#VALUE!</v>
      </c>
    </row>
    <row r="325" spans="1:56" hidden="1" x14ac:dyDescent="0.25">
      <c r="A325" s="14"/>
      <c r="B325" s="166" t="e">
        <f>VLOOKUP(Data_Geotech[[#This Row],[Hole ID]],Data_Log[],2,FALSE)</f>
        <v>#N/A</v>
      </c>
      <c r="C325" s="5"/>
      <c r="D325" s="5"/>
      <c r="E325" s="5">
        <f>(Data_Geotech[[#This Row],[To (m)]]-Data_Geotech[[#This Row],[From (m)]])/2+Data_Geotech[[#This Row],[From (m)]]</f>
        <v>0</v>
      </c>
      <c r="F325" s="13">
        <f>Data_Geotech[[#This Row],[To (m)]]-Data_Geotech[[#This Row],[From (m)]]</f>
        <v>0</v>
      </c>
      <c r="G325" s="5"/>
      <c r="H325" s="13" t="e">
        <f>Data_Geotech[[#This Row],[TCR (m)]]/Data_Geotech[[#This Row],[Run (m)]]*100</f>
        <v>#DIV/0!</v>
      </c>
      <c r="I325" s="5"/>
      <c r="J325" s="5"/>
      <c r="K325" s="5"/>
      <c r="L325" s="13" t="e">
        <f>Data_Geotech[[#This Row],[RQD (m)]]/Data_Geotech[[#This Row],[Run Reel (m)]]*100</f>
        <v>#DIV/0!</v>
      </c>
      <c r="P325" s="115"/>
      <c r="Q325" s="5"/>
      <c r="R325" s="5"/>
      <c r="S325" s="5"/>
      <c r="T325" s="5"/>
      <c r="U325" s="5"/>
      <c r="V325" s="6"/>
      <c r="W325" s="92">
        <f>SUMIFS(Discontinuities!$D$4:$D$9664,Discontinuities!$A$4:$A$9664,A325,Discontinuities!$C$4:$C$9664,"&gt;="&amp;C325,Discontinuities!$C$4:$C$9664,"&lt;"&amp;D325)
-SUMIFS(Discontinuities!$D$4:$D$9664,Discontinuities!$A$4:$A$9664,A325,Discontinuities!$C$4:$C$9664,"&gt;="&amp;C325,Discontinuities!$C$4:$C$9664,"&lt;"&amp;D325,Discontinuities!$E$4:$E$9664,"=BC")
-SUMIFS(Discontinuities!$D$4:$D$9664,Discontinuities!$A$4:$A$9664,A325,Discontinuities!$C$4:$C$9664,"&gt;="&amp;C325,Discontinuities!$C$4:$C$9664,"&lt;"&amp;D325,Discontinuities!$E$4:$E$9664,"=LC")
-SUMIFS(Discontinuities!$D$4:$D$9664,Discontinuities!$A$4:$A$9664,A325,Discontinuities!$C$4:$C$9664,"&gt;="&amp;C325,Discontinuities!$C$4:$C$9664,"&lt;"&amp;D325,Discontinuities!$E$4:$E$9664,"=FLT")</f>
        <v>0</v>
      </c>
      <c r="AA325" s="132"/>
      <c r="AB325" s="159">
        <f>IFERROR(ROUND((Data_Geotech[[#This Row],[Fault (m)]]+Data_Geotech[[#This Row],[Broken Core (m)]]+Data_Geotech[[#This Row],[Lost Core (m)]])*30,0),0)</f>
        <v>0</v>
      </c>
      <c r="AC325" s="135">
        <f>IF(Data_Geotech[[#This Row],[Added fractures 
(BC, FLT, LC)]]+Data_Geotech[[#This Row],[Fracture per interval]]=0,99,1/((Data_Geotech[[#This Row],[Fracture per interval]]+Data_Geotech[[#This Row],[Added fractures 
(BC, FLT, LC)]])/Data_Geotech[[#This Row],[Run (m)]]))</f>
        <v>99</v>
      </c>
      <c r="AD325" s="160" t="str" cm="1">
        <f t="array" ref="AD325">IFERROR(_xlfn.XLOOKUP(1,(A325=PLT!$A$4:$A$8886)*(Geotech!C325&lt;=PLT!$F$4:$F$8886)*(Geotech!D325&gt;=PLT!$F$4:$F$8886)*("Valid"=PLT!$P$4:$P$8886),PLT!$V$4:$V$8886),"")</f>
        <v/>
      </c>
      <c r="AE325" s="161" t="str" cm="1">
        <f t="array" ref="AE325">IFERROR(_xlfn.XLOOKUP(1,(A325=PLT!$A$4:$A$8886)*(Geotech!C325&lt;=PLT!$F$4:$F$8886)*(Geotech!D325&gt;=PLT!$F$4:$F$8886)*(PLT!$V$4:$V$8886&lt;&gt;AD325)*("Valid"=PLT!$P$4:$P$7190),PLT!$V$4:$V$8886),"")</f>
        <v/>
      </c>
      <c r="AF325" s="161" t="str" cm="1">
        <f t="array" ref="AF325">IFERROR(_xlfn.XLOOKUP(1,(A325=PLT!$A$4:$A$8886)*(Geotech!C325&lt;=PLT!$F$4:$F$8886)*(Geotech!D325&gt;=PLT!$F$4:$F$8886)*(PLT!$V$4:$V$8886&lt;&gt;AD325)*(PLT!$V$4:$V$8886&lt;&gt;AE325)*("Valid"=PLT!$P$4:$P$7190),PLT!$V$4:$V$8886),"")</f>
        <v/>
      </c>
      <c r="AG325" s="162" t="str">
        <f>IFERROR(IF(AVERAGE(AD325:AF325)&gt;References!$BO$23,References!$BP$23,
IF(AVERAGE(AD325:AF325)&gt;References!$BO$22,References!$BP$22,
IF(AVERAGE(AD325:AF325)&gt;References!$BO$21,References!$BP$21,
IF(AVERAGE(AD325:AF325)&gt;References!$BO$20,References!$BP$20,
IF(AVERAGE(AD325:AF325)&gt;References!$BO$19,References!$BP$19,
IF(AVERAGE(AD325:AF325)&gt;References!$BO$18,References!$BP$18,
0)))))),"")</f>
        <v/>
      </c>
      <c r="AH325" s="163" t="e">
        <f>VLOOKUP(Data_Geotech[[#This Row],[Field Intact Rock Strength]],Table_RMR76_Strength[],2,FALSE)</f>
        <v>#N/A</v>
      </c>
      <c r="AI325" s="163" t="e">
        <f>IF(Data_Geotech[[#This Row],[RQD (%)]]&lt;=25,3,IF(Data_Geotech[[#This Row],[RQD (%)]]&lt;=50,8,IF(Data_Geotech[[#This Row],[RQD (%)]]&lt;=75,13,IF(Data_Geotech[[#This Row],[RQD (%)]]&lt;=90,17,20))))</f>
        <v>#DIV/0!</v>
      </c>
      <c r="AJ325" s="136">
        <f>IF(Data_Geotech[[#This Row],[Joint spacing (m)]]&lt;=0.05,5,IF(Data_Geotech[[#This Row],[Joint spacing (m)]]&lt;=0.3,10,IF(Data_Geotech[[#This Row],[Joint spacing (m)]]&lt;=1,20,IF(Data_Geotech[[#This Row],[Joint spacing (m)]]&lt;=3,25,30))))</f>
        <v>30</v>
      </c>
      <c r="AK32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5" s="6"/>
      <c r="AM325" s="137" t="str">
        <f>IF(Data_Geotech[[#This Row],[FIRS Code]]="R",IFERROR(SUM(Data_Geotech[[#This Row],[RMR76 - Strength rating]:[RMR76 - Ground water rating]]),""),"")</f>
        <v/>
      </c>
      <c r="AN325" s="164" t="str">
        <f>IF(Data_Geotech[[#This Row],[FIRS Code]]="R",(2*Data_Geotech[[#This Row],[RMR76 - Joint condition rating]])+(IF(Data_Geotech[[#This Row],[RQD (%)]]&gt;80,80/2,Data_Geotech[[#This Row],[RQD (%)]]/2)),"")</f>
        <v/>
      </c>
      <c r="AO325" s="136" t="e">
        <f>LEFT(Data_Geotech[[#This Row],[Joint Set Rating]],FIND("-",Data_Geotech[[#This Row],[Joint Set Rating]],1)-2)</f>
        <v>#VALUE!</v>
      </c>
      <c r="AP32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5" s="143">
        <f t="shared" si="6"/>
        <v>1</v>
      </c>
      <c r="AR325" s="165" t="str">
        <f>IF(Data_Geotech[[#This Row],[FIRS Code]]="R",IFERROR((IF(Data_Geotech[[#This Row],[RQD (%)]]&lt;10,10,Data_Geotech[[#This Row],[RQD (%)]])/Data_Geotech[[#This Row],[Jn rating]])*Data_Geotech[[#This Row],[Jr/Ja]],""),"")</f>
        <v/>
      </c>
      <c r="AS325" s="138" t="str">
        <f>IF(Data_Geotech[[#This Row],[FIRS Code]]="R",IFERROR((IF(Data_Geotech[[#This Row],[RQD (%)]]&lt;10,10,Data_Geotech[[#This Row],[RQD (%)]])/Data_Geotech[[#This Row],[Jn rating]])*Data_Geotech[[#This Row],[Jr/Ja]]*Data_Geotech[[#This Row],[Jw/SRF]],""),"")</f>
        <v/>
      </c>
      <c r="AT325" s="12"/>
      <c r="AU325" s="13" t="e">
        <f>100-Data_Geotech[[#This Row],[RQD (%)]]</f>
        <v>#DIV/0!</v>
      </c>
      <c r="AV325" s="13" t="e">
        <f>100-Data_Geotech[[#This Row],[TCR (%)]]</f>
        <v>#DIV/0!</v>
      </c>
      <c r="AW325" s="62" t="e">
        <f>(Data_Geotech[[#This Row],[Fracture per interval]]+Data_Geotech[[#This Row],[Added fractures 
(BC, FLT, LC)]])/Data_Geotech[[#This Row],[TCR (m)]]</f>
        <v>#DIV/0!</v>
      </c>
      <c r="AX325" s="62" t="str">
        <f>MID(Data_Geotech[[#This Row],[Field Intact Rock Strength]],2,1)</f>
        <v/>
      </c>
      <c r="AY325" s="63" t="e">
        <f>7-MID(Data_Geotech[[#This Row],[Field Intact Rock Strength]],2,1)</f>
        <v>#VALUE!</v>
      </c>
      <c r="AZ325" s="63" t="e">
        <f>VLOOKUP(Data_Geotech[[#This Row],[Field Intact Rock Strength]],Table_FieldStrength[],2,FALSE)</f>
        <v>#N/A</v>
      </c>
      <c r="BA325" s="63" t="e">
        <f>VLOOKUP(Data_Geotech[[#This Row],[Field Intact Rock Strength]],Table_FieldStrength[],3,FALSE)</f>
        <v>#N/A</v>
      </c>
      <c r="BB325" s="63" t="e">
        <f>VLOOKUP(Data_Geotech[[#This Row],[Field Intact Rock Strength]],Table_FieldStrength[],4,FALSE)</f>
        <v>#N/A</v>
      </c>
      <c r="BC325" s="63" t="e">
        <f>100-Data_Geotech[[#This Row],[RMR76]]</f>
        <v>#VALUE!</v>
      </c>
      <c r="BD325" s="63" t="e">
        <f>LEFT(Data_Geotech[[#This Row],[Weathering/Alteration]],FIND("-",Data_Geotech[[#This Row],[Weathering/Alteration]])-2)</f>
        <v>#VALUE!</v>
      </c>
    </row>
    <row r="326" spans="1:56" hidden="1" x14ac:dyDescent="0.25">
      <c r="A326" s="14"/>
      <c r="B326" s="166" t="e">
        <f>VLOOKUP(Data_Geotech[[#This Row],[Hole ID]],Data_Log[],2,FALSE)</f>
        <v>#N/A</v>
      </c>
      <c r="C326" s="5"/>
      <c r="D326" s="5"/>
      <c r="E326" s="5">
        <f>(Data_Geotech[[#This Row],[To (m)]]-Data_Geotech[[#This Row],[From (m)]])/2+Data_Geotech[[#This Row],[From (m)]]</f>
        <v>0</v>
      </c>
      <c r="F326" s="13">
        <f>Data_Geotech[[#This Row],[To (m)]]-Data_Geotech[[#This Row],[From (m)]]</f>
        <v>0</v>
      </c>
      <c r="G326" s="5"/>
      <c r="H326" s="13" t="e">
        <f>Data_Geotech[[#This Row],[TCR (m)]]/Data_Geotech[[#This Row],[Run (m)]]*100</f>
        <v>#DIV/0!</v>
      </c>
      <c r="I326" s="5"/>
      <c r="J326" s="5"/>
      <c r="K326" s="5"/>
      <c r="L326" s="13" t="e">
        <f>Data_Geotech[[#This Row],[RQD (m)]]/Data_Geotech[[#This Row],[Run Reel (m)]]*100</f>
        <v>#DIV/0!</v>
      </c>
      <c r="P326" s="115"/>
      <c r="Q326" s="5"/>
      <c r="R326" s="5"/>
      <c r="S326" s="5"/>
      <c r="T326" s="5"/>
      <c r="U326" s="5"/>
      <c r="V326" s="6"/>
      <c r="W326" s="92">
        <f>SUMIFS(Discontinuities!$D$4:$D$9664,Discontinuities!$A$4:$A$9664,A326,Discontinuities!$C$4:$C$9664,"&gt;="&amp;C326,Discontinuities!$C$4:$C$9664,"&lt;"&amp;D326)
-SUMIFS(Discontinuities!$D$4:$D$9664,Discontinuities!$A$4:$A$9664,A326,Discontinuities!$C$4:$C$9664,"&gt;="&amp;C326,Discontinuities!$C$4:$C$9664,"&lt;"&amp;D326,Discontinuities!$E$4:$E$9664,"=BC")
-SUMIFS(Discontinuities!$D$4:$D$9664,Discontinuities!$A$4:$A$9664,A326,Discontinuities!$C$4:$C$9664,"&gt;="&amp;C326,Discontinuities!$C$4:$C$9664,"&lt;"&amp;D326,Discontinuities!$E$4:$E$9664,"=LC")
-SUMIFS(Discontinuities!$D$4:$D$9664,Discontinuities!$A$4:$A$9664,A326,Discontinuities!$C$4:$C$9664,"&gt;="&amp;C326,Discontinuities!$C$4:$C$9664,"&lt;"&amp;D326,Discontinuities!$E$4:$E$9664,"=FLT")</f>
        <v>0</v>
      </c>
      <c r="AA326" s="132"/>
      <c r="AB326" s="159">
        <f>IFERROR(ROUND((Data_Geotech[[#This Row],[Fault (m)]]+Data_Geotech[[#This Row],[Broken Core (m)]]+Data_Geotech[[#This Row],[Lost Core (m)]])*30,0),0)</f>
        <v>0</v>
      </c>
      <c r="AC326" s="135">
        <f>IF(Data_Geotech[[#This Row],[Added fractures 
(BC, FLT, LC)]]+Data_Geotech[[#This Row],[Fracture per interval]]=0,99,1/((Data_Geotech[[#This Row],[Fracture per interval]]+Data_Geotech[[#This Row],[Added fractures 
(BC, FLT, LC)]])/Data_Geotech[[#This Row],[Run (m)]]))</f>
        <v>99</v>
      </c>
      <c r="AD326" s="160" t="str" cm="1">
        <f t="array" ref="AD326">IFERROR(_xlfn.XLOOKUP(1,(A326=PLT!$A$4:$A$8886)*(Geotech!C326&lt;=PLT!$F$4:$F$8886)*(Geotech!D326&gt;=PLT!$F$4:$F$8886)*("Valid"=PLT!$P$4:$P$8886),PLT!$V$4:$V$8886),"")</f>
        <v/>
      </c>
      <c r="AE326" s="161" t="str" cm="1">
        <f t="array" ref="AE326">IFERROR(_xlfn.XLOOKUP(1,(A326=PLT!$A$4:$A$8886)*(Geotech!C326&lt;=PLT!$F$4:$F$8886)*(Geotech!D326&gt;=PLT!$F$4:$F$8886)*(PLT!$V$4:$V$8886&lt;&gt;AD326)*("Valid"=PLT!$P$4:$P$7190),PLT!$V$4:$V$8886),"")</f>
        <v/>
      </c>
      <c r="AF326" s="161" t="str" cm="1">
        <f t="array" ref="AF326">IFERROR(_xlfn.XLOOKUP(1,(A326=PLT!$A$4:$A$8886)*(Geotech!C326&lt;=PLT!$F$4:$F$8886)*(Geotech!D326&gt;=PLT!$F$4:$F$8886)*(PLT!$V$4:$V$8886&lt;&gt;AD326)*(PLT!$V$4:$V$8886&lt;&gt;AE326)*("Valid"=PLT!$P$4:$P$7190),PLT!$V$4:$V$8886),"")</f>
        <v/>
      </c>
      <c r="AG326" s="162" t="str">
        <f>IFERROR(IF(AVERAGE(AD326:AF326)&gt;References!$BO$23,References!$BP$23,
IF(AVERAGE(AD326:AF326)&gt;References!$BO$22,References!$BP$22,
IF(AVERAGE(AD326:AF326)&gt;References!$BO$21,References!$BP$21,
IF(AVERAGE(AD326:AF326)&gt;References!$BO$20,References!$BP$20,
IF(AVERAGE(AD326:AF326)&gt;References!$BO$19,References!$BP$19,
IF(AVERAGE(AD326:AF326)&gt;References!$BO$18,References!$BP$18,
0)))))),"")</f>
        <v/>
      </c>
      <c r="AH326" s="163" t="e">
        <f>VLOOKUP(Data_Geotech[[#This Row],[Field Intact Rock Strength]],Table_RMR76_Strength[],2,FALSE)</f>
        <v>#N/A</v>
      </c>
      <c r="AI326" s="163" t="e">
        <f>IF(Data_Geotech[[#This Row],[RQD (%)]]&lt;=25,3,IF(Data_Geotech[[#This Row],[RQD (%)]]&lt;=50,8,IF(Data_Geotech[[#This Row],[RQD (%)]]&lt;=75,13,IF(Data_Geotech[[#This Row],[RQD (%)]]&lt;=90,17,20))))</f>
        <v>#DIV/0!</v>
      </c>
      <c r="AJ326" s="136">
        <f>IF(Data_Geotech[[#This Row],[Joint spacing (m)]]&lt;=0.05,5,IF(Data_Geotech[[#This Row],[Joint spacing (m)]]&lt;=0.3,10,IF(Data_Geotech[[#This Row],[Joint spacing (m)]]&lt;=1,20,IF(Data_Geotech[[#This Row],[Joint spacing (m)]]&lt;=3,25,30))))</f>
        <v>30</v>
      </c>
      <c r="AK32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6" s="6"/>
      <c r="AM326" s="137" t="str">
        <f>IF(Data_Geotech[[#This Row],[FIRS Code]]="R",IFERROR(SUM(Data_Geotech[[#This Row],[RMR76 - Strength rating]:[RMR76 - Ground water rating]]),""),"")</f>
        <v/>
      </c>
      <c r="AN326" s="164" t="str">
        <f>IF(Data_Geotech[[#This Row],[FIRS Code]]="R",(2*Data_Geotech[[#This Row],[RMR76 - Joint condition rating]])+(IF(Data_Geotech[[#This Row],[RQD (%)]]&gt;80,80/2,Data_Geotech[[#This Row],[RQD (%)]]/2)),"")</f>
        <v/>
      </c>
      <c r="AO326" s="136" t="e">
        <f>LEFT(Data_Geotech[[#This Row],[Joint Set Rating]],FIND("-",Data_Geotech[[#This Row],[Joint Set Rating]],1)-2)</f>
        <v>#VALUE!</v>
      </c>
      <c r="AP32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6" s="143">
        <f t="shared" si="6"/>
        <v>1</v>
      </c>
      <c r="AR326" s="165" t="str">
        <f>IF(Data_Geotech[[#This Row],[FIRS Code]]="R",IFERROR((IF(Data_Geotech[[#This Row],[RQD (%)]]&lt;10,10,Data_Geotech[[#This Row],[RQD (%)]])/Data_Geotech[[#This Row],[Jn rating]])*Data_Geotech[[#This Row],[Jr/Ja]],""),"")</f>
        <v/>
      </c>
      <c r="AS326" s="138" t="str">
        <f>IF(Data_Geotech[[#This Row],[FIRS Code]]="R",IFERROR((IF(Data_Geotech[[#This Row],[RQD (%)]]&lt;10,10,Data_Geotech[[#This Row],[RQD (%)]])/Data_Geotech[[#This Row],[Jn rating]])*Data_Geotech[[#This Row],[Jr/Ja]]*Data_Geotech[[#This Row],[Jw/SRF]],""),"")</f>
        <v/>
      </c>
      <c r="AT326" s="12"/>
      <c r="AU326" s="13" t="e">
        <f>100-Data_Geotech[[#This Row],[RQD (%)]]</f>
        <v>#DIV/0!</v>
      </c>
      <c r="AV326" s="13" t="e">
        <f>100-Data_Geotech[[#This Row],[TCR (%)]]</f>
        <v>#DIV/0!</v>
      </c>
      <c r="AW326" s="62" t="e">
        <f>(Data_Geotech[[#This Row],[Fracture per interval]]+Data_Geotech[[#This Row],[Added fractures 
(BC, FLT, LC)]])/Data_Geotech[[#This Row],[TCR (m)]]</f>
        <v>#DIV/0!</v>
      </c>
      <c r="AX326" s="62" t="str">
        <f>MID(Data_Geotech[[#This Row],[Field Intact Rock Strength]],2,1)</f>
        <v/>
      </c>
      <c r="AY326" s="63" t="e">
        <f>7-MID(Data_Geotech[[#This Row],[Field Intact Rock Strength]],2,1)</f>
        <v>#VALUE!</v>
      </c>
      <c r="AZ326" s="63" t="e">
        <f>VLOOKUP(Data_Geotech[[#This Row],[Field Intact Rock Strength]],Table_FieldStrength[],2,FALSE)</f>
        <v>#N/A</v>
      </c>
      <c r="BA326" s="63" t="e">
        <f>VLOOKUP(Data_Geotech[[#This Row],[Field Intact Rock Strength]],Table_FieldStrength[],3,FALSE)</f>
        <v>#N/A</v>
      </c>
      <c r="BB326" s="63" t="e">
        <f>VLOOKUP(Data_Geotech[[#This Row],[Field Intact Rock Strength]],Table_FieldStrength[],4,FALSE)</f>
        <v>#N/A</v>
      </c>
      <c r="BC326" s="63" t="e">
        <f>100-Data_Geotech[[#This Row],[RMR76]]</f>
        <v>#VALUE!</v>
      </c>
      <c r="BD326" s="63" t="e">
        <f>LEFT(Data_Geotech[[#This Row],[Weathering/Alteration]],FIND("-",Data_Geotech[[#This Row],[Weathering/Alteration]])-2)</f>
        <v>#VALUE!</v>
      </c>
    </row>
    <row r="327" spans="1:56" hidden="1" x14ac:dyDescent="0.25">
      <c r="A327" s="14"/>
      <c r="B327" s="166" t="e">
        <f>VLOOKUP(Data_Geotech[[#This Row],[Hole ID]],Data_Log[],2,FALSE)</f>
        <v>#N/A</v>
      </c>
      <c r="C327" s="5"/>
      <c r="D327" s="5"/>
      <c r="E327" s="5">
        <f>(Data_Geotech[[#This Row],[To (m)]]-Data_Geotech[[#This Row],[From (m)]])/2+Data_Geotech[[#This Row],[From (m)]]</f>
        <v>0</v>
      </c>
      <c r="F327" s="13">
        <f>Data_Geotech[[#This Row],[To (m)]]-Data_Geotech[[#This Row],[From (m)]]</f>
        <v>0</v>
      </c>
      <c r="G327" s="5"/>
      <c r="H327" s="13" t="e">
        <f>Data_Geotech[[#This Row],[TCR (m)]]/Data_Geotech[[#This Row],[Run (m)]]*100</f>
        <v>#DIV/0!</v>
      </c>
      <c r="I327" s="5"/>
      <c r="J327" s="5"/>
      <c r="K327" s="5"/>
      <c r="L327" s="13" t="e">
        <f>Data_Geotech[[#This Row],[RQD (m)]]/Data_Geotech[[#This Row],[Run Reel (m)]]*100</f>
        <v>#DIV/0!</v>
      </c>
      <c r="P327" s="115"/>
      <c r="Q327" s="5"/>
      <c r="R327" s="5"/>
      <c r="S327" s="5"/>
      <c r="T327" s="5"/>
      <c r="U327" s="5"/>
      <c r="V327" s="6"/>
      <c r="W327" s="92">
        <f>SUMIFS(Discontinuities!$D$4:$D$9664,Discontinuities!$A$4:$A$9664,A327,Discontinuities!$C$4:$C$9664,"&gt;="&amp;C327,Discontinuities!$C$4:$C$9664,"&lt;"&amp;D327)
-SUMIFS(Discontinuities!$D$4:$D$9664,Discontinuities!$A$4:$A$9664,A327,Discontinuities!$C$4:$C$9664,"&gt;="&amp;C327,Discontinuities!$C$4:$C$9664,"&lt;"&amp;D327,Discontinuities!$E$4:$E$9664,"=BC")
-SUMIFS(Discontinuities!$D$4:$D$9664,Discontinuities!$A$4:$A$9664,A327,Discontinuities!$C$4:$C$9664,"&gt;="&amp;C327,Discontinuities!$C$4:$C$9664,"&lt;"&amp;D327,Discontinuities!$E$4:$E$9664,"=LC")
-SUMIFS(Discontinuities!$D$4:$D$9664,Discontinuities!$A$4:$A$9664,A327,Discontinuities!$C$4:$C$9664,"&gt;="&amp;C327,Discontinuities!$C$4:$C$9664,"&lt;"&amp;D327,Discontinuities!$E$4:$E$9664,"=FLT")</f>
        <v>0</v>
      </c>
      <c r="AA327" s="132"/>
      <c r="AB327" s="159">
        <f>IFERROR(ROUND((Data_Geotech[[#This Row],[Fault (m)]]+Data_Geotech[[#This Row],[Broken Core (m)]]+Data_Geotech[[#This Row],[Lost Core (m)]])*30,0),0)</f>
        <v>0</v>
      </c>
      <c r="AC327" s="135">
        <f>IF(Data_Geotech[[#This Row],[Added fractures 
(BC, FLT, LC)]]+Data_Geotech[[#This Row],[Fracture per interval]]=0,99,1/((Data_Geotech[[#This Row],[Fracture per interval]]+Data_Geotech[[#This Row],[Added fractures 
(BC, FLT, LC)]])/Data_Geotech[[#This Row],[Run (m)]]))</f>
        <v>99</v>
      </c>
      <c r="AD327" s="160" t="str" cm="1">
        <f t="array" ref="AD327">IFERROR(_xlfn.XLOOKUP(1,(A327=PLT!$A$4:$A$8886)*(Geotech!C327&lt;=PLT!$F$4:$F$8886)*(Geotech!D327&gt;=PLT!$F$4:$F$8886)*("Valid"=PLT!$P$4:$P$8886),PLT!$V$4:$V$8886),"")</f>
        <v/>
      </c>
      <c r="AE327" s="161" t="str" cm="1">
        <f t="array" ref="AE327">IFERROR(_xlfn.XLOOKUP(1,(A327=PLT!$A$4:$A$8886)*(Geotech!C327&lt;=PLT!$F$4:$F$8886)*(Geotech!D327&gt;=PLT!$F$4:$F$8886)*(PLT!$V$4:$V$8886&lt;&gt;AD327)*("Valid"=PLT!$P$4:$P$7190),PLT!$V$4:$V$8886),"")</f>
        <v/>
      </c>
      <c r="AF327" s="161" t="str" cm="1">
        <f t="array" ref="AF327">IFERROR(_xlfn.XLOOKUP(1,(A327=PLT!$A$4:$A$8886)*(Geotech!C327&lt;=PLT!$F$4:$F$8886)*(Geotech!D327&gt;=PLT!$F$4:$F$8886)*(PLT!$V$4:$V$8886&lt;&gt;AD327)*(PLT!$V$4:$V$8886&lt;&gt;AE327)*("Valid"=PLT!$P$4:$P$7190),PLT!$V$4:$V$8886),"")</f>
        <v/>
      </c>
      <c r="AG327" s="162" t="str">
        <f>IFERROR(IF(AVERAGE(AD327:AF327)&gt;References!$BO$23,References!$BP$23,
IF(AVERAGE(AD327:AF327)&gt;References!$BO$22,References!$BP$22,
IF(AVERAGE(AD327:AF327)&gt;References!$BO$21,References!$BP$21,
IF(AVERAGE(AD327:AF327)&gt;References!$BO$20,References!$BP$20,
IF(AVERAGE(AD327:AF327)&gt;References!$BO$19,References!$BP$19,
IF(AVERAGE(AD327:AF327)&gt;References!$BO$18,References!$BP$18,
0)))))),"")</f>
        <v/>
      </c>
      <c r="AH327" s="163" t="e">
        <f>VLOOKUP(Data_Geotech[[#This Row],[Field Intact Rock Strength]],Table_RMR76_Strength[],2,FALSE)</f>
        <v>#N/A</v>
      </c>
      <c r="AI327" s="163" t="e">
        <f>IF(Data_Geotech[[#This Row],[RQD (%)]]&lt;=25,3,IF(Data_Geotech[[#This Row],[RQD (%)]]&lt;=50,8,IF(Data_Geotech[[#This Row],[RQD (%)]]&lt;=75,13,IF(Data_Geotech[[#This Row],[RQD (%)]]&lt;=90,17,20))))</f>
        <v>#DIV/0!</v>
      </c>
      <c r="AJ327" s="136">
        <f>IF(Data_Geotech[[#This Row],[Joint spacing (m)]]&lt;=0.05,5,IF(Data_Geotech[[#This Row],[Joint spacing (m)]]&lt;=0.3,10,IF(Data_Geotech[[#This Row],[Joint spacing (m)]]&lt;=1,20,IF(Data_Geotech[[#This Row],[Joint spacing (m)]]&lt;=3,25,30))))</f>
        <v>30</v>
      </c>
      <c r="AK32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7" s="6"/>
      <c r="AM327" s="137" t="str">
        <f>IF(Data_Geotech[[#This Row],[FIRS Code]]="R",IFERROR(SUM(Data_Geotech[[#This Row],[RMR76 - Strength rating]:[RMR76 - Ground water rating]]),""),"")</f>
        <v/>
      </c>
      <c r="AN327" s="164" t="str">
        <f>IF(Data_Geotech[[#This Row],[FIRS Code]]="R",(2*Data_Geotech[[#This Row],[RMR76 - Joint condition rating]])+(IF(Data_Geotech[[#This Row],[RQD (%)]]&gt;80,80/2,Data_Geotech[[#This Row],[RQD (%)]]/2)),"")</f>
        <v/>
      </c>
      <c r="AO327" s="136" t="e">
        <f>LEFT(Data_Geotech[[#This Row],[Joint Set Rating]],FIND("-",Data_Geotech[[#This Row],[Joint Set Rating]],1)-2)</f>
        <v>#VALUE!</v>
      </c>
      <c r="AP32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7" s="143">
        <f t="shared" si="6"/>
        <v>1</v>
      </c>
      <c r="AR327" s="165" t="str">
        <f>IF(Data_Geotech[[#This Row],[FIRS Code]]="R",IFERROR((IF(Data_Geotech[[#This Row],[RQD (%)]]&lt;10,10,Data_Geotech[[#This Row],[RQD (%)]])/Data_Geotech[[#This Row],[Jn rating]])*Data_Geotech[[#This Row],[Jr/Ja]],""),"")</f>
        <v/>
      </c>
      <c r="AS327" s="138" t="str">
        <f>IF(Data_Geotech[[#This Row],[FIRS Code]]="R",IFERROR((IF(Data_Geotech[[#This Row],[RQD (%)]]&lt;10,10,Data_Geotech[[#This Row],[RQD (%)]])/Data_Geotech[[#This Row],[Jn rating]])*Data_Geotech[[#This Row],[Jr/Ja]]*Data_Geotech[[#This Row],[Jw/SRF]],""),"")</f>
        <v/>
      </c>
      <c r="AT327" s="12"/>
      <c r="AU327" s="13" t="e">
        <f>100-Data_Geotech[[#This Row],[RQD (%)]]</f>
        <v>#DIV/0!</v>
      </c>
      <c r="AV327" s="13" t="e">
        <f>100-Data_Geotech[[#This Row],[TCR (%)]]</f>
        <v>#DIV/0!</v>
      </c>
      <c r="AW327" s="62" t="e">
        <f>(Data_Geotech[[#This Row],[Fracture per interval]]+Data_Geotech[[#This Row],[Added fractures 
(BC, FLT, LC)]])/Data_Geotech[[#This Row],[TCR (m)]]</f>
        <v>#DIV/0!</v>
      </c>
      <c r="AX327" s="62" t="str">
        <f>MID(Data_Geotech[[#This Row],[Field Intact Rock Strength]],2,1)</f>
        <v/>
      </c>
      <c r="AY327" s="63" t="e">
        <f>7-MID(Data_Geotech[[#This Row],[Field Intact Rock Strength]],2,1)</f>
        <v>#VALUE!</v>
      </c>
      <c r="AZ327" s="63" t="e">
        <f>VLOOKUP(Data_Geotech[[#This Row],[Field Intact Rock Strength]],Table_FieldStrength[],2,FALSE)</f>
        <v>#N/A</v>
      </c>
      <c r="BA327" s="63" t="e">
        <f>VLOOKUP(Data_Geotech[[#This Row],[Field Intact Rock Strength]],Table_FieldStrength[],3,FALSE)</f>
        <v>#N/A</v>
      </c>
      <c r="BB327" s="63" t="e">
        <f>VLOOKUP(Data_Geotech[[#This Row],[Field Intact Rock Strength]],Table_FieldStrength[],4,FALSE)</f>
        <v>#N/A</v>
      </c>
      <c r="BC327" s="63" t="e">
        <f>100-Data_Geotech[[#This Row],[RMR76]]</f>
        <v>#VALUE!</v>
      </c>
      <c r="BD327" s="63" t="e">
        <f>LEFT(Data_Geotech[[#This Row],[Weathering/Alteration]],FIND("-",Data_Geotech[[#This Row],[Weathering/Alteration]])-2)</f>
        <v>#VALUE!</v>
      </c>
    </row>
    <row r="328" spans="1:56" hidden="1" x14ac:dyDescent="0.25">
      <c r="A328" s="14"/>
      <c r="B328" s="166" t="e">
        <f>VLOOKUP(Data_Geotech[[#This Row],[Hole ID]],Data_Log[],2,FALSE)</f>
        <v>#N/A</v>
      </c>
      <c r="C328" s="5"/>
      <c r="D328" s="5"/>
      <c r="E328" s="5">
        <f>(Data_Geotech[[#This Row],[To (m)]]-Data_Geotech[[#This Row],[From (m)]])/2+Data_Geotech[[#This Row],[From (m)]]</f>
        <v>0</v>
      </c>
      <c r="F328" s="13">
        <f>Data_Geotech[[#This Row],[To (m)]]-Data_Geotech[[#This Row],[From (m)]]</f>
        <v>0</v>
      </c>
      <c r="G328" s="5"/>
      <c r="H328" s="13" t="e">
        <f>Data_Geotech[[#This Row],[TCR (m)]]/Data_Geotech[[#This Row],[Run (m)]]*100</f>
        <v>#DIV/0!</v>
      </c>
      <c r="I328" s="5"/>
      <c r="J328" s="5"/>
      <c r="K328" s="5"/>
      <c r="L328" s="13" t="e">
        <f>Data_Geotech[[#This Row],[RQD (m)]]/Data_Geotech[[#This Row],[Run Reel (m)]]*100</f>
        <v>#DIV/0!</v>
      </c>
      <c r="P328" s="115"/>
      <c r="Q328" s="5"/>
      <c r="R328" s="5"/>
      <c r="S328" s="5"/>
      <c r="T328" s="5"/>
      <c r="U328" s="5"/>
      <c r="V328" s="6"/>
      <c r="W328" s="92">
        <f>SUMIFS(Discontinuities!$D$4:$D$9664,Discontinuities!$A$4:$A$9664,A328,Discontinuities!$C$4:$C$9664,"&gt;="&amp;C328,Discontinuities!$C$4:$C$9664,"&lt;"&amp;D328)
-SUMIFS(Discontinuities!$D$4:$D$9664,Discontinuities!$A$4:$A$9664,A328,Discontinuities!$C$4:$C$9664,"&gt;="&amp;C328,Discontinuities!$C$4:$C$9664,"&lt;"&amp;D328,Discontinuities!$E$4:$E$9664,"=BC")
-SUMIFS(Discontinuities!$D$4:$D$9664,Discontinuities!$A$4:$A$9664,A328,Discontinuities!$C$4:$C$9664,"&gt;="&amp;C328,Discontinuities!$C$4:$C$9664,"&lt;"&amp;D328,Discontinuities!$E$4:$E$9664,"=LC")
-SUMIFS(Discontinuities!$D$4:$D$9664,Discontinuities!$A$4:$A$9664,A328,Discontinuities!$C$4:$C$9664,"&gt;="&amp;C328,Discontinuities!$C$4:$C$9664,"&lt;"&amp;D328,Discontinuities!$E$4:$E$9664,"=FLT")</f>
        <v>0</v>
      </c>
      <c r="AA328" s="132"/>
      <c r="AB328" s="159">
        <f>IFERROR(ROUND((Data_Geotech[[#This Row],[Fault (m)]]+Data_Geotech[[#This Row],[Broken Core (m)]]+Data_Geotech[[#This Row],[Lost Core (m)]])*30,0),0)</f>
        <v>0</v>
      </c>
      <c r="AC328" s="135">
        <f>IF(Data_Geotech[[#This Row],[Added fractures 
(BC, FLT, LC)]]+Data_Geotech[[#This Row],[Fracture per interval]]=0,99,1/((Data_Geotech[[#This Row],[Fracture per interval]]+Data_Geotech[[#This Row],[Added fractures 
(BC, FLT, LC)]])/Data_Geotech[[#This Row],[Run (m)]]))</f>
        <v>99</v>
      </c>
      <c r="AD328" s="160" t="str" cm="1">
        <f t="array" ref="AD328">IFERROR(_xlfn.XLOOKUP(1,(A328=PLT!$A$4:$A$8886)*(Geotech!C328&lt;=PLT!$F$4:$F$8886)*(Geotech!D328&gt;=PLT!$F$4:$F$8886)*("Valid"=PLT!$P$4:$P$8886),PLT!$V$4:$V$8886),"")</f>
        <v/>
      </c>
      <c r="AE328" s="161" t="str" cm="1">
        <f t="array" ref="AE328">IFERROR(_xlfn.XLOOKUP(1,(A328=PLT!$A$4:$A$8886)*(Geotech!C328&lt;=PLT!$F$4:$F$8886)*(Geotech!D328&gt;=PLT!$F$4:$F$8886)*(PLT!$V$4:$V$8886&lt;&gt;AD328)*("Valid"=PLT!$P$4:$P$7190),PLT!$V$4:$V$8886),"")</f>
        <v/>
      </c>
      <c r="AF328" s="161" t="str" cm="1">
        <f t="array" ref="AF328">IFERROR(_xlfn.XLOOKUP(1,(A328=PLT!$A$4:$A$8886)*(Geotech!C328&lt;=PLT!$F$4:$F$8886)*(Geotech!D328&gt;=PLT!$F$4:$F$8886)*(PLT!$V$4:$V$8886&lt;&gt;AD328)*(PLT!$V$4:$V$8886&lt;&gt;AE328)*("Valid"=PLT!$P$4:$P$7190),PLT!$V$4:$V$8886),"")</f>
        <v/>
      </c>
      <c r="AG328" s="162" t="str">
        <f>IFERROR(IF(AVERAGE(AD328:AF328)&gt;References!$BO$23,References!$BP$23,
IF(AVERAGE(AD328:AF328)&gt;References!$BO$22,References!$BP$22,
IF(AVERAGE(AD328:AF328)&gt;References!$BO$21,References!$BP$21,
IF(AVERAGE(AD328:AF328)&gt;References!$BO$20,References!$BP$20,
IF(AVERAGE(AD328:AF328)&gt;References!$BO$19,References!$BP$19,
IF(AVERAGE(AD328:AF328)&gt;References!$BO$18,References!$BP$18,
0)))))),"")</f>
        <v/>
      </c>
      <c r="AH328" s="163" t="e">
        <f>VLOOKUP(Data_Geotech[[#This Row],[Field Intact Rock Strength]],Table_RMR76_Strength[],2,FALSE)</f>
        <v>#N/A</v>
      </c>
      <c r="AI328" s="163" t="e">
        <f>IF(Data_Geotech[[#This Row],[RQD (%)]]&lt;=25,3,IF(Data_Geotech[[#This Row],[RQD (%)]]&lt;=50,8,IF(Data_Geotech[[#This Row],[RQD (%)]]&lt;=75,13,IF(Data_Geotech[[#This Row],[RQD (%)]]&lt;=90,17,20))))</f>
        <v>#DIV/0!</v>
      </c>
      <c r="AJ328" s="136">
        <f>IF(Data_Geotech[[#This Row],[Joint spacing (m)]]&lt;=0.05,5,IF(Data_Geotech[[#This Row],[Joint spacing (m)]]&lt;=0.3,10,IF(Data_Geotech[[#This Row],[Joint spacing (m)]]&lt;=1,20,IF(Data_Geotech[[#This Row],[Joint spacing (m)]]&lt;=3,25,30))))</f>
        <v>30</v>
      </c>
      <c r="AK32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8" s="6"/>
      <c r="AM328" s="137" t="str">
        <f>IF(Data_Geotech[[#This Row],[FIRS Code]]="R",IFERROR(SUM(Data_Geotech[[#This Row],[RMR76 - Strength rating]:[RMR76 - Ground water rating]]),""),"")</f>
        <v/>
      </c>
      <c r="AN328" s="164" t="str">
        <f>IF(Data_Geotech[[#This Row],[FIRS Code]]="R",(2*Data_Geotech[[#This Row],[RMR76 - Joint condition rating]])+(IF(Data_Geotech[[#This Row],[RQD (%)]]&gt;80,80/2,Data_Geotech[[#This Row],[RQD (%)]]/2)),"")</f>
        <v/>
      </c>
      <c r="AO328" s="136" t="e">
        <f>LEFT(Data_Geotech[[#This Row],[Joint Set Rating]],FIND("-",Data_Geotech[[#This Row],[Joint Set Rating]],1)-2)</f>
        <v>#VALUE!</v>
      </c>
      <c r="AP32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8" s="143">
        <f t="shared" si="6"/>
        <v>1</v>
      </c>
      <c r="AR328" s="165" t="str">
        <f>IF(Data_Geotech[[#This Row],[FIRS Code]]="R",IFERROR((IF(Data_Geotech[[#This Row],[RQD (%)]]&lt;10,10,Data_Geotech[[#This Row],[RQD (%)]])/Data_Geotech[[#This Row],[Jn rating]])*Data_Geotech[[#This Row],[Jr/Ja]],""),"")</f>
        <v/>
      </c>
      <c r="AS328" s="138" t="str">
        <f>IF(Data_Geotech[[#This Row],[FIRS Code]]="R",IFERROR((IF(Data_Geotech[[#This Row],[RQD (%)]]&lt;10,10,Data_Geotech[[#This Row],[RQD (%)]])/Data_Geotech[[#This Row],[Jn rating]])*Data_Geotech[[#This Row],[Jr/Ja]]*Data_Geotech[[#This Row],[Jw/SRF]],""),"")</f>
        <v/>
      </c>
      <c r="AT328" s="12"/>
      <c r="AU328" s="13" t="e">
        <f>100-Data_Geotech[[#This Row],[RQD (%)]]</f>
        <v>#DIV/0!</v>
      </c>
      <c r="AV328" s="13" t="e">
        <f>100-Data_Geotech[[#This Row],[TCR (%)]]</f>
        <v>#DIV/0!</v>
      </c>
      <c r="AW328" s="62" t="e">
        <f>(Data_Geotech[[#This Row],[Fracture per interval]]+Data_Geotech[[#This Row],[Added fractures 
(BC, FLT, LC)]])/Data_Geotech[[#This Row],[TCR (m)]]</f>
        <v>#DIV/0!</v>
      </c>
      <c r="AX328" s="62" t="str">
        <f>MID(Data_Geotech[[#This Row],[Field Intact Rock Strength]],2,1)</f>
        <v/>
      </c>
      <c r="AY328" s="63" t="e">
        <f>7-MID(Data_Geotech[[#This Row],[Field Intact Rock Strength]],2,1)</f>
        <v>#VALUE!</v>
      </c>
      <c r="AZ328" s="63" t="e">
        <f>VLOOKUP(Data_Geotech[[#This Row],[Field Intact Rock Strength]],Table_FieldStrength[],2,FALSE)</f>
        <v>#N/A</v>
      </c>
      <c r="BA328" s="63" t="e">
        <f>VLOOKUP(Data_Geotech[[#This Row],[Field Intact Rock Strength]],Table_FieldStrength[],3,FALSE)</f>
        <v>#N/A</v>
      </c>
      <c r="BB328" s="63" t="e">
        <f>VLOOKUP(Data_Geotech[[#This Row],[Field Intact Rock Strength]],Table_FieldStrength[],4,FALSE)</f>
        <v>#N/A</v>
      </c>
      <c r="BC328" s="63" t="e">
        <f>100-Data_Geotech[[#This Row],[RMR76]]</f>
        <v>#VALUE!</v>
      </c>
      <c r="BD328" s="63" t="e">
        <f>LEFT(Data_Geotech[[#This Row],[Weathering/Alteration]],FIND("-",Data_Geotech[[#This Row],[Weathering/Alteration]])-2)</f>
        <v>#VALUE!</v>
      </c>
    </row>
    <row r="329" spans="1:56" hidden="1" x14ac:dyDescent="0.25">
      <c r="A329" s="14"/>
      <c r="B329" s="166" t="e">
        <f>VLOOKUP(Data_Geotech[[#This Row],[Hole ID]],Data_Log[],2,FALSE)</f>
        <v>#N/A</v>
      </c>
      <c r="C329" s="5"/>
      <c r="D329" s="5"/>
      <c r="E329" s="5">
        <f>(Data_Geotech[[#This Row],[To (m)]]-Data_Geotech[[#This Row],[From (m)]])/2+Data_Geotech[[#This Row],[From (m)]]</f>
        <v>0</v>
      </c>
      <c r="F329" s="13">
        <f>Data_Geotech[[#This Row],[To (m)]]-Data_Geotech[[#This Row],[From (m)]]</f>
        <v>0</v>
      </c>
      <c r="G329" s="5"/>
      <c r="H329" s="13" t="e">
        <f>Data_Geotech[[#This Row],[TCR (m)]]/Data_Geotech[[#This Row],[Run (m)]]*100</f>
        <v>#DIV/0!</v>
      </c>
      <c r="I329" s="5"/>
      <c r="J329" s="5"/>
      <c r="K329" s="5"/>
      <c r="L329" s="13" t="e">
        <f>Data_Geotech[[#This Row],[RQD (m)]]/Data_Geotech[[#This Row],[Run Reel (m)]]*100</f>
        <v>#DIV/0!</v>
      </c>
      <c r="P329" s="115"/>
      <c r="Q329" s="5"/>
      <c r="R329" s="5"/>
      <c r="S329" s="5"/>
      <c r="T329" s="5"/>
      <c r="U329" s="5"/>
      <c r="V329" s="6"/>
      <c r="W329" s="92">
        <f>SUMIFS(Discontinuities!$D$4:$D$9664,Discontinuities!$A$4:$A$9664,A329,Discontinuities!$C$4:$C$9664,"&gt;="&amp;C329,Discontinuities!$C$4:$C$9664,"&lt;"&amp;D329)
-SUMIFS(Discontinuities!$D$4:$D$9664,Discontinuities!$A$4:$A$9664,A329,Discontinuities!$C$4:$C$9664,"&gt;="&amp;C329,Discontinuities!$C$4:$C$9664,"&lt;"&amp;D329,Discontinuities!$E$4:$E$9664,"=BC")
-SUMIFS(Discontinuities!$D$4:$D$9664,Discontinuities!$A$4:$A$9664,A329,Discontinuities!$C$4:$C$9664,"&gt;="&amp;C329,Discontinuities!$C$4:$C$9664,"&lt;"&amp;D329,Discontinuities!$E$4:$E$9664,"=LC")
-SUMIFS(Discontinuities!$D$4:$D$9664,Discontinuities!$A$4:$A$9664,A329,Discontinuities!$C$4:$C$9664,"&gt;="&amp;C329,Discontinuities!$C$4:$C$9664,"&lt;"&amp;D329,Discontinuities!$E$4:$E$9664,"=FLT")</f>
        <v>0</v>
      </c>
      <c r="AA329" s="132"/>
      <c r="AB329" s="159">
        <f>IFERROR(ROUND((Data_Geotech[[#This Row],[Fault (m)]]+Data_Geotech[[#This Row],[Broken Core (m)]]+Data_Geotech[[#This Row],[Lost Core (m)]])*30,0),0)</f>
        <v>0</v>
      </c>
      <c r="AC329" s="135">
        <f>IF(Data_Geotech[[#This Row],[Added fractures 
(BC, FLT, LC)]]+Data_Geotech[[#This Row],[Fracture per interval]]=0,99,1/((Data_Geotech[[#This Row],[Fracture per interval]]+Data_Geotech[[#This Row],[Added fractures 
(BC, FLT, LC)]])/Data_Geotech[[#This Row],[Run (m)]]))</f>
        <v>99</v>
      </c>
      <c r="AD329" s="160" t="str" cm="1">
        <f t="array" ref="AD329">IFERROR(_xlfn.XLOOKUP(1,(A329=PLT!$A$4:$A$8886)*(Geotech!C329&lt;=PLT!$F$4:$F$8886)*(Geotech!D329&gt;=PLT!$F$4:$F$8886)*("Valid"=PLT!$P$4:$P$8886),PLT!$V$4:$V$8886),"")</f>
        <v/>
      </c>
      <c r="AE329" s="161" t="str" cm="1">
        <f t="array" ref="AE329">IFERROR(_xlfn.XLOOKUP(1,(A329=PLT!$A$4:$A$8886)*(Geotech!C329&lt;=PLT!$F$4:$F$8886)*(Geotech!D329&gt;=PLT!$F$4:$F$8886)*(PLT!$V$4:$V$8886&lt;&gt;AD329)*("Valid"=PLT!$P$4:$P$7190),PLT!$V$4:$V$8886),"")</f>
        <v/>
      </c>
      <c r="AF329" s="161" t="str" cm="1">
        <f t="array" ref="AF329">IFERROR(_xlfn.XLOOKUP(1,(A329=PLT!$A$4:$A$8886)*(Geotech!C329&lt;=PLT!$F$4:$F$8886)*(Geotech!D329&gt;=PLT!$F$4:$F$8886)*(PLT!$V$4:$V$8886&lt;&gt;AD329)*(PLT!$V$4:$V$8886&lt;&gt;AE329)*("Valid"=PLT!$P$4:$P$7190),PLT!$V$4:$V$8886),"")</f>
        <v/>
      </c>
      <c r="AG329" s="162" t="str">
        <f>IFERROR(IF(AVERAGE(AD329:AF329)&gt;References!$BO$23,References!$BP$23,
IF(AVERAGE(AD329:AF329)&gt;References!$BO$22,References!$BP$22,
IF(AVERAGE(AD329:AF329)&gt;References!$BO$21,References!$BP$21,
IF(AVERAGE(AD329:AF329)&gt;References!$BO$20,References!$BP$20,
IF(AVERAGE(AD329:AF329)&gt;References!$BO$19,References!$BP$19,
IF(AVERAGE(AD329:AF329)&gt;References!$BO$18,References!$BP$18,
0)))))),"")</f>
        <v/>
      </c>
      <c r="AH329" s="163" t="e">
        <f>VLOOKUP(Data_Geotech[[#This Row],[Field Intact Rock Strength]],Table_RMR76_Strength[],2,FALSE)</f>
        <v>#N/A</v>
      </c>
      <c r="AI329" s="163" t="e">
        <f>IF(Data_Geotech[[#This Row],[RQD (%)]]&lt;=25,3,IF(Data_Geotech[[#This Row],[RQD (%)]]&lt;=50,8,IF(Data_Geotech[[#This Row],[RQD (%)]]&lt;=75,13,IF(Data_Geotech[[#This Row],[RQD (%)]]&lt;=90,17,20))))</f>
        <v>#DIV/0!</v>
      </c>
      <c r="AJ329" s="136">
        <f>IF(Data_Geotech[[#This Row],[Joint spacing (m)]]&lt;=0.05,5,IF(Data_Geotech[[#This Row],[Joint spacing (m)]]&lt;=0.3,10,IF(Data_Geotech[[#This Row],[Joint spacing (m)]]&lt;=1,20,IF(Data_Geotech[[#This Row],[Joint spacing (m)]]&lt;=3,25,30))))</f>
        <v>30</v>
      </c>
      <c r="AK32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29" s="6"/>
      <c r="AM329" s="137" t="str">
        <f>IF(Data_Geotech[[#This Row],[FIRS Code]]="R",IFERROR(SUM(Data_Geotech[[#This Row],[RMR76 - Strength rating]:[RMR76 - Ground water rating]]),""),"")</f>
        <v/>
      </c>
      <c r="AN329" s="164" t="str">
        <f>IF(Data_Geotech[[#This Row],[FIRS Code]]="R",(2*Data_Geotech[[#This Row],[RMR76 - Joint condition rating]])+(IF(Data_Geotech[[#This Row],[RQD (%)]]&gt;80,80/2,Data_Geotech[[#This Row],[RQD (%)]]/2)),"")</f>
        <v/>
      </c>
      <c r="AO329" s="136" t="e">
        <f>LEFT(Data_Geotech[[#This Row],[Joint Set Rating]],FIND("-",Data_Geotech[[#This Row],[Joint Set Rating]],1)-2)</f>
        <v>#VALUE!</v>
      </c>
      <c r="AP32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29" s="143">
        <f t="shared" si="6"/>
        <v>1</v>
      </c>
      <c r="AR329" s="165" t="str">
        <f>IF(Data_Geotech[[#This Row],[FIRS Code]]="R",IFERROR((IF(Data_Geotech[[#This Row],[RQD (%)]]&lt;10,10,Data_Geotech[[#This Row],[RQD (%)]])/Data_Geotech[[#This Row],[Jn rating]])*Data_Geotech[[#This Row],[Jr/Ja]],""),"")</f>
        <v/>
      </c>
      <c r="AS329" s="138" t="str">
        <f>IF(Data_Geotech[[#This Row],[FIRS Code]]="R",IFERROR((IF(Data_Geotech[[#This Row],[RQD (%)]]&lt;10,10,Data_Geotech[[#This Row],[RQD (%)]])/Data_Geotech[[#This Row],[Jn rating]])*Data_Geotech[[#This Row],[Jr/Ja]]*Data_Geotech[[#This Row],[Jw/SRF]],""),"")</f>
        <v/>
      </c>
      <c r="AT329" s="12"/>
      <c r="AU329" s="13" t="e">
        <f>100-Data_Geotech[[#This Row],[RQD (%)]]</f>
        <v>#DIV/0!</v>
      </c>
      <c r="AV329" s="13" t="e">
        <f>100-Data_Geotech[[#This Row],[TCR (%)]]</f>
        <v>#DIV/0!</v>
      </c>
      <c r="AW329" s="62" t="e">
        <f>(Data_Geotech[[#This Row],[Fracture per interval]]+Data_Geotech[[#This Row],[Added fractures 
(BC, FLT, LC)]])/Data_Geotech[[#This Row],[TCR (m)]]</f>
        <v>#DIV/0!</v>
      </c>
      <c r="AX329" s="62" t="str">
        <f>MID(Data_Geotech[[#This Row],[Field Intact Rock Strength]],2,1)</f>
        <v/>
      </c>
      <c r="AY329" s="63" t="e">
        <f>7-MID(Data_Geotech[[#This Row],[Field Intact Rock Strength]],2,1)</f>
        <v>#VALUE!</v>
      </c>
      <c r="AZ329" s="63" t="e">
        <f>VLOOKUP(Data_Geotech[[#This Row],[Field Intact Rock Strength]],Table_FieldStrength[],2,FALSE)</f>
        <v>#N/A</v>
      </c>
      <c r="BA329" s="63" t="e">
        <f>VLOOKUP(Data_Geotech[[#This Row],[Field Intact Rock Strength]],Table_FieldStrength[],3,FALSE)</f>
        <v>#N/A</v>
      </c>
      <c r="BB329" s="63" t="e">
        <f>VLOOKUP(Data_Geotech[[#This Row],[Field Intact Rock Strength]],Table_FieldStrength[],4,FALSE)</f>
        <v>#N/A</v>
      </c>
      <c r="BC329" s="63" t="e">
        <f>100-Data_Geotech[[#This Row],[RMR76]]</f>
        <v>#VALUE!</v>
      </c>
      <c r="BD329" s="63" t="e">
        <f>LEFT(Data_Geotech[[#This Row],[Weathering/Alteration]],FIND("-",Data_Geotech[[#This Row],[Weathering/Alteration]])-2)</f>
        <v>#VALUE!</v>
      </c>
    </row>
    <row r="330" spans="1:56" hidden="1" x14ac:dyDescent="0.25">
      <c r="A330" s="14"/>
      <c r="B330" s="166" t="e">
        <f>VLOOKUP(Data_Geotech[[#This Row],[Hole ID]],Data_Log[],2,FALSE)</f>
        <v>#N/A</v>
      </c>
      <c r="C330" s="5"/>
      <c r="D330" s="5"/>
      <c r="E330" s="5">
        <f>(Data_Geotech[[#This Row],[To (m)]]-Data_Geotech[[#This Row],[From (m)]])/2+Data_Geotech[[#This Row],[From (m)]]</f>
        <v>0</v>
      </c>
      <c r="F330" s="13">
        <f>Data_Geotech[[#This Row],[To (m)]]-Data_Geotech[[#This Row],[From (m)]]</f>
        <v>0</v>
      </c>
      <c r="G330" s="5"/>
      <c r="H330" s="13" t="e">
        <f>Data_Geotech[[#This Row],[TCR (m)]]/Data_Geotech[[#This Row],[Run (m)]]*100</f>
        <v>#DIV/0!</v>
      </c>
      <c r="I330" s="5"/>
      <c r="J330" s="5"/>
      <c r="K330" s="5"/>
      <c r="L330" s="13" t="e">
        <f>Data_Geotech[[#This Row],[RQD (m)]]/Data_Geotech[[#This Row],[Run Reel (m)]]*100</f>
        <v>#DIV/0!</v>
      </c>
      <c r="P330" s="115"/>
      <c r="Q330" s="5"/>
      <c r="R330" s="5"/>
      <c r="S330" s="5"/>
      <c r="T330" s="5"/>
      <c r="U330" s="5"/>
      <c r="V330" s="6"/>
      <c r="W330" s="92">
        <f>SUMIFS(Discontinuities!$D$4:$D$9664,Discontinuities!$A$4:$A$9664,A330,Discontinuities!$C$4:$C$9664,"&gt;="&amp;C330,Discontinuities!$C$4:$C$9664,"&lt;"&amp;D330)
-SUMIFS(Discontinuities!$D$4:$D$9664,Discontinuities!$A$4:$A$9664,A330,Discontinuities!$C$4:$C$9664,"&gt;="&amp;C330,Discontinuities!$C$4:$C$9664,"&lt;"&amp;D330,Discontinuities!$E$4:$E$9664,"=BC")
-SUMIFS(Discontinuities!$D$4:$D$9664,Discontinuities!$A$4:$A$9664,A330,Discontinuities!$C$4:$C$9664,"&gt;="&amp;C330,Discontinuities!$C$4:$C$9664,"&lt;"&amp;D330,Discontinuities!$E$4:$E$9664,"=LC")
-SUMIFS(Discontinuities!$D$4:$D$9664,Discontinuities!$A$4:$A$9664,A330,Discontinuities!$C$4:$C$9664,"&gt;="&amp;C330,Discontinuities!$C$4:$C$9664,"&lt;"&amp;D330,Discontinuities!$E$4:$E$9664,"=FLT")</f>
        <v>0</v>
      </c>
      <c r="AA330" s="132"/>
      <c r="AB330" s="159">
        <f>IFERROR(ROUND((Data_Geotech[[#This Row],[Fault (m)]]+Data_Geotech[[#This Row],[Broken Core (m)]]+Data_Geotech[[#This Row],[Lost Core (m)]])*30,0),0)</f>
        <v>0</v>
      </c>
      <c r="AC330" s="135">
        <f>IF(Data_Geotech[[#This Row],[Added fractures 
(BC, FLT, LC)]]+Data_Geotech[[#This Row],[Fracture per interval]]=0,99,1/((Data_Geotech[[#This Row],[Fracture per interval]]+Data_Geotech[[#This Row],[Added fractures 
(BC, FLT, LC)]])/Data_Geotech[[#This Row],[Run (m)]]))</f>
        <v>99</v>
      </c>
      <c r="AD330" s="160" t="str" cm="1">
        <f t="array" ref="AD330">IFERROR(_xlfn.XLOOKUP(1,(A330=PLT!$A$4:$A$8886)*(Geotech!C330&lt;=PLT!$F$4:$F$8886)*(Geotech!D330&gt;=PLT!$F$4:$F$8886)*("Valid"=PLT!$P$4:$P$8886),PLT!$V$4:$V$8886),"")</f>
        <v/>
      </c>
      <c r="AE330" s="161" t="str" cm="1">
        <f t="array" ref="AE330">IFERROR(_xlfn.XLOOKUP(1,(A330=PLT!$A$4:$A$8886)*(Geotech!C330&lt;=PLT!$F$4:$F$8886)*(Geotech!D330&gt;=PLT!$F$4:$F$8886)*(PLT!$V$4:$V$8886&lt;&gt;AD330)*("Valid"=PLT!$P$4:$P$7190),PLT!$V$4:$V$8886),"")</f>
        <v/>
      </c>
      <c r="AF330" s="161" t="str" cm="1">
        <f t="array" ref="AF330">IFERROR(_xlfn.XLOOKUP(1,(A330=PLT!$A$4:$A$8886)*(Geotech!C330&lt;=PLT!$F$4:$F$8886)*(Geotech!D330&gt;=PLT!$F$4:$F$8886)*(PLT!$V$4:$V$8886&lt;&gt;AD330)*(PLT!$V$4:$V$8886&lt;&gt;AE330)*("Valid"=PLT!$P$4:$P$7190),PLT!$V$4:$V$8886),"")</f>
        <v/>
      </c>
      <c r="AG330" s="162" t="str">
        <f>IFERROR(IF(AVERAGE(AD330:AF330)&gt;References!$BO$23,References!$BP$23,
IF(AVERAGE(AD330:AF330)&gt;References!$BO$22,References!$BP$22,
IF(AVERAGE(AD330:AF330)&gt;References!$BO$21,References!$BP$21,
IF(AVERAGE(AD330:AF330)&gt;References!$BO$20,References!$BP$20,
IF(AVERAGE(AD330:AF330)&gt;References!$BO$19,References!$BP$19,
IF(AVERAGE(AD330:AF330)&gt;References!$BO$18,References!$BP$18,
0)))))),"")</f>
        <v/>
      </c>
      <c r="AH330" s="163" t="e">
        <f>VLOOKUP(Data_Geotech[[#This Row],[Field Intact Rock Strength]],Table_RMR76_Strength[],2,FALSE)</f>
        <v>#N/A</v>
      </c>
      <c r="AI330" s="163" t="e">
        <f>IF(Data_Geotech[[#This Row],[RQD (%)]]&lt;=25,3,IF(Data_Geotech[[#This Row],[RQD (%)]]&lt;=50,8,IF(Data_Geotech[[#This Row],[RQD (%)]]&lt;=75,13,IF(Data_Geotech[[#This Row],[RQD (%)]]&lt;=90,17,20))))</f>
        <v>#DIV/0!</v>
      </c>
      <c r="AJ330" s="136">
        <f>IF(Data_Geotech[[#This Row],[Joint spacing (m)]]&lt;=0.05,5,IF(Data_Geotech[[#This Row],[Joint spacing (m)]]&lt;=0.3,10,IF(Data_Geotech[[#This Row],[Joint spacing (m)]]&lt;=1,20,IF(Data_Geotech[[#This Row],[Joint spacing (m)]]&lt;=3,25,30))))</f>
        <v>30</v>
      </c>
      <c r="AK33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0" s="6"/>
      <c r="AM330" s="137" t="str">
        <f>IF(Data_Geotech[[#This Row],[FIRS Code]]="R",IFERROR(SUM(Data_Geotech[[#This Row],[RMR76 - Strength rating]:[RMR76 - Ground water rating]]),""),"")</f>
        <v/>
      </c>
      <c r="AN330" s="164" t="str">
        <f>IF(Data_Geotech[[#This Row],[FIRS Code]]="R",(2*Data_Geotech[[#This Row],[RMR76 - Joint condition rating]])+(IF(Data_Geotech[[#This Row],[RQD (%)]]&gt;80,80/2,Data_Geotech[[#This Row],[RQD (%)]]/2)),"")</f>
        <v/>
      </c>
      <c r="AO330" s="136" t="e">
        <f>LEFT(Data_Geotech[[#This Row],[Joint Set Rating]],FIND("-",Data_Geotech[[#This Row],[Joint Set Rating]],1)-2)</f>
        <v>#VALUE!</v>
      </c>
      <c r="AP33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0" s="143">
        <f t="shared" si="6"/>
        <v>1</v>
      </c>
      <c r="AR330" s="165" t="str">
        <f>IF(Data_Geotech[[#This Row],[FIRS Code]]="R",IFERROR((IF(Data_Geotech[[#This Row],[RQD (%)]]&lt;10,10,Data_Geotech[[#This Row],[RQD (%)]])/Data_Geotech[[#This Row],[Jn rating]])*Data_Geotech[[#This Row],[Jr/Ja]],""),"")</f>
        <v/>
      </c>
      <c r="AS330" s="138" t="str">
        <f>IF(Data_Geotech[[#This Row],[FIRS Code]]="R",IFERROR((IF(Data_Geotech[[#This Row],[RQD (%)]]&lt;10,10,Data_Geotech[[#This Row],[RQD (%)]])/Data_Geotech[[#This Row],[Jn rating]])*Data_Geotech[[#This Row],[Jr/Ja]]*Data_Geotech[[#This Row],[Jw/SRF]],""),"")</f>
        <v/>
      </c>
      <c r="AT330" s="12"/>
      <c r="AU330" s="13" t="e">
        <f>100-Data_Geotech[[#This Row],[RQD (%)]]</f>
        <v>#DIV/0!</v>
      </c>
      <c r="AV330" s="13" t="e">
        <f>100-Data_Geotech[[#This Row],[TCR (%)]]</f>
        <v>#DIV/0!</v>
      </c>
      <c r="AW330" s="62" t="e">
        <f>(Data_Geotech[[#This Row],[Fracture per interval]]+Data_Geotech[[#This Row],[Added fractures 
(BC, FLT, LC)]])/Data_Geotech[[#This Row],[TCR (m)]]</f>
        <v>#DIV/0!</v>
      </c>
      <c r="AX330" s="62" t="str">
        <f>MID(Data_Geotech[[#This Row],[Field Intact Rock Strength]],2,1)</f>
        <v/>
      </c>
      <c r="AY330" s="63" t="e">
        <f>7-MID(Data_Geotech[[#This Row],[Field Intact Rock Strength]],2,1)</f>
        <v>#VALUE!</v>
      </c>
      <c r="AZ330" s="63" t="e">
        <f>VLOOKUP(Data_Geotech[[#This Row],[Field Intact Rock Strength]],Table_FieldStrength[],2,FALSE)</f>
        <v>#N/A</v>
      </c>
      <c r="BA330" s="63" t="e">
        <f>VLOOKUP(Data_Geotech[[#This Row],[Field Intact Rock Strength]],Table_FieldStrength[],3,FALSE)</f>
        <v>#N/A</v>
      </c>
      <c r="BB330" s="63" t="e">
        <f>VLOOKUP(Data_Geotech[[#This Row],[Field Intact Rock Strength]],Table_FieldStrength[],4,FALSE)</f>
        <v>#N/A</v>
      </c>
      <c r="BC330" s="63" t="e">
        <f>100-Data_Geotech[[#This Row],[RMR76]]</f>
        <v>#VALUE!</v>
      </c>
      <c r="BD330" s="63" t="e">
        <f>LEFT(Data_Geotech[[#This Row],[Weathering/Alteration]],FIND("-",Data_Geotech[[#This Row],[Weathering/Alteration]])-2)</f>
        <v>#VALUE!</v>
      </c>
    </row>
    <row r="331" spans="1:56" hidden="1" x14ac:dyDescent="0.25">
      <c r="A331" s="14"/>
      <c r="B331" s="166" t="e">
        <f>VLOOKUP(Data_Geotech[[#This Row],[Hole ID]],Data_Log[],2,FALSE)</f>
        <v>#N/A</v>
      </c>
      <c r="C331" s="5"/>
      <c r="D331" s="5"/>
      <c r="E331" s="5">
        <f>(Data_Geotech[[#This Row],[To (m)]]-Data_Geotech[[#This Row],[From (m)]])/2+Data_Geotech[[#This Row],[From (m)]]</f>
        <v>0</v>
      </c>
      <c r="F331" s="13">
        <f>Data_Geotech[[#This Row],[To (m)]]-Data_Geotech[[#This Row],[From (m)]]</f>
        <v>0</v>
      </c>
      <c r="G331" s="5"/>
      <c r="H331" s="13" t="e">
        <f>Data_Geotech[[#This Row],[TCR (m)]]/Data_Geotech[[#This Row],[Run (m)]]*100</f>
        <v>#DIV/0!</v>
      </c>
      <c r="I331" s="5"/>
      <c r="J331" s="5"/>
      <c r="K331" s="5"/>
      <c r="L331" s="13" t="e">
        <f>Data_Geotech[[#This Row],[RQD (m)]]/Data_Geotech[[#This Row],[Run Reel (m)]]*100</f>
        <v>#DIV/0!</v>
      </c>
      <c r="P331" s="115"/>
      <c r="Q331" s="5"/>
      <c r="R331" s="5"/>
      <c r="S331" s="5"/>
      <c r="T331" s="5"/>
      <c r="U331" s="5"/>
      <c r="V331" s="6"/>
      <c r="W331" s="92">
        <f>SUMIFS(Discontinuities!$D$4:$D$9664,Discontinuities!$A$4:$A$9664,A331,Discontinuities!$C$4:$C$9664,"&gt;="&amp;C331,Discontinuities!$C$4:$C$9664,"&lt;"&amp;D331)
-SUMIFS(Discontinuities!$D$4:$D$9664,Discontinuities!$A$4:$A$9664,A331,Discontinuities!$C$4:$C$9664,"&gt;="&amp;C331,Discontinuities!$C$4:$C$9664,"&lt;"&amp;D331,Discontinuities!$E$4:$E$9664,"=BC")
-SUMIFS(Discontinuities!$D$4:$D$9664,Discontinuities!$A$4:$A$9664,A331,Discontinuities!$C$4:$C$9664,"&gt;="&amp;C331,Discontinuities!$C$4:$C$9664,"&lt;"&amp;D331,Discontinuities!$E$4:$E$9664,"=LC")
-SUMIFS(Discontinuities!$D$4:$D$9664,Discontinuities!$A$4:$A$9664,A331,Discontinuities!$C$4:$C$9664,"&gt;="&amp;C331,Discontinuities!$C$4:$C$9664,"&lt;"&amp;D331,Discontinuities!$E$4:$E$9664,"=FLT")</f>
        <v>0</v>
      </c>
      <c r="AA331" s="132"/>
      <c r="AB331" s="159">
        <f>IFERROR(ROUND((Data_Geotech[[#This Row],[Fault (m)]]+Data_Geotech[[#This Row],[Broken Core (m)]]+Data_Geotech[[#This Row],[Lost Core (m)]])*30,0),0)</f>
        <v>0</v>
      </c>
      <c r="AC331" s="135">
        <f>IF(Data_Geotech[[#This Row],[Added fractures 
(BC, FLT, LC)]]+Data_Geotech[[#This Row],[Fracture per interval]]=0,99,1/((Data_Geotech[[#This Row],[Fracture per interval]]+Data_Geotech[[#This Row],[Added fractures 
(BC, FLT, LC)]])/Data_Geotech[[#This Row],[Run (m)]]))</f>
        <v>99</v>
      </c>
      <c r="AD331" s="160" t="str" cm="1">
        <f t="array" ref="AD331">IFERROR(_xlfn.XLOOKUP(1,(A331=PLT!$A$4:$A$8886)*(Geotech!C331&lt;=PLT!$F$4:$F$8886)*(Geotech!D331&gt;=PLT!$F$4:$F$8886)*("Valid"=PLT!$P$4:$P$8886),PLT!$V$4:$V$8886),"")</f>
        <v/>
      </c>
      <c r="AE331" s="161" t="str" cm="1">
        <f t="array" ref="AE331">IFERROR(_xlfn.XLOOKUP(1,(A331=PLT!$A$4:$A$8886)*(Geotech!C331&lt;=PLT!$F$4:$F$8886)*(Geotech!D331&gt;=PLT!$F$4:$F$8886)*(PLT!$V$4:$V$8886&lt;&gt;AD331)*("Valid"=PLT!$P$4:$P$7190),PLT!$V$4:$V$8886),"")</f>
        <v/>
      </c>
      <c r="AF331" s="161" t="str" cm="1">
        <f t="array" ref="AF331">IFERROR(_xlfn.XLOOKUP(1,(A331=PLT!$A$4:$A$8886)*(Geotech!C331&lt;=PLT!$F$4:$F$8886)*(Geotech!D331&gt;=PLT!$F$4:$F$8886)*(PLT!$V$4:$V$8886&lt;&gt;AD331)*(PLT!$V$4:$V$8886&lt;&gt;AE331)*("Valid"=PLT!$P$4:$P$7190),PLT!$V$4:$V$8886),"")</f>
        <v/>
      </c>
      <c r="AG331" s="162" t="str">
        <f>IFERROR(IF(AVERAGE(AD331:AF331)&gt;References!$BO$23,References!$BP$23,
IF(AVERAGE(AD331:AF331)&gt;References!$BO$22,References!$BP$22,
IF(AVERAGE(AD331:AF331)&gt;References!$BO$21,References!$BP$21,
IF(AVERAGE(AD331:AF331)&gt;References!$BO$20,References!$BP$20,
IF(AVERAGE(AD331:AF331)&gt;References!$BO$19,References!$BP$19,
IF(AVERAGE(AD331:AF331)&gt;References!$BO$18,References!$BP$18,
0)))))),"")</f>
        <v/>
      </c>
      <c r="AH331" s="163" t="e">
        <f>VLOOKUP(Data_Geotech[[#This Row],[Field Intact Rock Strength]],Table_RMR76_Strength[],2,FALSE)</f>
        <v>#N/A</v>
      </c>
      <c r="AI331" s="163" t="e">
        <f>IF(Data_Geotech[[#This Row],[RQD (%)]]&lt;=25,3,IF(Data_Geotech[[#This Row],[RQD (%)]]&lt;=50,8,IF(Data_Geotech[[#This Row],[RQD (%)]]&lt;=75,13,IF(Data_Geotech[[#This Row],[RQD (%)]]&lt;=90,17,20))))</f>
        <v>#DIV/0!</v>
      </c>
      <c r="AJ331" s="136">
        <f>IF(Data_Geotech[[#This Row],[Joint spacing (m)]]&lt;=0.05,5,IF(Data_Geotech[[#This Row],[Joint spacing (m)]]&lt;=0.3,10,IF(Data_Geotech[[#This Row],[Joint spacing (m)]]&lt;=1,20,IF(Data_Geotech[[#This Row],[Joint spacing (m)]]&lt;=3,25,30))))</f>
        <v>30</v>
      </c>
      <c r="AK33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1" s="6"/>
      <c r="AM331" s="137" t="str">
        <f>IF(Data_Geotech[[#This Row],[FIRS Code]]="R",IFERROR(SUM(Data_Geotech[[#This Row],[RMR76 - Strength rating]:[RMR76 - Ground water rating]]),""),"")</f>
        <v/>
      </c>
      <c r="AN331" s="164" t="str">
        <f>IF(Data_Geotech[[#This Row],[FIRS Code]]="R",(2*Data_Geotech[[#This Row],[RMR76 - Joint condition rating]])+(IF(Data_Geotech[[#This Row],[RQD (%)]]&gt;80,80/2,Data_Geotech[[#This Row],[RQD (%)]]/2)),"")</f>
        <v/>
      </c>
      <c r="AO331" s="136" t="e">
        <f>LEFT(Data_Geotech[[#This Row],[Joint Set Rating]],FIND("-",Data_Geotech[[#This Row],[Joint Set Rating]],1)-2)</f>
        <v>#VALUE!</v>
      </c>
      <c r="AP33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1" s="143">
        <f t="shared" si="6"/>
        <v>1</v>
      </c>
      <c r="AR331" s="165" t="str">
        <f>IF(Data_Geotech[[#This Row],[FIRS Code]]="R",IFERROR((IF(Data_Geotech[[#This Row],[RQD (%)]]&lt;10,10,Data_Geotech[[#This Row],[RQD (%)]])/Data_Geotech[[#This Row],[Jn rating]])*Data_Geotech[[#This Row],[Jr/Ja]],""),"")</f>
        <v/>
      </c>
      <c r="AS331" s="138" t="str">
        <f>IF(Data_Geotech[[#This Row],[FIRS Code]]="R",IFERROR((IF(Data_Geotech[[#This Row],[RQD (%)]]&lt;10,10,Data_Geotech[[#This Row],[RQD (%)]])/Data_Geotech[[#This Row],[Jn rating]])*Data_Geotech[[#This Row],[Jr/Ja]]*Data_Geotech[[#This Row],[Jw/SRF]],""),"")</f>
        <v/>
      </c>
      <c r="AT331" s="12"/>
      <c r="AU331" s="13" t="e">
        <f>100-Data_Geotech[[#This Row],[RQD (%)]]</f>
        <v>#DIV/0!</v>
      </c>
      <c r="AV331" s="13" t="e">
        <f>100-Data_Geotech[[#This Row],[TCR (%)]]</f>
        <v>#DIV/0!</v>
      </c>
      <c r="AW331" s="62" t="e">
        <f>(Data_Geotech[[#This Row],[Fracture per interval]]+Data_Geotech[[#This Row],[Added fractures 
(BC, FLT, LC)]])/Data_Geotech[[#This Row],[TCR (m)]]</f>
        <v>#DIV/0!</v>
      </c>
      <c r="AX331" s="62" t="str">
        <f>MID(Data_Geotech[[#This Row],[Field Intact Rock Strength]],2,1)</f>
        <v/>
      </c>
      <c r="AY331" s="63" t="e">
        <f>7-MID(Data_Geotech[[#This Row],[Field Intact Rock Strength]],2,1)</f>
        <v>#VALUE!</v>
      </c>
      <c r="AZ331" s="63" t="e">
        <f>VLOOKUP(Data_Geotech[[#This Row],[Field Intact Rock Strength]],Table_FieldStrength[],2,FALSE)</f>
        <v>#N/A</v>
      </c>
      <c r="BA331" s="63" t="e">
        <f>VLOOKUP(Data_Geotech[[#This Row],[Field Intact Rock Strength]],Table_FieldStrength[],3,FALSE)</f>
        <v>#N/A</v>
      </c>
      <c r="BB331" s="63" t="e">
        <f>VLOOKUP(Data_Geotech[[#This Row],[Field Intact Rock Strength]],Table_FieldStrength[],4,FALSE)</f>
        <v>#N/A</v>
      </c>
      <c r="BC331" s="63" t="e">
        <f>100-Data_Geotech[[#This Row],[RMR76]]</f>
        <v>#VALUE!</v>
      </c>
      <c r="BD331" s="63" t="e">
        <f>LEFT(Data_Geotech[[#This Row],[Weathering/Alteration]],FIND("-",Data_Geotech[[#This Row],[Weathering/Alteration]])-2)</f>
        <v>#VALUE!</v>
      </c>
    </row>
    <row r="332" spans="1:56" hidden="1" x14ac:dyDescent="0.25">
      <c r="A332" s="14"/>
      <c r="B332" s="166" t="e">
        <f>VLOOKUP(Data_Geotech[[#This Row],[Hole ID]],Data_Log[],2,FALSE)</f>
        <v>#N/A</v>
      </c>
      <c r="C332" s="5"/>
      <c r="D332" s="5"/>
      <c r="E332" s="5">
        <f>(Data_Geotech[[#This Row],[To (m)]]-Data_Geotech[[#This Row],[From (m)]])/2+Data_Geotech[[#This Row],[From (m)]]</f>
        <v>0</v>
      </c>
      <c r="F332" s="13">
        <f>Data_Geotech[[#This Row],[To (m)]]-Data_Geotech[[#This Row],[From (m)]]</f>
        <v>0</v>
      </c>
      <c r="G332" s="5"/>
      <c r="H332" s="13" t="e">
        <f>Data_Geotech[[#This Row],[TCR (m)]]/Data_Geotech[[#This Row],[Run (m)]]*100</f>
        <v>#DIV/0!</v>
      </c>
      <c r="I332" s="5"/>
      <c r="J332" s="5"/>
      <c r="K332" s="5"/>
      <c r="L332" s="13" t="e">
        <f>Data_Geotech[[#This Row],[RQD (m)]]/Data_Geotech[[#This Row],[Run Reel (m)]]*100</f>
        <v>#DIV/0!</v>
      </c>
      <c r="P332" s="115"/>
      <c r="Q332" s="5"/>
      <c r="R332" s="5"/>
      <c r="S332" s="5"/>
      <c r="T332" s="5"/>
      <c r="U332" s="5"/>
      <c r="V332" s="6"/>
      <c r="W332" s="92">
        <f>SUMIFS(Discontinuities!$D$4:$D$9664,Discontinuities!$A$4:$A$9664,A332,Discontinuities!$C$4:$C$9664,"&gt;="&amp;C332,Discontinuities!$C$4:$C$9664,"&lt;"&amp;D332)
-SUMIFS(Discontinuities!$D$4:$D$9664,Discontinuities!$A$4:$A$9664,A332,Discontinuities!$C$4:$C$9664,"&gt;="&amp;C332,Discontinuities!$C$4:$C$9664,"&lt;"&amp;D332,Discontinuities!$E$4:$E$9664,"=BC")
-SUMIFS(Discontinuities!$D$4:$D$9664,Discontinuities!$A$4:$A$9664,A332,Discontinuities!$C$4:$C$9664,"&gt;="&amp;C332,Discontinuities!$C$4:$C$9664,"&lt;"&amp;D332,Discontinuities!$E$4:$E$9664,"=LC")
-SUMIFS(Discontinuities!$D$4:$D$9664,Discontinuities!$A$4:$A$9664,A332,Discontinuities!$C$4:$C$9664,"&gt;="&amp;C332,Discontinuities!$C$4:$C$9664,"&lt;"&amp;D332,Discontinuities!$E$4:$E$9664,"=FLT")</f>
        <v>0</v>
      </c>
      <c r="AA332" s="132"/>
      <c r="AB332" s="159">
        <f>IFERROR(ROUND((Data_Geotech[[#This Row],[Fault (m)]]+Data_Geotech[[#This Row],[Broken Core (m)]]+Data_Geotech[[#This Row],[Lost Core (m)]])*30,0),0)</f>
        <v>0</v>
      </c>
      <c r="AC332" s="135">
        <f>IF(Data_Geotech[[#This Row],[Added fractures 
(BC, FLT, LC)]]+Data_Geotech[[#This Row],[Fracture per interval]]=0,99,1/((Data_Geotech[[#This Row],[Fracture per interval]]+Data_Geotech[[#This Row],[Added fractures 
(BC, FLT, LC)]])/Data_Geotech[[#This Row],[Run (m)]]))</f>
        <v>99</v>
      </c>
      <c r="AD332" s="160" t="str" cm="1">
        <f t="array" ref="AD332">IFERROR(_xlfn.XLOOKUP(1,(A332=PLT!$A$4:$A$8886)*(Geotech!C332&lt;=PLT!$F$4:$F$8886)*(Geotech!D332&gt;=PLT!$F$4:$F$8886)*("Valid"=PLT!$P$4:$P$8886),PLT!$V$4:$V$8886),"")</f>
        <v/>
      </c>
      <c r="AE332" s="161" t="str" cm="1">
        <f t="array" ref="AE332">IFERROR(_xlfn.XLOOKUP(1,(A332=PLT!$A$4:$A$8886)*(Geotech!C332&lt;=PLT!$F$4:$F$8886)*(Geotech!D332&gt;=PLT!$F$4:$F$8886)*(PLT!$V$4:$V$8886&lt;&gt;AD332)*("Valid"=PLT!$P$4:$P$7190),PLT!$V$4:$V$8886),"")</f>
        <v/>
      </c>
      <c r="AF332" s="161" t="str" cm="1">
        <f t="array" ref="AF332">IFERROR(_xlfn.XLOOKUP(1,(A332=PLT!$A$4:$A$8886)*(Geotech!C332&lt;=PLT!$F$4:$F$8886)*(Geotech!D332&gt;=PLT!$F$4:$F$8886)*(PLT!$V$4:$V$8886&lt;&gt;AD332)*(PLT!$V$4:$V$8886&lt;&gt;AE332)*("Valid"=PLT!$P$4:$P$7190),PLT!$V$4:$V$8886),"")</f>
        <v/>
      </c>
      <c r="AG332" s="162" t="str">
        <f>IFERROR(IF(AVERAGE(AD332:AF332)&gt;References!$BO$23,References!$BP$23,
IF(AVERAGE(AD332:AF332)&gt;References!$BO$22,References!$BP$22,
IF(AVERAGE(AD332:AF332)&gt;References!$BO$21,References!$BP$21,
IF(AVERAGE(AD332:AF332)&gt;References!$BO$20,References!$BP$20,
IF(AVERAGE(AD332:AF332)&gt;References!$BO$19,References!$BP$19,
IF(AVERAGE(AD332:AF332)&gt;References!$BO$18,References!$BP$18,
0)))))),"")</f>
        <v/>
      </c>
      <c r="AH332" s="163" t="e">
        <f>VLOOKUP(Data_Geotech[[#This Row],[Field Intact Rock Strength]],Table_RMR76_Strength[],2,FALSE)</f>
        <v>#N/A</v>
      </c>
      <c r="AI332" s="163" t="e">
        <f>IF(Data_Geotech[[#This Row],[RQD (%)]]&lt;=25,3,IF(Data_Geotech[[#This Row],[RQD (%)]]&lt;=50,8,IF(Data_Geotech[[#This Row],[RQD (%)]]&lt;=75,13,IF(Data_Geotech[[#This Row],[RQD (%)]]&lt;=90,17,20))))</f>
        <v>#DIV/0!</v>
      </c>
      <c r="AJ332" s="136">
        <f>IF(Data_Geotech[[#This Row],[Joint spacing (m)]]&lt;=0.05,5,IF(Data_Geotech[[#This Row],[Joint spacing (m)]]&lt;=0.3,10,IF(Data_Geotech[[#This Row],[Joint spacing (m)]]&lt;=1,20,IF(Data_Geotech[[#This Row],[Joint spacing (m)]]&lt;=3,25,30))))</f>
        <v>30</v>
      </c>
      <c r="AK33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2" s="6"/>
      <c r="AM332" s="137" t="str">
        <f>IF(Data_Geotech[[#This Row],[FIRS Code]]="R",IFERROR(SUM(Data_Geotech[[#This Row],[RMR76 - Strength rating]:[RMR76 - Ground water rating]]),""),"")</f>
        <v/>
      </c>
      <c r="AN332" s="164" t="str">
        <f>IF(Data_Geotech[[#This Row],[FIRS Code]]="R",(2*Data_Geotech[[#This Row],[RMR76 - Joint condition rating]])+(IF(Data_Geotech[[#This Row],[RQD (%)]]&gt;80,80/2,Data_Geotech[[#This Row],[RQD (%)]]/2)),"")</f>
        <v/>
      </c>
      <c r="AO332" s="136" t="e">
        <f>LEFT(Data_Geotech[[#This Row],[Joint Set Rating]],FIND("-",Data_Geotech[[#This Row],[Joint Set Rating]],1)-2)</f>
        <v>#VALUE!</v>
      </c>
      <c r="AP33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2" s="143">
        <f t="shared" si="6"/>
        <v>1</v>
      </c>
      <c r="AR332" s="165" t="str">
        <f>IF(Data_Geotech[[#This Row],[FIRS Code]]="R",IFERROR((IF(Data_Geotech[[#This Row],[RQD (%)]]&lt;10,10,Data_Geotech[[#This Row],[RQD (%)]])/Data_Geotech[[#This Row],[Jn rating]])*Data_Geotech[[#This Row],[Jr/Ja]],""),"")</f>
        <v/>
      </c>
      <c r="AS332" s="138" t="str">
        <f>IF(Data_Geotech[[#This Row],[FIRS Code]]="R",IFERROR((IF(Data_Geotech[[#This Row],[RQD (%)]]&lt;10,10,Data_Geotech[[#This Row],[RQD (%)]])/Data_Geotech[[#This Row],[Jn rating]])*Data_Geotech[[#This Row],[Jr/Ja]]*Data_Geotech[[#This Row],[Jw/SRF]],""),"")</f>
        <v/>
      </c>
      <c r="AT332" s="12"/>
      <c r="AU332" s="13" t="e">
        <f>100-Data_Geotech[[#This Row],[RQD (%)]]</f>
        <v>#DIV/0!</v>
      </c>
      <c r="AV332" s="13" t="e">
        <f>100-Data_Geotech[[#This Row],[TCR (%)]]</f>
        <v>#DIV/0!</v>
      </c>
      <c r="AW332" s="62" t="e">
        <f>(Data_Geotech[[#This Row],[Fracture per interval]]+Data_Geotech[[#This Row],[Added fractures 
(BC, FLT, LC)]])/Data_Geotech[[#This Row],[TCR (m)]]</f>
        <v>#DIV/0!</v>
      </c>
      <c r="AX332" s="62" t="str">
        <f>MID(Data_Geotech[[#This Row],[Field Intact Rock Strength]],2,1)</f>
        <v/>
      </c>
      <c r="AY332" s="63" t="e">
        <f>7-MID(Data_Geotech[[#This Row],[Field Intact Rock Strength]],2,1)</f>
        <v>#VALUE!</v>
      </c>
      <c r="AZ332" s="63" t="e">
        <f>VLOOKUP(Data_Geotech[[#This Row],[Field Intact Rock Strength]],Table_FieldStrength[],2,FALSE)</f>
        <v>#N/A</v>
      </c>
      <c r="BA332" s="63" t="e">
        <f>VLOOKUP(Data_Geotech[[#This Row],[Field Intact Rock Strength]],Table_FieldStrength[],3,FALSE)</f>
        <v>#N/A</v>
      </c>
      <c r="BB332" s="63" t="e">
        <f>VLOOKUP(Data_Geotech[[#This Row],[Field Intact Rock Strength]],Table_FieldStrength[],4,FALSE)</f>
        <v>#N/A</v>
      </c>
      <c r="BC332" s="63" t="e">
        <f>100-Data_Geotech[[#This Row],[RMR76]]</f>
        <v>#VALUE!</v>
      </c>
      <c r="BD332" s="63" t="e">
        <f>LEFT(Data_Geotech[[#This Row],[Weathering/Alteration]],FIND("-",Data_Geotech[[#This Row],[Weathering/Alteration]])-2)</f>
        <v>#VALUE!</v>
      </c>
    </row>
    <row r="333" spans="1:56" hidden="1" x14ac:dyDescent="0.25">
      <c r="A333" s="14"/>
      <c r="B333" s="166" t="e">
        <f>VLOOKUP(Data_Geotech[[#This Row],[Hole ID]],Data_Log[],2,FALSE)</f>
        <v>#N/A</v>
      </c>
      <c r="C333" s="5"/>
      <c r="D333" s="5"/>
      <c r="E333" s="5">
        <f>(Data_Geotech[[#This Row],[To (m)]]-Data_Geotech[[#This Row],[From (m)]])/2+Data_Geotech[[#This Row],[From (m)]]</f>
        <v>0</v>
      </c>
      <c r="F333" s="13">
        <f>Data_Geotech[[#This Row],[To (m)]]-Data_Geotech[[#This Row],[From (m)]]</f>
        <v>0</v>
      </c>
      <c r="G333" s="5"/>
      <c r="H333" s="13" t="e">
        <f>Data_Geotech[[#This Row],[TCR (m)]]/Data_Geotech[[#This Row],[Run (m)]]*100</f>
        <v>#DIV/0!</v>
      </c>
      <c r="I333" s="5"/>
      <c r="J333" s="5"/>
      <c r="K333" s="5"/>
      <c r="L333" s="13" t="e">
        <f>Data_Geotech[[#This Row],[RQD (m)]]/Data_Geotech[[#This Row],[Run Reel (m)]]*100</f>
        <v>#DIV/0!</v>
      </c>
      <c r="P333" s="115"/>
      <c r="Q333" s="5"/>
      <c r="R333" s="5"/>
      <c r="S333" s="5"/>
      <c r="T333" s="5"/>
      <c r="U333" s="5"/>
      <c r="V333" s="6"/>
      <c r="W333" s="92">
        <f>SUMIFS(Discontinuities!$D$4:$D$9664,Discontinuities!$A$4:$A$9664,A333,Discontinuities!$C$4:$C$9664,"&gt;="&amp;C333,Discontinuities!$C$4:$C$9664,"&lt;"&amp;D333)
-SUMIFS(Discontinuities!$D$4:$D$9664,Discontinuities!$A$4:$A$9664,A333,Discontinuities!$C$4:$C$9664,"&gt;="&amp;C333,Discontinuities!$C$4:$C$9664,"&lt;"&amp;D333,Discontinuities!$E$4:$E$9664,"=BC")
-SUMIFS(Discontinuities!$D$4:$D$9664,Discontinuities!$A$4:$A$9664,A333,Discontinuities!$C$4:$C$9664,"&gt;="&amp;C333,Discontinuities!$C$4:$C$9664,"&lt;"&amp;D333,Discontinuities!$E$4:$E$9664,"=LC")
-SUMIFS(Discontinuities!$D$4:$D$9664,Discontinuities!$A$4:$A$9664,A333,Discontinuities!$C$4:$C$9664,"&gt;="&amp;C333,Discontinuities!$C$4:$C$9664,"&lt;"&amp;D333,Discontinuities!$E$4:$E$9664,"=FLT")</f>
        <v>0</v>
      </c>
      <c r="AA333" s="132"/>
      <c r="AB333" s="159">
        <f>IFERROR(ROUND((Data_Geotech[[#This Row],[Fault (m)]]+Data_Geotech[[#This Row],[Broken Core (m)]]+Data_Geotech[[#This Row],[Lost Core (m)]])*30,0),0)</f>
        <v>0</v>
      </c>
      <c r="AC333" s="135">
        <f>IF(Data_Geotech[[#This Row],[Added fractures 
(BC, FLT, LC)]]+Data_Geotech[[#This Row],[Fracture per interval]]=0,99,1/((Data_Geotech[[#This Row],[Fracture per interval]]+Data_Geotech[[#This Row],[Added fractures 
(BC, FLT, LC)]])/Data_Geotech[[#This Row],[Run (m)]]))</f>
        <v>99</v>
      </c>
      <c r="AD333" s="160" t="str" cm="1">
        <f t="array" ref="AD333">IFERROR(_xlfn.XLOOKUP(1,(A333=PLT!$A$4:$A$8886)*(Geotech!C333&lt;=PLT!$F$4:$F$8886)*(Geotech!D333&gt;=PLT!$F$4:$F$8886)*("Valid"=PLT!$P$4:$P$8886),PLT!$V$4:$V$8886),"")</f>
        <v/>
      </c>
      <c r="AE333" s="161" t="str" cm="1">
        <f t="array" ref="AE333">IFERROR(_xlfn.XLOOKUP(1,(A333=PLT!$A$4:$A$8886)*(Geotech!C333&lt;=PLT!$F$4:$F$8886)*(Geotech!D333&gt;=PLT!$F$4:$F$8886)*(PLT!$V$4:$V$8886&lt;&gt;AD333)*("Valid"=PLT!$P$4:$P$7190),PLT!$V$4:$V$8886),"")</f>
        <v/>
      </c>
      <c r="AF333" s="161" t="str" cm="1">
        <f t="array" ref="AF333">IFERROR(_xlfn.XLOOKUP(1,(A333=PLT!$A$4:$A$8886)*(Geotech!C333&lt;=PLT!$F$4:$F$8886)*(Geotech!D333&gt;=PLT!$F$4:$F$8886)*(PLT!$V$4:$V$8886&lt;&gt;AD333)*(PLT!$V$4:$V$8886&lt;&gt;AE333)*("Valid"=PLT!$P$4:$P$7190),PLT!$V$4:$V$8886),"")</f>
        <v/>
      </c>
      <c r="AG333" s="162" t="str">
        <f>IFERROR(IF(AVERAGE(AD333:AF333)&gt;References!$BO$23,References!$BP$23,
IF(AVERAGE(AD333:AF333)&gt;References!$BO$22,References!$BP$22,
IF(AVERAGE(AD333:AF333)&gt;References!$BO$21,References!$BP$21,
IF(AVERAGE(AD333:AF333)&gt;References!$BO$20,References!$BP$20,
IF(AVERAGE(AD333:AF333)&gt;References!$BO$19,References!$BP$19,
IF(AVERAGE(AD333:AF333)&gt;References!$BO$18,References!$BP$18,
0)))))),"")</f>
        <v/>
      </c>
      <c r="AH333" s="163" t="e">
        <f>VLOOKUP(Data_Geotech[[#This Row],[Field Intact Rock Strength]],Table_RMR76_Strength[],2,FALSE)</f>
        <v>#N/A</v>
      </c>
      <c r="AI333" s="163" t="e">
        <f>IF(Data_Geotech[[#This Row],[RQD (%)]]&lt;=25,3,IF(Data_Geotech[[#This Row],[RQD (%)]]&lt;=50,8,IF(Data_Geotech[[#This Row],[RQD (%)]]&lt;=75,13,IF(Data_Geotech[[#This Row],[RQD (%)]]&lt;=90,17,20))))</f>
        <v>#DIV/0!</v>
      </c>
      <c r="AJ333" s="136">
        <f>IF(Data_Geotech[[#This Row],[Joint spacing (m)]]&lt;=0.05,5,IF(Data_Geotech[[#This Row],[Joint spacing (m)]]&lt;=0.3,10,IF(Data_Geotech[[#This Row],[Joint spacing (m)]]&lt;=1,20,IF(Data_Geotech[[#This Row],[Joint spacing (m)]]&lt;=3,25,30))))</f>
        <v>30</v>
      </c>
      <c r="AK33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3" s="6"/>
      <c r="AM333" s="137" t="str">
        <f>IF(Data_Geotech[[#This Row],[FIRS Code]]="R",IFERROR(SUM(Data_Geotech[[#This Row],[RMR76 - Strength rating]:[RMR76 - Ground water rating]]),""),"")</f>
        <v/>
      </c>
      <c r="AN333" s="164" t="str">
        <f>IF(Data_Geotech[[#This Row],[FIRS Code]]="R",(2*Data_Geotech[[#This Row],[RMR76 - Joint condition rating]])+(IF(Data_Geotech[[#This Row],[RQD (%)]]&gt;80,80/2,Data_Geotech[[#This Row],[RQD (%)]]/2)),"")</f>
        <v/>
      </c>
      <c r="AO333" s="136" t="e">
        <f>LEFT(Data_Geotech[[#This Row],[Joint Set Rating]],FIND("-",Data_Geotech[[#This Row],[Joint Set Rating]],1)-2)</f>
        <v>#VALUE!</v>
      </c>
      <c r="AP33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3" s="143">
        <f t="shared" ref="AQ333:AQ364" si="7">1/1</f>
        <v>1</v>
      </c>
      <c r="AR333" s="165" t="str">
        <f>IF(Data_Geotech[[#This Row],[FIRS Code]]="R",IFERROR((IF(Data_Geotech[[#This Row],[RQD (%)]]&lt;10,10,Data_Geotech[[#This Row],[RQD (%)]])/Data_Geotech[[#This Row],[Jn rating]])*Data_Geotech[[#This Row],[Jr/Ja]],""),"")</f>
        <v/>
      </c>
      <c r="AS333" s="138" t="str">
        <f>IF(Data_Geotech[[#This Row],[FIRS Code]]="R",IFERROR((IF(Data_Geotech[[#This Row],[RQD (%)]]&lt;10,10,Data_Geotech[[#This Row],[RQD (%)]])/Data_Geotech[[#This Row],[Jn rating]])*Data_Geotech[[#This Row],[Jr/Ja]]*Data_Geotech[[#This Row],[Jw/SRF]],""),"")</f>
        <v/>
      </c>
      <c r="AT333" s="12"/>
      <c r="AU333" s="13" t="e">
        <f>100-Data_Geotech[[#This Row],[RQD (%)]]</f>
        <v>#DIV/0!</v>
      </c>
      <c r="AV333" s="13" t="e">
        <f>100-Data_Geotech[[#This Row],[TCR (%)]]</f>
        <v>#DIV/0!</v>
      </c>
      <c r="AW333" s="62" t="e">
        <f>(Data_Geotech[[#This Row],[Fracture per interval]]+Data_Geotech[[#This Row],[Added fractures 
(BC, FLT, LC)]])/Data_Geotech[[#This Row],[TCR (m)]]</f>
        <v>#DIV/0!</v>
      </c>
      <c r="AX333" s="62" t="str">
        <f>MID(Data_Geotech[[#This Row],[Field Intact Rock Strength]],2,1)</f>
        <v/>
      </c>
      <c r="AY333" s="63" t="e">
        <f>7-MID(Data_Geotech[[#This Row],[Field Intact Rock Strength]],2,1)</f>
        <v>#VALUE!</v>
      </c>
      <c r="AZ333" s="63" t="e">
        <f>VLOOKUP(Data_Geotech[[#This Row],[Field Intact Rock Strength]],Table_FieldStrength[],2,FALSE)</f>
        <v>#N/A</v>
      </c>
      <c r="BA333" s="63" t="e">
        <f>VLOOKUP(Data_Geotech[[#This Row],[Field Intact Rock Strength]],Table_FieldStrength[],3,FALSE)</f>
        <v>#N/A</v>
      </c>
      <c r="BB333" s="63" t="e">
        <f>VLOOKUP(Data_Geotech[[#This Row],[Field Intact Rock Strength]],Table_FieldStrength[],4,FALSE)</f>
        <v>#N/A</v>
      </c>
      <c r="BC333" s="63" t="e">
        <f>100-Data_Geotech[[#This Row],[RMR76]]</f>
        <v>#VALUE!</v>
      </c>
      <c r="BD333" s="63" t="e">
        <f>LEFT(Data_Geotech[[#This Row],[Weathering/Alteration]],FIND("-",Data_Geotech[[#This Row],[Weathering/Alteration]])-2)</f>
        <v>#VALUE!</v>
      </c>
    </row>
    <row r="334" spans="1:56" hidden="1" x14ac:dyDescent="0.25">
      <c r="A334" s="14"/>
      <c r="B334" s="166" t="e">
        <f>VLOOKUP(Data_Geotech[[#This Row],[Hole ID]],Data_Log[],2,FALSE)</f>
        <v>#N/A</v>
      </c>
      <c r="C334" s="5"/>
      <c r="D334" s="5"/>
      <c r="E334" s="5">
        <f>(Data_Geotech[[#This Row],[To (m)]]-Data_Geotech[[#This Row],[From (m)]])/2+Data_Geotech[[#This Row],[From (m)]]</f>
        <v>0</v>
      </c>
      <c r="F334" s="13">
        <f>Data_Geotech[[#This Row],[To (m)]]-Data_Geotech[[#This Row],[From (m)]]</f>
        <v>0</v>
      </c>
      <c r="G334" s="5"/>
      <c r="H334" s="13" t="e">
        <f>Data_Geotech[[#This Row],[TCR (m)]]/Data_Geotech[[#This Row],[Run (m)]]*100</f>
        <v>#DIV/0!</v>
      </c>
      <c r="I334" s="5"/>
      <c r="J334" s="5"/>
      <c r="K334" s="5"/>
      <c r="L334" s="13" t="e">
        <f>Data_Geotech[[#This Row],[RQD (m)]]/Data_Geotech[[#This Row],[Run Reel (m)]]*100</f>
        <v>#DIV/0!</v>
      </c>
      <c r="P334" s="115"/>
      <c r="Q334" s="5"/>
      <c r="R334" s="5"/>
      <c r="S334" s="5"/>
      <c r="T334" s="5"/>
      <c r="U334" s="5"/>
      <c r="V334" s="6"/>
      <c r="W334" s="92">
        <f>SUMIFS(Discontinuities!$D$4:$D$9664,Discontinuities!$A$4:$A$9664,A334,Discontinuities!$C$4:$C$9664,"&gt;="&amp;C334,Discontinuities!$C$4:$C$9664,"&lt;"&amp;D334)
-SUMIFS(Discontinuities!$D$4:$D$9664,Discontinuities!$A$4:$A$9664,A334,Discontinuities!$C$4:$C$9664,"&gt;="&amp;C334,Discontinuities!$C$4:$C$9664,"&lt;"&amp;D334,Discontinuities!$E$4:$E$9664,"=BC")
-SUMIFS(Discontinuities!$D$4:$D$9664,Discontinuities!$A$4:$A$9664,A334,Discontinuities!$C$4:$C$9664,"&gt;="&amp;C334,Discontinuities!$C$4:$C$9664,"&lt;"&amp;D334,Discontinuities!$E$4:$E$9664,"=LC")
-SUMIFS(Discontinuities!$D$4:$D$9664,Discontinuities!$A$4:$A$9664,A334,Discontinuities!$C$4:$C$9664,"&gt;="&amp;C334,Discontinuities!$C$4:$C$9664,"&lt;"&amp;D334,Discontinuities!$E$4:$E$9664,"=FLT")</f>
        <v>0</v>
      </c>
      <c r="AA334" s="132"/>
      <c r="AB334" s="159">
        <f>IFERROR(ROUND((Data_Geotech[[#This Row],[Fault (m)]]+Data_Geotech[[#This Row],[Broken Core (m)]]+Data_Geotech[[#This Row],[Lost Core (m)]])*30,0),0)</f>
        <v>0</v>
      </c>
      <c r="AC334" s="135">
        <f>IF(Data_Geotech[[#This Row],[Added fractures 
(BC, FLT, LC)]]+Data_Geotech[[#This Row],[Fracture per interval]]=0,99,1/((Data_Geotech[[#This Row],[Fracture per interval]]+Data_Geotech[[#This Row],[Added fractures 
(BC, FLT, LC)]])/Data_Geotech[[#This Row],[Run (m)]]))</f>
        <v>99</v>
      </c>
      <c r="AD334" s="160" t="str" cm="1">
        <f t="array" ref="AD334">IFERROR(_xlfn.XLOOKUP(1,(A334=PLT!$A$4:$A$8886)*(Geotech!C334&lt;=PLT!$F$4:$F$8886)*(Geotech!D334&gt;=PLT!$F$4:$F$8886)*("Valid"=PLT!$P$4:$P$8886),PLT!$V$4:$V$8886),"")</f>
        <v/>
      </c>
      <c r="AE334" s="161" t="str" cm="1">
        <f t="array" ref="AE334">IFERROR(_xlfn.XLOOKUP(1,(A334=PLT!$A$4:$A$8886)*(Geotech!C334&lt;=PLT!$F$4:$F$8886)*(Geotech!D334&gt;=PLT!$F$4:$F$8886)*(PLT!$V$4:$V$8886&lt;&gt;AD334)*("Valid"=PLT!$P$4:$P$7190),PLT!$V$4:$V$8886),"")</f>
        <v/>
      </c>
      <c r="AF334" s="161" t="str" cm="1">
        <f t="array" ref="AF334">IFERROR(_xlfn.XLOOKUP(1,(A334=PLT!$A$4:$A$8886)*(Geotech!C334&lt;=PLT!$F$4:$F$8886)*(Geotech!D334&gt;=PLT!$F$4:$F$8886)*(PLT!$V$4:$V$8886&lt;&gt;AD334)*(PLT!$V$4:$V$8886&lt;&gt;AE334)*("Valid"=PLT!$P$4:$P$7190),PLT!$V$4:$V$8886),"")</f>
        <v/>
      </c>
      <c r="AG334" s="162" t="str">
        <f>IFERROR(IF(AVERAGE(AD334:AF334)&gt;References!$BO$23,References!$BP$23,
IF(AVERAGE(AD334:AF334)&gt;References!$BO$22,References!$BP$22,
IF(AVERAGE(AD334:AF334)&gt;References!$BO$21,References!$BP$21,
IF(AVERAGE(AD334:AF334)&gt;References!$BO$20,References!$BP$20,
IF(AVERAGE(AD334:AF334)&gt;References!$BO$19,References!$BP$19,
IF(AVERAGE(AD334:AF334)&gt;References!$BO$18,References!$BP$18,
0)))))),"")</f>
        <v/>
      </c>
      <c r="AH334" s="163" t="e">
        <f>VLOOKUP(Data_Geotech[[#This Row],[Field Intact Rock Strength]],Table_RMR76_Strength[],2,FALSE)</f>
        <v>#N/A</v>
      </c>
      <c r="AI334" s="163" t="e">
        <f>IF(Data_Geotech[[#This Row],[RQD (%)]]&lt;=25,3,IF(Data_Geotech[[#This Row],[RQD (%)]]&lt;=50,8,IF(Data_Geotech[[#This Row],[RQD (%)]]&lt;=75,13,IF(Data_Geotech[[#This Row],[RQD (%)]]&lt;=90,17,20))))</f>
        <v>#DIV/0!</v>
      </c>
      <c r="AJ334" s="136">
        <f>IF(Data_Geotech[[#This Row],[Joint spacing (m)]]&lt;=0.05,5,IF(Data_Geotech[[#This Row],[Joint spacing (m)]]&lt;=0.3,10,IF(Data_Geotech[[#This Row],[Joint spacing (m)]]&lt;=1,20,IF(Data_Geotech[[#This Row],[Joint spacing (m)]]&lt;=3,25,30))))</f>
        <v>30</v>
      </c>
      <c r="AK33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4" s="6"/>
      <c r="AM334" s="137" t="str">
        <f>IF(Data_Geotech[[#This Row],[FIRS Code]]="R",IFERROR(SUM(Data_Geotech[[#This Row],[RMR76 - Strength rating]:[RMR76 - Ground water rating]]),""),"")</f>
        <v/>
      </c>
      <c r="AN334" s="164" t="str">
        <f>IF(Data_Geotech[[#This Row],[FIRS Code]]="R",(2*Data_Geotech[[#This Row],[RMR76 - Joint condition rating]])+(IF(Data_Geotech[[#This Row],[RQD (%)]]&gt;80,80/2,Data_Geotech[[#This Row],[RQD (%)]]/2)),"")</f>
        <v/>
      </c>
      <c r="AO334" s="136" t="e">
        <f>LEFT(Data_Geotech[[#This Row],[Joint Set Rating]],FIND("-",Data_Geotech[[#This Row],[Joint Set Rating]],1)-2)</f>
        <v>#VALUE!</v>
      </c>
      <c r="AP33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4" s="143">
        <f t="shared" si="7"/>
        <v>1</v>
      </c>
      <c r="AR334" s="165" t="str">
        <f>IF(Data_Geotech[[#This Row],[FIRS Code]]="R",IFERROR((IF(Data_Geotech[[#This Row],[RQD (%)]]&lt;10,10,Data_Geotech[[#This Row],[RQD (%)]])/Data_Geotech[[#This Row],[Jn rating]])*Data_Geotech[[#This Row],[Jr/Ja]],""),"")</f>
        <v/>
      </c>
      <c r="AS334" s="138" t="str">
        <f>IF(Data_Geotech[[#This Row],[FIRS Code]]="R",IFERROR((IF(Data_Geotech[[#This Row],[RQD (%)]]&lt;10,10,Data_Geotech[[#This Row],[RQD (%)]])/Data_Geotech[[#This Row],[Jn rating]])*Data_Geotech[[#This Row],[Jr/Ja]]*Data_Geotech[[#This Row],[Jw/SRF]],""),"")</f>
        <v/>
      </c>
      <c r="AT334" s="12"/>
      <c r="AU334" s="13" t="e">
        <f>100-Data_Geotech[[#This Row],[RQD (%)]]</f>
        <v>#DIV/0!</v>
      </c>
      <c r="AV334" s="13" t="e">
        <f>100-Data_Geotech[[#This Row],[TCR (%)]]</f>
        <v>#DIV/0!</v>
      </c>
      <c r="AW334" s="62" t="e">
        <f>(Data_Geotech[[#This Row],[Fracture per interval]]+Data_Geotech[[#This Row],[Added fractures 
(BC, FLT, LC)]])/Data_Geotech[[#This Row],[TCR (m)]]</f>
        <v>#DIV/0!</v>
      </c>
      <c r="AX334" s="62" t="str">
        <f>MID(Data_Geotech[[#This Row],[Field Intact Rock Strength]],2,1)</f>
        <v/>
      </c>
      <c r="AY334" s="63" t="e">
        <f>7-MID(Data_Geotech[[#This Row],[Field Intact Rock Strength]],2,1)</f>
        <v>#VALUE!</v>
      </c>
      <c r="AZ334" s="63" t="e">
        <f>VLOOKUP(Data_Geotech[[#This Row],[Field Intact Rock Strength]],Table_FieldStrength[],2,FALSE)</f>
        <v>#N/A</v>
      </c>
      <c r="BA334" s="63" t="e">
        <f>VLOOKUP(Data_Geotech[[#This Row],[Field Intact Rock Strength]],Table_FieldStrength[],3,FALSE)</f>
        <v>#N/A</v>
      </c>
      <c r="BB334" s="63" t="e">
        <f>VLOOKUP(Data_Geotech[[#This Row],[Field Intact Rock Strength]],Table_FieldStrength[],4,FALSE)</f>
        <v>#N/A</v>
      </c>
      <c r="BC334" s="63" t="e">
        <f>100-Data_Geotech[[#This Row],[RMR76]]</f>
        <v>#VALUE!</v>
      </c>
      <c r="BD334" s="63" t="e">
        <f>LEFT(Data_Geotech[[#This Row],[Weathering/Alteration]],FIND("-",Data_Geotech[[#This Row],[Weathering/Alteration]])-2)</f>
        <v>#VALUE!</v>
      </c>
    </row>
    <row r="335" spans="1:56" hidden="1" x14ac:dyDescent="0.25">
      <c r="A335" s="14"/>
      <c r="B335" s="166" t="e">
        <f>VLOOKUP(Data_Geotech[[#This Row],[Hole ID]],Data_Log[],2,FALSE)</f>
        <v>#N/A</v>
      </c>
      <c r="C335" s="5"/>
      <c r="D335" s="5"/>
      <c r="E335" s="5">
        <f>(Data_Geotech[[#This Row],[To (m)]]-Data_Geotech[[#This Row],[From (m)]])/2+Data_Geotech[[#This Row],[From (m)]]</f>
        <v>0</v>
      </c>
      <c r="F335" s="13">
        <f>Data_Geotech[[#This Row],[To (m)]]-Data_Geotech[[#This Row],[From (m)]]</f>
        <v>0</v>
      </c>
      <c r="G335" s="5"/>
      <c r="H335" s="13" t="e">
        <f>Data_Geotech[[#This Row],[TCR (m)]]/Data_Geotech[[#This Row],[Run (m)]]*100</f>
        <v>#DIV/0!</v>
      </c>
      <c r="I335" s="5"/>
      <c r="J335" s="5"/>
      <c r="K335" s="5"/>
      <c r="L335" s="13" t="e">
        <f>Data_Geotech[[#This Row],[RQD (m)]]/Data_Geotech[[#This Row],[Run Reel (m)]]*100</f>
        <v>#DIV/0!</v>
      </c>
      <c r="P335" s="115"/>
      <c r="Q335" s="5"/>
      <c r="R335" s="5"/>
      <c r="S335" s="5"/>
      <c r="T335" s="5"/>
      <c r="U335" s="5"/>
      <c r="V335" s="6"/>
      <c r="W335" s="92">
        <f>SUMIFS(Discontinuities!$D$4:$D$9664,Discontinuities!$A$4:$A$9664,A335,Discontinuities!$C$4:$C$9664,"&gt;="&amp;C335,Discontinuities!$C$4:$C$9664,"&lt;"&amp;D335)
-SUMIFS(Discontinuities!$D$4:$D$9664,Discontinuities!$A$4:$A$9664,A335,Discontinuities!$C$4:$C$9664,"&gt;="&amp;C335,Discontinuities!$C$4:$C$9664,"&lt;"&amp;D335,Discontinuities!$E$4:$E$9664,"=BC")
-SUMIFS(Discontinuities!$D$4:$D$9664,Discontinuities!$A$4:$A$9664,A335,Discontinuities!$C$4:$C$9664,"&gt;="&amp;C335,Discontinuities!$C$4:$C$9664,"&lt;"&amp;D335,Discontinuities!$E$4:$E$9664,"=LC")
-SUMIFS(Discontinuities!$D$4:$D$9664,Discontinuities!$A$4:$A$9664,A335,Discontinuities!$C$4:$C$9664,"&gt;="&amp;C335,Discontinuities!$C$4:$C$9664,"&lt;"&amp;D335,Discontinuities!$E$4:$E$9664,"=FLT")</f>
        <v>0</v>
      </c>
      <c r="AA335" s="132"/>
      <c r="AB335" s="159">
        <f>IFERROR(ROUND((Data_Geotech[[#This Row],[Fault (m)]]+Data_Geotech[[#This Row],[Broken Core (m)]]+Data_Geotech[[#This Row],[Lost Core (m)]])*30,0),0)</f>
        <v>0</v>
      </c>
      <c r="AC335" s="135">
        <f>IF(Data_Geotech[[#This Row],[Added fractures 
(BC, FLT, LC)]]+Data_Geotech[[#This Row],[Fracture per interval]]=0,99,1/((Data_Geotech[[#This Row],[Fracture per interval]]+Data_Geotech[[#This Row],[Added fractures 
(BC, FLT, LC)]])/Data_Geotech[[#This Row],[Run (m)]]))</f>
        <v>99</v>
      </c>
      <c r="AD335" s="160" t="str" cm="1">
        <f t="array" ref="AD335">IFERROR(_xlfn.XLOOKUP(1,(A335=PLT!$A$4:$A$8886)*(Geotech!C335&lt;=PLT!$F$4:$F$8886)*(Geotech!D335&gt;=PLT!$F$4:$F$8886)*("Valid"=PLT!$P$4:$P$8886),PLT!$V$4:$V$8886),"")</f>
        <v/>
      </c>
      <c r="AE335" s="161" t="str" cm="1">
        <f t="array" ref="AE335">IFERROR(_xlfn.XLOOKUP(1,(A335=PLT!$A$4:$A$8886)*(Geotech!C335&lt;=PLT!$F$4:$F$8886)*(Geotech!D335&gt;=PLT!$F$4:$F$8886)*(PLT!$V$4:$V$8886&lt;&gt;AD335)*("Valid"=PLT!$P$4:$P$7190),PLT!$V$4:$V$8886),"")</f>
        <v/>
      </c>
      <c r="AF335" s="161" t="str" cm="1">
        <f t="array" ref="AF335">IFERROR(_xlfn.XLOOKUP(1,(A335=PLT!$A$4:$A$8886)*(Geotech!C335&lt;=PLT!$F$4:$F$8886)*(Geotech!D335&gt;=PLT!$F$4:$F$8886)*(PLT!$V$4:$V$8886&lt;&gt;AD335)*(PLT!$V$4:$V$8886&lt;&gt;AE335)*("Valid"=PLT!$P$4:$P$7190),PLT!$V$4:$V$8886),"")</f>
        <v/>
      </c>
      <c r="AG335" s="162" t="str">
        <f>IFERROR(IF(AVERAGE(AD335:AF335)&gt;References!$BO$23,References!$BP$23,
IF(AVERAGE(AD335:AF335)&gt;References!$BO$22,References!$BP$22,
IF(AVERAGE(AD335:AF335)&gt;References!$BO$21,References!$BP$21,
IF(AVERAGE(AD335:AF335)&gt;References!$BO$20,References!$BP$20,
IF(AVERAGE(AD335:AF335)&gt;References!$BO$19,References!$BP$19,
IF(AVERAGE(AD335:AF335)&gt;References!$BO$18,References!$BP$18,
0)))))),"")</f>
        <v/>
      </c>
      <c r="AH335" s="163" t="e">
        <f>VLOOKUP(Data_Geotech[[#This Row],[Field Intact Rock Strength]],Table_RMR76_Strength[],2,FALSE)</f>
        <v>#N/A</v>
      </c>
      <c r="AI335" s="163" t="e">
        <f>IF(Data_Geotech[[#This Row],[RQD (%)]]&lt;=25,3,IF(Data_Geotech[[#This Row],[RQD (%)]]&lt;=50,8,IF(Data_Geotech[[#This Row],[RQD (%)]]&lt;=75,13,IF(Data_Geotech[[#This Row],[RQD (%)]]&lt;=90,17,20))))</f>
        <v>#DIV/0!</v>
      </c>
      <c r="AJ335" s="136">
        <f>IF(Data_Geotech[[#This Row],[Joint spacing (m)]]&lt;=0.05,5,IF(Data_Geotech[[#This Row],[Joint spacing (m)]]&lt;=0.3,10,IF(Data_Geotech[[#This Row],[Joint spacing (m)]]&lt;=1,20,IF(Data_Geotech[[#This Row],[Joint spacing (m)]]&lt;=3,25,30))))</f>
        <v>30</v>
      </c>
      <c r="AK33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5" s="6"/>
      <c r="AM335" s="137" t="str">
        <f>IF(Data_Geotech[[#This Row],[FIRS Code]]="R",IFERROR(SUM(Data_Geotech[[#This Row],[RMR76 - Strength rating]:[RMR76 - Ground water rating]]),""),"")</f>
        <v/>
      </c>
      <c r="AN335" s="164" t="str">
        <f>IF(Data_Geotech[[#This Row],[FIRS Code]]="R",(2*Data_Geotech[[#This Row],[RMR76 - Joint condition rating]])+(IF(Data_Geotech[[#This Row],[RQD (%)]]&gt;80,80/2,Data_Geotech[[#This Row],[RQD (%)]]/2)),"")</f>
        <v/>
      </c>
      <c r="AO335" s="136" t="e">
        <f>LEFT(Data_Geotech[[#This Row],[Joint Set Rating]],FIND("-",Data_Geotech[[#This Row],[Joint Set Rating]],1)-2)</f>
        <v>#VALUE!</v>
      </c>
      <c r="AP33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5" s="143">
        <f t="shared" si="7"/>
        <v>1</v>
      </c>
      <c r="AR335" s="165" t="str">
        <f>IF(Data_Geotech[[#This Row],[FIRS Code]]="R",IFERROR((IF(Data_Geotech[[#This Row],[RQD (%)]]&lt;10,10,Data_Geotech[[#This Row],[RQD (%)]])/Data_Geotech[[#This Row],[Jn rating]])*Data_Geotech[[#This Row],[Jr/Ja]],""),"")</f>
        <v/>
      </c>
      <c r="AS335" s="138" t="str">
        <f>IF(Data_Geotech[[#This Row],[FIRS Code]]="R",IFERROR((IF(Data_Geotech[[#This Row],[RQD (%)]]&lt;10,10,Data_Geotech[[#This Row],[RQD (%)]])/Data_Geotech[[#This Row],[Jn rating]])*Data_Geotech[[#This Row],[Jr/Ja]]*Data_Geotech[[#This Row],[Jw/SRF]],""),"")</f>
        <v/>
      </c>
      <c r="AT335" s="12"/>
      <c r="AU335" s="13" t="e">
        <f>100-Data_Geotech[[#This Row],[RQD (%)]]</f>
        <v>#DIV/0!</v>
      </c>
      <c r="AV335" s="13" t="e">
        <f>100-Data_Geotech[[#This Row],[TCR (%)]]</f>
        <v>#DIV/0!</v>
      </c>
      <c r="AW335" s="62" t="e">
        <f>(Data_Geotech[[#This Row],[Fracture per interval]]+Data_Geotech[[#This Row],[Added fractures 
(BC, FLT, LC)]])/Data_Geotech[[#This Row],[TCR (m)]]</f>
        <v>#DIV/0!</v>
      </c>
      <c r="AX335" s="62" t="str">
        <f>MID(Data_Geotech[[#This Row],[Field Intact Rock Strength]],2,1)</f>
        <v/>
      </c>
      <c r="AY335" s="63" t="e">
        <f>7-MID(Data_Geotech[[#This Row],[Field Intact Rock Strength]],2,1)</f>
        <v>#VALUE!</v>
      </c>
      <c r="AZ335" s="63" t="e">
        <f>VLOOKUP(Data_Geotech[[#This Row],[Field Intact Rock Strength]],Table_FieldStrength[],2,FALSE)</f>
        <v>#N/A</v>
      </c>
      <c r="BA335" s="63" t="e">
        <f>VLOOKUP(Data_Geotech[[#This Row],[Field Intact Rock Strength]],Table_FieldStrength[],3,FALSE)</f>
        <v>#N/A</v>
      </c>
      <c r="BB335" s="63" t="e">
        <f>VLOOKUP(Data_Geotech[[#This Row],[Field Intact Rock Strength]],Table_FieldStrength[],4,FALSE)</f>
        <v>#N/A</v>
      </c>
      <c r="BC335" s="63" t="e">
        <f>100-Data_Geotech[[#This Row],[RMR76]]</f>
        <v>#VALUE!</v>
      </c>
      <c r="BD335" s="63" t="e">
        <f>LEFT(Data_Geotech[[#This Row],[Weathering/Alteration]],FIND("-",Data_Geotech[[#This Row],[Weathering/Alteration]])-2)</f>
        <v>#VALUE!</v>
      </c>
    </row>
    <row r="336" spans="1:56" hidden="1" x14ac:dyDescent="0.25">
      <c r="A336" s="14"/>
      <c r="B336" s="166" t="e">
        <f>VLOOKUP(Data_Geotech[[#This Row],[Hole ID]],Data_Log[],2,FALSE)</f>
        <v>#N/A</v>
      </c>
      <c r="C336" s="5"/>
      <c r="D336" s="5"/>
      <c r="E336" s="5">
        <f>(Data_Geotech[[#This Row],[To (m)]]-Data_Geotech[[#This Row],[From (m)]])/2+Data_Geotech[[#This Row],[From (m)]]</f>
        <v>0</v>
      </c>
      <c r="F336" s="13">
        <f>Data_Geotech[[#This Row],[To (m)]]-Data_Geotech[[#This Row],[From (m)]]</f>
        <v>0</v>
      </c>
      <c r="G336" s="5"/>
      <c r="H336" s="13" t="e">
        <f>Data_Geotech[[#This Row],[TCR (m)]]/Data_Geotech[[#This Row],[Run (m)]]*100</f>
        <v>#DIV/0!</v>
      </c>
      <c r="I336" s="5"/>
      <c r="J336" s="5"/>
      <c r="K336" s="5"/>
      <c r="L336" s="13" t="e">
        <f>Data_Geotech[[#This Row],[RQD (m)]]/Data_Geotech[[#This Row],[Run Reel (m)]]*100</f>
        <v>#DIV/0!</v>
      </c>
      <c r="P336" s="115"/>
      <c r="Q336" s="5"/>
      <c r="R336" s="5"/>
      <c r="S336" s="5"/>
      <c r="T336" s="5"/>
      <c r="U336" s="5"/>
      <c r="V336" s="6"/>
      <c r="W336" s="92">
        <f>SUMIFS(Discontinuities!$D$4:$D$9664,Discontinuities!$A$4:$A$9664,A336,Discontinuities!$C$4:$C$9664,"&gt;="&amp;C336,Discontinuities!$C$4:$C$9664,"&lt;"&amp;D336)
-SUMIFS(Discontinuities!$D$4:$D$9664,Discontinuities!$A$4:$A$9664,A336,Discontinuities!$C$4:$C$9664,"&gt;="&amp;C336,Discontinuities!$C$4:$C$9664,"&lt;"&amp;D336,Discontinuities!$E$4:$E$9664,"=BC")
-SUMIFS(Discontinuities!$D$4:$D$9664,Discontinuities!$A$4:$A$9664,A336,Discontinuities!$C$4:$C$9664,"&gt;="&amp;C336,Discontinuities!$C$4:$C$9664,"&lt;"&amp;D336,Discontinuities!$E$4:$E$9664,"=LC")
-SUMIFS(Discontinuities!$D$4:$D$9664,Discontinuities!$A$4:$A$9664,A336,Discontinuities!$C$4:$C$9664,"&gt;="&amp;C336,Discontinuities!$C$4:$C$9664,"&lt;"&amp;D336,Discontinuities!$E$4:$E$9664,"=FLT")</f>
        <v>0</v>
      </c>
      <c r="AA336" s="132"/>
      <c r="AB336" s="159">
        <f>IFERROR(ROUND((Data_Geotech[[#This Row],[Fault (m)]]+Data_Geotech[[#This Row],[Broken Core (m)]]+Data_Geotech[[#This Row],[Lost Core (m)]])*30,0),0)</f>
        <v>0</v>
      </c>
      <c r="AC336" s="135">
        <f>IF(Data_Geotech[[#This Row],[Added fractures 
(BC, FLT, LC)]]+Data_Geotech[[#This Row],[Fracture per interval]]=0,99,1/((Data_Geotech[[#This Row],[Fracture per interval]]+Data_Geotech[[#This Row],[Added fractures 
(BC, FLT, LC)]])/Data_Geotech[[#This Row],[Run (m)]]))</f>
        <v>99</v>
      </c>
      <c r="AD336" s="160" t="str" cm="1">
        <f t="array" ref="AD336">IFERROR(_xlfn.XLOOKUP(1,(A336=PLT!$A$4:$A$8886)*(Geotech!C336&lt;=PLT!$F$4:$F$8886)*(Geotech!D336&gt;=PLT!$F$4:$F$8886)*("Valid"=PLT!$P$4:$P$8886),PLT!$V$4:$V$8886),"")</f>
        <v/>
      </c>
      <c r="AE336" s="161" t="str" cm="1">
        <f t="array" ref="AE336">IFERROR(_xlfn.XLOOKUP(1,(A336=PLT!$A$4:$A$8886)*(Geotech!C336&lt;=PLT!$F$4:$F$8886)*(Geotech!D336&gt;=PLT!$F$4:$F$8886)*(PLT!$V$4:$V$8886&lt;&gt;AD336)*("Valid"=PLT!$P$4:$P$7190),PLT!$V$4:$V$8886),"")</f>
        <v/>
      </c>
      <c r="AF336" s="161" t="str" cm="1">
        <f t="array" ref="AF336">IFERROR(_xlfn.XLOOKUP(1,(A336=PLT!$A$4:$A$8886)*(Geotech!C336&lt;=PLT!$F$4:$F$8886)*(Geotech!D336&gt;=PLT!$F$4:$F$8886)*(PLT!$V$4:$V$8886&lt;&gt;AD336)*(PLT!$V$4:$V$8886&lt;&gt;AE336)*("Valid"=PLT!$P$4:$P$7190),PLT!$V$4:$V$8886),"")</f>
        <v/>
      </c>
      <c r="AG336" s="162" t="str">
        <f>IFERROR(IF(AVERAGE(AD336:AF336)&gt;References!$BO$23,References!$BP$23,
IF(AVERAGE(AD336:AF336)&gt;References!$BO$22,References!$BP$22,
IF(AVERAGE(AD336:AF336)&gt;References!$BO$21,References!$BP$21,
IF(AVERAGE(AD336:AF336)&gt;References!$BO$20,References!$BP$20,
IF(AVERAGE(AD336:AF336)&gt;References!$BO$19,References!$BP$19,
IF(AVERAGE(AD336:AF336)&gt;References!$BO$18,References!$BP$18,
0)))))),"")</f>
        <v/>
      </c>
      <c r="AH336" s="163" t="e">
        <f>VLOOKUP(Data_Geotech[[#This Row],[Field Intact Rock Strength]],Table_RMR76_Strength[],2,FALSE)</f>
        <v>#N/A</v>
      </c>
      <c r="AI336" s="163" t="e">
        <f>IF(Data_Geotech[[#This Row],[RQD (%)]]&lt;=25,3,IF(Data_Geotech[[#This Row],[RQD (%)]]&lt;=50,8,IF(Data_Geotech[[#This Row],[RQD (%)]]&lt;=75,13,IF(Data_Geotech[[#This Row],[RQD (%)]]&lt;=90,17,20))))</f>
        <v>#DIV/0!</v>
      </c>
      <c r="AJ336" s="136">
        <f>IF(Data_Geotech[[#This Row],[Joint spacing (m)]]&lt;=0.05,5,IF(Data_Geotech[[#This Row],[Joint spacing (m)]]&lt;=0.3,10,IF(Data_Geotech[[#This Row],[Joint spacing (m)]]&lt;=1,20,IF(Data_Geotech[[#This Row],[Joint spacing (m)]]&lt;=3,25,30))))</f>
        <v>30</v>
      </c>
      <c r="AK33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6" s="6"/>
      <c r="AM336" s="137" t="str">
        <f>IF(Data_Geotech[[#This Row],[FIRS Code]]="R",IFERROR(SUM(Data_Geotech[[#This Row],[RMR76 - Strength rating]:[RMR76 - Ground water rating]]),""),"")</f>
        <v/>
      </c>
      <c r="AN336" s="164" t="str">
        <f>IF(Data_Geotech[[#This Row],[FIRS Code]]="R",(2*Data_Geotech[[#This Row],[RMR76 - Joint condition rating]])+(IF(Data_Geotech[[#This Row],[RQD (%)]]&gt;80,80/2,Data_Geotech[[#This Row],[RQD (%)]]/2)),"")</f>
        <v/>
      </c>
      <c r="AO336" s="136" t="e">
        <f>LEFT(Data_Geotech[[#This Row],[Joint Set Rating]],FIND("-",Data_Geotech[[#This Row],[Joint Set Rating]],1)-2)</f>
        <v>#VALUE!</v>
      </c>
      <c r="AP33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6" s="143">
        <f t="shared" si="7"/>
        <v>1</v>
      </c>
      <c r="AR336" s="165" t="str">
        <f>IF(Data_Geotech[[#This Row],[FIRS Code]]="R",IFERROR((IF(Data_Geotech[[#This Row],[RQD (%)]]&lt;10,10,Data_Geotech[[#This Row],[RQD (%)]])/Data_Geotech[[#This Row],[Jn rating]])*Data_Geotech[[#This Row],[Jr/Ja]],""),"")</f>
        <v/>
      </c>
      <c r="AS336" s="138" t="str">
        <f>IF(Data_Geotech[[#This Row],[FIRS Code]]="R",IFERROR((IF(Data_Geotech[[#This Row],[RQD (%)]]&lt;10,10,Data_Geotech[[#This Row],[RQD (%)]])/Data_Geotech[[#This Row],[Jn rating]])*Data_Geotech[[#This Row],[Jr/Ja]]*Data_Geotech[[#This Row],[Jw/SRF]],""),"")</f>
        <v/>
      </c>
      <c r="AT336" s="12"/>
      <c r="AU336" s="13" t="e">
        <f>100-Data_Geotech[[#This Row],[RQD (%)]]</f>
        <v>#DIV/0!</v>
      </c>
      <c r="AV336" s="13" t="e">
        <f>100-Data_Geotech[[#This Row],[TCR (%)]]</f>
        <v>#DIV/0!</v>
      </c>
      <c r="AW336" s="62" t="e">
        <f>(Data_Geotech[[#This Row],[Fracture per interval]]+Data_Geotech[[#This Row],[Added fractures 
(BC, FLT, LC)]])/Data_Geotech[[#This Row],[TCR (m)]]</f>
        <v>#DIV/0!</v>
      </c>
      <c r="AX336" s="62" t="str">
        <f>MID(Data_Geotech[[#This Row],[Field Intact Rock Strength]],2,1)</f>
        <v/>
      </c>
      <c r="AY336" s="63" t="e">
        <f>7-MID(Data_Geotech[[#This Row],[Field Intact Rock Strength]],2,1)</f>
        <v>#VALUE!</v>
      </c>
      <c r="AZ336" s="63" t="e">
        <f>VLOOKUP(Data_Geotech[[#This Row],[Field Intact Rock Strength]],Table_FieldStrength[],2,FALSE)</f>
        <v>#N/A</v>
      </c>
      <c r="BA336" s="63" t="e">
        <f>VLOOKUP(Data_Geotech[[#This Row],[Field Intact Rock Strength]],Table_FieldStrength[],3,FALSE)</f>
        <v>#N/A</v>
      </c>
      <c r="BB336" s="63" t="e">
        <f>VLOOKUP(Data_Geotech[[#This Row],[Field Intact Rock Strength]],Table_FieldStrength[],4,FALSE)</f>
        <v>#N/A</v>
      </c>
      <c r="BC336" s="63" t="e">
        <f>100-Data_Geotech[[#This Row],[RMR76]]</f>
        <v>#VALUE!</v>
      </c>
      <c r="BD336" s="63" t="e">
        <f>LEFT(Data_Geotech[[#This Row],[Weathering/Alteration]],FIND("-",Data_Geotech[[#This Row],[Weathering/Alteration]])-2)</f>
        <v>#VALUE!</v>
      </c>
    </row>
    <row r="337" spans="1:56" hidden="1" x14ac:dyDescent="0.25">
      <c r="A337" s="14"/>
      <c r="B337" s="166" t="e">
        <f>VLOOKUP(Data_Geotech[[#This Row],[Hole ID]],Data_Log[],2,FALSE)</f>
        <v>#N/A</v>
      </c>
      <c r="C337" s="5"/>
      <c r="D337" s="5"/>
      <c r="E337" s="5">
        <f>(Data_Geotech[[#This Row],[To (m)]]-Data_Geotech[[#This Row],[From (m)]])/2+Data_Geotech[[#This Row],[From (m)]]</f>
        <v>0</v>
      </c>
      <c r="F337" s="13">
        <f>Data_Geotech[[#This Row],[To (m)]]-Data_Geotech[[#This Row],[From (m)]]</f>
        <v>0</v>
      </c>
      <c r="G337" s="5"/>
      <c r="H337" s="13" t="e">
        <f>Data_Geotech[[#This Row],[TCR (m)]]/Data_Geotech[[#This Row],[Run (m)]]*100</f>
        <v>#DIV/0!</v>
      </c>
      <c r="I337" s="5"/>
      <c r="J337" s="5"/>
      <c r="K337" s="5"/>
      <c r="L337" s="13" t="e">
        <f>Data_Geotech[[#This Row],[RQD (m)]]/Data_Geotech[[#This Row],[Run Reel (m)]]*100</f>
        <v>#DIV/0!</v>
      </c>
      <c r="P337" s="115"/>
      <c r="Q337" s="5"/>
      <c r="R337" s="5"/>
      <c r="S337" s="5"/>
      <c r="T337" s="5"/>
      <c r="U337" s="5"/>
      <c r="V337" s="6"/>
      <c r="W337" s="92">
        <f>SUMIFS(Discontinuities!$D$4:$D$9664,Discontinuities!$A$4:$A$9664,A337,Discontinuities!$C$4:$C$9664,"&gt;="&amp;C337,Discontinuities!$C$4:$C$9664,"&lt;"&amp;D337)
-SUMIFS(Discontinuities!$D$4:$D$9664,Discontinuities!$A$4:$A$9664,A337,Discontinuities!$C$4:$C$9664,"&gt;="&amp;C337,Discontinuities!$C$4:$C$9664,"&lt;"&amp;D337,Discontinuities!$E$4:$E$9664,"=BC")
-SUMIFS(Discontinuities!$D$4:$D$9664,Discontinuities!$A$4:$A$9664,A337,Discontinuities!$C$4:$C$9664,"&gt;="&amp;C337,Discontinuities!$C$4:$C$9664,"&lt;"&amp;D337,Discontinuities!$E$4:$E$9664,"=LC")
-SUMIFS(Discontinuities!$D$4:$D$9664,Discontinuities!$A$4:$A$9664,A337,Discontinuities!$C$4:$C$9664,"&gt;="&amp;C337,Discontinuities!$C$4:$C$9664,"&lt;"&amp;D337,Discontinuities!$E$4:$E$9664,"=FLT")</f>
        <v>0</v>
      </c>
      <c r="AA337" s="132"/>
      <c r="AB337" s="159">
        <f>IFERROR(ROUND((Data_Geotech[[#This Row],[Fault (m)]]+Data_Geotech[[#This Row],[Broken Core (m)]]+Data_Geotech[[#This Row],[Lost Core (m)]])*30,0),0)</f>
        <v>0</v>
      </c>
      <c r="AC337" s="135">
        <f>IF(Data_Geotech[[#This Row],[Added fractures 
(BC, FLT, LC)]]+Data_Geotech[[#This Row],[Fracture per interval]]=0,99,1/((Data_Geotech[[#This Row],[Fracture per interval]]+Data_Geotech[[#This Row],[Added fractures 
(BC, FLT, LC)]])/Data_Geotech[[#This Row],[Run (m)]]))</f>
        <v>99</v>
      </c>
      <c r="AD337" s="160" t="str" cm="1">
        <f t="array" ref="AD337">IFERROR(_xlfn.XLOOKUP(1,(A337=PLT!$A$4:$A$8886)*(Geotech!C337&lt;=PLT!$F$4:$F$8886)*(Geotech!D337&gt;=PLT!$F$4:$F$8886)*("Valid"=PLT!$P$4:$P$8886),PLT!$V$4:$V$8886),"")</f>
        <v/>
      </c>
      <c r="AE337" s="161" t="str" cm="1">
        <f t="array" ref="AE337">IFERROR(_xlfn.XLOOKUP(1,(A337=PLT!$A$4:$A$8886)*(Geotech!C337&lt;=PLT!$F$4:$F$8886)*(Geotech!D337&gt;=PLT!$F$4:$F$8886)*(PLT!$V$4:$V$8886&lt;&gt;AD337)*("Valid"=PLT!$P$4:$P$7190),PLT!$V$4:$V$8886),"")</f>
        <v/>
      </c>
      <c r="AF337" s="161" t="str" cm="1">
        <f t="array" ref="AF337">IFERROR(_xlfn.XLOOKUP(1,(A337=PLT!$A$4:$A$8886)*(Geotech!C337&lt;=PLT!$F$4:$F$8886)*(Geotech!D337&gt;=PLT!$F$4:$F$8886)*(PLT!$V$4:$V$8886&lt;&gt;AD337)*(PLT!$V$4:$V$8886&lt;&gt;AE337)*("Valid"=PLT!$P$4:$P$7190),PLT!$V$4:$V$8886),"")</f>
        <v/>
      </c>
      <c r="AG337" s="162" t="str">
        <f>IFERROR(IF(AVERAGE(AD337:AF337)&gt;References!$BO$23,References!$BP$23,
IF(AVERAGE(AD337:AF337)&gt;References!$BO$22,References!$BP$22,
IF(AVERAGE(AD337:AF337)&gt;References!$BO$21,References!$BP$21,
IF(AVERAGE(AD337:AF337)&gt;References!$BO$20,References!$BP$20,
IF(AVERAGE(AD337:AF337)&gt;References!$BO$19,References!$BP$19,
IF(AVERAGE(AD337:AF337)&gt;References!$BO$18,References!$BP$18,
0)))))),"")</f>
        <v/>
      </c>
      <c r="AH337" s="163" t="e">
        <f>VLOOKUP(Data_Geotech[[#This Row],[Field Intact Rock Strength]],Table_RMR76_Strength[],2,FALSE)</f>
        <v>#N/A</v>
      </c>
      <c r="AI337" s="163" t="e">
        <f>IF(Data_Geotech[[#This Row],[RQD (%)]]&lt;=25,3,IF(Data_Geotech[[#This Row],[RQD (%)]]&lt;=50,8,IF(Data_Geotech[[#This Row],[RQD (%)]]&lt;=75,13,IF(Data_Geotech[[#This Row],[RQD (%)]]&lt;=90,17,20))))</f>
        <v>#DIV/0!</v>
      </c>
      <c r="AJ337" s="136">
        <f>IF(Data_Geotech[[#This Row],[Joint spacing (m)]]&lt;=0.05,5,IF(Data_Geotech[[#This Row],[Joint spacing (m)]]&lt;=0.3,10,IF(Data_Geotech[[#This Row],[Joint spacing (m)]]&lt;=1,20,IF(Data_Geotech[[#This Row],[Joint spacing (m)]]&lt;=3,25,30))))</f>
        <v>30</v>
      </c>
      <c r="AK33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7" s="6"/>
      <c r="AM337" s="137" t="str">
        <f>IF(Data_Geotech[[#This Row],[FIRS Code]]="R",IFERROR(SUM(Data_Geotech[[#This Row],[RMR76 - Strength rating]:[RMR76 - Ground water rating]]),""),"")</f>
        <v/>
      </c>
      <c r="AN337" s="164" t="str">
        <f>IF(Data_Geotech[[#This Row],[FIRS Code]]="R",(2*Data_Geotech[[#This Row],[RMR76 - Joint condition rating]])+(IF(Data_Geotech[[#This Row],[RQD (%)]]&gt;80,80/2,Data_Geotech[[#This Row],[RQD (%)]]/2)),"")</f>
        <v/>
      </c>
      <c r="AO337" s="136" t="e">
        <f>LEFT(Data_Geotech[[#This Row],[Joint Set Rating]],FIND("-",Data_Geotech[[#This Row],[Joint Set Rating]],1)-2)</f>
        <v>#VALUE!</v>
      </c>
      <c r="AP33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7" s="143">
        <f t="shared" si="7"/>
        <v>1</v>
      </c>
      <c r="AR337" s="165" t="str">
        <f>IF(Data_Geotech[[#This Row],[FIRS Code]]="R",IFERROR((IF(Data_Geotech[[#This Row],[RQD (%)]]&lt;10,10,Data_Geotech[[#This Row],[RQD (%)]])/Data_Geotech[[#This Row],[Jn rating]])*Data_Geotech[[#This Row],[Jr/Ja]],""),"")</f>
        <v/>
      </c>
      <c r="AS337" s="138" t="str">
        <f>IF(Data_Geotech[[#This Row],[FIRS Code]]="R",IFERROR((IF(Data_Geotech[[#This Row],[RQD (%)]]&lt;10,10,Data_Geotech[[#This Row],[RQD (%)]])/Data_Geotech[[#This Row],[Jn rating]])*Data_Geotech[[#This Row],[Jr/Ja]]*Data_Geotech[[#This Row],[Jw/SRF]],""),"")</f>
        <v/>
      </c>
      <c r="AT337" s="12"/>
      <c r="AU337" s="13" t="e">
        <f>100-Data_Geotech[[#This Row],[RQD (%)]]</f>
        <v>#DIV/0!</v>
      </c>
      <c r="AV337" s="13" t="e">
        <f>100-Data_Geotech[[#This Row],[TCR (%)]]</f>
        <v>#DIV/0!</v>
      </c>
      <c r="AW337" s="62" t="e">
        <f>(Data_Geotech[[#This Row],[Fracture per interval]]+Data_Geotech[[#This Row],[Added fractures 
(BC, FLT, LC)]])/Data_Geotech[[#This Row],[TCR (m)]]</f>
        <v>#DIV/0!</v>
      </c>
      <c r="AX337" s="62" t="str">
        <f>MID(Data_Geotech[[#This Row],[Field Intact Rock Strength]],2,1)</f>
        <v/>
      </c>
      <c r="AY337" s="63" t="e">
        <f>7-MID(Data_Geotech[[#This Row],[Field Intact Rock Strength]],2,1)</f>
        <v>#VALUE!</v>
      </c>
      <c r="AZ337" s="63" t="e">
        <f>VLOOKUP(Data_Geotech[[#This Row],[Field Intact Rock Strength]],Table_FieldStrength[],2,FALSE)</f>
        <v>#N/A</v>
      </c>
      <c r="BA337" s="63" t="e">
        <f>VLOOKUP(Data_Geotech[[#This Row],[Field Intact Rock Strength]],Table_FieldStrength[],3,FALSE)</f>
        <v>#N/A</v>
      </c>
      <c r="BB337" s="63" t="e">
        <f>VLOOKUP(Data_Geotech[[#This Row],[Field Intact Rock Strength]],Table_FieldStrength[],4,FALSE)</f>
        <v>#N/A</v>
      </c>
      <c r="BC337" s="63" t="e">
        <f>100-Data_Geotech[[#This Row],[RMR76]]</f>
        <v>#VALUE!</v>
      </c>
      <c r="BD337" s="63" t="e">
        <f>LEFT(Data_Geotech[[#This Row],[Weathering/Alteration]],FIND("-",Data_Geotech[[#This Row],[Weathering/Alteration]])-2)</f>
        <v>#VALUE!</v>
      </c>
    </row>
    <row r="338" spans="1:56" hidden="1" x14ac:dyDescent="0.25">
      <c r="A338" s="14"/>
      <c r="B338" s="166" t="e">
        <f>VLOOKUP(Data_Geotech[[#This Row],[Hole ID]],Data_Log[],2,FALSE)</f>
        <v>#N/A</v>
      </c>
      <c r="C338" s="5"/>
      <c r="D338" s="5"/>
      <c r="E338" s="5">
        <f>(Data_Geotech[[#This Row],[To (m)]]-Data_Geotech[[#This Row],[From (m)]])/2+Data_Geotech[[#This Row],[From (m)]]</f>
        <v>0</v>
      </c>
      <c r="F338" s="13">
        <f>Data_Geotech[[#This Row],[To (m)]]-Data_Geotech[[#This Row],[From (m)]]</f>
        <v>0</v>
      </c>
      <c r="G338" s="5"/>
      <c r="H338" s="13" t="e">
        <f>Data_Geotech[[#This Row],[TCR (m)]]/Data_Geotech[[#This Row],[Run (m)]]*100</f>
        <v>#DIV/0!</v>
      </c>
      <c r="I338" s="5"/>
      <c r="J338" s="5"/>
      <c r="K338" s="5"/>
      <c r="L338" s="13" t="e">
        <f>Data_Geotech[[#This Row],[RQD (m)]]/Data_Geotech[[#This Row],[Run Reel (m)]]*100</f>
        <v>#DIV/0!</v>
      </c>
      <c r="P338" s="115"/>
      <c r="Q338" s="5"/>
      <c r="R338" s="5"/>
      <c r="S338" s="5"/>
      <c r="T338" s="5"/>
      <c r="U338" s="5"/>
      <c r="V338" s="6"/>
      <c r="W338" s="92">
        <f>SUMIFS(Discontinuities!$D$4:$D$9664,Discontinuities!$A$4:$A$9664,A338,Discontinuities!$C$4:$C$9664,"&gt;="&amp;C338,Discontinuities!$C$4:$C$9664,"&lt;"&amp;D338)
-SUMIFS(Discontinuities!$D$4:$D$9664,Discontinuities!$A$4:$A$9664,A338,Discontinuities!$C$4:$C$9664,"&gt;="&amp;C338,Discontinuities!$C$4:$C$9664,"&lt;"&amp;D338,Discontinuities!$E$4:$E$9664,"=BC")
-SUMIFS(Discontinuities!$D$4:$D$9664,Discontinuities!$A$4:$A$9664,A338,Discontinuities!$C$4:$C$9664,"&gt;="&amp;C338,Discontinuities!$C$4:$C$9664,"&lt;"&amp;D338,Discontinuities!$E$4:$E$9664,"=LC")
-SUMIFS(Discontinuities!$D$4:$D$9664,Discontinuities!$A$4:$A$9664,A338,Discontinuities!$C$4:$C$9664,"&gt;="&amp;C338,Discontinuities!$C$4:$C$9664,"&lt;"&amp;D338,Discontinuities!$E$4:$E$9664,"=FLT")</f>
        <v>0</v>
      </c>
      <c r="AA338" s="132"/>
      <c r="AB338" s="159">
        <f>IFERROR(ROUND((Data_Geotech[[#This Row],[Fault (m)]]+Data_Geotech[[#This Row],[Broken Core (m)]]+Data_Geotech[[#This Row],[Lost Core (m)]])*30,0),0)</f>
        <v>0</v>
      </c>
      <c r="AC338" s="135">
        <f>IF(Data_Geotech[[#This Row],[Added fractures 
(BC, FLT, LC)]]+Data_Geotech[[#This Row],[Fracture per interval]]=0,99,1/((Data_Geotech[[#This Row],[Fracture per interval]]+Data_Geotech[[#This Row],[Added fractures 
(BC, FLT, LC)]])/Data_Geotech[[#This Row],[Run (m)]]))</f>
        <v>99</v>
      </c>
      <c r="AD338" s="160" t="str" cm="1">
        <f t="array" ref="AD338">IFERROR(_xlfn.XLOOKUP(1,(A338=PLT!$A$4:$A$8886)*(Geotech!C338&lt;=PLT!$F$4:$F$8886)*(Geotech!D338&gt;=PLT!$F$4:$F$8886)*("Valid"=PLT!$P$4:$P$8886),PLT!$V$4:$V$8886),"")</f>
        <v/>
      </c>
      <c r="AE338" s="161" t="str" cm="1">
        <f t="array" ref="AE338">IFERROR(_xlfn.XLOOKUP(1,(A338=PLT!$A$4:$A$8886)*(Geotech!C338&lt;=PLT!$F$4:$F$8886)*(Geotech!D338&gt;=PLT!$F$4:$F$8886)*(PLT!$V$4:$V$8886&lt;&gt;AD338)*("Valid"=PLT!$P$4:$P$7190),PLT!$V$4:$V$8886),"")</f>
        <v/>
      </c>
      <c r="AF338" s="161" t="str" cm="1">
        <f t="array" ref="AF338">IFERROR(_xlfn.XLOOKUP(1,(A338=PLT!$A$4:$A$8886)*(Geotech!C338&lt;=PLT!$F$4:$F$8886)*(Geotech!D338&gt;=PLT!$F$4:$F$8886)*(PLT!$V$4:$V$8886&lt;&gt;AD338)*(PLT!$V$4:$V$8886&lt;&gt;AE338)*("Valid"=PLT!$P$4:$P$7190),PLT!$V$4:$V$8886),"")</f>
        <v/>
      </c>
      <c r="AG338" s="162" t="str">
        <f>IFERROR(IF(AVERAGE(AD338:AF338)&gt;References!$BO$23,References!$BP$23,
IF(AVERAGE(AD338:AF338)&gt;References!$BO$22,References!$BP$22,
IF(AVERAGE(AD338:AF338)&gt;References!$BO$21,References!$BP$21,
IF(AVERAGE(AD338:AF338)&gt;References!$BO$20,References!$BP$20,
IF(AVERAGE(AD338:AF338)&gt;References!$BO$19,References!$BP$19,
IF(AVERAGE(AD338:AF338)&gt;References!$BO$18,References!$BP$18,
0)))))),"")</f>
        <v/>
      </c>
      <c r="AH338" s="163" t="e">
        <f>VLOOKUP(Data_Geotech[[#This Row],[Field Intact Rock Strength]],Table_RMR76_Strength[],2,FALSE)</f>
        <v>#N/A</v>
      </c>
      <c r="AI338" s="163" t="e">
        <f>IF(Data_Geotech[[#This Row],[RQD (%)]]&lt;=25,3,IF(Data_Geotech[[#This Row],[RQD (%)]]&lt;=50,8,IF(Data_Geotech[[#This Row],[RQD (%)]]&lt;=75,13,IF(Data_Geotech[[#This Row],[RQD (%)]]&lt;=90,17,20))))</f>
        <v>#DIV/0!</v>
      </c>
      <c r="AJ338" s="136">
        <f>IF(Data_Geotech[[#This Row],[Joint spacing (m)]]&lt;=0.05,5,IF(Data_Geotech[[#This Row],[Joint spacing (m)]]&lt;=0.3,10,IF(Data_Geotech[[#This Row],[Joint spacing (m)]]&lt;=1,20,IF(Data_Geotech[[#This Row],[Joint spacing (m)]]&lt;=3,25,30))))</f>
        <v>30</v>
      </c>
      <c r="AK33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8" s="6"/>
      <c r="AM338" s="137" t="str">
        <f>IF(Data_Geotech[[#This Row],[FIRS Code]]="R",IFERROR(SUM(Data_Geotech[[#This Row],[RMR76 - Strength rating]:[RMR76 - Ground water rating]]),""),"")</f>
        <v/>
      </c>
      <c r="AN338" s="164" t="str">
        <f>IF(Data_Geotech[[#This Row],[FIRS Code]]="R",(2*Data_Geotech[[#This Row],[RMR76 - Joint condition rating]])+(IF(Data_Geotech[[#This Row],[RQD (%)]]&gt;80,80/2,Data_Geotech[[#This Row],[RQD (%)]]/2)),"")</f>
        <v/>
      </c>
      <c r="AO338" s="136" t="e">
        <f>LEFT(Data_Geotech[[#This Row],[Joint Set Rating]],FIND("-",Data_Geotech[[#This Row],[Joint Set Rating]],1)-2)</f>
        <v>#VALUE!</v>
      </c>
      <c r="AP33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8" s="143">
        <f t="shared" si="7"/>
        <v>1</v>
      </c>
      <c r="AR338" s="165" t="str">
        <f>IF(Data_Geotech[[#This Row],[FIRS Code]]="R",IFERROR((IF(Data_Geotech[[#This Row],[RQD (%)]]&lt;10,10,Data_Geotech[[#This Row],[RQD (%)]])/Data_Geotech[[#This Row],[Jn rating]])*Data_Geotech[[#This Row],[Jr/Ja]],""),"")</f>
        <v/>
      </c>
      <c r="AS338" s="138" t="str">
        <f>IF(Data_Geotech[[#This Row],[FIRS Code]]="R",IFERROR((IF(Data_Geotech[[#This Row],[RQD (%)]]&lt;10,10,Data_Geotech[[#This Row],[RQD (%)]])/Data_Geotech[[#This Row],[Jn rating]])*Data_Geotech[[#This Row],[Jr/Ja]]*Data_Geotech[[#This Row],[Jw/SRF]],""),"")</f>
        <v/>
      </c>
      <c r="AT338" s="12"/>
      <c r="AU338" s="13" t="e">
        <f>100-Data_Geotech[[#This Row],[RQD (%)]]</f>
        <v>#DIV/0!</v>
      </c>
      <c r="AV338" s="13" t="e">
        <f>100-Data_Geotech[[#This Row],[TCR (%)]]</f>
        <v>#DIV/0!</v>
      </c>
      <c r="AW338" s="62" t="e">
        <f>(Data_Geotech[[#This Row],[Fracture per interval]]+Data_Geotech[[#This Row],[Added fractures 
(BC, FLT, LC)]])/Data_Geotech[[#This Row],[TCR (m)]]</f>
        <v>#DIV/0!</v>
      </c>
      <c r="AX338" s="62" t="str">
        <f>MID(Data_Geotech[[#This Row],[Field Intact Rock Strength]],2,1)</f>
        <v/>
      </c>
      <c r="AY338" s="63" t="e">
        <f>7-MID(Data_Geotech[[#This Row],[Field Intact Rock Strength]],2,1)</f>
        <v>#VALUE!</v>
      </c>
      <c r="AZ338" s="63" t="e">
        <f>VLOOKUP(Data_Geotech[[#This Row],[Field Intact Rock Strength]],Table_FieldStrength[],2,FALSE)</f>
        <v>#N/A</v>
      </c>
      <c r="BA338" s="63" t="e">
        <f>VLOOKUP(Data_Geotech[[#This Row],[Field Intact Rock Strength]],Table_FieldStrength[],3,FALSE)</f>
        <v>#N/A</v>
      </c>
      <c r="BB338" s="63" t="e">
        <f>VLOOKUP(Data_Geotech[[#This Row],[Field Intact Rock Strength]],Table_FieldStrength[],4,FALSE)</f>
        <v>#N/A</v>
      </c>
      <c r="BC338" s="63" t="e">
        <f>100-Data_Geotech[[#This Row],[RMR76]]</f>
        <v>#VALUE!</v>
      </c>
      <c r="BD338" s="63" t="e">
        <f>LEFT(Data_Geotech[[#This Row],[Weathering/Alteration]],FIND("-",Data_Geotech[[#This Row],[Weathering/Alteration]])-2)</f>
        <v>#VALUE!</v>
      </c>
    </row>
    <row r="339" spans="1:56" hidden="1" x14ac:dyDescent="0.25">
      <c r="A339" s="14"/>
      <c r="B339" s="166" t="e">
        <f>VLOOKUP(Data_Geotech[[#This Row],[Hole ID]],Data_Log[],2,FALSE)</f>
        <v>#N/A</v>
      </c>
      <c r="C339" s="5"/>
      <c r="D339" s="5"/>
      <c r="E339" s="5">
        <f>(Data_Geotech[[#This Row],[To (m)]]-Data_Geotech[[#This Row],[From (m)]])/2+Data_Geotech[[#This Row],[From (m)]]</f>
        <v>0</v>
      </c>
      <c r="F339" s="13">
        <f>Data_Geotech[[#This Row],[To (m)]]-Data_Geotech[[#This Row],[From (m)]]</f>
        <v>0</v>
      </c>
      <c r="G339" s="5"/>
      <c r="H339" s="13" t="e">
        <f>Data_Geotech[[#This Row],[TCR (m)]]/Data_Geotech[[#This Row],[Run (m)]]*100</f>
        <v>#DIV/0!</v>
      </c>
      <c r="I339" s="5"/>
      <c r="J339" s="5"/>
      <c r="K339" s="5"/>
      <c r="L339" s="13" t="e">
        <f>Data_Geotech[[#This Row],[RQD (m)]]/Data_Geotech[[#This Row],[Run Reel (m)]]*100</f>
        <v>#DIV/0!</v>
      </c>
      <c r="P339" s="115"/>
      <c r="Q339" s="5"/>
      <c r="R339" s="5"/>
      <c r="S339" s="5"/>
      <c r="T339" s="5"/>
      <c r="U339" s="5"/>
      <c r="V339" s="6"/>
      <c r="W339" s="92">
        <f>SUMIFS(Discontinuities!$D$4:$D$9664,Discontinuities!$A$4:$A$9664,A339,Discontinuities!$C$4:$C$9664,"&gt;="&amp;C339,Discontinuities!$C$4:$C$9664,"&lt;"&amp;D339)
-SUMIFS(Discontinuities!$D$4:$D$9664,Discontinuities!$A$4:$A$9664,A339,Discontinuities!$C$4:$C$9664,"&gt;="&amp;C339,Discontinuities!$C$4:$C$9664,"&lt;"&amp;D339,Discontinuities!$E$4:$E$9664,"=BC")
-SUMIFS(Discontinuities!$D$4:$D$9664,Discontinuities!$A$4:$A$9664,A339,Discontinuities!$C$4:$C$9664,"&gt;="&amp;C339,Discontinuities!$C$4:$C$9664,"&lt;"&amp;D339,Discontinuities!$E$4:$E$9664,"=LC")
-SUMIFS(Discontinuities!$D$4:$D$9664,Discontinuities!$A$4:$A$9664,A339,Discontinuities!$C$4:$C$9664,"&gt;="&amp;C339,Discontinuities!$C$4:$C$9664,"&lt;"&amp;D339,Discontinuities!$E$4:$E$9664,"=FLT")</f>
        <v>0</v>
      </c>
      <c r="AA339" s="132"/>
      <c r="AB339" s="159">
        <f>IFERROR(ROUND((Data_Geotech[[#This Row],[Fault (m)]]+Data_Geotech[[#This Row],[Broken Core (m)]]+Data_Geotech[[#This Row],[Lost Core (m)]])*30,0),0)</f>
        <v>0</v>
      </c>
      <c r="AC339" s="135">
        <f>IF(Data_Geotech[[#This Row],[Added fractures 
(BC, FLT, LC)]]+Data_Geotech[[#This Row],[Fracture per interval]]=0,99,1/((Data_Geotech[[#This Row],[Fracture per interval]]+Data_Geotech[[#This Row],[Added fractures 
(BC, FLT, LC)]])/Data_Geotech[[#This Row],[Run (m)]]))</f>
        <v>99</v>
      </c>
      <c r="AD339" s="160" t="str" cm="1">
        <f t="array" ref="AD339">IFERROR(_xlfn.XLOOKUP(1,(A339=PLT!$A$4:$A$8886)*(Geotech!C339&lt;=PLT!$F$4:$F$8886)*(Geotech!D339&gt;=PLT!$F$4:$F$8886)*("Valid"=PLT!$P$4:$P$8886),PLT!$V$4:$V$8886),"")</f>
        <v/>
      </c>
      <c r="AE339" s="161" t="str" cm="1">
        <f t="array" ref="AE339">IFERROR(_xlfn.XLOOKUP(1,(A339=PLT!$A$4:$A$8886)*(Geotech!C339&lt;=PLT!$F$4:$F$8886)*(Geotech!D339&gt;=PLT!$F$4:$F$8886)*(PLT!$V$4:$V$8886&lt;&gt;AD339)*("Valid"=PLT!$P$4:$P$7190),PLT!$V$4:$V$8886),"")</f>
        <v/>
      </c>
      <c r="AF339" s="161" t="str" cm="1">
        <f t="array" ref="AF339">IFERROR(_xlfn.XLOOKUP(1,(A339=PLT!$A$4:$A$8886)*(Geotech!C339&lt;=PLT!$F$4:$F$8886)*(Geotech!D339&gt;=PLT!$F$4:$F$8886)*(PLT!$V$4:$V$8886&lt;&gt;AD339)*(PLT!$V$4:$V$8886&lt;&gt;AE339)*("Valid"=PLT!$P$4:$P$7190),PLT!$V$4:$V$8886),"")</f>
        <v/>
      </c>
      <c r="AG339" s="162" t="str">
        <f>IFERROR(IF(AVERAGE(AD339:AF339)&gt;References!$BO$23,References!$BP$23,
IF(AVERAGE(AD339:AF339)&gt;References!$BO$22,References!$BP$22,
IF(AVERAGE(AD339:AF339)&gt;References!$BO$21,References!$BP$21,
IF(AVERAGE(AD339:AF339)&gt;References!$BO$20,References!$BP$20,
IF(AVERAGE(AD339:AF339)&gt;References!$BO$19,References!$BP$19,
IF(AVERAGE(AD339:AF339)&gt;References!$BO$18,References!$BP$18,
0)))))),"")</f>
        <v/>
      </c>
      <c r="AH339" s="163" t="e">
        <f>VLOOKUP(Data_Geotech[[#This Row],[Field Intact Rock Strength]],Table_RMR76_Strength[],2,FALSE)</f>
        <v>#N/A</v>
      </c>
      <c r="AI339" s="163" t="e">
        <f>IF(Data_Geotech[[#This Row],[RQD (%)]]&lt;=25,3,IF(Data_Geotech[[#This Row],[RQD (%)]]&lt;=50,8,IF(Data_Geotech[[#This Row],[RQD (%)]]&lt;=75,13,IF(Data_Geotech[[#This Row],[RQD (%)]]&lt;=90,17,20))))</f>
        <v>#DIV/0!</v>
      </c>
      <c r="AJ339" s="136">
        <f>IF(Data_Geotech[[#This Row],[Joint spacing (m)]]&lt;=0.05,5,IF(Data_Geotech[[#This Row],[Joint spacing (m)]]&lt;=0.3,10,IF(Data_Geotech[[#This Row],[Joint spacing (m)]]&lt;=1,20,IF(Data_Geotech[[#This Row],[Joint spacing (m)]]&lt;=3,25,30))))</f>
        <v>30</v>
      </c>
      <c r="AK33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39" s="6"/>
      <c r="AM339" s="137" t="str">
        <f>IF(Data_Geotech[[#This Row],[FIRS Code]]="R",IFERROR(SUM(Data_Geotech[[#This Row],[RMR76 - Strength rating]:[RMR76 - Ground water rating]]),""),"")</f>
        <v/>
      </c>
      <c r="AN339" s="164" t="str">
        <f>IF(Data_Geotech[[#This Row],[FIRS Code]]="R",(2*Data_Geotech[[#This Row],[RMR76 - Joint condition rating]])+(IF(Data_Geotech[[#This Row],[RQD (%)]]&gt;80,80/2,Data_Geotech[[#This Row],[RQD (%)]]/2)),"")</f>
        <v/>
      </c>
      <c r="AO339" s="136" t="e">
        <f>LEFT(Data_Geotech[[#This Row],[Joint Set Rating]],FIND("-",Data_Geotech[[#This Row],[Joint Set Rating]],1)-2)</f>
        <v>#VALUE!</v>
      </c>
      <c r="AP33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39" s="143">
        <f t="shared" si="7"/>
        <v>1</v>
      </c>
      <c r="AR339" s="165" t="str">
        <f>IF(Data_Geotech[[#This Row],[FIRS Code]]="R",IFERROR((IF(Data_Geotech[[#This Row],[RQD (%)]]&lt;10,10,Data_Geotech[[#This Row],[RQD (%)]])/Data_Geotech[[#This Row],[Jn rating]])*Data_Geotech[[#This Row],[Jr/Ja]],""),"")</f>
        <v/>
      </c>
      <c r="AS339" s="138" t="str">
        <f>IF(Data_Geotech[[#This Row],[FIRS Code]]="R",IFERROR((IF(Data_Geotech[[#This Row],[RQD (%)]]&lt;10,10,Data_Geotech[[#This Row],[RQD (%)]])/Data_Geotech[[#This Row],[Jn rating]])*Data_Geotech[[#This Row],[Jr/Ja]]*Data_Geotech[[#This Row],[Jw/SRF]],""),"")</f>
        <v/>
      </c>
      <c r="AT339" s="12"/>
      <c r="AU339" s="13" t="e">
        <f>100-Data_Geotech[[#This Row],[RQD (%)]]</f>
        <v>#DIV/0!</v>
      </c>
      <c r="AV339" s="13" t="e">
        <f>100-Data_Geotech[[#This Row],[TCR (%)]]</f>
        <v>#DIV/0!</v>
      </c>
      <c r="AW339" s="62" t="e">
        <f>(Data_Geotech[[#This Row],[Fracture per interval]]+Data_Geotech[[#This Row],[Added fractures 
(BC, FLT, LC)]])/Data_Geotech[[#This Row],[TCR (m)]]</f>
        <v>#DIV/0!</v>
      </c>
      <c r="AX339" s="62" t="str">
        <f>MID(Data_Geotech[[#This Row],[Field Intact Rock Strength]],2,1)</f>
        <v/>
      </c>
      <c r="AY339" s="63" t="e">
        <f>7-MID(Data_Geotech[[#This Row],[Field Intact Rock Strength]],2,1)</f>
        <v>#VALUE!</v>
      </c>
      <c r="AZ339" s="63" t="e">
        <f>VLOOKUP(Data_Geotech[[#This Row],[Field Intact Rock Strength]],Table_FieldStrength[],2,FALSE)</f>
        <v>#N/A</v>
      </c>
      <c r="BA339" s="63" t="e">
        <f>VLOOKUP(Data_Geotech[[#This Row],[Field Intact Rock Strength]],Table_FieldStrength[],3,FALSE)</f>
        <v>#N/A</v>
      </c>
      <c r="BB339" s="63" t="e">
        <f>VLOOKUP(Data_Geotech[[#This Row],[Field Intact Rock Strength]],Table_FieldStrength[],4,FALSE)</f>
        <v>#N/A</v>
      </c>
      <c r="BC339" s="63" t="e">
        <f>100-Data_Geotech[[#This Row],[RMR76]]</f>
        <v>#VALUE!</v>
      </c>
      <c r="BD339" s="63" t="e">
        <f>LEFT(Data_Geotech[[#This Row],[Weathering/Alteration]],FIND("-",Data_Geotech[[#This Row],[Weathering/Alteration]])-2)</f>
        <v>#VALUE!</v>
      </c>
    </row>
    <row r="340" spans="1:56" hidden="1" x14ac:dyDescent="0.25">
      <c r="A340" s="14"/>
      <c r="B340" s="166" t="e">
        <f>VLOOKUP(Data_Geotech[[#This Row],[Hole ID]],Data_Log[],2,FALSE)</f>
        <v>#N/A</v>
      </c>
      <c r="C340" s="5"/>
      <c r="D340" s="5"/>
      <c r="E340" s="5">
        <f>(Data_Geotech[[#This Row],[To (m)]]-Data_Geotech[[#This Row],[From (m)]])/2+Data_Geotech[[#This Row],[From (m)]]</f>
        <v>0</v>
      </c>
      <c r="F340" s="13">
        <f>Data_Geotech[[#This Row],[To (m)]]-Data_Geotech[[#This Row],[From (m)]]</f>
        <v>0</v>
      </c>
      <c r="G340" s="5"/>
      <c r="H340" s="13" t="e">
        <f>Data_Geotech[[#This Row],[TCR (m)]]/Data_Geotech[[#This Row],[Run (m)]]*100</f>
        <v>#DIV/0!</v>
      </c>
      <c r="I340" s="5"/>
      <c r="J340" s="5"/>
      <c r="K340" s="5"/>
      <c r="L340" s="13" t="e">
        <f>Data_Geotech[[#This Row],[RQD (m)]]/Data_Geotech[[#This Row],[Run Reel (m)]]*100</f>
        <v>#DIV/0!</v>
      </c>
      <c r="P340" s="115"/>
      <c r="Q340" s="5"/>
      <c r="R340" s="5"/>
      <c r="S340" s="5"/>
      <c r="T340" s="5"/>
      <c r="U340" s="5"/>
      <c r="V340" s="6"/>
      <c r="W340" s="92">
        <f>SUMIFS(Discontinuities!$D$4:$D$9664,Discontinuities!$A$4:$A$9664,A340,Discontinuities!$C$4:$C$9664,"&gt;="&amp;C340,Discontinuities!$C$4:$C$9664,"&lt;"&amp;D340)
-SUMIFS(Discontinuities!$D$4:$D$9664,Discontinuities!$A$4:$A$9664,A340,Discontinuities!$C$4:$C$9664,"&gt;="&amp;C340,Discontinuities!$C$4:$C$9664,"&lt;"&amp;D340,Discontinuities!$E$4:$E$9664,"=BC")
-SUMIFS(Discontinuities!$D$4:$D$9664,Discontinuities!$A$4:$A$9664,A340,Discontinuities!$C$4:$C$9664,"&gt;="&amp;C340,Discontinuities!$C$4:$C$9664,"&lt;"&amp;D340,Discontinuities!$E$4:$E$9664,"=LC")
-SUMIFS(Discontinuities!$D$4:$D$9664,Discontinuities!$A$4:$A$9664,A340,Discontinuities!$C$4:$C$9664,"&gt;="&amp;C340,Discontinuities!$C$4:$C$9664,"&lt;"&amp;D340,Discontinuities!$E$4:$E$9664,"=FLT")</f>
        <v>0</v>
      </c>
      <c r="AA340" s="132"/>
      <c r="AB340" s="159">
        <f>IFERROR(ROUND((Data_Geotech[[#This Row],[Fault (m)]]+Data_Geotech[[#This Row],[Broken Core (m)]]+Data_Geotech[[#This Row],[Lost Core (m)]])*30,0),0)</f>
        <v>0</v>
      </c>
      <c r="AC340" s="135">
        <f>IF(Data_Geotech[[#This Row],[Added fractures 
(BC, FLT, LC)]]+Data_Geotech[[#This Row],[Fracture per interval]]=0,99,1/((Data_Geotech[[#This Row],[Fracture per interval]]+Data_Geotech[[#This Row],[Added fractures 
(BC, FLT, LC)]])/Data_Geotech[[#This Row],[Run (m)]]))</f>
        <v>99</v>
      </c>
      <c r="AD340" s="160" t="str" cm="1">
        <f t="array" ref="AD340">IFERROR(_xlfn.XLOOKUP(1,(A340=PLT!$A$4:$A$8886)*(Geotech!C340&lt;=PLT!$F$4:$F$8886)*(Geotech!D340&gt;=PLT!$F$4:$F$8886)*("Valid"=PLT!$P$4:$P$8886),PLT!$V$4:$V$8886),"")</f>
        <v/>
      </c>
      <c r="AE340" s="161" t="str" cm="1">
        <f t="array" ref="AE340">IFERROR(_xlfn.XLOOKUP(1,(A340=PLT!$A$4:$A$8886)*(Geotech!C340&lt;=PLT!$F$4:$F$8886)*(Geotech!D340&gt;=PLT!$F$4:$F$8886)*(PLT!$V$4:$V$8886&lt;&gt;AD340)*("Valid"=PLT!$P$4:$P$7190),PLT!$V$4:$V$8886),"")</f>
        <v/>
      </c>
      <c r="AF340" s="161" t="str" cm="1">
        <f t="array" ref="AF340">IFERROR(_xlfn.XLOOKUP(1,(A340=PLT!$A$4:$A$8886)*(Geotech!C340&lt;=PLT!$F$4:$F$8886)*(Geotech!D340&gt;=PLT!$F$4:$F$8886)*(PLT!$V$4:$V$8886&lt;&gt;AD340)*(PLT!$V$4:$V$8886&lt;&gt;AE340)*("Valid"=PLT!$P$4:$P$7190),PLT!$V$4:$V$8886),"")</f>
        <v/>
      </c>
      <c r="AG340" s="162" t="str">
        <f>IFERROR(IF(AVERAGE(AD340:AF340)&gt;References!$BO$23,References!$BP$23,
IF(AVERAGE(AD340:AF340)&gt;References!$BO$22,References!$BP$22,
IF(AVERAGE(AD340:AF340)&gt;References!$BO$21,References!$BP$21,
IF(AVERAGE(AD340:AF340)&gt;References!$BO$20,References!$BP$20,
IF(AVERAGE(AD340:AF340)&gt;References!$BO$19,References!$BP$19,
IF(AVERAGE(AD340:AF340)&gt;References!$BO$18,References!$BP$18,
0)))))),"")</f>
        <v/>
      </c>
      <c r="AH340" s="163" t="e">
        <f>VLOOKUP(Data_Geotech[[#This Row],[Field Intact Rock Strength]],Table_RMR76_Strength[],2,FALSE)</f>
        <v>#N/A</v>
      </c>
      <c r="AI340" s="163" t="e">
        <f>IF(Data_Geotech[[#This Row],[RQD (%)]]&lt;=25,3,IF(Data_Geotech[[#This Row],[RQD (%)]]&lt;=50,8,IF(Data_Geotech[[#This Row],[RQD (%)]]&lt;=75,13,IF(Data_Geotech[[#This Row],[RQD (%)]]&lt;=90,17,20))))</f>
        <v>#DIV/0!</v>
      </c>
      <c r="AJ340" s="136">
        <f>IF(Data_Geotech[[#This Row],[Joint spacing (m)]]&lt;=0.05,5,IF(Data_Geotech[[#This Row],[Joint spacing (m)]]&lt;=0.3,10,IF(Data_Geotech[[#This Row],[Joint spacing (m)]]&lt;=1,20,IF(Data_Geotech[[#This Row],[Joint spacing (m)]]&lt;=3,25,30))))</f>
        <v>30</v>
      </c>
      <c r="AK34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0" s="6"/>
      <c r="AM340" s="137" t="str">
        <f>IF(Data_Geotech[[#This Row],[FIRS Code]]="R",IFERROR(SUM(Data_Geotech[[#This Row],[RMR76 - Strength rating]:[RMR76 - Ground water rating]]),""),"")</f>
        <v/>
      </c>
      <c r="AN340" s="164" t="str">
        <f>IF(Data_Geotech[[#This Row],[FIRS Code]]="R",(2*Data_Geotech[[#This Row],[RMR76 - Joint condition rating]])+(IF(Data_Geotech[[#This Row],[RQD (%)]]&gt;80,80/2,Data_Geotech[[#This Row],[RQD (%)]]/2)),"")</f>
        <v/>
      </c>
      <c r="AO340" s="136" t="e">
        <f>LEFT(Data_Geotech[[#This Row],[Joint Set Rating]],FIND("-",Data_Geotech[[#This Row],[Joint Set Rating]],1)-2)</f>
        <v>#VALUE!</v>
      </c>
      <c r="AP34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0" s="143">
        <f t="shared" si="7"/>
        <v>1</v>
      </c>
      <c r="AR340" s="165" t="str">
        <f>IF(Data_Geotech[[#This Row],[FIRS Code]]="R",IFERROR((IF(Data_Geotech[[#This Row],[RQD (%)]]&lt;10,10,Data_Geotech[[#This Row],[RQD (%)]])/Data_Geotech[[#This Row],[Jn rating]])*Data_Geotech[[#This Row],[Jr/Ja]],""),"")</f>
        <v/>
      </c>
      <c r="AS340" s="138" t="str">
        <f>IF(Data_Geotech[[#This Row],[FIRS Code]]="R",IFERROR((IF(Data_Geotech[[#This Row],[RQD (%)]]&lt;10,10,Data_Geotech[[#This Row],[RQD (%)]])/Data_Geotech[[#This Row],[Jn rating]])*Data_Geotech[[#This Row],[Jr/Ja]]*Data_Geotech[[#This Row],[Jw/SRF]],""),"")</f>
        <v/>
      </c>
      <c r="AT340" s="12"/>
      <c r="AU340" s="13" t="e">
        <f>100-Data_Geotech[[#This Row],[RQD (%)]]</f>
        <v>#DIV/0!</v>
      </c>
      <c r="AV340" s="13" t="e">
        <f>100-Data_Geotech[[#This Row],[TCR (%)]]</f>
        <v>#DIV/0!</v>
      </c>
      <c r="AW340" s="62" t="e">
        <f>(Data_Geotech[[#This Row],[Fracture per interval]]+Data_Geotech[[#This Row],[Added fractures 
(BC, FLT, LC)]])/Data_Geotech[[#This Row],[TCR (m)]]</f>
        <v>#DIV/0!</v>
      </c>
      <c r="AX340" s="62" t="str">
        <f>MID(Data_Geotech[[#This Row],[Field Intact Rock Strength]],2,1)</f>
        <v/>
      </c>
      <c r="AY340" s="63" t="e">
        <f>7-MID(Data_Geotech[[#This Row],[Field Intact Rock Strength]],2,1)</f>
        <v>#VALUE!</v>
      </c>
      <c r="AZ340" s="63" t="e">
        <f>VLOOKUP(Data_Geotech[[#This Row],[Field Intact Rock Strength]],Table_FieldStrength[],2,FALSE)</f>
        <v>#N/A</v>
      </c>
      <c r="BA340" s="63" t="e">
        <f>VLOOKUP(Data_Geotech[[#This Row],[Field Intact Rock Strength]],Table_FieldStrength[],3,FALSE)</f>
        <v>#N/A</v>
      </c>
      <c r="BB340" s="63" t="e">
        <f>VLOOKUP(Data_Geotech[[#This Row],[Field Intact Rock Strength]],Table_FieldStrength[],4,FALSE)</f>
        <v>#N/A</v>
      </c>
      <c r="BC340" s="63" t="e">
        <f>100-Data_Geotech[[#This Row],[RMR76]]</f>
        <v>#VALUE!</v>
      </c>
      <c r="BD340" s="63" t="e">
        <f>LEFT(Data_Geotech[[#This Row],[Weathering/Alteration]],FIND("-",Data_Geotech[[#This Row],[Weathering/Alteration]])-2)</f>
        <v>#VALUE!</v>
      </c>
    </row>
    <row r="341" spans="1:56" hidden="1" x14ac:dyDescent="0.25">
      <c r="A341" s="14"/>
      <c r="B341" s="166" t="e">
        <f>VLOOKUP(Data_Geotech[[#This Row],[Hole ID]],Data_Log[],2,FALSE)</f>
        <v>#N/A</v>
      </c>
      <c r="C341" s="5"/>
      <c r="D341" s="5"/>
      <c r="E341" s="5">
        <f>(Data_Geotech[[#This Row],[To (m)]]-Data_Geotech[[#This Row],[From (m)]])/2+Data_Geotech[[#This Row],[From (m)]]</f>
        <v>0</v>
      </c>
      <c r="F341" s="13">
        <f>Data_Geotech[[#This Row],[To (m)]]-Data_Geotech[[#This Row],[From (m)]]</f>
        <v>0</v>
      </c>
      <c r="G341" s="5"/>
      <c r="H341" s="13" t="e">
        <f>Data_Geotech[[#This Row],[TCR (m)]]/Data_Geotech[[#This Row],[Run (m)]]*100</f>
        <v>#DIV/0!</v>
      </c>
      <c r="I341" s="5"/>
      <c r="J341" s="5"/>
      <c r="K341" s="5"/>
      <c r="L341" s="13" t="e">
        <f>Data_Geotech[[#This Row],[RQD (m)]]/Data_Geotech[[#This Row],[Run Reel (m)]]*100</f>
        <v>#DIV/0!</v>
      </c>
      <c r="P341" s="115"/>
      <c r="Q341" s="5"/>
      <c r="R341" s="5"/>
      <c r="S341" s="5"/>
      <c r="T341" s="5"/>
      <c r="U341" s="5"/>
      <c r="V341" s="6"/>
      <c r="W341" s="92">
        <f>SUMIFS(Discontinuities!$D$4:$D$9664,Discontinuities!$A$4:$A$9664,A341,Discontinuities!$C$4:$C$9664,"&gt;="&amp;C341,Discontinuities!$C$4:$C$9664,"&lt;"&amp;D341)
-SUMIFS(Discontinuities!$D$4:$D$9664,Discontinuities!$A$4:$A$9664,A341,Discontinuities!$C$4:$C$9664,"&gt;="&amp;C341,Discontinuities!$C$4:$C$9664,"&lt;"&amp;D341,Discontinuities!$E$4:$E$9664,"=BC")
-SUMIFS(Discontinuities!$D$4:$D$9664,Discontinuities!$A$4:$A$9664,A341,Discontinuities!$C$4:$C$9664,"&gt;="&amp;C341,Discontinuities!$C$4:$C$9664,"&lt;"&amp;D341,Discontinuities!$E$4:$E$9664,"=LC")
-SUMIFS(Discontinuities!$D$4:$D$9664,Discontinuities!$A$4:$A$9664,A341,Discontinuities!$C$4:$C$9664,"&gt;="&amp;C341,Discontinuities!$C$4:$C$9664,"&lt;"&amp;D341,Discontinuities!$E$4:$E$9664,"=FLT")</f>
        <v>0</v>
      </c>
      <c r="AA341" s="132"/>
      <c r="AB341" s="159">
        <f>IFERROR(ROUND((Data_Geotech[[#This Row],[Fault (m)]]+Data_Geotech[[#This Row],[Broken Core (m)]]+Data_Geotech[[#This Row],[Lost Core (m)]])*30,0),0)</f>
        <v>0</v>
      </c>
      <c r="AC341" s="135">
        <f>IF(Data_Geotech[[#This Row],[Added fractures 
(BC, FLT, LC)]]+Data_Geotech[[#This Row],[Fracture per interval]]=0,99,1/((Data_Geotech[[#This Row],[Fracture per interval]]+Data_Geotech[[#This Row],[Added fractures 
(BC, FLT, LC)]])/Data_Geotech[[#This Row],[Run (m)]]))</f>
        <v>99</v>
      </c>
      <c r="AD341" s="160" t="str" cm="1">
        <f t="array" ref="AD341">IFERROR(_xlfn.XLOOKUP(1,(A341=PLT!$A$4:$A$8886)*(Geotech!C341&lt;=PLT!$F$4:$F$8886)*(Geotech!D341&gt;=PLT!$F$4:$F$8886)*("Valid"=PLT!$P$4:$P$8886),PLT!$V$4:$V$8886),"")</f>
        <v/>
      </c>
      <c r="AE341" s="161" t="str" cm="1">
        <f t="array" ref="AE341">IFERROR(_xlfn.XLOOKUP(1,(A341=PLT!$A$4:$A$8886)*(Geotech!C341&lt;=PLT!$F$4:$F$8886)*(Geotech!D341&gt;=PLT!$F$4:$F$8886)*(PLT!$V$4:$V$8886&lt;&gt;AD341)*("Valid"=PLT!$P$4:$P$7190),PLT!$V$4:$V$8886),"")</f>
        <v/>
      </c>
      <c r="AF341" s="161" t="str" cm="1">
        <f t="array" ref="AF341">IFERROR(_xlfn.XLOOKUP(1,(A341=PLT!$A$4:$A$8886)*(Geotech!C341&lt;=PLT!$F$4:$F$8886)*(Geotech!D341&gt;=PLT!$F$4:$F$8886)*(PLT!$V$4:$V$8886&lt;&gt;AD341)*(PLT!$V$4:$V$8886&lt;&gt;AE341)*("Valid"=PLT!$P$4:$P$7190),PLT!$V$4:$V$8886),"")</f>
        <v/>
      </c>
      <c r="AG341" s="162" t="str">
        <f>IFERROR(IF(AVERAGE(AD341:AF341)&gt;References!$BO$23,References!$BP$23,
IF(AVERAGE(AD341:AF341)&gt;References!$BO$22,References!$BP$22,
IF(AVERAGE(AD341:AF341)&gt;References!$BO$21,References!$BP$21,
IF(AVERAGE(AD341:AF341)&gt;References!$BO$20,References!$BP$20,
IF(AVERAGE(AD341:AF341)&gt;References!$BO$19,References!$BP$19,
IF(AVERAGE(AD341:AF341)&gt;References!$BO$18,References!$BP$18,
0)))))),"")</f>
        <v/>
      </c>
      <c r="AH341" s="163" t="e">
        <f>VLOOKUP(Data_Geotech[[#This Row],[Field Intact Rock Strength]],Table_RMR76_Strength[],2,FALSE)</f>
        <v>#N/A</v>
      </c>
      <c r="AI341" s="163" t="e">
        <f>IF(Data_Geotech[[#This Row],[RQD (%)]]&lt;=25,3,IF(Data_Geotech[[#This Row],[RQD (%)]]&lt;=50,8,IF(Data_Geotech[[#This Row],[RQD (%)]]&lt;=75,13,IF(Data_Geotech[[#This Row],[RQD (%)]]&lt;=90,17,20))))</f>
        <v>#DIV/0!</v>
      </c>
      <c r="AJ341" s="136">
        <f>IF(Data_Geotech[[#This Row],[Joint spacing (m)]]&lt;=0.05,5,IF(Data_Geotech[[#This Row],[Joint spacing (m)]]&lt;=0.3,10,IF(Data_Geotech[[#This Row],[Joint spacing (m)]]&lt;=1,20,IF(Data_Geotech[[#This Row],[Joint spacing (m)]]&lt;=3,25,30))))</f>
        <v>30</v>
      </c>
      <c r="AK34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1" s="6"/>
      <c r="AM341" s="137" t="str">
        <f>IF(Data_Geotech[[#This Row],[FIRS Code]]="R",IFERROR(SUM(Data_Geotech[[#This Row],[RMR76 - Strength rating]:[RMR76 - Ground water rating]]),""),"")</f>
        <v/>
      </c>
      <c r="AN341" s="164" t="str">
        <f>IF(Data_Geotech[[#This Row],[FIRS Code]]="R",(2*Data_Geotech[[#This Row],[RMR76 - Joint condition rating]])+(IF(Data_Geotech[[#This Row],[RQD (%)]]&gt;80,80/2,Data_Geotech[[#This Row],[RQD (%)]]/2)),"")</f>
        <v/>
      </c>
      <c r="AO341" s="136" t="e">
        <f>LEFT(Data_Geotech[[#This Row],[Joint Set Rating]],FIND("-",Data_Geotech[[#This Row],[Joint Set Rating]],1)-2)</f>
        <v>#VALUE!</v>
      </c>
      <c r="AP34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1" s="143">
        <f t="shared" si="7"/>
        <v>1</v>
      </c>
      <c r="AR341" s="165" t="str">
        <f>IF(Data_Geotech[[#This Row],[FIRS Code]]="R",IFERROR((IF(Data_Geotech[[#This Row],[RQD (%)]]&lt;10,10,Data_Geotech[[#This Row],[RQD (%)]])/Data_Geotech[[#This Row],[Jn rating]])*Data_Geotech[[#This Row],[Jr/Ja]],""),"")</f>
        <v/>
      </c>
      <c r="AS341" s="138" t="str">
        <f>IF(Data_Geotech[[#This Row],[FIRS Code]]="R",IFERROR((IF(Data_Geotech[[#This Row],[RQD (%)]]&lt;10,10,Data_Geotech[[#This Row],[RQD (%)]])/Data_Geotech[[#This Row],[Jn rating]])*Data_Geotech[[#This Row],[Jr/Ja]]*Data_Geotech[[#This Row],[Jw/SRF]],""),"")</f>
        <v/>
      </c>
      <c r="AT341" s="12"/>
      <c r="AU341" s="13" t="e">
        <f>100-Data_Geotech[[#This Row],[RQD (%)]]</f>
        <v>#DIV/0!</v>
      </c>
      <c r="AV341" s="13" t="e">
        <f>100-Data_Geotech[[#This Row],[TCR (%)]]</f>
        <v>#DIV/0!</v>
      </c>
      <c r="AW341" s="62" t="e">
        <f>(Data_Geotech[[#This Row],[Fracture per interval]]+Data_Geotech[[#This Row],[Added fractures 
(BC, FLT, LC)]])/Data_Geotech[[#This Row],[TCR (m)]]</f>
        <v>#DIV/0!</v>
      </c>
      <c r="AX341" s="62" t="str">
        <f>MID(Data_Geotech[[#This Row],[Field Intact Rock Strength]],2,1)</f>
        <v/>
      </c>
      <c r="AY341" s="63" t="e">
        <f>7-MID(Data_Geotech[[#This Row],[Field Intact Rock Strength]],2,1)</f>
        <v>#VALUE!</v>
      </c>
      <c r="AZ341" s="63" t="e">
        <f>VLOOKUP(Data_Geotech[[#This Row],[Field Intact Rock Strength]],Table_FieldStrength[],2,FALSE)</f>
        <v>#N/A</v>
      </c>
      <c r="BA341" s="63" t="e">
        <f>VLOOKUP(Data_Geotech[[#This Row],[Field Intact Rock Strength]],Table_FieldStrength[],3,FALSE)</f>
        <v>#N/A</v>
      </c>
      <c r="BB341" s="63" t="e">
        <f>VLOOKUP(Data_Geotech[[#This Row],[Field Intact Rock Strength]],Table_FieldStrength[],4,FALSE)</f>
        <v>#N/A</v>
      </c>
      <c r="BC341" s="63" t="e">
        <f>100-Data_Geotech[[#This Row],[RMR76]]</f>
        <v>#VALUE!</v>
      </c>
      <c r="BD341" s="63" t="e">
        <f>LEFT(Data_Geotech[[#This Row],[Weathering/Alteration]],FIND("-",Data_Geotech[[#This Row],[Weathering/Alteration]])-2)</f>
        <v>#VALUE!</v>
      </c>
    </row>
    <row r="342" spans="1:56" hidden="1" x14ac:dyDescent="0.25">
      <c r="A342" s="14"/>
      <c r="B342" s="166" t="e">
        <f>VLOOKUP(Data_Geotech[[#This Row],[Hole ID]],Data_Log[],2,FALSE)</f>
        <v>#N/A</v>
      </c>
      <c r="C342" s="5"/>
      <c r="D342" s="5"/>
      <c r="E342" s="5">
        <f>(Data_Geotech[[#This Row],[To (m)]]-Data_Geotech[[#This Row],[From (m)]])/2+Data_Geotech[[#This Row],[From (m)]]</f>
        <v>0</v>
      </c>
      <c r="F342" s="13">
        <f>Data_Geotech[[#This Row],[To (m)]]-Data_Geotech[[#This Row],[From (m)]]</f>
        <v>0</v>
      </c>
      <c r="G342" s="5"/>
      <c r="H342" s="13" t="e">
        <f>Data_Geotech[[#This Row],[TCR (m)]]/Data_Geotech[[#This Row],[Run (m)]]*100</f>
        <v>#DIV/0!</v>
      </c>
      <c r="I342" s="5"/>
      <c r="J342" s="5"/>
      <c r="K342" s="5"/>
      <c r="L342" s="13" t="e">
        <f>Data_Geotech[[#This Row],[RQD (m)]]/Data_Geotech[[#This Row],[Run Reel (m)]]*100</f>
        <v>#DIV/0!</v>
      </c>
      <c r="P342" s="115"/>
      <c r="Q342" s="5"/>
      <c r="R342" s="5"/>
      <c r="S342" s="5"/>
      <c r="T342" s="5"/>
      <c r="U342" s="5"/>
      <c r="V342" s="6"/>
      <c r="W342" s="92">
        <f>SUMIFS(Discontinuities!$D$4:$D$9664,Discontinuities!$A$4:$A$9664,A342,Discontinuities!$C$4:$C$9664,"&gt;="&amp;C342,Discontinuities!$C$4:$C$9664,"&lt;"&amp;D342)
-SUMIFS(Discontinuities!$D$4:$D$9664,Discontinuities!$A$4:$A$9664,A342,Discontinuities!$C$4:$C$9664,"&gt;="&amp;C342,Discontinuities!$C$4:$C$9664,"&lt;"&amp;D342,Discontinuities!$E$4:$E$9664,"=BC")
-SUMIFS(Discontinuities!$D$4:$D$9664,Discontinuities!$A$4:$A$9664,A342,Discontinuities!$C$4:$C$9664,"&gt;="&amp;C342,Discontinuities!$C$4:$C$9664,"&lt;"&amp;D342,Discontinuities!$E$4:$E$9664,"=LC")
-SUMIFS(Discontinuities!$D$4:$D$9664,Discontinuities!$A$4:$A$9664,A342,Discontinuities!$C$4:$C$9664,"&gt;="&amp;C342,Discontinuities!$C$4:$C$9664,"&lt;"&amp;D342,Discontinuities!$E$4:$E$9664,"=FLT")</f>
        <v>0</v>
      </c>
      <c r="AA342" s="132"/>
      <c r="AB342" s="159">
        <f>IFERROR(ROUND((Data_Geotech[[#This Row],[Fault (m)]]+Data_Geotech[[#This Row],[Broken Core (m)]]+Data_Geotech[[#This Row],[Lost Core (m)]])*30,0),0)</f>
        <v>0</v>
      </c>
      <c r="AC342" s="135">
        <f>IF(Data_Geotech[[#This Row],[Added fractures 
(BC, FLT, LC)]]+Data_Geotech[[#This Row],[Fracture per interval]]=0,99,1/((Data_Geotech[[#This Row],[Fracture per interval]]+Data_Geotech[[#This Row],[Added fractures 
(BC, FLT, LC)]])/Data_Geotech[[#This Row],[Run (m)]]))</f>
        <v>99</v>
      </c>
      <c r="AD342" s="160" t="str" cm="1">
        <f t="array" ref="AD342">IFERROR(_xlfn.XLOOKUP(1,(A342=PLT!$A$4:$A$8886)*(Geotech!C342&lt;=PLT!$F$4:$F$8886)*(Geotech!D342&gt;=PLT!$F$4:$F$8886)*("Valid"=PLT!$P$4:$P$8886),PLT!$V$4:$V$8886),"")</f>
        <v/>
      </c>
      <c r="AE342" s="161" t="str" cm="1">
        <f t="array" ref="AE342">IFERROR(_xlfn.XLOOKUP(1,(A342=PLT!$A$4:$A$8886)*(Geotech!C342&lt;=PLT!$F$4:$F$8886)*(Geotech!D342&gt;=PLT!$F$4:$F$8886)*(PLT!$V$4:$V$8886&lt;&gt;AD342)*("Valid"=PLT!$P$4:$P$7190),PLT!$V$4:$V$8886),"")</f>
        <v/>
      </c>
      <c r="AF342" s="161" t="str" cm="1">
        <f t="array" ref="AF342">IFERROR(_xlfn.XLOOKUP(1,(A342=PLT!$A$4:$A$8886)*(Geotech!C342&lt;=PLT!$F$4:$F$8886)*(Geotech!D342&gt;=PLT!$F$4:$F$8886)*(PLT!$V$4:$V$8886&lt;&gt;AD342)*(PLT!$V$4:$V$8886&lt;&gt;AE342)*("Valid"=PLT!$P$4:$P$7190),PLT!$V$4:$V$8886),"")</f>
        <v/>
      </c>
      <c r="AG342" s="162" t="str">
        <f>IFERROR(IF(AVERAGE(AD342:AF342)&gt;References!$BO$23,References!$BP$23,
IF(AVERAGE(AD342:AF342)&gt;References!$BO$22,References!$BP$22,
IF(AVERAGE(AD342:AF342)&gt;References!$BO$21,References!$BP$21,
IF(AVERAGE(AD342:AF342)&gt;References!$BO$20,References!$BP$20,
IF(AVERAGE(AD342:AF342)&gt;References!$BO$19,References!$BP$19,
IF(AVERAGE(AD342:AF342)&gt;References!$BO$18,References!$BP$18,
0)))))),"")</f>
        <v/>
      </c>
      <c r="AH342" s="163" t="e">
        <f>VLOOKUP(Data_Geotech[[#This Row],[Field Intact Rock Strength]],Table_RMR76_Strength[],2,FALSE)</f>
        <v>#N/A</v>
      </c>
      <c r="AI342" s="163" t="e">
        <f>IF(Data_Geotech[[#This Row],[RQD (%)]]&lt;=25,3,IF(Data_Geotech[[#This Row],[RQD (%)]]&lt;=50,8,IF(Data_Geotech[[#This Row],[RQD (%)]]&lt;=75,13,IF(Data_Geotech[[#This Row],[RQD (%)]]&lt;=90,17,20))))</f>
        <v>#DIV/0!</v>
      </c>
      <c r="AJ342" s="136">
        <f>IF(Data_Geotech[[#This Row],[Joint spacing (m)]]&lt;=0.05,5,IF(Data_Geotech[[#This Row],[Joint spacing (m)]]&lt;=0.3,10,IF(Data_Geotech[[#This Row],[Joint spacing (m)]]&lt;=1,20,IF(Data_Geotech[[#This Row],[Joint spacing (m)]]&lt;=3,25,30))))</f>
        <v>30</v>
      </c>
      <c r="AK34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2" s="6"/>
      <c r="AM342" s="137" t="str">
        <f>IF(Data_Geotech[[#This Row],[FIRS Code]]="R",IFERROR(SUM(Data_Geotech[[#This Row],[RMR76 - Strength rating]:[RMR76 - Ground water rating]]),""),"")</f>
        <v/>
      </c>
      <c r="AN342" s="164" t="str">
        <f>IF(Data_Geotech[[#This Row],[FIRS Code]]="R",(2*Data_Geotech[[#This Row],[RMR76 - Joint condition rating]])+(IF(Data_Geotech[[#This Row],[RQD (%)]]&gt;80,80/2,Data_Geotech[[#This Row],[RQD (%)]]/2)),"")</f>
        <v/>
      </c>
      <c r="AO342" s="136" t="e">
        <f>LEFT(Data_Geotech[[#This Row],[Joint Set Rating]],FIND("-",Data_Geotech[[#This Row],[Joint Set Rating]],1)-2)</f>
        <v>#VALUE!</v>
      </c>
      <c r="AP34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2" s="143">
        <f t="shared" si="7"/>
        <v>1</v>
      </c>
      <c r="AR342" s="165" t="str">
        <f>IF(Data_Geotech[[#This Row],[FIRS Code]]="R",IFERROR((IF(Data_Geotech[[#This Row],[RQD (%)]]&lt;10,10,Data_Geotech[[#This Row],[RQD (%)]])/Data_Geotech[[#This Row],[Jn rating]])*Data_Geotech[[#This Row],[Jr/Ja]],""),"")</f>
        <v/>
      </c>
      <c r="AS342" s="138" t="str">
        <f>IF(Data_Geotech[[#This Row],[FIRS Code]]="R",IFERROR((IF(Data_Geotech[[#This Row],[RQD (%)]]&lt;10,10,Data_Geotech[[#This Row],[RQD (%)]])/Data_Geotech[[#This Row],[Jn rating]])*Data_Geotech[[#This Row],[Jr/Ja]]*Data_Geotech[[#This Row],[Jw/SRF]],""),"")</f>
        <v/>
      </c>
      <c r="AT342" s="12"/>
      <c r="AU342" s="13" t="e">
        <f>100-Data_Geotech[[#This Row],[RQD (%)]]</f>
        <v>#DIV/0!</v>
      </c>
      <c r="AV342" s="13" t="e">
        <f>100-Data_Geotech[[#This Row],[TCR (%)]]</f>
        <v>#DIV/0!</v>
      </c>
      <c r="AW342" s="62" t="e">
        <f>(Data_Geotech[[#This Row],[Fracture per interval]]+Data_Geotech[[#This Row],[Added fractures 
(BC, FLT, LC)]])/Data_Geotech[[#This Row],[TCR (m)]]</f>
        <v>#DIV/0!</v>
      </c>
      <c r="AX342" s="62" t="str">
        <f>MID(Data_Geotech[[#This Row],[Field Intact Rock Strength]],2,1)</f>
        <v/>
      </c>
      <c r="AY342" s="63" t="e">
        <f>7-MID(Data_Geotech[[#This Row],[Field Intact Rock Strength]],2,1)</f>
        <v>#VALUE!</v>
      </c>
      <c r="AZ342" s="63" t="e">
        <f>VLOOKUP(Data_Geotech[[#This Row],[Field Intact Rock Strength]],Table_FieldStrength[],2,FALSE)</f>
        <v>#N/A</v>
      </c>
      <c r="BA342" s="63" t="e">
        <f>VLOOKUP(Data_Geotech[[#This Row],[Field Intact Rock Strength]],Table_FieldStrength[],3,FALSE)</f>
        <v>#N/A</v>
      </c>
      <c r="BB342" s="63" t="e">
        <f>VLOOKUP(Data_Geotech[[#This Row],[Field Intact Rock Strength]],Table_FieldStrength[],4,FALSE)</f>
        <v>#N/A</v>
      </c>
      <c r="BC342" s="63" t="e">
        <f>100-Data_Geotech[[#This Row],[RMR76]]</f>
        <v>#VALUE!</v>
      </c>
      <c r="BD342" s="63" t="e">
        <f>LEFT(Data_Geotech[[#This Row],[Weathering/Alteration]],FIND("-",Data_Geotech[[#This Row],[Weathering/Alteration]])-2)</f>
        <v>#VALUE!</v>
      </c>
    </row>
    <row r="343" spans="1:56" hidden="1" x14ac:dyDescent="0.25">
      <c r="A343" s="14"/>
      <c r="B343" s="166" t="e">
        <f>VLOOKUP(Data_Geotech[[#This Row],[Hole ID]],Data_Log[],2,FALSE)</f>
        <v>#N/A</v>
      </c>
      <c r="C343" s="5"/>
      <c r="D343" s="5"/>
      <c r="E343" s="5">
        <f>(Data_Geotech[[#This Row],[To (m)]]-Data_Geotech[[#This Row],[From (m)]])/2+Data_Geotech[[#This Row],[From (m)]]</f>
        <v>0</v>
      </c>
      <c r="F343" s="13">
        <f>Data_Geotech[[#This Row],[To (m)]]-Data_Geotech[[#This Row],[From (m)]]</f>
        <v>0</v>
      </c>
      <c r="G343" s="5"/>
      <c r="H343" s="13" t="e">
        <f>Data_Geotech[[#This Row],[TCR (m)]]/Data_Geotech[[#This Row],[Run (m)]]*100</f>
        <v>#DIV/0!</v>
      </c>
      <c r="I343" s="5"/>
      <c r="J343" s="5"/>
      <c r="K343" s="5"/>
      <c r="L343" s="13" t="e">
        <f>Data_Geotech[[#This Row],[RQD (m)]]/Data_Geotech[[#This Row],[Run Reel (m)]]*100</f>
        <v>#DIV/0!</v>
      </c>
      <c r="P343" s="115"/>
      <c r="Q343" s="5"/>
      <c r="R343" s="5"/>
      <c r="S343" s="5"/>
      <c r="T343" s="5"/>
      <c r="U343" s="5"/>
      <c r="V343" s="6"/>
      <c r="W343" s="92">
        <f>SUMIFS(Discontinuities!$D$4:$D$9664,Discontinuities!$A$4:$A$9664,A343,Discontinuities!$C$4:$C$9664,"&gt;="&amp;C343,Discontinuities!$C$4:$C$9664,"&lt;"&amp;D343)
-SUMIFS(Discontinuities!$D$4:$D$9664,Discontinuities!$A$4:$A$9664,A343,Discontinuities!$C$4:$C$9664,"&gt;="&amp;C343,Discontinuities!$C$4:$C$9664,"&lt;"&amp;D343,Discontinuities!$E$4:$E$9664,"=BC")
-SUMIFS(Discontinuities!$D$4:$D$9664,Discontinuities!$A$4:$A$9664,A343,Discontinuities!$C$4:$C$9664,"&gt;="&amp;C343,Discontinuities!$C$4:$C$9664,"&lt;"&amp;D343,Discontinuities!$E$4:$E$9664,"=LC")
-SUMIFS(Discontinuities!$D$4:$D$9664,Discontinuities!$A$4:$A$9664,A343,Discontinuities!$C$4:$C$9664,"&gt;="&amp;C343,Discontinuities!$C$4:$C$9664,"&lt;"&amp;D343,Discontinuities!$E$4:$E$9664,"=FLT")</f>
        <v>0</v>
      </c>
      <c r="AA343" s="132"/>
      <c r="AB343" s="159">
        <f>IFERROR(ROUND((Data_Geotech[[#This Row],[Fault (m)]]+Data_Geotech[[#This Row],[Broken Core (m)]]+Data_Geotech[[#This Row],[Lost Core (m)]])*30,0),0)</f>
        <v>0</v>
      </c>
      <c r="AC343" s="135">
        <f>IF(Data_Geotech[[#This Row],[Added fractures 
(BC, FLT, LC)]]+Data_Geotech[[#This Row],[Fracture per interval]]=0,99,1/((Data_Geotech[[#This Row],[Fracture per interval]]+Data_Geotech[[#This Row],[Added fractures 
(BC, FLT, LC)]])/Data_Geotech[[#This Row],[Run (m)]]))</f>
        <v>99</v>
      </c>
      <c r="AD343" s="160" t="str" cm="1">
        <f t="array" ref="AD343">IFERROR(_xlfn.XLOOKUP(1,(A343=PLT!$A$4:$A$8886)*(Geotech!C343&lt;=PLT!$F$4:$F$8886)*(Geotech!D343&gt;=PLT!$F$4:$F$8886)*("Valid"=PLT!$P$4:$P$8886),PLT!$V$4:$V$8886),"")</f>
        <v/>
      </c>
      <c r="AE343" s="161" t="str" cm="1">
        <f t="array" ref="AE343">IFERROR(_xlfn.XLOOKUP(1,(A343=PLT!$A$4:$A$8886)*(Geotech!C343&lt;=PLT!$F$4:$F$8886)*(Geotech!D343&gt;=PLT!$F$4:$F$8886)*(PLT!$V$4:$V$8886&lt;&gt;AD343)*("Valid"=PLT!$P$4:$P$7190),PLT!$V$4:$V$8886),"")</f>
        <v/>
      </c>
      <c r="AF343" s="161" t="str" cm="1">
        <f t="array" ref="AF343">IFERROR(_xlfn.XLOOKUP(1,(A343=PLT!$A$4:$A$8886)*(Geotech!C343&lt;=PLT!$F$4:$F$8886)*(Geotech!D343&gt;=PLT!$F$4:$F$8886)*(PLT!$V$4:$V$8886&lt;&gt;AD343)*(PLT!$V$4:$V$8886&lt;&gt;AE343)*("Valid"=PLT!$P$4:$P$7190),PLT!$V$4:$V$8886),"")</f>
        <v/>
      </c>
      <c r="AG343" s="162" t="str">
        <f>IFERROR(IF(AVERAGE(AD343:AF343)&gt;References!$BO$23,References!$BP$23,
IF(AVERAGE(AD343:AF343)&gt;References!$BO$22,References!$BP$22,
IF(AVERAGE(AD343:AF343)&gt;References!$BO$21,References!$BP$21,
IF(AVERAGE(AD343:AF343)&gt;References!$BO$20,References!$BP$20,
IF(AVERAGE(AD343:AF343)&gt;References!$BO$19,References!$BP$19,
IF(AVERAGE(AD343:AF343)&gt;References!$BO$18,References!$BP$18,
0)))))),"")</f>
        <v/>
      </c>
      <c r="AH343" s="163" t="e">
        <f>VLOOKUP(Data_Geotech[[#This Row],[Field Intact Rock Strength]],Table_RMR76_Strength[],2,FALSE)</f>
        <v>#N/A</v>
      </c>
      <c r="AI343" s="163" t="e">
        <f>IF(Data_Geotech[[#This Row],[RQD (%)]]&lt;=25,3,IF(Data_Geotech[[#This Row],[RQD (%)]]&lt;=50,8,IF(Data_Geotech[[#This Row],[RQD (%)]]&lt;=75,13,IF(Data_Geotech[[#This Row],[RQD (%)]]&lt;=90,17,20))))</f>
        <v>#DIV/0!</v>
      </c>
      <c r="AJ343" s="136">
        <f>IF(Data_Geotech[[#This Row],[Joint spacing (m)]]&lt;=0.05,5,IF(Data_Geotech[[#This Row],[Joint spacing (m)]]&lt;=0.3,10,IF(Data_Geotech[[#This Row],[Joint spacing (m)]]&lt;=1,20,IF(Data_Geotech[[#This Row],[Joint spacing (m)]]&lt;=3,25,30))))</f>
        <v>30</v>
      </c>
      <c r="AK34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3" s="6"/>
      <c r="AM343" s="137" t="str">
        <f>IF(Data_Geotech[[#This Row],[FIRS Code]]="R",IFERROR(SUM(Data_Geotech[[#This Row],[RMR76 - Strength rating]:[RMR76 - Ground water rating]]),""),"")</f>
        <v/>
      </c>
      <c r="AN343" s="164" t="str">
        <f>IF(Data_Geotech[[#This Row],[FIRS Code]]="R",(2*Data_Geotech[[#This Row],[RMR76 - Joint condition rating]])+(IF(Data_Geotech[[#This Row],[RQD (%)]]&gt;80,80/2,Data_Geotech[[#This Row],[RQD (%)]]/2)),"")</f>
        <v/>
      </c>
      <c r="AO343" s="136" t="e">
        <f>LEFT(Data_Geotech[[#This Row],[Joint Set Rating]],FIND("-",Data_Geotech[[#This Row],[Joint Set Rating]],1)-2)</f>
        <v>#VALUE!</v>
      </c>
      <c r="AP34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3" s="143">
        <f t="shared" si="7"/>
        <v>1</v>
      </c>
      <c r="AR343" s="165" t="str">
        <f>IF(Data_Geotech[[#This Row],[FIRS Code]]="R",IFERROR((IF(Data_Geotech[[#This Row],[RQD (%)]]&lt;10,10,Data_Geotech[[#This Row],[RQD (%)]])/Data_Geotech[[#This Row],[Jn rating]])*Data_Geotech[[#This Row],[Jr/Ja]],""),"")</f>
        <v/>
      </c>
      <c r="AS343" s="138" t="str">
        <f>IF(Data_Geotech[[#This Row],[FIRS Code]]="R",IFERROR((IF(Data_Geotech[[#This Row],[RQD (%)]]&lt;10,10,Data_Geotech[[#This Row],[RQD (%)]])/Data_Geotech[[#This Row],[Jn rating]])*Data_Geotech[[#This Row],[Jr/Ja]]*Data_Geotech[[#This Row],[Jw/SRF]],""),"")</f>
        <v/>
      </c>
      <c r="AT343" s="12"/>
      <c r="AU343" s="13" t="e">
        <f>100-Data_Geotech[[#This Row],[RQD (%)]]</f>
        <v>#DIV/0!</v>
      </c>
      <c r="AV343" s="13" t="e">
        <f>100-Data_Geotech[[#This Row],[TCR (%)]]</f>
        <v>#DIV/0!</v>
      </c>
      <c r="AW343" s="62" t="e">
        <f>(Data_Geotech[[#This Row],[Fracture per interval]]+Data_Geotech[[#This Row],[Added fractures 
(BC, FLT, LC)]])/Data_Geotech[[#This Row],[TCR (m)]]</f>
        <v>#DIV/0!</v>
      </c>
      <c r="AX343" s="62" t="str">
        <f>MID(Data_Geotech[[#This Row],[Field Intact Rock Strength]],2,1)</f>
        <v/>
      </c>
      <c r="AY343" s="63" t="e">
        <f>7-MID(Data_Geotech[[#This Row],[Field Intact Rock Strength]],2,1)</f>
        <v>#VALUE!</v>
      </c>
      <c r="AZ343" s="63" t="e">
        <f>VLOOKUP(Data_Geotech[[#This Row],[Field Intact Rock Strength]],Table_FieldStrength[],2,FALSE)</f>
        <v>#N/A</v>
      </c>
      <c r="BA343" s="63" t="e">
        <f>VLOOKUP(Data_Geotech[[#This Row],[Field Intact Rock Strength]],Table_FieldStrength[],3,FALSE)</f>
        <v>#N/A</v>
      </c>
      <c r="BB343" s="63" t="e">
        <f>VLOOKUP(Data_Geotech[[#This Row],[Field Intact Rock Strength]],Table_FieldStrength[],4,FALSE)</f>
        <v>#N/A</v>
      </c>
      <c r="BC343" s="63" t="e">
        <f>100-Data_Geotech[[#This Row],[RMR76]]</f>
        <v>#VALUE!</v>
      </c>
      <c r="BD343" s="63" t="e">
        <f>LEFT(Data_Geotech[[#This Row],[Weathering/Alteration]],FIND("-",Data_Geotech[[#This Row],[Weathering/Alteration]])-2)</f>
        <v>#VALUE!</v>
      </c>
    </row>
    <row r="344" spans="1:56" hidden="1" x14ac:dyDescent="0.25">
      <c r="A344" s="14"/>
      <c r="B344" s="166" t="e">
        <f>VLOOKUP(Data_Geotech[[#This Row],[Hole ID]],Data_Log[],2,FALSE)</f>
        <v>#N/A</v>
      </c>
      <c r="C344" s="5"/>
      <c r="D344" s="5"/>
      <c r="E344" s="5">
        <f>(Data_Geotech[[#This Row],[To (m)]]-Data_Geotech[[#This Row],[From (m)]])/2+Data_Geotech[[#This Row],[From (m)]]</f>
        <v>0</v>
      </c>
      <c r="F344" s="13">
        <f>Data_Geotech[[#This Row],[To (m)]]-Data_Geotech[[#This Row],[From (m)]]</f>
        <v>0</v>
      </c>
      <c r="G344" s="5"/>
      <c r="H344" s="13" t="e">
        <f>Data_Geotech[[#This Row],[TCR (m)]]/Data_Geotech[[#This Row],[Run (m)]]*100</f>
        <v>#DIV/0!</v>
      </c>
      <c r="I344" s="5"/>
      <c r="J344" s="5"/>
      <c r="K344" s="5"/>
      <c r="L344" s="13" t="e">
        <f>Data_Geotech[[#This Row],[RQD (m)]]/Data_Geotech[[#This Row],[Run Reel (m)]]*100</f>
        <v>#DIV/0!</v>
      </c>
      <c r="P344" s="115"/>
      <c r="Q344" s="5"/>
      <c r="R344" s="5"/>
      <c r="S344" s="5"/>
      <c r="T344" s="5"/>
      <c r="U344" s="5"/>
      <c r="V344" s="6"/>
      <c r="W344" s="92">
        <f>SUMIFS(Discontinuities!$D$4:$D$9664,Discontinuities!$A$4:$A$9664,A344,Discontinuities!$C$4:$C$9664,"&gt;="&amp;C344,Discontinuities!$C$4:$C$9664,"&lt;"&amp;D344)
-SUMIFS(Discontinuities!$D$4:$D$9664,Discontinuities!$A$4:$A$9664,A344,Discontinuities!$C$4:$C$9664,"&gt;="&amp;C344,Discontinuities!$C$4:$C$9664,"&lt;"&amp;D344,Discontinuities!$E$4:$E$9664,"=BC")
-SUMIFS(Discontinuities!$D$4:$D$9664,Discontinuities!$A$4:$A$9664,A344,Discontinuities!$C$4:$C$9664,"&gt;="&amp;C344,Discontinuities!$C$4:$C$9664,"&lt;"&amp;D344,Discontinuities!$E$4:$E$9664,"=LC")
-SUMIFS(Discontinuities!$D$4:$D$9664,Discontinuities!$A$4:$A$9664,A344,Discontinuities!$C$4:$C$9664,"&gt;="&amp;C344,Discontinuities!$C$4:$C$9664,"&lt;"&amp;D344,Discontinuities!$E$4:$E$9664,"=FLT")</f>
        <v>0</v>
      </c>
      <c r="AA344" s="132"/>
      <c r="AB344" s="159">
        <f>IFERROR(ROUND((Data_Geotech[[#This Row],[Fault (m)]]+Data_Geotech[[#This Row],[Broken Core (m)]]+Data_Geotech[[#This Row],[Lost Core (m)]])*30,0),0)</f>
        <v>0</v>
      </c>
      <c r="AC344" s="135">
        <f>IF(Data_Geotech[[#This Row],[Added fractures 
(BC, FLT, LC)]]+Data_Geotech[[#This Row],[Fracture per interval]]=0,99,1/((Data_Geotech[[#This Row],[Fracture per interval]]+Data_Geotech[[#This Row],[Added fractures 
(BC, FLT, LC)]])/Data_Geotech[[#This Row],[Run (m)]]))</f>
        <v>99</v>
      </c>
      <c r="AD344" s="160" t="str" cm="1">
        <f t="array" ref="AD344">IFERROR(_xlfn.XLOOKUP(1,(A344=PLT!$A$4:$A$8886)*(Geotech!C344&lt;=PLT!$F$4:$F$8886)*(Geotech!D344&gt;=PLT!$F$4:$F$8886)*("Valid"=PLT!$P$4:$P$8886),PLT!$V$4:$V$8886),"")</f>
        <v/>
      </c>
      <c r="AE344" s="161" t="str" cm="1">
        <f t="array" ref="AE344">IFERROR(_xlfn.XLOOKUP(1,(A344=PLT!$A$4:$A$8886)*(Geotech!C344&lt;=PLT!$F$4:$F$8886)*(Geotech!D344&gt;=PLT!$F$4:$F$8886)*(PLT!$V$4:$V$8886&lt;&gt;AD344)*("Valid"=PLT!$P$4:$P$7190),PLT!$V$4:$V$8886),"")</f>
        <v/>
      </c>
      <c r="AF344" s="161" t="str" cm="1">
        <f t="array" ref="AF344">IFERROR(_xlfn.XLOOKUP(1,(A344=PLT!$A$4:$A$8886)*(Geotech!C344&lt;=PLT!$F$4:$F$8886)*(Geotech!D344&gt;=PLT!$F$4:$F$8886)*(PLT!$V$4:$V$8886&lt;&gt;AD344)*(PLT!$V$4:$V$8886&lt;&gt;AE344)*("Valid"=PLT!$P$4:$P$7190),PLT!$V$4:$V$8886),"")</f>
        <v/>
      </c>
      <c r="AG344" s="162" t="str">
        <f>IFERROR(IF(AVERAGE(AD344:AF344)&gt;References!$BO$23,References!$BP$23,
IF(AVERAGE(AD344:AF344)&gt;References!$BO$22,References!$BP$22,
IF(AVERAGE(AD344:AF344)&gt;References!$BO$21,References!$BP$21,
IF(AVERAGE(AD344:AF344)&gt;References!$BO$20,References!$BP$20,
IF(AVERAGE(AD344:AF344)&gt;References!$BO$19,References!$BP$19,
IF(AVERAGE(AD344:AF344)&gt;References!$BO$18,References!$BP$18,
0)))))),"")</f>
        <v/>
      </c>
      <c r="AH344" s="163" t="e">
        <f>VLOOKUP(Data_Geotech[[#This Row],[Field Intact Rock Strength]],Table_RMR76_Strength[],2,FALSE)</f>
        <v>#N/A</v>
      </c>
      <c r="AI344" s="163" t="e">
        <f>IF(Data_Geotech[[#This Row],[RQD (%)]]&lt;=25,3,IF(Data_Geotech[[#This Row],[RQD (%)]]&lt;=50,8,IF(Data_Geotech[[#This Row],[RQD (%)]]&lt;=75,13,IF(Data_Geotech[[#This Row],[RQD (%)]]&lt;=90,17,20))))</f>
        <v>#DIV/0!</v>
      </c>
      <c r="AJ344" s="136">
        <f>IF(Data_Geotech[[#This Row],[Joint spacing (m)]]&lt;=0.05,5,IF(Data_Geotech[[#This Row],[Joint spacing (m)]]&lt;=0.3,10,IF(Data_Geotech[[#This Row],[Joint spacing (m)]]&lt;=1,20,IF(Data_Geotech[[#This Row],[Joint spacing (m)]]&lt;=3,25,30))))</f>
        <v>30</v>
      </c>
      <c r="AK34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4" s="6"/>
      <c r="AM344" s="137" t="str">
        <f>IF(Data_Geotech[[#This Row],[FIRS Code]]="R",IFERROR(SUM(Data_Geotech[[#This Row],[RMR76 - Strength rating]:[RMR76 - Ground water rating]]),""),"")</f>
        <v/>
      </c>
      <c r="AN344" s="164" t="str">
        <f>IF(Data_Geotech[[#This Row],[FIRS Code]]="R",(2*Data_Geotech[[#This Row],[RMR76 - Joint condition rating]])+(IF(Data_Geotech[[#This Row],[RQD (%)]]&gt;80,80/2,Data_Geotech[[#This Row],[RQD (%)]]/2)),"")</f>
        <v/>
      </c>
      <c r="AO344" s="136" t="e">
        <f>LEFT(Data_Geotech[[#This Row],[Joint Set Rating]],FIND("-",Data_Geotech[[#This Row],[Joint Set Rating]],1)-2)</f>
        <v>#VALUE!</v>
      </c>
      <c r="AP34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4" s="143">
        <f t="shared" si="7"/>
        <v>1</v>
      </c>
      <c r="AR344" s="165" t="str">
        <f>IF(Data_Geotech[[#This Row],[FIRS Code]]="R",IFERROR((IF(Data_Geotech[[#This Row],[RQD (%)]]&lt;10,10,Data_Geotech[[#This Row],[RQD (%)]])/Data_Geotech[[#This Row],[Jn rating]])*Data_Geotech[[#This Row],[Jr/Ja]],""),"")</f>
        <v/>
      </c>
      <c r="AS344" s="138" t="str">
        <f>IF(Data_Geotech[[#This Row],[FIRS Code]]="R",IFERROR((IF(Data_Geotech[[#This Row],[RQD (%)]]&lt;10,10,Data_Geotech[[#This Row],[RQD (%)]])/Data_Geotech[[#This Row],[Jn rating]])*Data_Geotech[[#This Row],[Jr/Ja]]*Data_Geotech[[#This Row],[Jw/SRF]],""),"")</f>
        <v/>
      </c>
      <c r="AT344" s="12"/>
      <c r="AU344" s="13" t="e">
        <f>100-Data_Geotech[[#This Row],[RQD (%)]]</f>
        <v>#DIV/0!</v>
      </c>
      <c r="AV344" s="13" t="e">
        <f>100-Data_Geotech[[#This Row],[TCR (%)]]</f>
        <v>#DIV/0!</v>
      </c>
      <c r="AW344" s="62" t="e">
        <f>(Data_Geotech[[#This Row],[Fracture per interval]]+Data_Geotech[[#This Row],[Added fractures 
(BC, FLT, LC)]])/Data_Geotech[[#This Row],[TCR (m)]]</f>
        <v>#DIV/0!</v>
      </c>
      <c r="AX344" s="62" t="str">
        <f>MID(Data_Geotech[[#This Row],[Field Intact Rock Strength]],2,1)</f>
        <v/>
      </c>
      <c r="AY344" s="63" t="e">
        <f>7-MID(Data_Geotech[[#This Row],[Field Intact Rock Strength]],2,1)</f>
        <v>#VALUE!</v>
      </c>
      <c r="AZ344" s="63" t="e">
        <f>VLOOKUP(Data_Geotech[[#This Row],[Field Intact Rock Strength]],Table_FieldStrength[],2,FALSE)</f>
        <v>#N/A</v>
      </c>
      <c r="BA344" s="63" t="e">
        <f>VLOOKUP(Data_Geotech[[#This Row],[Field Intact Rock Strength]],Table_FieldStrength[],3,FALSE)</f>
        <v>#N/A</v>
      </c>
      <c r="BB344" s="63" t="e">
        <f>VLOOKUP(Data_Geotech[[#This Row],[Field Intact Rock Strength]],Table_FieldStrength[],4,FALSE)</f>
        <v>#N/A</v>
      </c>
      <c r="BC344" s="63" t="e">
        <f>100-Data_Geotech[[#This Row],[RMR76]]</f>
        <v>#VALUE!</v>
      </c>
      <c r="BD344" s="63" t="e">
        <f>LEFT(Data_Geotech[[#This Row],[Weathering/Alteration]],FIND("-",Data_Geotech[[#This Row],[Weathering/Alteration]])-2)</f>
        <v>#VALUE!</v>
      </c>
    </row>
    <row r="345" spans="1:56" hidden="1" x14ac:dyDescent="0.25">
      <c r="A345" s="14"/>
      <c r="B345" s="166" t="e">
        <f>VLOOKUP(Data_Geotech[[#This Row],[Hole ID]],Data_Log[],2,FALSE)</f>
        <v>#N/A</v>
      </c>
      <c r="C345" s="5"/>
      <c r="D345" s="5"/>
      <c r="E345" s="5">
        <f>(Data_Geotech[[#This Row],[To (m)]]-Data_Geotech[[#This Row],[From (m)]])/2+Data_Geotech[[#This Row],[From (m)]]</f>
        <v>0</v>
      </c>
      <c r="F345" s="13">
        <f>Data_Geotech[[#This Row],[To (m)]]-Data_Geotech[[#This Row],[From (m)]]</f>
        <v>0</v>
      </c>
      <c r="G345" s="5"/>
      <c r="H345" s="13" t="e">
        <f>Data_Geotech[[#This Row],[TCR (m)]]/Data_Geotech[[#This Row],[Run (m)]]*100</f>
        <v>#DIV/0!</v>
      </c>
      <c r="I345" s="5"/>
      <c r="J345" s="5"/>
      <c r="K345" s="5"/>
      <c r="L345" s="13" t="e">
        <f>Data_Geotech[[#This Row],[RQD (m)]]/Data_Geotech[[#This Row],[Run Reel (m)]]*100</f>
        <v>#DIV/0!</v>
      </c>
      <c r="P345" s="115"/>
      <c r="Q345" s="5"/>
      <c r="R345" s="5"/>
      <c r="S345" s="5"/>
      <c r="T345" s="5"/>
      <c r="U345" s="5"/>
      <c r="V345" s="6"/>
      <c r="W345" s="92">
        <f>SUMIFS(Discontinuities!$D$4:$D$9664,Discontinuities!$A$4:$A$9664,A345,Discontinuities!$C$4:$C$9664,"&gt;="&amp;C345,Discontinuities!$C$4:$C$9664,"&lt;"&amp;D345)
-SUMIFS(Discontinuities!$D$4:$D$9664,Discontinuities!$A$4:$A$9664,A345,Discontinuities!$C$4:$C$9664,"&gt;="&amp;C345,Discontinuities!$C$4:$C$9664,"&lt;"&amp;D345,Discontinuities!$E$4:$E$9664,"=BC")
-SUMIFS(Discontinuities!$D$4:$D$9664,Discontinuities!$A$4:$A$9664,A345,Discontinuities!$C$4:$C$9664,"&gt;="&amp;C345,Discontinuities!$C$4:$C$9664,"&lt;"&amp;D345,Discontinuities!$E$4:$E$9664,"=LC")
-SUMIFS(Discontinuities!$D$4:$D$9664,Discontinuities!$A$4:$A$9664,A345,Discontinuities!$C$4:$C$9664,"&gt;="&amp;C345,Discontinuities!$C$4:$C$9664,"&lt;"&amp;D345,Discontinuities!$E$4:$E$9664,"=FLT")</f>
        <v>0</v>
      </c>
      <c r="AA345" s="132"/>
      <c r="AB345" s="159">
        <f>IFERROR(ROUND((Data_Geotech[[#This Row],[Fault (m)]]+Data_Geotech[[#This Row],[Broken Core (m)]]+Data_Geotech[[#This Row],[Lost Core (m)]])*30,0),0)</f>
        <v>0</v>
      </c>
      <c r="AC345" s="135">
        <f>IF(Data_Geotech[[#This Row],[Added fractures 
(BC, FLT, LC)]]+Data_Geotech[[#This Row],[Fracture per interval]]=0,99,1/((Data_Geotech[[#This Row],[Fracture per interval]]+Data_Geotech[[#This Row],[Added fractures 
(BC, FLT, LC)]])/Data_Geotech[[#This Row],[Run (m)]]))</f>
        <v>99</v>
      </c>
      <c r="AD345" s="160" t="str" cm="1">
        <f t="array" ref="AD345">IFERROR(_xlfn.XLOOKUP(1,(A345=PLT!$A$4:$A$8886)*(Geotech!C345&lt;=PLT!$F$4:$F$8886)*(Geotech!D345&gt;=PLT!$F$4:$F$8886)*("Valid"=PLT!$P$4:$P$8886),PLT!$V$4:$V$8886),"")</f>
        <v/>
      </c>
      <c r="AE345" s="161" t="str" cm="1">
        <f t="array" ref="AE345">IFERROR(_xlfn.XLOOKUP(1,(A345=PLT!$A$4:$A$8886)*(Geotech!C345&lt;=PLT!$F$4:$F$8886)*(Geotech!D345&gt;=PLT!$F$4:$F$8886)*(PLT!$V$4:$V$8886&lt;&gt;AD345)*("Valid"=PLT!$P$4:$P$7190),PLT!$V$4:$V$8886),"")</f>
        <v/>
      </c>
      <c r="AF345" s="161" t="str" cm="1">
        <f t="array" ref="AF345">IFERROR(_xlfn.XLOOKUP(1,(A345=PLT!$A$4:$A$8886)*(Geotech!C345&lt;=PLT!$F$4:$F$8886)*(Geotech!D345&gt;=PLT!$F$4:$F$8886)*(PLT!$V$4:$V$8886&lt;&gt;AD345)*(PLT!$V$4:$V$8886&lt;&gt;AE345)*("Valid"=PLT!$P$4:$P$7190),PLT!$V$4:$V$8886),"")</f>
        <v/>
      </c>
      <c r="AG345" s="162" t="str">
        <f>IFERROR(IF(AVERAGE(AD345:AF345)&gt;References!$BO$23,References!$BP$23,
IF(AVERAGE(AD345:AF345)&gt;References!$BO$22,References!$BP$22,
IF(AVERAGE(AD345:AF345)&gt;References!$BO$21,References!$BP$21,
IF(AVERAGE(AD345:AF345)&gt;References!$BO$20,References!$BP$20,
IF(AVERAGE(AD345:AF345)&gt;References!$BO$19,References!$BP$19,
IF(AVERAGE(AD345:AF345)&gt;References!$BO$18,References!$BP$18,
0)))))),"")</f>
        <v/>
      </c>
      <c r="AH345" s="163" t="e">
        <f>VLOOKUP(Data_Geotech[[#This Row],[Field Intact Rock Strength]],Table_RMR76_Strength[],2,FALSE)</f>
        <v>#N/A</v>
      </c>
      <c r="AI345" s="163" t="e">
        <f>IF(Data_Geotech[[#This Row],[RQD (%)]]&lt;=25,3,IF(Data_Geotech[[#This Row],[RQD (%)]]&lt;=50,8,IF(Data_Geotech[[#This Row],[RQD (%)]]&lt;=75,13,IF(Data_Geotech[[#This Row],[RQD (%)]]&lt;=90,17,20))))</f>
        <v>#DIV/0!</v>
      </c>
      <c r="AJ345" s="136">
        <f>IF(Data_Geotech[[#This Row],[Joint spacing (m)]]&lt;=0.05,5,IF(Data_Geotech[[#This Row],[Joint spacing (m)]]&lt;=0.3,10,IF(Data_Geotech[[#This Row],[Joint spacing (m)]]&lt;=1,20,IF(Data_Geotech[[#This Row],[Joint spacing (m)]]&lt;=3,25,30))))</f>
        <v>30</v>
      </c>
      <c r="AK34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5" s="6"/>
      <c r="AM345" s="137" t="str">
        <f>IF(Data_Geotech[[#This Row],[FIRS Code]]="R",IFERROR(SUM(Data_Geotech[[#This Row],[RMR76 - Strength rating]:[RMR76 - Ground water rating]]),""),"")</f>
        <v/>
      </c>
      <c r="AN345" s="164" t="str">
        <f>IF(Data_Geotech[[#This Row],[FIRS Code]]="R",(2*Data_Geotech[[#This Row],[RMR76 - Joint condition rating]])+(IF(Data_Geotech[[#This Row],[RQD (%)]]&gt;80,80/2,Data_Geotech[[#This Row],[RQD (%)]]/2)),"")</f>
        <v/>
      </c>
      <c r="AO345" s="136" t="e">
        <f>LEFT(Data_Geotech[[#This Row],[Joint Set Rating]],FIND("-",Data_Geotech[[#This Row],[Joint Set Rating]],1)-2)</f>
        <v>#VALUE!</v>
      </c>
      <c r="AP34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5" s="143">
        <f t="shared" si="7"/>
        <v>1</v>
      </c>
      <c r="AR345" s="165" t="str">
        <f>IF(Data_Geotech[[#This Row],[FIRS Code]]="R",IFERROR((IF(Data_Geotech[[#This Row],[RQD (%)]]&lt;10,10,Data_Geotech[[#This Row],[RQD (%)]])/Data_Geotech[[#This Row],[Jn rating]])*Data_Geotech[[#This Row],[Jr/Ja]],""),"")</f>
        <v/>
      </c>
      <c r="AS345" s="138" t="str">
        <f>IF(Data_Geotech[[#This Row],[FIRS Code]]="R",IFERROR((IF(Data_Geotech[[#This Row],[RQD (%)]]&lt;10,10,Data_Geotech[[#This Row],[RQD (%)]])/Data_Geotech[[#This Row],[Jn rating]])*Data_Geotech[[#This Row],[Jr/Ja]]*Data_Geotech[[#This Row],[Jw/SRF]],""),"")</f>
        <v/>
      </c>
      <c r="AT345" s="12"/>
      <c r="AU345" s="13" t="e">
        <f>100-Data_Geotech[[#This Row],[RQD (%)]]</f>
        <v>#DIV/0!</v>
      </c>
      <c r="AV345" s="13" t="e">
        <f>100-Data_Geotech[[#This Row],[TCR (%)]]</f>
        <v>#DIV/0!</v>
      </c>
      <c r="AW345" s="62" t="e">
        <f>(Data_Geotech[[#This Row],[Fracture per interval]]+Data_Geotech[[#This Row],[Added fractures 
(BC, FLT, LC)]])/Data_Geotech[[#This Row],[TCR (m)]]</f>
        <v>#DIV/0!</v>
      </c>
      <c r="AX345" s="62" t="str">
        <f>MID(Data_Geotech[[#This Row],[Field Intact Rock Strength]],2,1)</f>
        <v/>
      </c>
      <c r="AY345" s="63" t="e">
        <f>7-MID(Data_Geotech[[#This Row],[Field Intact Rock Strength]],2,1)</f>
        <v>#VALUE!</v>
      </c>
      <c r="AZ345" s="63" t="e">
        <f>VLOOKUP(Data_Geotech[[#This Row],[Field Intact Rock Strength]],Table_FieldStrength[],2,FALSE)</f>
        <v>#N/A</v>
      </c>
      <c r="BA345" s="63" t="e">
        <f>VLOOKUP(Data_Geotech[[#This Row],[Field Intact Rock Strength]],Table_FieldStrength[],3,FALSE)</f>
        <v>#N/A</v>
      </c>
      <c r="BB345" s="63" t="e">
        <f>VLOOKUP(Data_Geotech[[#This Row],[Field Intact Rock Strength]],Table_FieldStrength[],4,FALSE)</f>
        <v>#N/A</v>
      </c>
      <c r="BC345" s="63" t="e">
        <f>100-Data_Geotech[[#This Row],[RMR76]]</f>
        <v>#VALUE!</v>
      </c>
      <c r="BD345" s="63" t="e">
        <f>LEFT(Data_Geotech[[#This Row],[Weathering/Alteration]],FIND("-",Data_Geotech[[#This Row],[Weathering/Alteration]])-2)</f>
        <v>#VALUE!</v>
      </c>
    </row>
    <row r="346" spans="1:56" hidden="1" x14ac:dyDescent="0.25">
      <c r="A346" s="14"/>
      <c r="B346" s="166" t="e">
        <f>VLOOKUP(Data_Geotech[[#This Row],[Hole ID]],Data_Log[],2,FALSE)</f>
        <v>#N/A</v>
      </c>
      <c r="C346" s="5"/>
      <c r="D346" s="5"/>
      <c r="E346" s="5">
        <f>(Data_Geotech[[#This Row],[To (m)]]-Data_Geotech[[#This Row],[From (m)]])/2+Data_Geotech[[#This Row],[From (m)]]</f>
        <v>0</v>
      </c>
      <c r="F346" s="13">
        <f>Data_Geotech[[#This Row],[To (m)]]-Data_Geotech[[#This Row],[From (m)]]</f>
        <v>0</v>
      </c>
      <c r="G346" s="5"/>
      <c r="H346" s="13" t="e">
        <f>Data_Geotech[[#This Row],[TCR (m)]]/Data_Geotech[[#This Row],[Run (m)]]*100</f>
        <v>#DIV/0!</v>
      </c>
      <c r="I346" s="5"/>
      <c r="J346" s="5"/>
      <c r="K346" s="5"/>
      <c r="L346" s="13" t="e">
        <f>Data_Geotech[[#This Row],[RQD (m)]]/Data_Geotech[[#This Row],[Run Reel (m)]]*100</f>
        <v>#DIV/0!</v>
      </c>
      <c r="P346" s="115"/>
      <c r="Q346" s="5"/>
      <c r="R346" s="5"/>
      <c r="S346" s="5"/>
      <c r="T346" s="5"/>
      <c r="U346" s="5"/>
      <c r="V346" s="6"/>
      <c r="W346" s="92">
        <f>SUMIFS(Discontinuities!$D$4:$D$9664,Discontinuities!$A$4:$A$9664,A346,Discontinuities!$C$4:$C$9664,"&gt;="&amp;C346,Discontinuities!$C$4:$C$9664,"&lt;"&amp;D346)
-SUMIFS(Discontinuities!$D$4:$D$9664,Discontinuities!$A$4:$A$9664,A346,Discontinuities!$C$4:$C$9664,"&gt;="&amp;C346,Discontinuities!$C$4:$C$9664,"&lt;"&amp;D346,Discontinuities!$E$4:$E$9664,"=BC")
-SUMIFS(Discontinuities!$D$4:$D$9664,Discontinuities!$A$4:$A$9664,A346,Discontinuities!$C$4:$C$9664,"&gt;="&amp;C346,Discontinuities!$C$4:$C$9664,"&lt;"&amp;D346,Discontinuities!$E$4:$E$9664,"=LC")
-SUMIFS(Discontinuities!$D$4:$D$9664,Discontinuities!$A$4:$A$9664,A346,Discontinuities!$C$4:$C$9664,"&gt;="&amp;C346,Discontinuities!$C$4:$C$9664,"&lt;"&amp;D346,Discontinuities!$E$4:$E$9664,"=FLT")</f>
        <v>0</v>
      </c>
      <c r="AA346" s="132"/>
      <c r="AB346" s="159">
        <f>IFERROR(ROUND((Data_Geotech[[#This Row],[Fault (m)]]+Data_Geotech[[#This Row],[Broken Core (m)]]+Data_Geotech[[#This Row],[Lost Core (m)]])*30,0),0)</f>
        <v>0</v>
      </c>
      <c r="AC346" s="135">
        <f>IF(Data_Geotech[[#This Row],[Added fractures 
(BC, FLT, LC)]]+Data_Geotech[[#This Row],[Fracture per interval]]=0,99,1/((Data_Geotech[[#This Row],[Fracture per interval]]+Data_Geotech[[#This Row],[Added fractures 
(BC, FLT, LC)]])/Data_Geotech[[#This Row],[Run (m)]]))</f>
        <v>99</v>
      </c>
      <c r="AD346" s="160" t="str" cm="1">
        <f t="array" ref="AD346">IFERROR(_xlfn.XLOOKUP(1,(A346=PLT!$A$4:$A$8886)*(Geotech!C346&lt;=PLT!$F$4:$F$8886)*(Geotech!D346&gt;=PLT!$F$4:$F$8886)*("Valid"=PLT!$P$4:$P$8886),PLT!$V$4:$V$8886),"")</f>
        <v/>
      </c>
      <c r="AE346" s="161" t="str" cm="1">
        <f t="array" ref="AE346">IFERROR(_xlfn.XLOOKUP(1,(A346=PLT!$A$4:$A$8886)*(Geotech!C346&lt;=PLT!$F$4:$F$8886)*(Geotech!D346&gt;=PLT!$F$4:$F$8886)*(PLT!$V$4:$V$8886&lt;&gt;AD346)*("Valid"=PLT!$P$4:$P$7190),PLT!$V$4:$V$8886),"")</f>
        <v/>
      </c>
      <c r="AF346" s="161" t="str" cm="1">
        <f t="array" ref="AF346">IFERROR(_xlfn.XLOOKUP(1,(A346=PLT!$A$4:$A$8886)*(Geotech!C346&lt;=PLT!$F$4:$F$8886)*(Geotech!D346&gt;=PLT!$F$4:$F$8886)*(PLT!$V$4:$V$8886&lt;&gt;AD346)*(PLT!$V$4:$V$8886&lt;&gt;AE346)*("Valid"=PLT!$P$4:$P$7190),PLT!$V$4:$V$8886),"")</f>
        <v/>
      </c>
      <c r="AG346" s="162" t="str">
        <f>IFERROR(IF(AVERAGE(AD346:AF346)&gt;References!$BO$23,References!$BP$23,
IF(AVERAGE(AD346:AF346)&gt;References!$BO$22,References!$BP$22,
IF(AVERAGE(AD346:AF346)&gt;References!$BO$21,References!$BP$21,
IF(AVERAGE(AD346:AF346)&gt;References!$BO$20,References!$BP$20,
IF(AVERAGE(AD346:AF346)&gt;References!$BO$19,References!$BP$19,
IF(AVERAGE(AD346:AF346)&gt;References!$BO$18,References!$BP$18,
0)))))),"")</f>
        <v/>
      </c>
      <c r="AH346" s="163" t="e">
        <f>VLOOKUP(Data_Geotech[[#This Row],[Field Intact Rock Strength]],Table_RMR76_Strength[],2,FALSE)</f>
        <v>#N/A</v>
      </c>
      <c r="AI346" s="163" t="e">
        <f>IF(Data_Geotech[[#This Row],[RQD (%)]]&lt;=25,3,IF(Data_Geotech[[#This Row],[RQD (%)]]&lt;=50,8,IF(Data_Geotech[[#This Row],[RQD (%)]]&lt;=75,13,IF(Data_Geotech[[#This Row],[RQD (%)]]&lt;=90,17,20))))</f>
        <v>#DIV/0!</v>
      </c>
      <c r="AJ346" s="136">
        <f>IF(Data_Geotech[[#This Row],[Joint spacing (m)]]&lt;=0.05,5,IF(Data_Geotech[[#This Row],[Joint spacing (m)]]&lt;=0.3,10,IF(Data_Geotech[[#This Row],[Joint spacing (m)]]&lt;=1,20,IF(Data_Geotech[[#This Row],[Joint spacing (m)]]&lt;=3,25,30))))</f>
        <v>30</v>
      </c>
      <c r="AK34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6" s="6"/>
      <c r="AM346" s="137" t="str">
        <f>IF(Data_Geotech[[#This Row],[FIRS Code]]="R",IFERROR(SUM(Data_Geotech[[#This Row],[RMR76 - Strength rating]:[RMR76 - Ground water rating]]),""),"")</f>
        <v/>
      </c>
      <c r="AN346" s="164" t="str">
        <f>IF(Data_Geotech[[#This Row],[FIRS Code]]="R",(2*Data_Geotech[[#This Row],[RMR76 - Joint condition rating]])+(IF(Data_Geotech[[#This Row],[RQD (%)]]&gt;80,80/2,Data_Geotech[[#This Row],[RQD (%)]]/2)),"")</f>
        <v/>
      </c>
      <c r="AO346" s="136" t="e">
        <f>LEFT(Data_Geotech[[#This Row],[Joint Set Rating]],FIND("-",Data_Geotech[[#This Row],[Joint Set Rating]],1)-2)</f>
        <v>#VALUE!</v>
      </c>
      <c r="AP34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6" s="143">
        <f t="shared" si="7"/>
        <v>1</v>
      </c>
      <c r="AR346" s="165" t="str">
        <f>IF(Data_Geotech[[#This Row],[FIRS Code]]="R",IFERROR((IF(Data_Geotech[[#This Row],[RQD (%)]]&lt;10,10,Data_Geotech[[#This Row],[RQD (%)]])/Data_Geotech[[#This Row],[Jn rating]])*Data_Geotech[[#This Row],[Jr/Ja]],""),"")</f>
        <v/>
      </c>
      <c r="AS346" s="138" t="str">
        <f>IF(Data_Geotech[[#This Row],[FIRS Code]]="R",IFERROR((IF(Data_Geotech[[#This Row],[RQD (%)]]&lt;10,10,Data_Geotech[[#This Row],[RQD (%)]])/Data_Geotech[[#This Row],[Jn rating]])*Data_Geotech[[#This Row],[Jr/Ja]]*Data_Geotech[[#This Row],[Jw/SRF]],""),"")</f>
        <v/>
      </c>
      <c r="AT346" s="12"/>
      <c r="AU346" s="13" t="e">
        <f>100-Data_Geotech[[#This Row],[RQD (%)]]</f>
        <v>#DIV/0!</v>
      </c>
      <c r="AV346" s="13" t="e">
        <f>100-Data_Geotech[[#This Row],[TCR (%)]]</f>
        <v>#DIV/0!</v>
      </c>
      <c r="AW346" s="62" t="e">
        <f>(Data_Geotech[[#This Row],[Fracture per interval]]+Data_Geotech[[#This Row],[Added fractures 
(BC, FLT, LC)]])/Data_Geotech[[#This Row],[TCR (m)]]</f>
        <v>#DIV/0!</v>
      </c>
      <c r="AX346" s="62" t="str">
        <f>MID(Data_Geotech[[#This Row],[Field Intact Rock Strength]],2,1)</f>
        <v/>
      </c>
      <c r="AY346" s="63" t="e">
        <f>7-MID(Data_Geotech[[#This Row],[Field Intact Rock Strength]],2,1)</f>
        <v>#VALUE!</v>
      </c>
      <c r="AZ346" s="63" t="e">
        <f>VLOOKUP(Data_Geotech[[#This Row],[Field Intact Rock Strength]],Table_FieldStrength[],2,FALSE)</f>
        <v>#N/A</v>
      </c>
      <c r="BA346" s="63" t="e">
        <f>VLOOKUP(Data_Geotech[[#This Row],[Field Intact Rock Strength]],Table_FieldStrength[],3,FALSE)</f>
        <v>#N/A</v>
      </c>
      <c r="BB346" s="63" t="e">
        <f>VLOOKUP(Data_Geotech[[#This Row],[Field Intact Rock Strength]],Table_FieldStrength[],4,FALSE)</f>
        <v>#N/A</v>
      </c>
      <c r="BC346" s="63" t="e">
        <f>100-Data_Geotech[[#This Row],[RMR76]]</f>
        <v>#VALUE!</v>
      </c>
      <c r="BD346" s="63" t="e">
        <f>LEFT(Data_Geotech[[#This Row],[Weathering/Alteration]],FIND("-",Data_Geotech[[#This Row],[Weathering/Alteration]])-2)</f>
        <v>#VALUE!</v>
      </c>
    </row>
    <row r="347" spans="1:56" hidden="1" x14ac:dyDescent="0.25">
      <c r="A347" s="14"/>
      <c r="B347" s="166" t="e">
        <f>VLOOKUP(Data_Geotech[[#This Row],[Hole ID]],Data_Log[],2,FALSE)</f>
        <v>#N/A</v>
      </c>
      <c r="C347" s="5"/>
      <c r="D347" s="5"/>
      <c r="E347" s="5">
        <f>(Data_Geotech[[#This Row],[To (m)]]-Data_Geotech[[#This Row],[From (m)]])/2+Data_Geotech[[#This Row],[From (m)]]</f>
        <v>0</v>
      </c>
      <c r="F347" s="13">
        <f>Data_Geotech[[#This Row],[To (m)]]-Data_Geotech[[#This Row],[From (m)]]</f>
        <v>0</v>
      </c>
      <c r="G347" s="5"/>
      <c r="H347" s="13" t="e">
        <f>Data_Geotech[[#This Row],[TCR (m)]]/Data_Geotech[[#This Row],[Run (m)]]*100</f>
        <v>#DIV/0!</v>
      </c>
      <c r="I347" s="5"/>
      <c r="J347" s="5"/>
      <c r="K347" s="5"/>
      <c r="L347" s="13" t="e">
        <f>Data_Geotech[[#This Row],[RQD (m)]]/Data_Geotech[[#This Row],[Run Reel (m)]]*100</f>
        <v>#DIV/0!</v>
      </c>
      <c r="P347" s="115"/>
      <c r="Q347" s="5"/>
      <c r="R347" s="5"/>
      <c r="S347" s="5"/>
      <c r="T347" s="5"/>
      <c r="U347" s="5"/>
      <c r="V347" s="6"/>
      <c r="W347" s="92">
        <f>SUMIFS(Discontinuities!$D$4:$D$9664,Discontinuities!$A$4:$A$9664,A347,Discontinuities!$C$4:$C$9664,"&gt;="&amp;C347,Discontinuities!$C$4:$C$9664,"&lt;"&amp;D347)
-SUMIFS(Discontinuities!$D$4:$D$9664,Discontinuities!$A$4:$A$9664,A347,Discontinuities!$C$4:$C$9664,"&gt;="&amp;C347,Discontinuities!$C$4:$C$9664,"&lt;"&amp;D347,Discontinuities!$E$4:$E$9664,"=BC")
-SUMIFS(Discontinuities!$D$4:$D$9664,Discontinuities!$A$4:$A$9664,A347,Discontinuities!$C$4:$C$9664,"&gt;="&amp;C347,Discontinuities!$C$4:$C$9664,"&lt;"&amp;D347,Discontinuities!$E$4:$E$9664,"=LC")
-SUMIFS(Discontinuities!$D$4:$D$9664,Discontinuities!$A$4:$A$9664,A347,Discontinuities!$C$4:$C$9664,"&gt;="&amp;C347,Discontinuities!$C$4:$C$9664,"&lt;"&amp;D347,Discontinuities!$E$4:$E$9664,"=FLT")</f>
        <v>0</v>
      </c>
      <c r="AA347" s="132"/>
      <c r="AB347" s="159">
        <f>IFERROR(ROUND((Data_Geotech[[#This Row],[Fault (m)]]+Data_Geotech[[#This Row],[Broken Core (m)]]+Data_Geotech[[#This Row],[Lost Core (m)]])*30,0),0)</f>
        <v>0</v>
      </c>
      <c r="AC347" s="135">
        <f>IF(Data_Geotech[[#This Row],[Added fractures 
(BC, FLT, LC)]]+Data_Geotech[[#This Row],[Fracture per interval]]=0,99,1/((Data_Geotech[[#This Row],[Fracture per interval]]+Data_Geotech[[#This Row],[Added fractures 
(BC, FLT, LC)]])/Data_Geotech[[#This Row],[Run (m)]]))</f>
        <v>99</v>
      </c>
      <c r="AD347" s="160" t="str" cm="1">
        <f t="array" ref="AD347">IFERROR(_xlfn.XLOOKUP(1,(A347=PLT!$A$4:$A$8886)*(Geotech!C347&lt;=PLT!$F$4:$F$8886)*(Geotech!D347&gt;=PLT!$F$4:$F$8886)*("Valid"=PLT!$P$4:$P$8886),PLT!$V$4:$V$8886),"")</f>
        <v/>
      </c>
      <c r="AE347" s="161" t="str" cm="1">
        <f t="array" ref="AE347">IFERROR(_xlfn.XLOOKUP(1,(A347=PLT!$A$4:$A$8886)*(Geotech!C347&lt;=PLT!$F$4:$F$8886)*(Geotech!D347&gt;=PLT!$F$4:$F$8886)*(PLT!$V$4:$V$8886&lt;&gt;AD347)*("Valid"=PLT!$P$4:$P$7190),PLT!$V$4:$V$8886),"")</f>
        <v/>
      </c>
      <c r="AF347" s="161" t="str" cm="1">
        <f t="array" ref="AF347">IFERROR(_xlfn.XLOOKUP(1,(A347=PLT!$A$4:$A$8886)*(Geotech!C347&lt;=PLT!$F$4:$F$8886)*(Geotech!D347&gt;=PLT!$F$4:$F$8886)*(PLT!$V$4:$V$8886&lt;&gt;AD347)*(PLT!$V$4:$V$8886&lt;&gt;AE347)*("Valid"=PLT!$P$4:$P$7190),PLT!$V$4:$V$8886),"")</f>
        <v/>
      </c>
      <c r="AG347" s="162" t="str">
        <f>IFERROR(IF(AVERAGE(AD347:AF347)&gt;References!$BO$23,References!$BP$23,
IF(AVERAGE(AD347:AF347)&gt;References!$BO$22,References!$BP$22,
IF(AVERAGE(AD347:AF347)&gt;References!$BO$21,References!$BP$21,
IF(AVERAGE(AD347:AF347)&gt;References!$BO$20,References!$BP$20,
IF(AVERAGE(AD347:AF347)&gt;References!$BO$19,References!$BP$19,
IF(AVERAGE(AD347:AF347)&gt;References!$BO$18,References!$BP$18,
0)))))),"")</f>
        <v/>
      </c>
      <c r="AH347" s="163" t="e">
        <f>VLOOKUP(Data_Geotech[[#This Row],[Field Intact Rock Strength]],Table_RMR76_Strength[],2,FALSE)</f>
        <v>#N/A</v>
      </c>
      <c r="AI347" s="163" t="e">
        <f>IF(Data_Geotech[[#This Row],[RQD (%)]]&lt;=25,3,IF(Data_Geotech[[#This Row],[RQD (%)]]&lt;=50,8,IF(Data_Geotech[[#This Row],[RQD (%)]]&lt;=75,13,IF(Data_Geotech[[#This Row],[RQD (%)]]&lt;=90,17,20))))</f>
        <v>#DIV/0!</v>
      </c>
      <c r="AJ347" s="136">
        <f>IF(Data_Geotech[[#This Row],[Joint spacing (m)]]&lt;=0.05,5,IF(Data_Geotech[[#This Row],[Joint spacing (m)]]&lt;=0.3,10,IF(Data_Geotech[[#This Row],[Joint spacing (m)]]&lt;=1,20,IF(Data_Geotech[[#This Row],[Joint spacing (m)]]&lt;=3,25,30))))</f>
        <v>30</v>
      </c>
      <c r="AK34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7" s="6"/>
      <c r="AM347" s="137" t="str">
        <f>IF(Data_Geotech[[#This Row],[FIRS Code]]="R",IFERROR(SUM(Data_Geotech[[#This Row],[RMR76 - Strength rating]:[RMR76 - Ground water rating]]),""),"")</f>
        <v/>
      </c>
      <c r="AN347" s="164" t="str">
        <f>IF(Data_Geotech[[#This Row],[FIRS Code]]="R",(2*Data_Geotech[[#This Row],[RMR76 - Joint condition rating]])+(IF(Data_Geotech[[#This Row],[RQD (%)]]&gt;80,80/2,Data_Geotech[[#This Row],[RQD (%)]]/2)),"")</f>
        <v/>
      </c>
      <c r="AO347" s="136" t="e">
        <f>LEFT(Data_Geotech[[#This Row],[Joint Set Rating]],FIND("-",Data_Geotech[[#This Row],[Joint Set Rating]],1)-2)</f>
        <v>#VALUE!</v>
      </c>
      <c r="AP34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7" s="143">
        <f t="shared" si="7"/>
        <v>1</v>
      </c>
      <c r="AR347" s="165" t="str">
        <f>IF(Data_Geotech[[#This Row],[FIRS Code]]="R",IFERROR((IF(Data_Geotech[[#This Row],[RQD (%)]]&lt;10,10,Data_Geotech[[#This Row],[RQD (%)]])/Data_Geotech[[#This Row],[Jn rating]])*Data_Geotech[[#This Row],[Jr/Ja]],""),"")</f>
        <v/>
      </c>
      <c r="AS347" s="138" t="str">
        <f>IF(Data_Geotech[[#This Row],[FIRS Code]]="R",IFERROR((IF(Data_Geotech[[#This Row],[RQD (%)]]&lt;10,10,Data_Geotech[[#This Row],[RQD (%)]])/Data_Geotech[[#This Row],[Jn rating]])*Data_Geotech[[#This Row],[Jr/Ja]]*Data_Geotech[[#This Row],[Jw/SRF]],""),"")</f>
        <v/>
      </c>
      <c r="AT347" s="12"/>
      <c r="AU347" s="13" t="e">
        <f>100-Data_Geotech[[#This Row],[RQD (%)]]</f>
        <v>#DIV/0!</v>
      </c>
      <c r="AV347" s="13" t="e">
        <f>100-Data_Geotech[[#This Row],[TCR (%)]]</f>
        <v>#DIV/0!</v>
      </c>
      <c r="AW347" s="62" t="e">
        <f>(Data_Geotech[[#This Row],[Fracture per interval]]+Data_Geotech[[#This Row],[Added fractures 
(BC, FLT, LC)]])/Data_Geotech[[#This Row],[TCR (m)]]</f>
        <v>#DIV/0!</v>
      </c>
      <c r="AX347" s="62" t="str">
        <f>MID(Data_Geotech[[#This Row],[Field Intact Rock Strength]],2,1)</f>
        <v/>
      </c>
      <c r="AY347" s="63" t="e">
        <f>7-MID(Data_Geotech[[#This Row],[Field Intact Rock Strength]],2,1)</f>
        <v>#VALUE!</v>
      </c>
      <c r="AZ347" s="63" t="e">
        <f>VLOOKUP(Data_Geotech[[#This Row],[Field Intact Rock Strength]],Table_FieldStrength[],2,FALSE)</f>
        <v>#N/A</v>
      </c>
      <c r="BA347" s="63" t="e">
        <f>VLOOKUP(Data_Geotech[[#This Row],[Field Intact Rock Strength]],Table_FieldStrength[],3,FALSE)</f>
        <v>#N/A</v>
      </c>
      <c r="BB347" s="63" t="e">
        <f>VLOOKUP(Data_Geotech[[#This Row],[Field Intact Rock Strength]],Table_FieldStrength[],4,FALSE)</f>
        <v>#N/A</v>
      </c>
      <c r="BC347" s="63" t="e">
        <f>100-Data_Geotech[[#This Row],[RMR76]]</f>
        <v>#VALUE!</v>
      </c>
      <c r="BD347" s="63" t="e">
        <f>LEFT(Data_Geotech[[#This Row],[Weathering/Alteration]],FIND("-",Data_Geotech[[#This Row],[Weathering/Alteration]])-2)</f>
        <v>#VALUE!</v>
      </c>
    </row>
    <row r="348" spans="1:56" hidden="1" x14ac:dyDescent="0.25">
      <c r="A348" s="14"/>
      <c r="B348" s="166" t="e">
        <f>VLOOKUP(Data_Geotech[[#This Row],[Hole ID]],Data_Log[],2,FALSE)</f>
        <v>#N/A</v>
      </c>
      <c r="C348" s="5"/>
      <c r="D348" s="5"/>
      <c r="E348" s="5">
        <f>(Data_Geotech[[#This Row],[To (m)]]-Data_Geotech[[#This Row],[From (m)]])/2+Data_Geotech[[#This Row],[From (m)]]</f>
        <v>0</v>
      </c>
      <c r="F348" s="13">
        <f>Data_Geotech[[#This Row],[To (m)]]-Data_Geotech[[#This Row],[From (m)]]</f>
        <v>0</v>
      </c>
      <c r="G348" s="5"/>
      <c r="H348" s="13" t="e">
        <f>Data_Geotech[[#This Row],[TCR (m)]]/Data_Geotech[[#This Row],[Run (m)]]*100</f>
        <v>#DIV/0!</v>
      </c>
      <c r="I348" s="5"/>
      <c r="J348" s="5"/>
      <c r="K348" s="5"/>
      <c r="L348" s="13" t="e">
        <f>Data_Geotech[[#This Row],[RQD (m)]]/Data_Geotech[[#This Row],[Run Reel (m)]]*100</f>
        <v>#DIV/0!</v>
      </c>
      <c r="P348" s="115"/>
      <c r="Q348" s="5"/>
      <c r="R348" s="5"/>
      <c r="S348" s="5"/>
      <c r="T348" s="5"/>
      <c r="U348" s="5"/>
      <c r="V348" s="6"/>
      <c r="W348" s="92">
        <f>SUMIFS(Discontinuities!$D$4:$D$9664,Discontinuities!$A$4:$A$9664,A348,Discontinuities!$C$4:$C$9664,"&gt;="&amp;C348,Discontinuities!$C$4:$C$9664,"&lt;"&amp;D348)
-SUMIFS(Discontinuities!$D$4:$D$9664,Discontinuities!$A$4:$A$9664,A348,Discontinuities!$C$4:$C$9664,"&gt;="&amp;C348,Discontinuities!$C$4:$C$9664,"&lt;"&amp;D348,Discontinuities!$E$4:$E$9664,"=BC")
-SUMIFS(Discontinuities!$D$4:$D$9664,Discontinuities!$A$4:$A$9664,A348,Discontinuities!$C$4:$C$9664,"&gt;="&amp;C348,Discontinuities!$C$4:$C$9664,"&lt;"&amp;D348,Discontinuities!$E$4:$E$9664,"=LC")
-SUMIFS(Discontinuities!$D$4:$D$9664,Discontinuities!$A$4:$A$9664,A348,Discontinuities!$C$4:$C$9664,"&gt;="&amp;C348,Discontinuities!$C$4:$C$9664,"&lt;"&amp;D348,Discontinuities!$E$4:$E$9664,"=FLT")</f>
        <v>0</v>
      </c>
      <c r="AA348" s="132"/>
      <c r="AB348" s="159">
        <f>IFERROR(ROUND((Data_Geotech[[#This Row],[Fault (m)]]+Data_Geotech[[#This Row],[Broken Core (m)]]+Data_Geotech[[#This Row],[Lost Core (m)]])*30,0),0)</f>
        <v>0</v>
      </c>
      <c r="AC348" s="135">
        <f>IF(Data_Geotech[[#This Row],[Added fractures 
(BC, FLT, LC)]]+Data_Geotech[[#This Row],[Fracture per interval]]=0,99,1/((Data_Geotech[[#This Row],[Fracture per interval]]+Data_Geotech[[#This Row],[Added fractures 
(BC, FLT, LC)]])/Data_Geotech[[#This Row],[Run (m)]]))</f>
        <v>99</v>
      </c>
      <c r="AD348" s="160" t="str" cm="1">
        <f t="array" ref="AD348">IFERROR(_xlfn.XLOOKUP(1,(A348=PLT!$A$4:$A$8886)*(Geotech!C348&lt;=PLT!$F$4:$F$8886)*(Geotech!D348&gt;=PLT!$F$4:$F$8886)*("Valid"=PLT!$P$4:$P$8886),PLT!$V$4:$V$8886),"")</f>
        <v/>
      </c>
      <c r="AE348" s="161" t="str" cm="1">
        <f t="array" ref="AE348">IFERROR(_xlfn.XLOOKUP(1,(A348=PLT!$A$4:$A$8886)*(Geotech!C348&lt;=PLT!$F$4:$F$8886)*(Geotech!D348&gt;=PLT!$F$4:$F$8886)*(PLT!$V$4:$V$8886&lt;&gt;AD348)*("Valid"=PLT!$P$4:$P$7190),PLT!$V$4:$V$8886),"")</f>
        <v/>
      </c>
      <c r="AF348" s="161" t="str" cm="1">
        <f t="array" ref="AF348">IFERROR(_xlfn.XLOOKUP(1,(A348=PLT!$A$4:$A$8886)*(Geotech!C348&lt;=PLT!$F$4:$F$8886)*(Geotech!D348&gt;=PLT!$F$4:$F$8886)*(PLT!$V$4:$V$8886&lt;&gt;AD348)*(PLT!$V$4:$V$8886&lt;&gt;AE348)*("Valid"=PLT!$P$4:$P$7190),PLT!$V$4:$V$8886),"")</f>
        <v/>
      </c>
      <c r="AG348" s="162" t="str">
        <f>IFERROR(IF(AVERAGE(AD348:AF348)&gt;References!$BO$23,References!$BP$23,
IF(AVERAGE(AD348:AF348)&gt;References!$BO$22,References!$BP$22,
IF(AVERAGE(AD348:AF348)&gt;References!$BO$21,References!$BP$21,
IF(AVERAGE(AD348:AF348)&gt;References!$BO$20,References!$BP$20,
IF(AVERAGE(AD348:AF348)&gt;References!$BO$19,References!$BP$19,
IF(AVERAGE(AD348:AF348)&gt;References!$BO$18,References!$BP$18,
0)))))),"")</f>
        <v/>
      </c>
      <c r="AH348" s="163" t="e">
        <f>VLOOKUP(Data_Geotech[[#This Row],[Field Intact Rock Strength]],Table_RMR76_Strength[],2,FALSE)</f>
        <v>#N/A</v>
      </c>
      <c r="AI348" s="163" t="e">
        <f>IF(Data_Geotech[[#This Row],[RQD (%)]]&lt;=25,3,IF(Data_Geotech[[#This Row],[RQD (%)]]&lt;=50,8,IF(Data_Geotech[[#This Row],[RQD (%)]]&lt;=75,13,IF(Data_Geotech[[#This Row],[RQD (%)]]&lt;=90,17,20))))</f>
        <v>#DIV/0!</v>
      </c>
      <c r="AJ348" s="136">
        <f>IF(Data_Geotech[[#This Row],[Joint spacing (m)]]&lt;=0.05,5,IF(Data_Geotech[[#This Row],[Joint spacing (m)]]&lt;=0.3,10,IF(Data_Geotech[[#This Row],[Joint spacing (m)]]&lt;=1,20,IF(Data_Geotech[[#This Row],[Joint spacing (m)]]&lt;=3,25,30))))</f>
        <v>30</v>
      </c>
      <c r="AK34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8" s="6"/>
      <c r="AM348" s="137" t="str">
        <f>IF(Data_Geotech[[#This Row],[FIRS Code]]="R",IFERROR(SUM(Data_Geotech[[#This Row],[RMR76 - Strength rating]:[RMR76 - Ground water rating]]),""),"")</f>
        <v/>
      </c>
      <c r="AN348" s="164" t="str">
        <f>IF(Data_Geotech[[#This Row],[FIRS Code]]="R",(2*Data_Geotech[[#This Row],[RMR76 - Joint condition rating]])+(IF(Data_Geotech[[#This Row],[RQD (%)]]&gt;80,80/2,Data_Geotech[[#This Row],[RQD (%)]]/2)),"")</f>
        <v/>
      </c>
      <c r="AO348" s="136" t="e">
        <f>LEFT(Data_Geotech[[#This Row],[Joint Set Rating]],FIND("-",Data_Geotech[[#This Row],[Joint Set Rating]],1)-2)</f>
        <v>#VALUE!</v>
      </c>
      <c r="AP34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8" s="143">
        <f t="shared" si="7"/>
        <v>1</v>
      </c>
      <c r="AR348" s="165" t="str">
        <f>IF(Data_Geotech[[#This Row],[FIRS Code]]="R",IFERROR((IF(Data_Geotech[[#This Row],[RQD (%)]]&lt;10,10,Data_Geotech[[#This Row],[RQD (%)]])/Data_Geotech[[#This Row],[Jn rating]])*Data_Geotech[[#This Row],[Jr/Ja]],""),"")</f>
        <v/>
      </c>
      <c r="AS348" s="138" t="str">
        <f>IF(Data_Geotech[[#This Row],[FIRS Code]]="R",IFERROR((IF(Data_Geotech[[#This Row],[RQD (%)]]&lt;10,10,Data_Geotech[[#This Row],[RQD (%)]])/Data_Geotech[[#This Row],[Jn rating]])*Data_Geotech[[#This Row],[Jr/Ja]]*Data_Geotech[[#This Row],[Jw/SRF]],""),"")</f>
        <v/>
      </c>
      <c r="AT348" s="12"/>
      <c r="AU348" s="13" t="e">
        <f>100-Data_Geotech[[#This Row],[RQD (%)]]</f>
        <v>#DIV/0!</v>
      </c>
      <c r="AV348" s="13" t="e">
        <f>100-Data_Geotech[[#This Row],[TCR (%)]]</f>
        <v>#DIV/0!</v>
      </c>
      <c r="AW348" s="62" t="e">
        <f>(Data_Geotech[[#This Row],[Fracture per interval]]+Data_Geotech[[#This Row],[Added fractures 
(BC, FLT, LC)]])/Data_Geotech[[#This Row],[TCR (m)]]</f>
        <v>#DIV/0!</v>
      </c>
      <c r="AX348" s="62" t="str">
        <f>MID(Data_Geotech[[#This Row],[Field Intact Rock Strength]],2,1)</f>
        <v/>
      </c>
      <c r="AY348" s="63" t="e">
        <f>7-MID(Data_Geotech[[#This Row],[Field Intact Rock Strength]],2,1)</f>
        <v>#VALUE!</v>
      </c>
      <c r="AZ348" s="63" t="e">
        <f>VLOOKUP(Data_Geotech[[#This Row],[Field Intact Rock Strength]],Table_FieldStrength[],2,FALSE)</f>
        <v>#N/A</v>
      </c>
      <c r="BA348" s="63" t="e">
        <f>VLOOKUP(Data_Geotech[[#This Row],[Field Intact Rock Strength]],Table_FieldStrength[],3,FALSE)</f>
        <v>#N/A</v>
      </c>
      <c r="BB348" s="63" t="e">
        <f>VLOOKUP(Data_Geotech[[#This Row],[Field Intact Rock Strength]],Table_FieldStrength[],4,FALSE)</f>
        <v>#N/A</v>
      </c>
      <c r="BC348" s="63" t="e">
        <f>100-Data_Geotech[[#This Row],[RMR76]]</f>
        <v>#VALUE!</v>
      </c>
      <c r="BD348" s="63" t="e">
        <f>LEFT(Data_Geotech[[#This Row],[Weathering/Alteration]],FIND("-",Data_Geotech[[#This Row],[Weathering/Alteration]])-2)</f>
        <v>#VALUE!</v>
      </c>
    </row>
    <row r="349" spans="1:56" hidden="1" x14ac:dyDescent="0.25">
      <c r="A349" s="14"/>
      <c r="B349" s="166" t="e">
        <f>VLOOKUP(Data_Geotech[[#This Row],[Hole ID]],Data_Log[],2,FALSE)</f>
        <v>#N/A</v>
      </c>
      <c r="C349" s="5"/>
      <c r="D349" s="5"/>
      <c r="E349" s="5">
        <f>(Data_Geotech[[#This Row],[To (m)]]-Data_Geotech[[#This Row],[From (m)]])/2+Data_Geotech[[#This Row],[From (m)]]</f>
        <v>0</v>
      </c>
      <c r="F349" s="13">
        <f>Data_Geotech[[#This Row],[To (m)]]-Data_Geotech[[#This Row],[From (m)]]</f>
        <v>0</v>
      </c>
      <c r="G349" s="5"/>
      <c r="H349" s="13" t="e">
        <f>Data_Geotech[[#This Row],[TCR (m)]]/Data_Geotech[[#This Row],[Run (m)]]*100</f>
        <v>#DIV/0!</v>
      </c>
      <c r="I349" s="5"/>
      <c r="J349" s="5"/>
      <c r="K349" s="5"/>
      <c r="L349" s="13" t="e">
        <f>Data_Geotech[[#This Row],[RQD (m)]]/Data_Geotech[[#This Row],[Run Reel (m)]]*100</f>
        <v>#DIV/0!</v>
      </c>
      <c r="P349" s="115"/>
      <c r="Q349" s="5"/>
      <c r="R349" s="5"/>
      <c r="S349" s="5"/>
      <c r="T349" s="5"/>
      <c r="U349" s="5"/>
      <c r="V349" s="6"/>
      <c r="W349" s="92">
        <f>SUMIFS(Discontinuities!$D$4:$D$9664,Discontinuities!$A$4:$A$9664,A349,Discontinuities!$C$4:$C$9664,"&gt;="&amp;C349,Discontinuities!$C$4:$C$9664,"&lt;"&amp;D349)
-SUMIFS(Discontinuities!$D$4:$D$9664,Discontinuities!$A$4:$A$9664,A349,Discontinuities!$C$4:$C$9664,"&gt;="&amp;C349,Discontinuities!$C$4:$C$9664,"&lt;"&amp;D349,Discontinuities!$E$4:$E$9664,"=BC")
-SUMIFS(Discontinuities!$D$4:$D$9664,Discontinuities!$A$4:$A$9664,A349,Discontinuities!$C$4:$C$9664,"&gt;="&amp;C349,Discontinuities!$C$4:$C$9664,"&lt;"&amp;D349,Discontinuities!$E$4:$E$9664,"=LC")
-SUMIFS(Discontinuities!$D$4:$D$9664,Discontinuities!$A$4:$A$9664,A349,Discontinuities!$C$4:$C$9664,"&gt;="&amp;C349,Discontinuities!$C$4:$C$9664,"&lt;"&amp;D349,Discontinuities!$E$4:$E$9664,"=FLT")</f>
        <v>0</v>
      </c>
      <c r="AA349" s="132"/>
      <c r="AB349" s="159">
        <f>IFERROR(ROUND((Data_Geotech[[#This Row],[Fault (m)]]+Data_Geotech[[#This Row],[Broken Core (m)]]+Data_Geotech[[#This Row],[Lost Core (m)]])*30,0),0)</f>
        <v>0</v>
      </c>
      <c r="AC349" s="135">
        <f>IF(Data_Geotech[[#This Row],[Added fractures 
(BC, FLT, LC)]]+Data_Geotech[[#This Row],[Fracture per interval]]=0,99,1/((Data_Geotech[[#This Row],[Fracture per interval]]+Data_Geotech[[#This Row],[Added fractures 
(BC, FLT, LC)]])/Data_Geotech[[#This Row],[Run (m)]]))</f>
        <v>99</v>
      </c>
      <c r="AD349" s="160" t="str" cm="1">
        <f t="array" ref="AD349">IFERROR(_xlfn.XLOOKUP(1,(A349=PLT!$A$4:$A$8886)*(Geotech!C349&lt;=PLT!$F$4:$F$8886)*(Geotech!D349&gt;=PLT!$F$4:$F$8886)*("Valid"=PLT!$P$4:$P$8886),PLT!$V$4:$V$8886),"")</f>
        <v/>
      </c>
      <c r="AE349" s="161" t="str" cm="1">
        <f t="array" ref="AE349">IFERROR(_xlfn.XLOOKUP(1,(A349=PLT!$A$4:$A$8886)*(Geotech!C349&lt;=PLT!$F$4:$F$8886)*(Geotech!D349&gt;=PLT!$F$4:$F$8886)*(PLT!$V$4:$V$8886&lt;&gt;AD349)*("Valid"=PLT!$P$4:$P$7190),PLT!$V$4:$V$8886),"")</f>
        <v/>
      </c>
      <c r="AF349" s="161" t="str" cm="1">
        <f t="array" ref="AF349">IFERROR(_xlfn.XLOOKUP(1,(A349=PLT!$A$4:$A$8886)*(Geotech!C349&lt;=PLT!$F$4:$F$8886)*(Geotech!D349&gt;=PLT!$F$4:$F$8886)*(PLT!$V$4:$V$8886&lt;&gt;AD349)*(PLT!$V$4:$V$8886&lt;&gt;AE349)*("Valid"=PLT!$P$4:$P$7190),PLT!$V$4:$V$8886),"")</f>
        <v/>
      </c>
      <c r="AG349" s="162" t="str">
        <f>IFERROR(IF(AVERAGE(AD349:AF349)&gt;References!$BO$23,References!$BP$23,
IF(AVERAGE(AD349:AF349)&gt;References!$BO$22,References!$BP$22,
IF(AVERAGE(AD349:AF349)&gt;References!$BO$21,References!$BP$21,
IF(AVERAGE(AD349:AF349)&gt;References!$BO$20,References!$BP$20,
IF(AVERAGE(AD349:AF349)&gt;References!$BO$19,References!$BP$19,
IF(AVERAGE(AD349:AF349)&gt;References!$BO$18,References!$BP$18,
0)))))),"")</f>
        <v/>
      </c>
      <c r="AH349" s="163" t="e">
        <f>VLOOKUP(Data_Geotech[[#This Row],[Field Intact Rock Strength]],Table_RMR76_Strength[],2,FALSE)</f>
        <v>#N/A</v>
      </c>
      <c r="AI349" s="163" t="e">
        <f>IF(Data_Geotech[[#This Row],[RQD (%)]]&lt;=25,3,IF(Data_Geotech[[#This Row],[RQD (%)]]&lt;=50,8,IF(Data_Geotech[[#This Row],[RQD (%)]]&lt;=75,13,IF(Data_Geotech[[#This Row],[RQD (%)]]&lt;=90,17,20))))</f>
        <v>#DIV/0!</v>
      </c>
      <c r="AJ349" s="136">
        <f>IF(Data_Geotech[[#This Row],[Joint spacing (m)]]&lt;=0.05,5,IF(Data_Geotech[[#This Row],[Joint spacing (m)]]&lt;=0.3,10,IF(Data_Geotech[[#This Row],[Joint spacing (m)]]&lt;=1,20,IF(Data_Geotech[[#This Row],[Joint spacing (m)]]&lt;=3,25,30))))</f>
        <v>30</v>
      </c>
      <c r="AK34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49" s="6"/>
      <c r="AM349" s="137" t="str">
        <f>IF(Data_Geotech[[#This Row],[FIRS Code]]="R",IFERROR(SUM(Data_Geotech[[#This Row],[RMR76 - Strength rating]:[RMR76 - Ground water rating]]),""),"")</f>
        <v/>
      </c>
      <c r="AN349" s="164" t="str">
        <f>IF(Data_Geotech[[#This Row],[FIRS Code]]="R",(2*Data_Geotech[[#This Row],[RMR76 - Joint condition rating]])+(IF(Data_Geotech[[#This Row],[RQD (%)]]&gt;80,80/2,Data_Geotech[[#This Row],[RQD (%)]]/2)),"")</f>
        <v/>
      </c>
      <c r="AO349" s="136" t="e">
        <f>LEFT(Data_Geotech[[#This Row],[Joint Set Rating]],FIND("-",Data_Geotech[[#This Row],[Joint Set Rating]],1)-2)</f>
        <v>#VALUE!</v>
      </c>
      <c r="AP34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49" s="143">
        <f t="shared" si="7"/>
        <v>1</v>
      </c>
      <c r="AR349" s="165" t="str">
        <f>IF(Data_Geotech[[#This Row],[FIRS Code]]="R",IFERROR((IF(Data_Geotech[[#This Row],[RQD (%)]]&lt;10,10,Data_Geotech[[#This Row],[RQD (%)]])/Data_Geotech[[#This Row],[Jn rating]])*Data_Geotech[[#This Row],[Jr/Ja]],""),"")</f>
        <v/>
      </c>
      <c r="AS349" s="138" t="str">
        <f>IF(Data_Geotech[[#This Row],[FIRS Code]]="R",IFERROR((IF(Data_Geotech[[#This Row],[RQD (%)]]&lt;10,10,Data_Geotech[[#This Row],[RQD (%)]])/Data_Geotech[[#This Row],[Jn rating]])*Data_Geotech[[#This Row],[Jr/Ja]]*Data_Geotech[[#This Row],[Jw/SRF]],""),"")</f>
        <v/>
      </c>
      <c r="AT349" s="12"/>
      <c r="AU349" s="13" t="e">
        <f>100-Data_Geotech[[#This Row],[RQD (%)]]</f>
        <v>#DIV/0!</v>
      </c>
      <c r="AV349" s="13" t="e">
        <f>100-Data_Geotech[[#This Row],[TCR (%)]]</f>
        <v>#DIV/0!</v>
      </c>
      <c r="AW349" s="62" t="e">
        <f>(Data_Geotech[[#This Row],[Fracture per interval]]+Data_Geotech[[#This Row],[Added fractures 
(BC, FLT, LC)]])/Data_Geotech[[#This Row],[TCR (m)]]</f>
        <v>#DIV/0!</v>
      </c>
      <c r="AX349" s="62" t="str">
        <f>MID(Data_Geotech[[#This Row],[Field Intact Rock Strength]],2,1)</f>
        <v/>
      </c>
      <c r="AY349" s="63" t="e">
        <f>7-MID(Data_Geotech[[#This Row],[Field Intact Rock Strength]],2,1)</f>
        <v>#VALUE!</v>
      </c>
      <c r="AZ349" s="63" t="e">
        <f>VLOOKUP(Data_Geotech[[#This Row],[Field Intact Rock Strength]],Table_FieldStrength[],2,FALSE)</f>
        <v>#N/A</v>
      </c>
      <c r="BA349" s="63" t="e">
        <f>VLOOKUP(Data_Geotech[[#This Row],[Field Intact Rock Strength]],Table_FieldStrength[],3,FALSE)</f>
        <v>#N/A</v>
      </c>
      <c r="BB349" s="63" t="e">
        <f>VLOOKUP(Data_Geotech[[#This Row],[Field Intact Rock Strength]],Table_FieldStrength[],4,FALSE)</f>
        <v>#N/A</v>
      </c>
      <c r="BC349" s="63" t="e">
        <f>100-Data_Geotech[[#This Row],[RMR76]]</f>
        <v>#VALUE!</v>
      </c>
      <c r="BD349" s="63" t="e">
        <f>LEFT(Data_Geotech[[#This Row],[Weathering/Alteration]],FIND("-",Data_Geotech[[#This Row],[Weathering/Alteration]])-2)</f>
        <v>#VALUE!</v>
      </c>
    </row>
    <row r="350" spans="1:56" hidden="1" x14ac:dyDescent="0.25">
      <c r="A350" s="14"/>
      <c r="B350" s="166" t="e">
        <f>VLOOKUP(Data_Geotech[[#This Row],[Hole ID]],Data_Log[],2,FALSE)</f>
        <v>#N/A</v>
      </c>
      <c r="C350" s="5"/>
      <c r="D350" s="5"/>
      <c r="E350" s="5">
        <f>(Data_Geotech[[#This Row],[To (m)]]-Data_Geotech[[#This Row],[From (m)]])/2+Data_Geotech[[#This Row],[From (m)]]</f>
        <v>0</v>
      </c>
      <c r="F350" s="13">
        <f>Data_Geotech[[#This Row],[To (m)]]-Data_Geotech[[#This Row],[From (m)]]</f>
        <v>0</v>
      </c>
      <c r="G350" s="5"/>
      <c r="H350" s="13" t="e">
        <f>Data_Geotech[[#This Row],[TCR (m)]]/Data_Geotech[[#This Row],[Run (m)]]*100</f>
        <v>#DIV/0!</v>
      </c>
      <c r="I350" s="5"/>
      <c r="J350" s="5"/>
      <c r="K350" s="5"/>
      <c r="L350" s="13" t="e">
        <f>Data_Geotech[[#This Row],[RQD (m)]]/Data_Geotech[[#This Row],[Run Reel (m)]]*100</f>
        <v>#DIV/0!</v>
      </c>
      <c r="P350" s="115"/>
      <c r="Q350" s="5"/>
      <c r="R350" s="5"/>
      <c r="S350" s="5"/>
      <c r="T350" s="5"/>
      <c r="U350" s="5"/>
      <c r="V350" s="6"/>
      <c r="W350" s="92">
        <f>SUMIFS(Discontinuities!$D$4:$D$9664,Discontinuities!$A$4:$A$9664,A350,Discontinuities!$C$4:$C$9664,"&gt;="&amp;C350,Discontinuities!$C$4:$C$9664,"&lt;"&amp;D350)
-SUMIFS(Discontinuities!$D$4:$D$9664,Discontinuities!$A$4:$A$9664,A350,Discontinuities!$C$4:$C$9664,"&gt;="&amp;C350,Discontinuities!$C$4:$C$9664,"&lt;"&amp;D350,Discontinuities!$E$4:$E$9664,"=BC")
-SUMIFS(Discontinuities!$D$4:$D$9664,Discontinuities!$A$4:$A$9664,A350,Discontinuities!$C$4:$C$9664,"&gt;="&amp;C350,Discontinuities!$C$4:$C$9664,"&lt;"&amp;D350,Discontinuities!$E$4:$E$9664,"=LC")
-SUMIFS(Discontinuities!$D$4:$D$9664,Discontinuities!$A$4:$A$9664,A350,Discontinuities!$C$4:$C$9664,"&gt;="&amp;C350,Discontinuities!$C$4:$C$9664,"&lt;"&amp;D350,Discontinuities!$E$4:$E$9664,"=FLT")</f>
        <v>0</v>
      </c>
      <c r="AA350" s="132"/>
      <c r="AB350" s="159">
        <f>IFERROR(ROUND((Data_Geotech[[#This Row],[Fault (m)]]+Data_Geotech[[#This Row],[Broken Core (m)]]+Data_Geotech[[#This Row],[Lost Core (m)]])*30,0),0)</f>
        <v>0</v>
      </c>
      <c r="AC350" s="135">
        <f>IF(Data_Geotech[[#This Row],[Added fractures 
(BC, FLT, LC)]]+Data_Geotech[[#This Row],[Fracture per interval]]=0,99,1/((Data_Geotech[[#This Row],[Fracture per interval]]+Data_Geotech[[#This Row],[Added fractures 
(BC, FLT, LC)]])/Data_Geotech[[#This Row],[Run (m)]]))</f>
        <v>99</v>
      </c>
      <c r="AD350" s="160" t="str" cm="1">
        <f t="array" ref="AD350">IFERROR(_xlfn.XLOOKUP(1,(A350=PLT!$A$4:$A$8886)*(Geotech!C350&lt;=PLT!$F$4:$F$8886)*(Geotech!D350&gt;=PLT!$F$4:$F$8886)*("Valid"=PLT!$P$4:$P$8886),PLT!$V$4:$V$8886),"")</f>
        <v/>
      </c>
      <c r="AE350" s="161" t="str" cm="1">
        <f t="array" ref="AE350">IFERROR(_xlfn.XLOOKUP(1,(A350=PLT!$A$4:$A$8886)*(Geotech!C350&lt;=PLT!$F$4:$F$8886)*(Geotech!D350&gt;=PLT!$F$4:$F$8886)*(PLT!$V$4:$V$8886&lt;&gt;AD350)*("Valid"=PLT!$P$4:$P$7190),PLT!$V$4:$V$8886),"")</f>
        <v/>
      </c>
      <c r="AF350" s="161" t="str" cm="1">
        <f t="array" ref="AF350">IFERROR(_xlfn.XLOOKUP(1,(A350=PLT!$A$4:$A$8886)*(Geotech!C350&lt;=PLT!$F$4:$F$8886)*(Geotech!D350&gt;=PLT!$F$4:$F$8886)*(PLT!$V$4:$V$8886&lt;&gt;AD350)*(PLT!$V$4:$V$8886&lt;&gt;AE350)*("Valid"=PLT!$P$4:$P$7190),PLT!$V$4:$V$8886),"")</f>
        <v/>
      </c>
      <c r="AG350" s="162" t="str">
        <f>IFERROR(IF(AVERAGE(AD350:AF350)&gt;References!$BO$23,References!$BP$23,
IF(AVERAGE(AD350:AF350)&gt;References!$BO$22,References!$BP$22,
IF(AVERAGE(AD350:AF350)&gt;References!$BO$21,References!$BP$21,
IF(AVERAGE(AD350:AF350)&gt;References!$BO$20,References!$BP$20,
IF(AVERAGE(AD350:AF350)&gt;References!$BO$19,References!$BP$19,
IF(AVERAGE(AD350:AF350)&gt;References!$BO$18,References!$BP$18,
0)))))),"")</f>
        <v/>
      </c>
      <c r="AH350" s="163" t="e">
        <f>VLOOKUP(Data_Geotech[[#This Row],[Field Intact Rock Strength]],Table_RMR76_Strength[],2,FALSE)</f>
        <v>#N/A</v>
      </c>
      <c r="AI350" s="163" t="e">
        <f>IF(Data_Geotech[[#This Row],[RQD (%)]]&lt;=25,3,IF(Data_Geotech[[#This Row],[RQD (%)]]&lt;=50,8,IF(Data_Geotech[[#This Row],[RQD (%)]]&lt;=75,13,IF(Data_Geotech[[#This Row],[RQD (%)]]&lt;=90,17,20))))</f>
        <v>#DIV/0!</v>
      </c>
      <c r="AJ350" s="136">
        <f>IF(Data_Geotech[[#This Row],[Joint spacing (m)]]&lt;=0.05,5,IF(Data_Geotech[[#This Row],[Joint spacing (m)]]&lt;=0.3,10,IF(Data_Geotech[[#This Row],[Joint spacing (m)]]&lt;=1,20,IF(Data_Geotech[[#This Row],[Joint spacing (m)]]&lt;=3,25,30))))</f>
        <v>30</v>
      </c>
      <c r="AK35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0" s="6"/>
      <c r="AM350" s="137" t="str">
        <f>IF(Data_Geotech[[#This Row],[FIRS Code]]="R",IFERROR(SUM(Data_Geotech[[#This Row],[RMR76 - Strength rating]:[RMR76 - Ground water rating]]),""),"")</f>
        <v/>
      </c>
      <c r="AN350" s="164" t="str">
        <f>IF(Data_Geotech[[#This Row],[FIRS Code]]="R",(2*Data_Geotech[[#This Row],[RMR76 - Joint condition rating]])+(IF(Data_Geotech[[#This Row],[RQD (%)]]&gt;80,80/2,Data_Geotech[[#This Row],[RQD (%)]]/2)),"")</f>
        <v/>
      </c>
      <c r="AO350" s="136" t="e">
        <f>LEFT(Data_Geotech[[#This Row],[Joint Set Rating]],FIND("-",Data_Geotech[[#This Row],[Joint Set Rating]],1)-2)</f>
        <v>#VALUE!</v>
      </c>
      <c r="AP35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0" s="143">
        <f t="shared" si="7"/>
        <v>1</v>
      </c>
      <c r="AR350" s="165" t="str">
        <f>IF(Data_Geotech[[#This Row],[FIRS Code]]="R",IFERROR((IF(Data_Geotech[[#This Row],[RQD (%)]]&lt;10,10,Data_Geotech[[#This Row],[RQD (%)]])/Data_Geotech[[#This Row],[Jn rating]])*Data_Geotech[[#This Row],[Jr/Ja]],""),"")</f>
        <v/>
      </c>
      <c r="AS350" s="138" t="str">
        <f>IF(Data_Geotech[[#This Row],[FIRS Code]]="R",IFERROR((IF(Data_Geotech[[#This Row],[RQD (%)]]&lt;10,10,Data_Geotech[[#This Row],[RQD (%)]])/Data_Geotech[[#This Row],[Jn rating]])*Data_Geotech[[#This Row],[Jr/Ja]]*Data_Geotech[[#This Row],[Jw/SRF]],""),"")</f>
        <v/>
      </c>
      <c r="AT350" s="12"/>
      <c r="AU350" s="13" t="e">
        <f>100-Data_Geotech[[#This Row],[RQD (%)]]</f>
        <v>#DIV/0!</v>
      </c>
      <c r="AV350" s="13" t="e">
        <f>100-Data_Geotech[[#This Row],[TCR (%)]]</f>
        <v>#DIV/0!</v>
      </c>
      <c r="AW350" s="62" t="e">
        <f>(Data_Geotech[[#This Row],[Fracture per interval]]+Data_Geotech[[#This Row],[Added fractures 
(BC, FLT, LC)]])/Data_Geotech[[#This Row],[TCR (m)]]</f>
        <v>#DIV/0!</v>
      </c>
      <c r="AX350" s="62" t="str">
        <f>MID(Data_Geotech[[#This Row],[Field Intact Rock Strength]],2,1)</f>
        <v/>
      </c>
      <c r="AY350" s="63" t="e">
        <f>7-MID(Data_Geotech[[#This Row],[Field Intact Rock Strength]],2,1)</f>
        <v>#VALUE!</v>
      </c>
      <c r="AZ350" s="63" t="e">
        <f>VLOOKUP(Data_Geotech[[#This Row],[Field Intact Rock Strength]],Table_FieldStrength[],2,FALSE)</f>
        <v>#N/A</v>
      </c>
      <c r="BA350" s="63" t="e">
        <f>VLOOKUP(Data_Geotech[[#This Row],[Field Intact Rock Strength]],Table_FieldStrength[],3,FALSE)</f>
        <v>#N/A</v>
      </c>
      <c r="BB350" s="63" t="e">
        <f>VLOOKUP(Data_Geotech[[#This Row],[Field Intact Rock Strength]],Table_FieldStrength[],4,FALSE)</f>
        <v>#N/A</v>
      </c>
      <c r="BC350" s="63" t="e">
        <f>100-Data_Geotech[[#This Row],[RMR76]]</f>
        <v>#VALUE!</v>
      </c>
      <c r="BD350" s="63" t="e">
        <f>LEFT(Data_Geotech[[#This Row],[Weathering/Alteration]],FIND("-",Data_Geotech[[#This Row],[Weathering/Alteration]])-2)</f>
        <v>#VALUE!</v>
      </c>
    </row>
    <row r="351" spans="1:56" hidden="1" x14ac:dyDescent="0.25">
      <c r="A351" s="14"/>
      <c r="B351" s="166" t="e">
        <f>VLOOKUP(Data_Geotech[[#This Row],[Hole ID]],Data_Log[],2,FALSE)</f>
        <v>#N/A</v>
      </c>
      <c r="C351" s="5"/>
      <c r="D351" s="5"/>
      <c r="E351" s="5">
        <f>(Data_Geotech[[#This Row],[To (m)]]-Data_Geotech[[#This Row],[From (m)]])/2+Data_Geotech[[#This Row],[From (m)]]</f>
        <v>0</v>
      </c>
      <c r="F351" s="13">
        <f>Data_Geotech[[#This Row],[To (m)]]-Data_Geotech[[#This Row],[From (m)]]</f>
        <v>0</v>
      </c>
      <c r="G351" s="5"/>
      <c r="H351" s="13" t="e">
        <f>Data_Geotech[[#This Row],[TCR (m)]]/Data_Geotech[[#This Row],[Run (m)]]*100</f>
        <v>#DIV/0!</v>
      </c>
      <c r="I351" s="5"/>
      <c r="J351" s="5"/>
      <c r="K351" s="5"/>
      <c r="L351" s="13" t="e">
        <f>Data_Geotech[[#This Row],[RQD (m)]]/Data_Geotech[[#This Row],[Run Reel (m)]]*100</f>
        <v>#DIV/0!</v>
      </c>
      <c r="P351" s="115"/>
      <c r="Q351" s="5"/>
      <c r="R351" s="5"/>
      <c r="S351" s="5"/>
      <c r="T351" s="5"/>
      <c r="U351" s="5"/>
      <c r="V351" s="6"/>
      <c r="W351" s="92">
        <f>SUMIFS(Discontinuities!$D$4:$D$9664,Discontinuities!$A$4:$A$9664,A351,Discontinuities!$C$4:$C$9664,"&gt;="&amp;C351,Discontinuities!$C$4:$C$9664,"&lt;"&amp;D351)
-SUMIFS(Discontinuities!$D$4:$D$9664,Discontinuities!$A$4:$A$9664,A351,Discontinuities!$C$4:$C$9664,"&gt;="&amp;C351,Discontinuities!$C$4:$C$9664,"&lt;"&amp;D351,Discontinuities!$E$4:$E$9664,"=BC")
-SUMIFS(Discontinuities!$D$4:$D$9664,Discontinuities!$A$4:$A$9664,A351,Discontinuities!$C$4:$C$9664,"&gt;="&amp;C351,Discontinuities!$C$4:$C$9664,"&lt;"&amp;D351,Discontinuities!$E$4:$E$9664,"=LC")
-SUMIFS(Discontinuities!$D$4:$D$9664,Discontinuities!$A$4:$A$9664,A351,Discontinuities!$C$4:$C$9664,"&gt;="&amp;C351,Discontinuities!$C$4:$C$9664,"&lt;"&amp;D351,Discontinuities!$E$4:$E$9664,"=FLT")</f>
        <v>0</v>
      </c>
      <c r="AA351" s="132"/>
      <c r="AB351" s="159">
        <f>IFERROR(ROUND((Data_Geotech[[#This Row],[Fault (m)]]+Data_Geotech[[#This Row],[Broken Core (m)]]+Data_Geotech[[#This Row],[Lost Core (m)]])*30,0),0)</f>
        <v>0</v>
      </c>
      <c r="AC351" s="135">
        <f>IF(Data_Geotech[[#This Row],[Added fractures 
(BC, FLT, LC)]]+Data_Geotech[[#This Row],[Fracture per interval]]=0,99,1/((Data_Geotech[[#This Row],[Fracture per interval]]+Data_Geotech[[#This Row],[Added fractures 
(BC, FLT, LC)]])/Data_Geotech[[#This Row],[Run (m)]]))</f>
        <v>99</v>
      </c>
      <c r="AD351" s="160" t="str" cm="1">
        <f t="array" ref="AD351">IFERROR(_xlfn.XLOOKUP(1,(A351=PLT!$A$4:$A$8886)*(Geotech!C351&lt;=PLT!$F$4:$F$8886)*(Geotech!D351&gt;=PLT!$F$4:$F$8886)*("Valid"=PLT!$P$4:$P$8886),PLT!$V$4:$V$8886),"")</f>
        <v/>
      </c>
      <c r="AE351" s="161" t="str" cm="1">
        <f t="array" ref="AE351">IFERROR(_xlfn.XLOOKUP(1,(A351=PLT!$A$4:$A$8886)*(Geotech!C351&lt;=PLT!$F$4:$F$8886)*(Geotech!D351&gt;=PLT!$F$4:$F$8886)*(PLT!$V$4:$V$8886&lt;&gt;AD351)*("Valid"=PLT!$P$4:$P$7190),PLT!$V$4:$V$8886),"")</f>
        <v/>
      </c>
      <c r="AF351" s="161" t="str" cm="1">
        <f t="array" ref="AF351">IFERROR(_xlfn.XLOOKUP(1,(A351=PLT!$A$4:$A$8886)*(Geotech!C351&lt;=PLT!$F$4:$F$8886)*(Geotech!D351&gt;=PLT!$F$4:$F$8886)*(PLT!$V$4:$V$8886&lt;&gt;AD351)*(PLT!$V$4:$V$8886&lt;&gt;AE351)*("Valid"=PLT!$P$4:$P$7190),PLT!$V$4:$V$8886),"")</f>
        <v/>
      </c>
      <c r="AG351" s="162" t="str">
        <f>IFERROR(IF(AVERAGE(AD351:AF351)&gt;References!$BO$23,References!$BP$23,
IF(AVERAGE(AD351:AF351)&gt;References!$BO$22,References!$BP$22,
IF(AVERAGE(AD351:AF351)&gt;References!$BO$21,References!$BP$21,
IF(AVERAGE(AD351:AF351)&gt;References!$BO$20,References!$BP$20,
IF(AVERAGE(AD351:AF351)&gt;References!$BO$19,References!$BP$19,
IF(AVERAGE(AD351:AF351)&gt;References!$BO$18,References!$BP$18,
0)))))),"")</f>
        <v/>
      </c>
      <c r="AH351" s="163" t="e">
        <f>VLOOKUP(Data_Geotech[[#This Row],[Field Intact Rock Strength]],Table_RMR76_Strength[],2,FALSE)</f>
        <v>#N/A</v>
      </c>
      <c r="AI351" s="163" t="e">
        <f>IF(Data_Geotech[[#This Row],[RQD (%)]]&lt;=25,3,IF(Data_Geotech[[#This Row],[RQD (%)]]&lt;=50,8,IF(Data_Geotech[[#This Row],[RQD (%)]]&lt;=75,13,IF(Data_Geotech[[#This Row],[RQD (%)]]&lt;=90,17,20))))</f>
        <v>#DIV/0!</v>
      </c>
      <c r="AJ351" s="136">
        <f>IF(Data_Geotech[[#This Row],[Joint spacing (m)]]&lt;=0.05,5,IF(Data_Geotech[[#This Row],[Joint spacing (m)]]&lt;=0.3,10,IF(Data_Geotech[[#This Row],[Joint spacing (m)]]&lt;=1,20,IF(Data_Geotech[[#This Row],[Joint spacing (m)]]&lt;=3,25,30))))</f>
        <v>30</v>
      </c>
      <c r="AK35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1" s="6"/>
      <c r="AM351" s="137" t="str">
        <f>IF(Data_Geotech[[#This Row],[FIRS Code]]="R",IFERROR(SUM(Data_Geotech[[#This Row],[RMR76 - Strength rating]:[RMR76 - Ground water rating]]),""),"")</f>
        <v/>
      </c>
      <c r="AN351" s="164" t="str">
        <f>IF(Data_Geotech[[#This Row],[FIRS Code]]="R",(2*Data_Geotech[[#This Row],[RMR76 - Joint condition rating]])+(IF(Data_Geotech[[#This Row],[RQD (%)]]&gt;80,80/2,Data_Geotech[[#This Row],[RQD (%)]]/2)),"")</f>
        <v/>
      </c>
      <c r="AO351" s="136" t="e">
        <f>LEFT(Data_Geotech[[#This Row],[Joint Set Rating]],FIND("-",Data_Geotech[[#This Row],[Joint Set Rating]],1)-2)</f>
        <v>#VALUE!</v>
      </c>
      <c r="AP35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1" s="143">
        <f t="shared" si="7"/>
        <v>1</v>
      </c>
      <c r="AR351" s="165" t="str">
        <f>IF(Data_Geotech[[#This Row],[FIRS Code]]="R",IFERROR((IF(Data_Geotech[[#This Row],[RQD (%)]]&lt;10,10,Data_Geotech[[#This Row],[RQD (%)]])/Data_Geotech[[#This Row],[Jn rating]])*Data_Geotech[[#This Row],[Jr/Ja]],""),"")</f>
        <v/>
      </c>
      <c r="AS351" s="138" t="str">
        <f>IF(Data_Geotech[[#This Row],[FIRS Code]]="R",IFERROR((IF(Data_Geotech[[#This Row],[RQD (%)]]&lt;10,10,Data_Geotech[[#This Row],[RQD (%)]])/Data_Geotech[[#This Row],[Jn rating]])*Data_Geotech[[#This Row],[Jr/Ja]]*Data_Geotech[[#This Row],[Jw/SRF]],""),"")</f>
        <v/>
      </c>
      <c r="AT351" s="12"/>
      <c r="AU351" s="13" t="e">
        <f>100-Data_Geotech[[#This Row],[RQD (%)]]</f>
        <v>#DIV/0!</v>
      </c>
      <c r="AV351" s="13" t="e">
        <f>100-Data_Geotech[[#This Row],[TCR (%)]]</f>
        <v>#DIV/0!</v>
      </c>
      <c r="AW351" s="62" t="e">
        <f>(Data_Geotech[[#This Row],[Fracture per interval]]+Data_Geotech[[#This Row],[Added fractures 
(BC, FLT, LC)]])/Data_Geotech[[#This Row],[TCR (m)]]</f>
        <v>#DIV/0!</v>
      </c>
      <c r="AX351" s="62" t="str">
        <f>MID(Data_Geotech[[#This Row],[Field Intact Rock Strength]],2,1)</f>
        <v/>
      </c>
      <c r="AY351" s="63" t="e">
        <f>7-MID(Data_Geotech[[#This Row],[Field Intact Rock Strength]],2,1)</f>
        <v>#VALUE!</v>
      </c>
      <c r="AZ351" s="63" t="e">
        <f>VLOOKUP(Data_Geotech[[#This Row],[Field Intact Rock Strength]],Table_FieldStrength[],2,FALSE)</f>
        <v>#N/A</v>
      </c>
      <c r="BA351" s="63" t="e">
        <f>VLOOKUP(Data_Geotech[[#This Row],[Field Intact Rock Strength]],Table_FieldStrength[],3,FALSE)</f>
        <v>#N/A</v>
      </c>
      <c r="BB351" s="63" t="e">
        <f>VLOOKUP(Data_Geotech[[#This Row],[Field Intact Rock Strength]],Table_FieldStrength[],4,FALSE)</f>
        <v>#N/A</v>
      </c>
      <c r="BC351" s="63" t="e">
        <f>100-Data_Geotech[[#This Row],[RMR76]]</f>
        <v>#VALUE!</v>
      </c>
      <c r="BD351" s="63" t="e">
        <f>LEFT(Data_Geotech[[#This Row],[Weathering/Alteration]],FIND("-",Data_Geotech[[#This Row],[Weathering/Alteration]])-2)</f>
        <v>#VALUE!</v>
      </c>
    </row>
    <row r="352" spans="1:56" hidden="1" x14ac:dyDescent="0.25">
      <c r="A352" s="14"/>
      <c r="B352" s="166" t="e">
        <f>VLOOKUP(Data_Geotech[[#This Row],[Hole ID]],Data_Log[],2,FALSE)</f>
        <v>#N/A</v>
      </c>
      <c r="C352" s="5"/>
      <c r="D352" s="5"/>
      <c r="E352" s="5">
        <f>(Data_Geotech[[#This Row],[To (m)]]-Data_Geotech[[#This Row],[From (m)]])/2+Data_Geotech[[#This Row],[From (m)]]</f>
        <v>0</v>
      </c>
      <c r="F352" s="13">
        <f>Data_Geotech[[#This Row],[To (m)]]-Data_Geotech[[#This Row],[From (m)]]</f>
        <v>0</v>
      </c>
      <c r="G352" s="5"/>
      <c r="H352" s="13" t="e">
        <f>Data_Geotech[[#This Row],[TCR (m)]]/Data_Geotech[[#This Row],[Run (m)]]*100</f>
        <v>#DIV/0!</v>
      </c>
      <c r="I352" s="5"/>
      <c r="J352" s="5"/>
      <c r="K352" s="5"/>
      <c r="L352" s="13" t="e">
        <f>Data_Geotech[[#This Row],[RQD (m)]]/Data_Geotech[[#This Row],[Run Reel (m)]]*100</f>
        <v>#DIV/0!</v>
      </c>
      <c r="P352" s="115"/>
      <c r="Q352" s="5"/>
      <c r="R352" s="5"/>
      <c r="S352" s="5"/>
      <c r="T352" s="5"/>
      <c r="U352" s="5"/>
      <c r="V352" s="6"/>
      <c r="W352" s="92">
        <f>SUMIFS(Discontinuities!$D$4:$D$9664,Discontinuities!$A$4:$A$9664,A352,Discontinuities!$C$4:$C$9664,"&gt;="&amp;C352,Discontinuities!$C$4:$C$9664,"&lt;"&amp;D352)
-SUMIFS(Discontinuities!$D$4:$D$9664,Discontinuities!$A$4:$A$9664,A352,Discontinuities!$C$4:$C$9664,"&gt;="&amp;C352,Discontinuities!$C$4:$C$9664,"&lt;"&amp;D352,Discontinuities!$E$4:$E$9664,"=BC")
-SUMIFS(Discontinuities!$D$4:$D$9664,Discontinuities!$A$4:$A$9664,A352,Discontinuities!$C$4:$C$9664,"&gt;="&amp;C352,Discontinuities!$C$4:$C$9664,"&lt;"&amp;D352,Discontinuities!$E$4:$E$9664,"=LC")
-SUMIFS(Discontinuities!$D$4:$D$9664,Discontinuities!$A$4:$A$9664,A352,Discontinuities!$C$4:$C$9664,"&gt;="&amp;C352,Discontinuities!$C$4:$C$9664,"&lt;"&amp;D352,Discontinuities!$E$4:$E$9664,"=FLT")</f>
        <v>0</v>
      </c>
      <c r="AA352" s="132"/>
      <c r="AB352" s="159">
        <f>IFERROR(ROUND((Data_Geotech[[#This Row],[Fault (m)]]+Data_Geotech[[#This Row],[Broken Core (m)]]+Data_Geotech[[#This Row],[Lost Core (m)]])*30,0),0)</f>
        <v>0</v>
      </c>
      <c r="AC352" s="135">
        <f>IF(Data_Geotech[[#This Row],[Added fractures 
(BC, FLT, LC)]]+Data_Geotech[[#This Row],[Fracture per interval]]=0,99,1/((Data_Geotech[[#This Row],[Fracture per interval]]+Data_Geotech[[#This Row],[Added fractures 
(BC, FLT, LC)]])/Data_Geotech[[#This Row],[Run (m)]]))</f>
        <v>99</v>
      </c>
      <c r="AD352" s="160" t="str" cm="1">
        <f t="array" ref="AD352">IFERROR(_xlfn.XLOOKUP(1,(A352=PLT!$A$4:$A$8886)*(Geotech!C352&lt;=PLT!$F$4:$F$8886)*(Geotech!D352&gt;=PLT!$F$4:$F$8886)*("Valid"=PLT!$P$4:$P$8886),PLT!$V$4:$V$8886),"")</f>
        <v/>
      </c>
      <c r="AE352" s="161" t="str" cm="1">
        <f t="array" ref="AE352">IFERROR(_xlfn.XLOOKUP(1,(A352=PLT!$A$4:$A$8886)*(Geotech!C352&lt;=PLT!$F$4:$F$8886)*(Geotech!D352&gt;=PLT!$F$4:$F$8886)*(PLT!$V$4:$V$8886&lt;&gt;AD352)*("Valid"=PLT!$P$4:$P$7190),PLT!$V$4:$V$8886),"")</f>
        <v/>
      </c>
      <c r="AF352" s="161" t="str" cm="1">
        <f t="array" ref="AF352">IFERROR(_xlfn.XLOOKUP(1,(A352=PLT!$A$4:$A$8886)*(Geotech!C352&lt;=PLT!$F$4:$F$8886)*(Geotech!D352&gt;=PLT!$F$4:$F$8886)*(PLT!$V$4:$V$8886&lt;&gt;AD352)*(PLT!$V$4:$V$8886&lt;&gt;AE352)*("Valid"=PLT!$P$4:$P$7190),PLT!$V$4:$V$8886),"")</f>
        <v/>
      </c>
      <c r="AG352" s="162" t="str">
        <f>IFERROR(IF(AVERAGE(AD352:AF352)&gt;References!$BO$23,References!$BP$23,
IF(AVERAGE(AD352:AF352)&gt;References!$BO$22,References!$BP$22,
IF(AVERAGE(AD352:AF352)&gt;References!$BO$21,References!$BP$21,
IF(AVERAGE(AD352:AF352)&gt;References!$BO$20,References!$BP$20,
IF(AVERAGE(AD352:AF352)&gt;References!$BO$19,References!$BP$19,
IF(AVERAGE(AD352:AF352)&gt;References!$BO$18,References!$BP$18,
0)))))),"")</f>
        <v/>
      </c>
      <c r="AH352" s="163" t="e">
        <f>VLOOKUP(Data_Geotech[[#This Row],[Field Intact Rock Strength]],Table_RMR76_Strength[],2,FALSE)</f>
        <v>#N/A</v>
      </c>
      <c r="AI352" s="163" t="e">
        <f>IF(Data_Geotech[[#This Row],[RQD (%)]]&lt;=25,3,IF(Data_Geotech[[#This Row],[RQD (%)]]&lt;=50,8,IF(Data_Geotech[[#This Row],[RQD (%)]]&lt;=75,13,IF(Data_Geotech[[#This Row],[RQD (%)]]&lt;=90,17,20))))</f>
        <v>#DIV/0!</v>
      </c>
      <c r="AJ352" s="136">
        <f>IF(Data_Geotech[[#This Row],[Joint spacing (m)]]&lt;=0.05,5,IF(Data_Geotech[[#This Row],[Joint spacing (m)]]&lt;=0.3,10,IF(Data_Geotech[[#This Row],[Joint spacing (m)]]&lt;=1,20,IF(Data_Geotech[[#This Row],[Joint spacing (m)]]&lt;=3,25,30))))</f>
        <v>30</v>
      </c>
      <c r="AK35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2" s="6"/>
      <c r="AM352" s="137" t="str">
        <f>IF(Data_Geotech[[#This Row],[FIRS Code]]="R",IFERROR(SUM(Data_Geotech[[#This Row],[RMR76 - Strength rating]:[RMR76 - Ground water rating]]),""),"")</f>
        <v/>
      </c>
      <c r="AN352" s="164" t="str">
        <f>IF(Data_Geotech[[#This Row],[FIRS Code]]="R",(2*Data_Geotech[[#This Row],[RMR76 - Joint condition rating]])+(IF(Data_Geotech[[#This Row],[RQD (%)]]&gt;80,80/2,Data_Geotech[[#This Row],[RQD (%)]]/2)),"")</f>
        <v/>
      </c>
      <c r="AO352" s="136" t="e">
        <f>LEFT(Data_Geotech[[#This Row],[Joint Set Rating]],FIND("-",Data_Geotech[[#This Row],[Joint Set Rating]],1)-2)</f>
        <v>#VALUE!</v>
      </c>
      <c r="AP35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2" s="143">
        <f t="shared" si="7"/>
        <v>1</v>
      </c>
      <c r="AR352" s="165" t="str">
        <f>IF(Data_Geotech[[#This Row],[FIRS Code]]="R",IFERROR((IF(Data_Geotech[[#This Row],[RQD (%)]]&lt;10,10,Data_Geotech[[#This Row],[RQD (%)]])/Data_Geotech[[#This Row],[Jn rating]])*Data_Geotech[[#This Row],[Jr/Ja]],""),"")</f>
        <v/>
      </c>
      <c r="AS352" s="138" t="str">
        <f>IF(Data_Geotech[[#This Row],[FIRS Code]]="R",IFERROR((IF(Data_Geotech[[#This Row],[RQD (%)]]&lt;10,10,Data_Geotech[[#This Row],[RQD (%)]])/Data_Geotech[[#This Row],[Jn rating]])*Data_Geotech[[#This Row],[Jr/Ja]]*Data_Geotech[[#This Row],[Jw/SRF]],""),"")</f>
        <v/>
      </c>
      <c r="AT352" s="12"/>
      <c r="AU352" s="13" t="e">
        <f>100-Data_Geotech[[#This Row],[RQD (%)]]</f>
        <v>#DIV/0!</v>
      </c>
      <c r="AV352" s="13" t="e">
        <f>100-Data_Geotech[[#This Row],[TCR (%)]]</f>
        <v>#DIV/0!</v>
      </c>
      <c r="AW352" s="62" t="e">
        <f>(Data_Geotech[[#This Row],[Fracture per interval]]+Data_Geotech[[#This Row],[Added fractures 
(BC, FLT, LC)]])/Data_Geotech[[#This Row],[TCR (m)]]</f>
        <v>#DIV/0!</v>
      </c>
      <c r="AX352" s="62" t="str">
        <f>MID(Data_Geotech[[#This Row],[Field Intact Rock Strength]],2,1)</f>
        <v/>
      </c>
      <c r="AY352" s="63" t="e">
        <f>7-MID(Data_Geotech[[#This Row],[Field Intact Rock Strength]],2,1)</f>
        <v>#VALUE!</v>
      </c>
      <c r="AZ352" s="63" t="e">
        <f>VLOOKUP(Data_Geotech[[#This Row],[Field Intact Rock Strength]],Table_FieldStrength[],2,FALSE)</f>
        <v>#N/A</v>
      </c>
      <c r="BA352" s="63" t="e">
        <f>VLOOKUP(Data_Geotech[[#This Row],[Field Intact Rock Strength]],Table_FieldStrength[],3,FALSE)</f>
        <v>#N/A</v>
      </c>
      <c r="BB352" s="63" t="e">
        <f>VLOOKUP(Data_Geotech[[#This Row],[Field Intact Rock Strength]],Table_FieldStrength[],4,FALSE)</f>
        <v>#N/A</v>
      </c>
      <c r="BC352" s="63" t="e">
        <f>100-Data_Geotech[[#This Row],[RMR76]]</f>
        <v>#VALUE!</v>
      </c>
      <c r="BD352" s="63" t="e">
        <f>LEFT(Data_Geotech[[#This Row],[Weathering/Alteration]],FIND("-",Data_Geotech[[#This Row],[Weathering/Alteration]])-2)</f>
        <v>#VALUE!</v>
      </c>
    </row>
    <row r="353" spans="1:56" hidden="1" x14ac:dyDescent="0.25">
      <c r="A353" s="14"/>
      <c r="B353" s="166" t="e">
        <f>VLOOKUP(Data_Geotech[[#This Row],[Hole ID]],Data_Log[],2,FALSE)</f>
        <v>#N/A</v>
      </c>
      <c r="C353" s="5"/>
      <c r="D353" s="5"/>
      <c r="E353" s="5">
        <f>(Data_Geotech[[#This Row],[To (m)]]-Data_Geotech[[#This Row],[From (m)]])/2+Data_Geotech[[#This Row],[From (m)]]</f>
        <v>0</v>
      </c>
      <c r="F353" s="13">
        <f>Data_Geotech[[#This Row],[To (m)]]-Data_Geotech[[#This Row],[From (m)]]</f>
        <v>0</v>
      </c>
      <c r="G353" s="5"/>
      <c r="H353" s="13" t="e">
        <f>Data_Geotech[[#This Row],[TCR (m)]]/Data_Geotech[[#This Row],[Run (m)]]*100</f>
        <v>#DIV/0!</v>
      </c>
      <c r="I353" s="5"/>
      <c r="J353" s="5"/>
      <c r="K353" s="5"/>
      <c r="L353" s="13" t="e">
        <f>Data_Geotech[[#This Row],[RQD (m)]]/Data_Geotech[[#This Row],[Run Reel (m)]]*100</f>
        <v>#DIV/0!</v>
      </c>
      <c r="P353" s="115"/>
      <c r="Q353" s="5"/>
      <c r="R353" s="5"/>
      <c r="S353" s="5"/>
      <c r="T353" s="5"/>
      <c r="U353" s="5"/>
      <c r="V353" s="6"/>
      <c r="W353" s="92">
        <f>SUMIFS(Discontinuities!$D$4:$D$9664,Discontinuities!$A$4:$A$9664,A353,Discontinuities!$C$4:$C$9664,"&gt;="&amp;C353,Discontinuities!$C$4:$C$9664,"&lt;"&amp;D353)
-SUMIFS(Discontinuities!$D$4:$D$9664,Discontinuities!$A$4:$A$9664,A353,Discontinuities!$C$4:$C$9664,"&gt;="&amp;C353,Discontinuities!$C$4:$C$9664,"&lt;"&amp;D353,Discontinuities!$E$4:$E$9664,"=BC")
-SUMIFS(Discontinuities!$D$4:$D$9664,Discontinuities!$A$4:$A$9664,A353,Discontinuities!$C$4:$C$9664,"&gt;="&amp;C353,Discontinuities!$C$4:$C$9664,"&lt;"&amp;D353,Discontinuities!$E$4:$E$9664,"=LC")
-SUMIFS(Discontinuities!$D$4:$D$9664,Discontinuities!$A$4:$A$9664,A353,Discontinuities!$C$4:$C$9664,"&gt;="&amp;C353,Discontinuities!$C$4:$C$9664,"&lt;"&amp;D353,Discontinuities!$E$4:$E$9664,"=FLT")</f>
        <v>0</v>
      </c>
      <c r="AA353" s="132"/>
      <c r="AB353" s="159">
        <f>IFERROR(ROUND((Data_Geotech[[#This Row],[Fault (m)]]+Data_Geotech[[#This Row],[Broken Core (m)]]+Data_Geotech[[#This Row],[Lost Core (m)]])*30,0),0)</f>
        <v>0</v>
      </c>
      <c r="AC353" s="135">
        <f>IF(Data_Geotech[[#This Row],[Added fractures 
(BC, FLT, LC)]]+Data_Geotech[[#This Row],[Fracture per interval]]=0,99,1/((Data_Geotech[[#This Row],[Fracture per interval]]+Data_Geotech[[#This Row],[Added fractures 
(BC, FLT, LC)]])/Data_Geotech[[#This Row],[Run (m)]]))</f>
        <v>99</v>
      </c>
      <c r="AD353" s="160" t="str" cm="1">
        <f t="array" ref="AD353">IFERROR(_xlfn.XLOOKUP(1,(A353=PLT!$A$4:$A$8886)*(Geotech!C353&lt;=PLT!$F$4:$F$8886)*(Geotech!D353&gt;=PLT!$F$4:$F$8886)*("Valid"=PLT!$P$4:$P$8886),PLT!$V$4:$V$8886),"")</f>
        <v/>
      </c>
      <c r="AE353" s="161" t="str" cm="1">
        <f t="array" ref="AE353">IFERROR(_xlfn.XLOOKUP(1,(A353=PLT!$A$4:$A$8886)*(Geotech!C353&lt;=PLT!$F$4:$F$8886)*(Geotech!D353&gt;=PLT!$F$4:$F$8886)*(PLT!$V$4:$V$8886&lt;&gt;AD353)*("Valid"=PLT!$P$4:$P$7190),PLT!$V$4:$V$8886),"")</f>
        <v/>
      </c>
      <c r="AF353" s="161" t="str" cm="1">
        <f t="array" ref="AF353">IFERROR(_xlfn.XLOOKUP(1,(A353=PLT!$A$4:$A$8886)*(Geotech!C353&lt;=PLT!$F$4:$F$8886)*(Geotech!D353&gt;=PLT!$F$4:$F$8886)*(PLT!$V$4:$V$8886&lt;&gt;AD353)*(PLT!$V$4:$V$8886&lt;&gt;AE353)*("Valid"=PLT!$P$4:$P$7190),PLT!$V$4:$V$8886),"")</f>
        <v/>
      </c>
      <c r="AG353" s="162" t="str">
        <f>IFERROR(IF(AVERAGE(AD353:AF353)&gt;References!$BO$23,References!$BP$23,
IF(AVERAGE(AD353:AF353)&gt;References!$BO$22,References!$BP$22,
IF(AVERAGE(AD353:AF353)&gt;References!$BO$21,References!$BP$21,
IF(AVERAGE(AD353:AF353)&gt;References!$BO$20,References!$BP$20,
IF(AVERAGE(AD353:AF353)&gt;References!$BO$19,References!$BP$19,
IF(AVERAGE(AD353:AF353)&gt;References!$BO$18,References!$BP$18,
0)))))),"")</f>
        <v/>
      </c>
      <c r="AH353" s="163" t="e">
        <f>VLOOKUP(Data_Geotech[[#This Row],[Field Intact Rock Strength]],Table_RMR76_Strength[],2,FALSE)</f>
        <v>#N/A</v>
      </c>
      <c r="AI353" s="163" t="e">
        <f>IF(Data_Geotech[[#This Row],[RQD (%)]]&lt;=25,3,IF(Data_Geotech[[#This Row],[RQD (%)]]&lt;=50,8,IF(Data_Geotech[[#This Row],[RQD (%)]]&lt;=75,13,IF(Data_Geotech[[#This Row],[RQD (%)]]&lt;=90,17,20))))</f>
        <v>#DIV/0!</v>
      </c>
      <c r="AJ353" s="136">
        <f>IF(Data_Geotech[[#This Row],[Joint spacing (m)]]&lt;=0.05,5,IF(Data_Geotech[[#This Row],[Joint spacing (m)]]&lt;=0.3,10,IF(Data_Geotech[[#This Row],[Joint spacing (m)]]&lt;=1,20,IF(Data_Geotech[[#This Row],[Joint spacing (m)]]&lt;=3,25,30))))</f>
        <v>30</v>
      </c>
      <c r="AK35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3" s="6"/>
      <c r="AM353" s="137" t="str">
        <f>IF(Data_Geotech[[#This Row],[FIRS Code]]="R",IFERROR(SUM(Data_Geotech[[#This Row],[RMR76 - Strength rating]:[RMR76 - Ground water rating]]),""),"")</f>
        <v/>
      </c>
      <c r="AN353" s="164" t="str">
        <f>IF(Data_Geotech[[#This Row],[FIRS Code]]="R",(2*Data_Geotech[[#This Row],[RMR76 - Joint condition rating]])+(IF(Data_Geotech[[#This Row],[RQD (%)]]&gt;80,80/2,Data_Geotech[[#This Row],[RQD (%)]]/2)),"")</f>
        <v/>
      </c>
      <c r="AO353" s="136" t="e">
        <f>LEFT(Data_Geotech[[#This Row],[Joint Set Rating]],FIND("-",Data_Geotech[[#This Row],[Joint Set Rating]],1)-2)</f>
        <v>#VALUE!</v>
      </c>
      <c r="AP35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3" s="143">
        <f t="shared" si="7"/>
        <v>1</v>
      </c>
      <c r="AR353" s="165" t="str">
        <f>IF(Data_Geotech[[#This Row],[FIRS Code]]="R",IFERROR((IF(Data_Geotech[[#This Row],[RQD (%)]]&lt;10,10,Data_Geotech[[#This Row],[RQD (%)]])/Data_Geotech[[#This Row],[Jn rating]])*Data_Geotech[[#This Row],[Jr/Ja]],""),"")</f>
        <v/>
      </c>
      <c r="AS353" s="138" t="str">
        <f>IF(Data_Geotech[[#This Row],[FIRS Code]]="R",IFERROR((IF(Data_Geotech[[#This Row],[RQD (%)]]&lt;10,10,Data_Geotech[[#This Row],[RQD (%)]])/Data_Geotech[[#This Row],[Jn rating]])*Data_Geotech[[#This Row],[Jr/Ja]]*Data_Geotech[[#This Row],[Jw/SRF]],""),"")</f>
        <v/>
      </c>
      <c r="AT353" s="12"/>
      <c r="AU353" s="13" t="e">
        <f>100-Data_Geotech[[#This Row],[RQD (%)]]</f>
        <v>#DIV/0!</v>
      </c>
      <c r="AV353" s="13" t="e">
        <f>100-Data_Geotech[[#This Row],[TCR (%)]]</f>
        <v>#DIV/0!</v>
      </c>
      <c r="AW353" s="62" t="e">
        <f>(Data_Geotech[[#This Row],[Fracture per interval]]+Data_Geotech[[#This Row],[Added fractures 
(BC, FLT, LC)]])/Data_Geotech[[#This Row],[TCR (m)]]</f>
        <v>#DIV/0!</v>
      </c>
      <c r="AX353" s="62" t="str">
        <f>MID(Data_Geotech[[#This Row],[Field Intact Rock Strength]],2,1)</f>
        <v/>
      </c>
      <c r="AY353" s="63" t="e">
        <f>7-MID(Data_Geotech[[#This Row],[Field Intact Rock Strength]],2,1)</f>
        <v>#VALUE!</v>
      </c>
      <c r="AZ353" s="63" t="e">
        <f>VLOOKUP(Data_Geotech[[#This Row],[Field Intact Rock Strength]],Table_FieldStrength[],2,FALSE)</f>
        <v>#N/A</v>
      </c>
      <c r="BA353" s="63" t="e">
        <f>VLOOKUP(Data_Geotech[[#This Row],[Field Intact Rock Strength]],Table_FieldStrength[],3,FALSE)</f>
        <v>#N/A</v>
      </c>
      <c r="BB353" s="63" t="e">
        <f>VLOOKUP(Data_Geotech[[#This Row],[Field Intact Rock Strength]],Table_FieldStrength[],4,FALSE)</f>
        <v>#N/A</v>
      </c>
      <c r="BC353" s="63" t="e">
        <f>100-Data_Geotech[[#This Row],[RMR76]]</f>
        <v>#VALUE!</v>
      </c>
      <c r="BD353" s="63" t="e">
        <f>LEFT(Data_Geotech[[#This Row],[Weathering/Alteration]],FIND("-",Data_Geotech[[#This Row],[Weathering/Alteration]])-2)</f>
        <v>#VALUE!</v>
      </c>
    </row>
    <row r="354" spans="1:56" hidden="1" x14ac:dyDescent="0.25">
      <c r="A354" s="14"/>
      <c r="B354" s="166" t="e">
        <f>VLOOKUP(Data_Geotech[[#This Row],[Hole ID]],Data_Log[],2,FALSE)</f>
        <v>#N/A</v>
      </c>
      <c r="C354" s="5"/>
      <c r="D354" s="5"/>
      <c r="E354" s="5">
        <f>(Data_Geotech[[#This Row],[To (m)]]-Data_Geotech[[#This Row],[From (m)]])/2+Data_Geotech[[#This Row],[From (m)]]</f>
        <v>0</v>
      </c>
      <c r="F354" s="13">
        <f>Data_Geotech[[#This Row],[To (m)]]-Data_Geotech[[#This Row],[From (m)]]</f>
        <v>0</v>
      </c>
      <c r="G354" s="5"/>
      <c r="H354" s="13" t="e">
        <f>Data_Geotech[[#This Row],[TCR (m)]]/Data_Geotech[[#This Row],[Run (m)]]*100</f>
        <v>#DIV/0!</v>
      </c>
      <c r="I354" s="5"/>
      <c r="J354" s="5"/>
      <c r="K354" s="5"/>
      <c r="L354" s="13" t="e">
        <f>Data_Geotech[[#This Row],[RQD (m)]]/Data_Geotech[[#This Row],[Run Reel (m)]]*100</f>
        <v>#DIV/0!</v>
      </c>
      <c r="P354" s="115"/>
      <c r="Q354" s="5"/>
      <c r="R354" s="5"/>
      <c r="S354" s="5"/>
      <c r="T354" s="5"/>
      <c r="U354" s="5"/>
      <c r="V354" s="6"/>
      <c r="W354" s="92">
        <f>SUMIFS(Discontinuities!$D$4:$D$9664,Discontinuities!$A$4:$A$9664,A354,Discontinuities!$C$4:$C$9664,"&gt;="&amp;C354,Discontinuities!$C$4:$C$9664,"&lt;"&amp;D354)
-SUMIFS(Discontinuities!$D$4:$D$9664,Discontinuities!$A$4:$A$9664,A354,Discontinuities!$C$4:$C$9664,"&gt;="&amp;C354,Discontinuities!$C$4:$C$9664,"&lt;"&amp;D354,Discontinuities!$E$4:$E$9664,"=BC")
-SUMIFS(Discontinuities!$D$4:$D$9664,Discontinuities!$A$4:$A$9664,A354,Discontinuities!$C$4:$C$9664,"&gt;="&amp;C354,Discontinuities!$C$4:$C$9664,"&lt;"&amp;D354,Discontinuities!$E$4:$E$9664,"=LC")
-SUMIFS(Discontinuities!$D$4:$D$9664,Discontinuities!$A$4:$A$9664,A354,Discontinuities!$C$4:$C$9664,"&gt;="&amp;C354,Discontinuities!$C$4:$C$9664,"&lt;"&amp;D354,Discontinuities!$E$4:$E$9664,"=FLT")</f>
        <v>0</v>
      </c>
      <c r="AA354" s="132"/>
      <c r="AB354" s="159">
        <f>IFERROR(ROUND((Data_Geotech[[#This Row],[Fault (m)]]+Data_Geotech[[#This Row],[Broken Core (m)]]+Data_Geotech[[#This Row],[Lost Core (m)]])*30,0),0)</f>
        <v>0</v>
      </c>
      <c r="AC354" s="135">
        <f>IF(Data_Geotech[[#This Row],[Added fractures 
(BC, FLT, LC)]]+Data_Geotech[[#This Row],[Fracture per interval]]=0,99,1/((Data_Geotech[[#This Row],[Fracture per interval]]+Data_Geotech[[#This Row],[Added fractures 
(BC, FLT, LC)]])/Data_Geotech[[#This Row],[Run (m)]]))</f>
        <v>99</v>
      </c>
      <c r="AD354" s="160" t="str" cm="1">
        <f t="array" ref="AD354">IFERROR(_xlfn.XLOOKUP(1,(A354=PLT!$A$4:$A$8886)*(Geotech!C354&lt;=PLT!$F$4:$F$8886)*(Geotech!D354&gt;=PLT!$F$4:$F$8886)*("Valid"=PLT!$P$4:$P$8886),PLT!$V$4:$V$8886),"")</f>
        <v/>
      </c>
      <c r="AE354" s="161" t="str" cm="1">
        <f t="array" ref="AE354">IFERROR(_xlfn.XLOOKUP(1,(A354=PLT!$A$4:$A$8886)*(Geotech!C354&lt;=PLT!$F$4:$F$8886)*(Geotech!D354&gt;=PLT!$F$4:$F$8886)*(PLT!$V$4:$V$8886&lt;&gt;AD354)*("Valid"=PLT!$P$4:$P$7190),PLT!$V$4:$V$8886),"")</f>
        <v/>
      </c>
      <c r="AF354" s="161" t="str" cm="1">
        <f t="array" ref="AF354">IFERROR(_xlfn.XLOOKUP(1,(A354=PLT!$A$4:$A$8886)*(Geotech!C354&lt;=PLT!$F$4:$F$8886)*(Geotech!D354&gt;=PLT!$F$4:$F$8886)*(PLT!$V$4:$V$8886&lt;&gt;AD354)*(PLT!$V$4:$V$8886&lt;&gt;AE354)*("Valid"=PLT!$P$4:$P$7190),PLT!$V$4:$V$8886),"")</f>
        <v/>
      </c>
      <c r="AG354" s="162" t="str">
        <f>IFERROR(IF(AVERAGE(AD354:AF354)&gt;References!$BO$23,References!$BP$23,
IF(AVERAGE(AD354:AF354)&gt;References!$BO$22,References!$BP$22,
IF(AVERAGE(AD354:AF354)&gt;References!$BO$21,References!$BP$21,
IF(AVERAGE(AD354:AF354)&gt;References!$BO$20,References!$BP$20,
IF(AVERAGE(AD354:AF354)&gt;References!$BO$19,References!$BP$19,
IF(AVERAGE(AD354:AF354)&gt;References!$BO$18,References!$BP$18,
0)))))),"")</f>
        <v/>
      </c>
      <c r="AH354" s="163" t="e">
        <f>VLOOKUP(Data_Geotech[[#This Row],[Field Intact Rock Strength]],Table_RMR76_Strength[],2,FALSE)</f>
        <v>#N/A</v>
      </c>
      <c r="AI354" s="163" t="e">
        <f>IF(Data_Geotech[[#This Row],[RQD (%)]]&lt;=25,3,IF(Data_Geotech[[#This Row],[RQD (%)]]&lt;=50,8,IF(Data_Geotech[[#This Row],[RQD (%)]]&lt;=75,13,IF(Data_Geotech[[#This Row],[RQD (%)]]&lt;=90,17,20))))</f>
        <v>#DIV/0!</v>
      </c>
      <c r="AJ354" s="136">
        <f>IF(Data_Geotech[[#This Row],[Joint spacing (m)]]&lt;=0.05,5,IF(Data_Geotech[[#This Row],[Joint spacing (m)]]&lt;=0.3,10,IF(Data_Geotech[[#This Row],[Joint spacing (m)]]&lt;=1,20,IF(Data_Geotech[[#This Row],[Joint spacing (m)]]&lt;=3,25,30))))</f>
        <v>30</v>
      </c>
      <c r="AK35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4" s="6"/>
      <c r="AM354" s="137" t="str">
        <f>IF(Data_Geotech[[#This Row],[FIRS Code]]="R",IFERROR(SUM(Data_Geotech[[#This Row],[RMR76 - Strength rating]:[RMR76 - Ground water rating]]),""),"")</f>
        <v/>
      </c>
      <c r="AN354" s="164" t="str">
        <f>IF(Data_Geotech[[#This Row],[FIRS Code]]="R",(2*Data_Geotech[[#This Row],[RMR76 - Joint condition rating]])+(IF(Data_Geotech[[#This Row],[RQD (%)]]&gt;80,80/2,Data_Geotech[[#This Row],[RQD (%)]]/2)),"")</f>
        <v/>
      </c>
      <c r="AO354" s="136" t="e">
        <f>LEFT(Data_Geotech[[#This Row],[Joint Set Rating]],FIND("-",Data_Geotech[[#This Row],[Joint Set Rating]],1)-2)</f>
        <v>#VALUE!</v>
      </c>
      <c r="AP35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4" s="143">
        <f t="shared" si="7"/>
        <v>1</v>
      </c>
      <c r="AR354" s="165" t="str">
        <f>IF(Data_Geotech[[#This Row],[FIRS Code]]="R",IFERROR((IF(Data_Geotech[[#This Row],[RQD (%)]]&lt;10,10,Data_Geotech[[#This Row],[RQD (%)]])/Data_Geotech[[#This Row],[Jn rating]])*Data_Geotech[[#This Row],[Jr/Ja]],""),"")</f>
        <v/>
      </c>
      <c r="AS354" s="138" t="str">
        <f>IF(Data_Geotech[[#This Row],[FIRS Code]]="R",IFERROR((IF(Data_Geotech[[#This Row],[RQD (%)]]&lt;10,10,Data_Geotech[[#This Row],[RQD (%)]])/Data_Geotech[[#This Row],[Jn rating]])*Data_Geotech[[#This Row],[Jr/Ja]]*Data_Geotech[[#This Row],[Jw/SRF]],""),"")</f>
        <v/>
      </c>
      <c r="AT354" s="12"/>
      <c r="AU354" s="13" t="e">
        <f>100-Data_Geotech[[#This Row],[RQD (%)]]</f>
        <v>#DIV/0!</v>
      </c>
      <c r="AV354" s="13" t="e">
        <f>100-Data_Geotech[[#This Row],[TCR (%)]]</f>
        <v>#DIV/0!</v>
      </c>
      <c r="AW354" s="62" t="e">
        <f>(Data_Geotech[[#This Row],[Fracture per interval]]+Data_Geotech[[#This Row],[Added fractures 
(BC, FLT, LC)]])/Data_Geotech[[#This Row],[TCR (m)]]</f>
        <v>#DIV/0!</v>
      </c>
      <c r="AX354" s="62" t="str">
        <f>MID(Data_Geotech[[#This Row],[Field Intact Rock Strength]],2,1)</f>
        <v/>
      </c>
      <c r="AY354" s="63" t="e">
        <f>7-MID(Data_Geotech[[#This Row],[Field Intact Rock Strength]],2,1)</f>
        <v>#VALUE!</v>
      </c>
      <c r="AZ354" s="63" t="e">
        <f>VLOOKUP(Data_Geotech[[#This Row],[Field Intact Rock Strength]],Table_FieldStrength[],2,FALSE)</f>
        <v>#N/A</v>
      </c>
      <c r="BA354" s="63" t="e">
        <f>VLOOKUP(Data_Geotech[[#This Row],[Field Intact Rock Strength]],Table_FieldStrength[],3,FALSE)</f>
        <v>#N/A</v>
      </c>
      <c r="BB354" s="63" t="e">
        <f>VLOOKUP(Data_Geotech[[#This Row],[Field Intact Rock Strength]],Table_FieldStrength[],4,FALSE)</f>
        <v>#N/A</v>
      </c>
      <c r="BC354" s="63" t="e">
        <f>100-Data_Geotech[[#This Row],[RMR76]]</f>
        <v>#VALUE!</v>
      </c>
      <c r="BD354" s="63" t="e">
        <f>LEFT(Data_Geotech[[#This Row],[Weathering/Alteration]],FIND("-",Data_Geotech[[#This Row],[Weathering/Alteration]])-2)</f>
        <v>#VALUE!</v>
      </c>
    </row>
    <row r="355" spans="1:56" hidden="1" x14ac:dyDescent="0.25">
      <c r="A355" s="14"/>
      <c r="B355" s="166" t="e">
        <f>VLOOKUP(Data_Geotech[[#This Row],[Hole ID]],Data_Log[],2,FALSE)</f>
        <v>#N/A</v>
      </c>
      <c r="C355" s="5"/>
      <c r="D355" s="5"/>
      <c r="E355" s="5">
        <f>(Data_Geotech[[#This Row],[To (m)]]-Data_Geotech[[#This Row],[From (m)]])/2+Data_Geotech[[#This Row],[From (m)]]</f>
        <v>0</v>
      </c>
      <c r="F355" s="13">
        <f>Data_Geotech[[#This Row],[To (m)]]-Data_Geotech[[#This Row],[From (m)]]</f>
        <v>0</v>
      </c>
      <c r="G355" s="5"/>
      <c r="H355" s="13" t="e">
        <f>Data_Geotech[[#This Row],[TCR (m)]]/Data_Geotech[[#This Row],[Run (m)]]*100</f>
        <v>#DIV/0!</v>
      </c>
      <c r="I355" s="5"/>
      <c r="J355" s="5"/>
      <c r="K355" s="5"/>
      <c r="L355" s="13" t="e">
        <f>Data_Geotech[[#This Row],[RQD (m)]]/Data_Geotech[[#This Row],[Run Reel (m)]]*100</f>
        <v>#DIV/0!</v>
      </c>
      <c r="P355" s="115"/>
      <c r="Q355" s="5"/>
      <c r="R355" s="5"/>
      <c r="S355" s="5"/>
      <c r="T355" s="5"/>
      <c r="U355" s="5"/>
      <c r="V355" s="6"/>
      <c r="W355" s="92">
        <f>SUMIFS(Discontinuities!$D$4:$D$9664,Discontinuities!$A$4:$A$9664,A355,Discontinuities!$C$4:$C$9664,"&gt;="&amp;C355,Discontinuities!$C$4:$C$9664,"&lt;"&amp;D355)
-SUMIFS(Discontinuities!$D$4:$D$9664,Discontinuities!$A$4:$A$9664,A355,Discontinuities!$C$4:$C$9664,"&gt;="&amp;C355,Discontinuities!$C$4:$C$9664,"&lt;"&amp;D355,Discontinuities!$E$4:$E$9664,"=BC")
-SUMIFS(Discontinuities!$D$4:$D$9664,Discontinuities!$A$4:$A$9664,A355,Discontinuities!$C$4:$C$9664,"&gt;="&amp;C355,Discontinuities!$C$4:$C$9664,"&lt;"&amp;D355,Discontinuities!$E$4:$E$9664,"=LC")
-SUMIFS(Discontinuities!$D$4:$D$9664,Discontinuities!$A$4:$A$9664,A355,Discontinuities!$C$4:$C$9664,"&gt;="&amp;C355,Discontinuities!$C$4:$C$9664,"&lt;"&amp;D355,Discontinuities!$E$4:$E$9664,"=FLT")</f>
        <v>0</v>
      </c>
      <c r="AA355" s="132"/>
      <c r="AB355" s="159">
        <f>IFERROR(ROUND((Data_Geotech[[#This Row],[Fault (m)]]+Data_Geotech[[#This Row],[Broken Core (m)]]+Data_Geotech[[#This Row],[Lost Core (m)]])*30,0),0)</f>
        <v>0</v>
      </c>
      <c r="AC355" s="135">
        <f>IF(Data_Geotech[[#This Row],[Added fractures 
(BC, FLT, LC)]]+Data_Geotech[[#This Row],[Fracture per interval]]=0,99,1/((Data_Geotech[[#This Row],[Fracture per interval]]+Data_Geotech[[#This Row],[Added fractures 
(BC, FLT, LC)]])/Data_Geotech[[#This Row],[Run (m)]]))</f>
        <v>99</v>
      </c>
      <c r="AD355" s="160" t="str" cm="1">
        <f t="array" ref="AD355">IFERROR(_xlfn.XLOOKUP(1,(A355=PLT!$A$4:$A$8886)*(Geotech!C355&lt;=PLT!$F$4:$F$8886)*(Geotech!D355&gt;=PLT!$F$4:$F$8886)*("Valid"=PLT!$P$4:$P$8886),PLT!$V$4:$V$8886),"")</f>
        <v/>
      </c>
      <c r="AE355" s="161" t="str" cm="1">
        <f t="array" ref="AE355">IFERROR(_xlfn.XLOOKUP(1,(A355=PLT!$A$4:$A$8886)*(Geotech!C355&lt;=PLT!$F$4:$F$8886)*(Geotech!D355&gt;=PLT!$F$4:$F$8886)*(PLT!$V$4:$V$8886&lt;&gt;AD355)*("Valid"=PLT!$P$4:$P$7190),PLT!$V$4:$V$8886),"")</f>
        <v/>
      </c>
      <c r="AF355" s="161" t="str" cm="1">
        <f t="array" ref="AF355">IFERROR(_xlfn.XLOOKUP(1,(A355=PLT!$A$4:$A$8886)*(Geotech!C355&lt;=PLT!$F$4:$F$8886)*(Geotech!D355&gt;=PLT!$F$4:$F$8886)*(PLT!$V$4:$V$8886&lt;&gt;AD355)*(PLT!$V$4:$V$8886&lt;&gt;AE355)*("Valid"=PLT!$P$4:$P$7190),PLT!$V$4:$V$8886),"")</f>
        <v/>
      </c>
      <c r="AG355" s="162" t="str">
        <f>IFERROR(IF(AVERAGE(AD355:AF355)&gt;References!$BO$23,References!$BP$23,
IF(AVERAGE(AD355:AF355)&gt;References!$BO$22,References!$BP$22,
IF(AVERAGE(AD355:AF355)&gt;References!$BO$21,References!$BP$21,
IF(AVERAGE(AD355:AF355)&gt;References!$BO$20,References!$BP$20,
IF(AVERAGE(AD355:AF355)&gt;References!$BO$19,References!$BP$19,
IF(AVERAGE(AD355:AF355)&gt;References!$BO$18,References!$BP$18,
0)))))),"")</f>
        <v/>
      </c>
      <c r="AH355" s="163" t="e">
        <f>VLOOKUP(Data_Geotech[[#This Row],[Field Intact Rock Strength]],Table_RMR76_Strength[],2,FALSE)</f>
        <v>#N/A</v>
      </c>
      <c r="AI355" s="163" t="e">
        <f>IF(Data_Geotech[[#This Row],[RQD (%)]]&lt;=25,3,IF(Data_Geotech[[#This Row],[RQD (%)]]&lt;=50,8,IF(Data_Geotech[[#This Row],[RQD (%)]]&lt;=75,13,IF(Data_Geotech[[#This Row],[RQD (%)]]&lt;=90,17,20))))</f>
        <v>#DIV/0!</v>
      </c>
      <c r="AJ355" s="136">
        <f>IF(Data_Geotech[[#This Row],[Joint spacing (m)]]&lt;=0.05,5,IF(Data_Geotech[[#This Row],[Joint spacing (m)]]&lt;=0.3,10,IF(Data_Geotech[[#This Row],[Joint spacing (m)]]&lt;=1,20,IF(Data_Geotech[[#This Row],[Joint spacing (m)]]&lt;=3,25,30))))</f>
        <v>30</v>
      </c>
      <c r="AK35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5" s="6"/>
      <c r="AM355" s="137" t="str">
        <f>IF(Data_Geotech[[#This Row],[FIRS Code]]="R",IFERROR(SUM(Data_Geotech[[#This Row],[RMR76 - Strength rating]:[RMR76 - Ground water rating]]),""),"")</f>
        <v/>
      </c>
      <c r="AN355" s="164" t="str">
        <f>IF(Data_Geotech[[#This Row],[FIRS Code]]="R",(2*Data_Geotech[[#This Row],[RMR76 - Joint condition rating]])+(IF(Data_Geotech[[#This Row],[RQD (%)]]&gt;80,80/2,Data_Geotech[[#This Row],[RQD (%)]]/2)),"")</f>
        <v/>
      </c>
      <c r="AO355" s="136" t="e">
        <f>LEFT(Data_Geotech[[#This Row],[Joint Set Rating]],FIND("-",Data_Geotech[[#This Row],[Joint Set Rating]],1)-2)</f>
        <v>#VALUE!</v>
      </c>
      <c r="AP35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5" s="143">
        <f t="shared" si="7"/>
        <v>1</v>
      </c>
      <c r="AR355" s="165" t="str">
        <f>IF(Data_Geotech[[#This Row],[FIRS Code]]="R",IFERROR((IF(Data_Geotech[[#This Row],[RQD (%)]]&lt;10,10,Data_Geotech[[#This Row],[RQD (%)]])/Data_Geotech[[#This Row],[Jn rating]])*Data_Geotech[[#This Row],[Jr/Ja]],""),"")</f>
        <v/>
      </c>
      <c r="AS355" s="138" t="str">
        <f>IF(Data_Geotech[[#This Row],[FIRS Code]]="R",IFERROR((IF(Data_Geotech[[#This Row],[RQD (%)]]&lt;10,10,Data_Geotech[[#This Row],[RQD (%)]])/Data_Geotech[[#This Row],[Jn rating]])*Data_Geotech[[#This Row],[Jr/Ja]]*Data_Geotech[[#This Row],[Jw/SRF]],""),"")</f>
        <v/>
      </c>
      <c r="AT355" s="12"/>
      <c r="AU355" s="13" t="e">
        <f>100-Data_Geotech[[#This Row],[RQD (%)]]</f>
        <v>#DIV/0!</v>
      </c>
      <c r="AV355" s="13" t="e">
        <f>100-Data_Geotech[[#This Row],[TCR (%)]]</f>
        <v>#DIV/0!</v>
      </c>
      <c r="AW355" s="62" t="e">
        <f>(Data_Geotech[[#This Row],[Fracture per interval]]+Data_Geotech[[#This Row],[Added fractures 
(BC, FLT, LC)]])/Data_Geotech[[#This Row],[TCR (m)]]</f>
        <v>#DIV/0!</v>
      </c>
      <c r="AX355" s="62" t="str">
        <f>MID(Data_Geotech[[#This Row],[Field Intact Rock Strength]],2,1)</f>
        <v/>
      </c>
      <c r="AY355" s="63" t="e">
        <f>7-MID(Data_Geotech[[#This Row],[Field Intact Rock Strength]],2,1)</f>
        <v>#VALUE!</v>
      </c>
      <c r="AZ355" s="63" t="e">
        <f>VLOOKUP(Data_Geotech[[#This Row],[Field Intact Rock Strength]],Table_FieldStrength[],2,FALSE)</f>
        <v>#N/A</v>
      </c>
      <c r="BA355" s="63" t="e">
        <f>VLOOKUP(Data_Geotech[[#This Row],[Field Intact Rock Strength]],Table_FieldStrength[],3,FALSE)</f>
        <v>#N/A</v>
      </c>
      <c r="BB355" s="63" t="e">
        <f>VLOOKUP(Data_Geotech[[#This Row],[Field Intact Rock Strength]],Table_FieldStrength[],4,FALSE)</f>
        <v>#N/A</v>
      </c>
      <c r="BC355" s="63" t="e">
        <f>100-Data_Geotech[[#This Row],[RMR76]]</f>
        <v>#VALUE!</v>
      </c>
      <c r="BD355" s="63" t="e">
        <f>LEFT(Data_Geotech[[#This Row],[Weathering/Alteration]],FIND("-",Data_Geotech[[#This Row],[Weathering/Alteration]])-2)</f>
        <v>#VALUE!</v>
      </c>
    </row>
    <row r="356" spans="1:56" hidden="1" x14ac:dyDescent="0.25">
      <c r="A356" s="14"/>
      <c r="B356" s="166" t="e">
        <f>VLOOKUP(Data_Geotech[[#This Row],[Hole ID]],Data_Log[],2,FALSE)</f>
        <v>#N/A</v>
      </c>
      <c r="C356" s="5"/>
      <c r="D356" s="5"/>
      <c r="E356" s="5">
        <f>(Data_Geotech[[#This Row],[To (m)]]-Data_Geotech[[#This Row],[From (m)]])/2+Data_Geotech[[#This Row],[From (m)]]</f>
        <v>0</v>
      </c>
      <c r="F356" s="13">
        <f>Data_Geotech[[#This Row],[To (m)]]-Data_Geotech[[#This Row],[From (m)]]</f>
        <v>0</v>
      </c>
      <c r="G356" s="5"/>
      <c r="H356" s="13" t="e">
        <f>Data_Geotech[[#This Row],[TCR (m)]]/Data_Geotech[[#This Row],[Run (m)]]*100</f>
        <v>#DIV/0!</v>
      </c>
      <c r="I356" s="5"/>
      <c r="J356" s="5"/>
      <c r="K356" s="5"/>
      <c r="L356" s="13" t="e">
        <f>Data_Geotech[[#This Row],[RQD (m)]]/Data_Geotech[[#This Row],[Run Reel (m)]]*100</f>
        <v>#DIV/0!</v>
      </c>
      <c r="P356" s="115"/>
      <c r="Q356" s="5"/>
      <c r="R356" s="5"/>
      <c r="S356" s="5"/>
      <c r="T356" s="5"/>
      <c r="U356" s="5"/>
      <c r="V356" s="6"/>
      <c r="W356" s="92">
        <f>SUMIFS(Discontinuities!$D$4:$D$9664,Discontinuities!$A$4:$A$9664,A356,Discontinuities!$C$4:$C$9664,"&gt;="&amp;C356,Discontinuities!$C$4:$C$9664,"&lt;"&amp;D356)
-SUMIFS(Discontinuities!$D$4:$D$9664,Discontinuities!$A$4:$A$9664,A356,Discontinuities!$C$4:$C$9664,"&gt;="&amp;C356,Discontinuities!$C$4:$C$9664,"&lt;"&amp;D356,Discontinuities!$E$4:$E$9664,"=BC")
-SUMIFS(Discontinuities!$D$4:$D$9664,Discontinuities!$A$4:$A$9664,A356,Discontinuities!$C$4:$C$9664,"&gt;="&amp;C356,Discontinuities!$C$4:$C$9664,"&lt;"&amp;D356,Discontinuities!$E$4:$E$9664,"=LC")
-SUMIFS(Discontinuities!$D$4:$D$9664,Discontinuities!$A$4:$A$9664,A356,Discontinuities!$C$4:$C$9664,"&gt;="&amp;C356,Discontinuities!$C$4:$C$9664,"&lt;"&amp;D356,Discontinuities!$E$4:$E$9664,"=FLT")</f>
        <v>0</v>
      </c>
      <c r="AA356" s="132"/>
      <c r="AB356" s="159">
        <f>IFERROR(ROUND((Data_Geotech[[#This Row],[Fault (m)]]+Data_Geotech[[#This Row],[Broken Core (m)]]+Data_Geotech[[#This Row],[Lost Core (m)]])*30,0),0)</f>
        <v>0</v>
      </c>
      <c r="AC356" s="135">
        <f>IF(Data_Geotech[[#This Row],[Added fractures 
(BC, FLT, LC)]]+Data_Geotech[[#This Row],[Fracture per interval]]=0,99,1/((Data_Geotech[[#This Row],[Fracture per interval]]+Data_Geotech[[#This Row],[Added fractures 
(BC, FLT, LC)]])/Data_Geotech[[#This Row],[Run (m)]]))</f>
        <v>99</v>
      </c>
      <c r="AD356" s="160" t="str" cm="1">
        <f t="array" ref="AD356">IFERROR(_xlfn.XLOOKUP(1,(A356=PLT!$A$4:$A$8886)*(Geotech!C356&lt;=PLT!$F$4:$F$8886)*(Geotech!D356&gt;=PLT!$F$4:$F$8886)*("Valid"=PLT!$P$4:$P$8886),PLT!$V$4:$V$8886),"")</f>
        <v/>
      </c>
      <c r="AE356" s="161" t="str" cm="1">
        <f t="array" ref="AE356">IFERROR(_xlfn.XLOOKUP(1,(A356=PLT!$A$4:$A$8886)*(Geotech!C356&lt;=PLT!$F$4:$F$8886)*(Geotech!D356&gt;=PLT!$F$4:$F$8886)*(PLT!$V$4:$V$8886&lt;&gt;AD356)*("Valid"=PLT!$P$4:$P$7190),PLT!$V$4:$V$8886),"")</f>
        <v/>
      </c>
      <c r="AF356" s="161" t="str" cm="1">
        <f t="array" ref="AF356">IFERROR(_xlfn.XLOOKUP(1,(A356=PLT!$A$4:$A$8886)*(Geotech!C356&lt;=PLT!$F$4:$F$8886)*(Geotech!D356&gt;=PLT!$F$4:$F$8886)*(PLT!$V$4:$V$8886&lt;&gt;AD356)*(PLT!$V$4:$V$8886&lt;&gt;AE356)*("Valid"=PLT!$P$4:$P$7190),PLT!$V$4:$V$8886),"")</f>
        <v/>
      </c>
      <c r="AG356" s="162" t="str">
        <f>IFERROR(IF(AVERAGE(AD356:AF356)&gt;References!$BO$23,References!$BP$23,
IF(AVERAGE(AD356:AF356)&gt;References!$BO$22,References!$BP$22,
IF(AVERAGE(AD356:AF356)&gt;References!$BO$21,References!$BP$21,
IF(AVERAGE(AD356:AF356)&gt;References!$BO$20,References!$BP$20,
IF(AVERAGE(AD356:AF356)&gt;References!$BO$19,References!$BP$19,
IF(AVERAGE(AD356:AF356)&gt;References!$BO$18,References!$BP$18,
0)))))),"")</f>
        <v/>
      </c>
      <c r="AH356" s="163" t="e">
        <f>VLOOKUP(Data_Geotech[[#This Row],[Field Intact Rock Strength]],Table_RMR76_Strength[],2,FALSE)</f>
        <v>#N/A</v>
      </c>
      <c r="AI356" s="163" t="e">
        <f>IF(Data_Geotech[[#This Row],[RQD (%)]]&lt;=25,3,IF(Data_Geotech[[#This Row],[RQD (%)]]&lt;=50,8,IF(Data_Geotech[[#This Row],[RQD (%)]]&lt;=75,13,IF(Data_Geotech[[#This Row],[RQD (%)]]&lt;=90,17,20))))</f>
        <v>#DIV/0!</v>
      </c>
      <c r="AJ356" s="136">
        <f>IF(Data_Geotech[[#This Row],[Joint spacing (m)]]&lt;=0.05,5,IF(Data_Geotech[[#This Row],[Joint spacing (m)]]&lt;=0.3,10,IF(Data_Geotech[[#This Row],[Joint spacing (m)]]&lt;=1,20,IF(Data_Geotech[[#This Row],[Joint spacing (m)]]&lt;=3,25,30))))</f>
        <v>30</v>
      </c>
      <c r="AK35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6" s="6"/>
      <c r="AM356" s="137" t="str">
        <f>IF(Data_Geotech[[#This Row],[FIRS Code]]="R",IFERROR(SUM(Data_Geotech[[#This Row],[RMR76 - Strength rating]:[RMR76 - Ground water rating]]),""),"")</f>
        <v/>
      </c>
      <c r="AN356" s="164" t="str">
        <f>IF(Data_Geotech[[#This Row],[FIRS Code]]="R",(2*Data_Geotech[[#This Row],[RMR76 - Joint condition rating]])+(IF(Data_Geotech[[#This Row],[RQD (%)]]&gt;80,80/2,Data_Geotech[[#This Row],[RQD (%)]]/2)),"")</f>
        <v/>
      </c>
      <c r="AO356" s="136" t="e">
        <f>LEFT(Data_Geotech[[#This Row],[Joint Set Rating]],FIND("-",Data_Geotech[[#This Row],[Joint Set Rating]],1)-2)</f>
        <v>#VALUE!</v>
      </c>
      <c r="AP35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6" s="143">
        <f t="shared" si="7"/>
        <v>1</v>
      </c>
      <c r="AR356" s="165" t="str">
        <f>IF(Data_Geotech[[#This Row],[FIRS Code]]="R",IFERROR((IF(Data_Geotech[[#This Row],[RQD (%)]]&lt;10,10,Data_Geotech[[#This Row],[RQD (%)]])/Data_Geotech[[#This Row],[Jn rating]])*Data_Geotech[[#This Row],[Jr/Ja]],""),"")</f>
        <v/>
      </c>
      <c r="AS356" s="138" t="str">
        <f>IF(Data_Geotech[[#This Row],[FIRS Code]]="R",IFERROR((IF(Data_Geotech[[#This Row],[RQD (%)]]&lt;10,10,Data_Geotech[[#This Row],[RQD (%)]])/Data_Geotech[[#This Row],[Jn rating]])*Data_Geotech[[#This Row],[Jr/Ja]]*Data_Geotech[[#This Row],[Jw/SRF]],""),"")</f>
        <v/>
      </c>
      <c r="AT356" s="12"/>
      <c r="AU356" s="13" t="e">
        <f>100-Data_Geotech[[#This Row],[RQD (%)]]</f>
        <v>#DIV/0!</v>
      </c>
      <c r="AV356" s="13" t="e">
        <f>100-Data_Geotech[[#This Row],[TCR (%)]]</f>
        <v>#DIV/0!</v>
      </c>
      <c r="AW356" s="62" t="e">
        <f>(Data_Geotech[[#This Row],[Fracture per interval]]+Data_Geotech[[#This Row],[Added fractures 
(BC, FLT, LC)]])/Data_Geotech[[#This Row],[TCR (m)]]</f>
        <v>#DIV/0!</v>
      </c>
      <c r="AX356" s="62" t="str">
        <f>MID(Data_Geotech[[#This Row],[Field Intact Rock Strength]],2,1)</f>
        <v/>
      </c>
      <c r="AY356" s="63" t="e">
        <f>7-MID(Data_Geotech[[#This Row],[Field Intact Rock Strength]],2,1)</f>
        <v>#VALUE!</v>
      </c>
      <c r="AZ356" s="63" t="e">
        <f>VLOOKUP(Data_Geotech[[#This Row],[Field Intact Rock Strength]],Table_FieldStrength[],2,FALSE)</f>
        <v>#N/A</v>
      </c>
      <c r="BA356" s="63" t="e">
        <f>VLOOKUP(Data_Geotech[[#This Row],[Field Intact Rock Strength]],Table_FieldStrength[],3,FALSE)</f>
        <v>#N/A</v>
      </c>
      <c r="BB356" s="63" t="e">
        <f>VLOOKUP(Data_Geotech[[#This Row],[Field Intact Rock Strength]],Table_FieldStrength[],4,FALSE)</f>
        <v>#N/A</v>
      </c>
      <c r="BC356" s="63" t="e">
        <f>100-Data_Geotech[[#This Row],[RMR76]]</f>
        <v>#VALUE!</v>
      </c>
      <c r="BD356" s="63" t="e">
        <f>LEFT(Data_Geotech[[#This Row],[Weathering/Alteration]],FIND("-",Data_Geotech[[#This Row],[Weathering/Alteration]])-2)</f>
        <v>#VALUE!</v>
      </c>
    </row>
    <row r="357" spans="1:56" hidden="1" x14ac:dyDescent="0.25">
      <c r="A357" s="14"/>
      <c r="B357" s="166" t="e">
        <f>VLOOKUP(Data_Geotech[[#This Row],[Hole ID]],Data_Log[],2,FALSE)</f>
        <v>#N/A</v>
      </c>
      <c r="C357" s="5"/>
      <c r="D357" s="5"/>
      <c r="E357" s="5">
        <f>(Data_Geotech[[#This Row],[To (m)]]-Data_Geotech[[#This Row],[From (m)]])/2+Data_Geotech[[#This Row],[From (m)]]</f>
        <v>0</v>
      </c>
      <c r="F357" s="13">
        <f>Data_Geotech[[#This Row],[To (m)]]-Data_Geotech[[#This Row],[From (m)]]</f>
        <v>0</v>
      </c>
      <c r="G357" s="5"/>
      <c r="H357" s="13" t="e">
        <f>Data_Geotech[[#This Row],[TCR (m)]]/Data_Geotech[[#This Row],[Run (m)]]*100</f>
        <v>#DIV/0!</v>
      </c>
      <c r="I357" s="5"/>
      <c r="J357" s="5"/>
      <c r="K357" s="5"/>
      <c r="L357" s="13" t="e">
        <f>Data_Geotech[[#This Row],[RQD (m)]]/Data_Geotech[[#This Row],[Run Reel (m)]]*100</f>
        <v>#DIV/0!</v>
      </c>
      <c r="P357" s="115"/>
      <c r="Q357" s="5"/>
      <c r="R357" s="5"/>
      <c r="S357" s="5"/>
      <c r="T357" s="5"/>
      <c r="U357" s="5"/>
      <c r="V357" s="6"/>
      <c r="W357" s="92">
        <f>SUMIFS(Discontinuities!$D$4:$D$9664,Discontinuities!$A$4:$A$9664,A357,Discontinuities!$C$4:$C$9664,"&gt;="&amp;C357,Discontinuities!$C$4:$C$9664,"&lt;"&amp;D357)
-SUMIFS(Discontinuities!$D$4:$D$9664,Discontinuities!$A$4:$A$9664,A357,Discontinuities!$C$4:$C$9664,"&gt;="&amp;C357,Discontinuities!$C$4:$C$9664,"&lt;"&amp;D357,Discontinuities!$E$4:$E$9664,"=BC")
-SUMIFS(Discontinuities!$D$4:$D$9664,Discontinuities!$A$4:$A$9664,A357,Discontinuities!$C$4:$C$9664,"&gt;="&amp;C357,Discontinuities!$C$4:$C$9664,"&lt;"&amp;D357,Discontinuities!$E$4:$E$9664,"=LC")
-SUMIFS(Discontinuities!$D$4:$D$9664,Discontinuities!$A$4:$A$9664,A357,Discontinuities!$C$4:$C$9664,"&gt;="&amp;C357,Discontinuities!$C$4:$C$9664,"&lt;"&amp;D357,Discontinuities!$E$4:$E$9664,"=FLT")</f>
        <v>0</v>
      </c>
      <c r="AA357" s="132"/>
      <c r="AB357" s="159">
        <f>IFERROR(ROUND((Data_Geotech[[#This Row],[Fault (m)]]+Data_Geotech[[#This Row],[Broken Core (m)]]+Data_Geotech[[#This Row],[Lost Core (m)]])*30,0),0)</f>
        <v>0</v>
      </c>
      <c r="AC357" s="135">
        <f>IF(Data_Geotech[[#This Row],[Added fractures 
(BC, FLT, LC)]]+Data_Geotech[[#This Row],[Fracture per interval]]=0,99,1/((Data_Geotech[[#This Row],[Fracture per interval]]+Data_Geotech[[#This Row],[Added fractures 
(BC, FLT, LC)]])/Data_Geotech[[#This Row],[Run (m)]]))</f>
        <v>99</v>
      </c>
      <c r="AD357" s="160" t="str" cm="1">
        <f t="array" ref="AD357">IFERROR(_xlfn.XLOOKUP(1,(A357=PLT!$A$4:$A$8886)*(Geotech!C357&lt;=PLT!$F$4:$F$8886)*(Geotech!D357&gt;=PLT!$F$4:$F$8886)*("Valid"=PLT!$P$4:$P$8886),PLT!$V$4:$V$8886),"")</f>
        <v/>
      </c>
      <c r="AE357" s="161" t="str" cm="1">
        <f t="array" ref="AE357">IFERROR(_xlfn.XLOOKUP(1,(A357=PLT!$A$4:$A$8886)*(Geotech!C357&lt;=PLT!$F$4:$F$8886)*(Geotech!D357&gt;=PLT!$F$4:$F$8886)*(PLT!$V$4:$V$8886&lt;&gt;AD357)*("Valid"=PLT!$P$4:$P$7190),PLT!$V$4:$V$8886),"")</f>
        <v/>
      </c>
      <c r="AF357" s="161" t="str" cm="1">
        <f t="array" ref="AF357">IFERROR(_xlfn.XLOOKUP(1,(A357=PLT!$A$4:$A$8886)*(Geotech!C357&lt;=PLT!$F$4:$F$8886)*(Geotech!D357&gt;=PLT!$F$4:$F$8886)*(PLT!$V$4:$V$8886&lt;&gt;AD357)*(PLT!$V$4:$V$8886&lt;&gt;AE357)*("Valid"=PLT!$P$4:$P$7190),PLT!$V$4:$V$8886),"")</f>
        <v/>
      </c>
      <c r="AG357" s="162" t="str">
        <f>IFERROR(IF(AVERAGE(AD357:AF357)&gt;References!$BO$23,References!$BP$23,
IF(AVERAGE(AD357:AF357)&gt;References!$BO$22,References!$BP$22,
IF(AVERAGE(AD357:AF357)&gt;References!$BO$21,References!$BP$21,
IF(AVERAGE(AD357:AF357)&gt;References!$BO$20,References!$BP$20,
IF(AVERAGE(AD357:AF357)&gt;References!$BO$19,References!$BP$19,
IF(AVERAGE(AD357:AF357)&gt;References!$BO$18,References!$BP$18,
0)))))),"")</f>
        <v/>
      </c>
      <c r="AH357" s="163" t="e">
        <f>VLOOKUP(Data_Geotech[[#This Row],[Field Intact Rock Strength]],Table_RMR76_Strength[],2,FALSE)</f>
        <v>#N/A</v>
      </c>
      <c r="AI357" s="163" t="e">
        <f>IF(Data_Geotech[[#This Row],[RQD (%)]]&lt;=25,3,IF(Data_Geotech[[#This Row],[RQD (%)]]&lt;=50,8,IF(Data_Geotech[[#This Row],[RQD (%)]]&lt;=75,13,IF(Data_Geotech[[#This Row],[RQD (%)]]&lt;=90,17,20))))</f>
        <v>#DIV/0!</v>
      </c>
      <c r="AJ357" s="136">
        <f>IF(Data_Geotech[[#This Row],[Joint spacing (m)]]&lt;=0.05,5,IF(Data_Geotech[[#This Row],[Joint spacing (m)]]&lt;=0.3,10,IF(Data_Geotech[[#This Row],[Joint spacing (m)]]&lt;=1,20,IF(Data_Geotech[[#This Row],[Joint spacing (m)]]&lt;=3,25,30))))</f>
        <v>30</v>
      </c>
      <c r="AK35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7" s="6"/>
      <c r="AM357" s="137" t="str">
        <f>IF(Data_Geotech[[#This Row],[FIRS Code]]="R",IFERROR(SUM(Data_Geotech[[#This Row],[RMR76 - Strength rating]:[RMR76 - Ground water rating]]),""),"")</f>
        <v/>
      </c>
      <c r="AN357" s="164" t="str">
        <f>IF(Data_Geotech[[#This Row],[FIRS Code]]="R",(2*Data_Geotech[[#This Row],[RMR76 - Joint condition rating]])+(IF(Data_Geotech[[#This Row],[RQD (%)]]&gt;80,80/2,Data_Geotech[[#This Row],[RQD (%)]]/2)),"")</f>
        <v/>
      </c>
      <c r="AO357" s="136" t="e">
        <f>LEFT(Data_Geotech[[#This Row],[Joint Set Rating]],FIND("-",Data_Geotech[[#This Row],[Joint Set Rating]],1)-2)</f>
        <v>#VALUE!</v>
      </c>
      <c r="AP35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7" s="143">
        <f t="shared" si="7"/>
        <v>1</v>
      </c>
      <c r="AR357" s="165" t="str">
        <f>IF(Data_Geotech[[#This Row],[FIRS Code]]="R",IFERROR((IF(Data_Geotech[[#This Row],[RQD (%)]]&lt;10,10,Data_Geotech[[#This Row],[RQD (%)]])/Data_Geotech[[#This Row],[Jn rating]])*Data_Geotech[[#This Row],[Jr/Ja]],""),"")</f>
        <v/>
      </c>
      <c r="AS357" s="138" t="str">
        <f>IF(Data_Geotech[[#This Row],[FIRS Code]]="R",IFERROR((IF(Data_Geotech[[#This Row],[RQD (%)]]&lt;10,10,Data_Geotech[[#This Row],[RQD (%)]])/Data_Geotech[[#This Row],[Jn rating]])*Data_Geotech[[#This Row],[Jr/Ja]]*Data_Geotech[[#This Row],[Jw/SRF]],""),"")</f>
        <v/>
      </c>
      <c r="AT357" s="12"/>
      <c r="AU357" s="13" t="e">
        <f>100-Data_Geotech[[#This Row],[RQD (%)]]</f>
        <v>#DIV/0!</v>
      </c>
      <c r="AV357" s="13" t="e">
        <f>100-Data_Geotech[[#This Row],[TCR (%)]]</f>
        <v>#DIV/0!</v>
      </c>
      <c r="AW357" s="62" t="e">
        <f>(Data_Geotech[[#This Row],[Fracture per interval]]+Data_Geotech[[#This Row],[Added fractures 
(BC, FLT, LC)]])/Data_Geotech[[#This Row],[TCR (m)]]</f>
        <v>#DIV/0!</v>
      </c>
      <c r="AX357" s="62" t="str">
        <f>MID(Data_Geotech[[#This Row],[Field Intact Rock Strength]],2,1)</f>
        <v/>
      </c>
      <c r="AY357" s="63" t="e">
        <f>7-MID(Data_Geotech[[#This Row],[Field Intact Rock Strength]],2,1)</f>
        <v>#VALUE!</v>
      </c>
      <c r="AZ357" s="63" t="e">
        <f>VLOOKUP(Data_Geotech[[#This Row],[Field Intact Rock Strength]],Table_FieldStrength[],2,FALSE)</f>
        <v>#N/A</v>
      </c>
      <c r="BA357" s="63" t="e">
        <f>VLOOKUP(Data_Geotech[[#This Row],[Field Intact Rock Strength]],Table_FieldStrength[],3,FALSE)</f>
        <v>#N/A</v>
      </c>
      <c r="BB357" s="63" t="e">
        <f>VLOOKUP(Data_Geotech[[#This Row],[Field Intact Rock Strength]],Table_FieldStrength[],4,FALSE)</f>
        <v>#N/A</v>
      </c>
      <c r="BC357" s="63" t="e">
        <f>100-Data_Geotech[[#This Row],[RMR76]]</f>
        <v>#VALUE!</v>
      </c>
      <c r="BD357" s="63" t="e">
        <f>LEFT(Data_Geotech[[#This Row],[Weathering/Alteration]],FIND("-",Data_Geotech[[#This Row],[Weathering/Alteration]])-2)</f>
        <v>#VALUE!</v>
      </c>
    </row>
    <row r="358" spans="1:56" hidden="1" x14ac:dyDescent="0.25">
      <c r="A358" s="14"/>
      <c r="B358" s="166" t="e">
        <f>VLOOKUP(Data_Geotech[[#This Row],[Hole ID]],Data_Log[],2,FALSE)</f>
        <v>#N/A</v>
      </c>
      <c r="C358" s="5"/>
      <c r="D358" s="5"/>
      <c r="E358" s="5">
        <f>(Data_Geotech[[#This Row],[To (m)]]-Data_Geotech[[#This Row],[From (m)]])/2+Data_Geotech[[#This Row],[From (m)]]</f>
        <v>0</v>
      </c>
      <c r="F358" s="13">
        <f>Data_Geotech[[#This Row],[To (m)]]-Data_Geotech[[#This Row],[From (m)]]</f>
        <v>0</v>
      </c>
      <c r="G358" s="5"/>
      <c r="H358" s="13" t="e">
        <f>Data_Geotech[[#This Row],[TCR (m)]]/Data_Geotech[[#This Row],[Run (m)]]*100</f>
        <v>#DIV/0!</v>
      </c>
      <c r="I358" s="5"/>
      <c r="J358" s="5"/>
      <c r="K358" s="5"/>
      <c r="L358" s="13" t="e">
        <f>Data_Geotech[[#This Row],[RQD (m)]]/Data_Geotech[[#This Row],[Run Reel (m)]]*100</f>
        <v>#DIV/0!</v>
      </c>
      <c r="P358" s="115"/>
      <c r="Q358" s="5"/>
      <c r="R358" s="5"/>
      <c r="S358" s="5"/>
      <c r="T358" s="5"/>
      <c r="U358" s="5"/>
      <c r="V358" s="6"/>
      <c r="W358" s="92">
        <f>SUMIFS(Discontinuities!$D$4:$D$9664,Discontinuities!$A$4:$A$9664,A358,Discontinuities!$C$4:$C$9664,"&gt;="&amp;C358,Discontinuities!$C$4:$C$9664,"&lt;"&amp;D358)
-SUMIFS(Discontinuities!$D$4:$D$9664,Discontinuities!$A$4:$A$9664,A358,Discontinuities!$C$4:$C$9664,"&gt;="&amp;C358,Discontinuities!$C$4:$C$9664,"&lt;"&amp;D358,Discontinuities!$E$4:$E$9664,"=BC")
-SUMIFS(Discontinuities!$D$4:$D$9664,Discontinuities!$A$4:$A$9664,A358,Discontinuities!$C$4:$C$9664,"&gt;="&amp;C358,Discontinuities!$C$4:$C$9664,"&lt;"&amp;D358,Discontinuities!$E$4:$E$9664,"=LC")
-SUMIFS(Discontinuities!$D$4:$D$9664,Discontinuities!$A$4:$A$9664,A358,Discontinuities!$C$4:$C$9664,"&gt;="&amp;C358,Discontinuities!$C$4:$C$9664,"&lt;"&amp;D358,Discontinuities!$E$4:$E$9664,"=FLT")</f>
        <v>0</v>
      </c>
      <c r="AA358" s="132"/>
      <c r="AB358" s="159">
        <f>IFERROR(ROUND((Data_Geotech[[#This Row],[Fault (m)]]+Data_Geotech[[#This Row],[Broken Core (m)]]+Data_Geotech[[#This Row],[Lost Core (m)]])*30,0),0)</f>
        <v>0</v>
      </c>
      <c r="AC358" s="135">
        <f>IF(Data_Geotech[[#This Row],[Added fractures 
(BC, FLT, LC)]]+Data_Geotech[[#This Row],[Fracture per interval]]=0,99,1/((Data_Geotech[[#This Row],[Fracture per interval]]+Data_Geotech[[#This Row],[Added fractures 
(BC, FLT, LC)]])/Data_Geotech[[#This Row],[Run (m)]]))</f>
        <v>99</v>
      </c>
      <c r="AD358" s="160" t="str" cm="1">
        <f t="array" ref="AD358">IFERROR(_xlfn.XLOOKUP(1,(A358=PLT!$A$4:$A$8886)*(Geotech!C358&lt;=PLT!$F$4:$F$8886)*(Geotech!D358&gt;=PLT!$F$4:$F$8886)*("Valid"=PLT!$P$4:$P$8886),PLT!$V$4:$V$8886),"")</f>
        <v/>
      </c>
      <c r="AE358" s="161" t="str" cm="1">
        <f t="array" ref="AE358">IFERROR(_xlfn.XLOOKUP(1,(A358=PLT!$A$4:$A$8886)*(Geotech!C358&lt;=PLT!$F$4:$F$8886)*(Geotech!D358&gt;=PLT!$F$4:$F$8886)*(PLT!$V$4:$V$8886&lt;&gt;AD358)*("Valid"=PLT!$P$4:$P$7190),PLT!$V$4:$V$8886),"")</f>
        <v/>
      </c>
      <c r="AF358" s="161" t="str" cm="1">
        <f t="array" ref="AF358">IFERROR(_xlfn.XLOOKUP(1,(A358=PLT!$A$4:$A$8886)*(Geotech!C358&lt;=PLT!$F$4:$F$8886)*(Geotech!D358&gt;=PLT!$F$4:$F$8886)*(PLT!$V$4:$V$8886&lt;&gt;AD358)*(PLT!$V$4:$V$8886&lt;&gt;AE358)*("Valid"=PLT!$P$4:$P$7190),PLT!$V$4:$V$8886),"")</f>
        <v/>
      </c>
      <c r="AG358" s="162" t="str">
        <f>IFERROR(IF(AVERAGE(AD358:AF358)&gt;References!$BO$23,References!$BP$23,
IF(AVERAGE(AD358:AF358)&gt;References!$BO$22,References!$BP$22,
IF(AVERAGE(AD358:AF358)&gt;References!$BO$21,References!$BP$21,
IF(AVERAGE(AD358:AF358)&gt;References!$BO$20,References!$BP$20,
IF(AVERAGE(AD358:AF358)&gt;References!$BO$19,References!$BP$19,
IF(AVERAGE(AD358:AF358)&gt;References!$BO$18,References!$BP$18,
0)))))),"")</f>
        <v/>
      </c>
      <c r="AH358" s="163" t="e">
        <f>VLOOKUP(Data_Geotech[[#This Row],[Field Intact Rock Strength]],Table_RMR76_Strength[],2,FALSE)</f>
        <v>#N/A</v>
      </c>
      <c r="AI358" s="163" t="e">
        <f>IF(Data_Geotech[[#This Row],[RQD (%)]]&lt;=25,3,IF(Data_Geotech[[#This Row],[RQD (%)]]&lt;=50,8,IF(Data_Geotech[[#This Row],[RQD (%)]]&lt;=75,13,IF(Data_Geotech[[#This Row],[RQD (%)]]&lt;=90,17,20))))</f>
        <v>#DIV/0!</v>
      </c>
      <c r="AJ358" s="136">
        <f>IF(Data_Geotech[[#This Row],[Joint spacing (m)]]&lt;=0.05,5,IF(Data_Geotech[[#This Row],[Joint spacing (m)]]&lt;=0.3,10,IF(Data_Geotech[[#This Row],[Joint spacing (m)]]&lt;=1,20,IF(Data_Geotech[[#This Row],[Joint spacing (m)]]&lt;=3,25,30))))</f>
        <v>30</v>
      </c>
      <c r="AK35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8" s="6"/>
      <c r="AM358" s="137" t="str">
        <f>IF(Data_Geotech[[#This Row],[FIRS Code]]="R",IFERROR(SUM(Data_Geotech[[#This Row],[RMR76 - Strength rating]:[RMR76 - Ground water rating]]),""),"")</f>
        <v/>
      </c>
      <c r="AN358" s="164" t="str">
        <f>IF(Data_Geotech[[#This Row],[FIRS Code]]="R",(2*Data_Geotech[[#This Row],[RMR76 - Joint condition rating]])+(IF(Data_Geotech[[#This Row],[RQD (%)]]&gt;80,80/2,Data_Geotech[[#This Row],[RQD (%)]]/2)),"")</f>
        <v/>
      </c>
      <c r="AO358" s="136" t="e">
        <f>LEFT(Data_Geotech[[#This Row],[Joint Set Rating]],FIND("-",Data_Geotech[[#This Row],[Joint Set Rating]],1)-2)</f>
        <v>#VALUE!</v>
      </c>
      <c r="AP35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8" s="143">
        <f t="shared" si="7"/>
        <v>1</v>
      </c>
      <c r="AR358" s="165" t="str">
        <f>IF(Data_Geotech[[#This Row],[FIRS Code]]="R",IFERROR((IF(Data_Geotech[[#This Row],[RQD (%)]]&lt;10,10,Data_Geotech[[#This Row],[RQD (%)]])/Data_Geotech[[#This Row],[Jn rating]])*Data_Geotech[[#This Row],[Jr/Ja]],""),"")</f>
        <v/>
      </c>
      <c r="AS358" s="138" t="str">
        <f>IF(Data_Geotech[[#This Row],[FIRS Code]]="R",IFERROR((IF(Data_Geotech[[#This Row],[RQD (%)]]&lt;10,10,Data_Geotech[[#This Row],[RQD (%)]])/Data_Geotech[[#This Row],[Jn rating]])*Data_Geotech[[#This Row],[Jr/Ja]]*Data_Geotech[[#This Row],[Jw/SRF]],""),"")</f>
        <v/>
      </c>
      <c r="AT358" s="12"/>
      <c r="AU358" s="13" t="e">
        <f>100-Data_Geotech[[#This Row],[RQD (%)]]</f>
        <v>#DIV/0!</v>
      </c>
      <c r="AV358" s="13" t="e">
        <f>100-Data_Geotech[[#This Row],[TCR (%)]]</f>
        <v>#DIV/0!</v>
      </c>
      <c r="AW358" s="62" t="e">
        <f>(Data_Geotech[[#This Row],[Fracture per interval]]+Data_Geotech[[#This Row],[Added fractures 
(BC, FLT, LC)]])/Data_Geotech[[#This Row],[TCR (m)]]</f>
        <v>#DIV/0!</v>
      </c>
      <c r="AX358" s="62" t="str">
        <f>MID(Data_Geotech[[#This Row],[Field Intact Rock Strength]],2,1)</f>
        <v/>
      </c>
      <c r="AY358" s="63" t="e">
        <f>7-MID(Data_Geotech[[#This Row],[Field Intact Rock Strength]],2,1)</f>
        <v>#VALUE!</v>
      </c>
      <c r="AZ358" s="63" t="e">
        <f>VLOOKUP(Data_Geotech[[#This Row],[Field Intact Rock Strength]],Table_FieldStrength[],2,FALSE)</f>
        <v>#N/A</v>
      </c>
      <c r="BA358" s="63" t="e">
        <f>VLOOKUP(Data_Geotech[[#This Row],[Field Intact Rock Strength]],Table_FieldStrength[],3,FALSE)</f>
        <v>#N/A</v>
      </c>
      <c r="BB358" s="63" t="e">
        <f>VLOOKUP(Data_Geotech[[#This Row],[Field Intact Rock Strength]],Table_FieldStrength[],4,FALSE)</f>
        <v>#N/A</v>
      </c>
      <c r="BC358" s="63" t="e">
        <f>100-Data_Geotech[[#This Row],[RMR76]]</f>
        <v>#VALUE!</v>
      </c>
      <c r="BD358" s="63" t="e">
        <f>LEFT(Data_Geotech[[#This Row],[Weathering/Alteration]],FIND("-",Data_Geotech[[#This Row],[Weathering/Alteration]])-2)</f>
        <v>#VALUE!</v>
      </c>
    </row>
    <row r="359" spans="1:56" hidden="1" x14ac:dyDescent="0.25">
      <c r="A359" s="14"/>
      <c r="B359" s="166" t="e">
        <f>VLOOKUP(Data_Geotech[[#This Row],[Hole ID]],Data_Log[],2,FALSE)</f>
        <v>#N/A</v>
      </c>
      <c r="C359" s="5"/>
      <c r="D359" s="5"/>
      <c r="E359" s="5">
        <f>(Data_Geotech[[#This Row],[To (m)]]-Data_Geotech[[#This Row],[From (m)]])/2+Data_Geotech[[#This Row],[From (m)]]</f>
        <v>0</v>
      </c>
      <c r="F359" s="13">
        <f>Data_Geotech[[#This Row],[To (m)]]-Data_Geotech[[#This Row],[From (m)]]</f>
        <v>0</v>
      </c>
      <c r="G359" s="5"/>
      <c r="H359" s="13" t="e">
        <f>Data_Geotech[[#This Row],[TCR (m)]]/Data_Geotech[[#This Row],[Run (m)]]*100</f>
        <v>#DIV/0!</v>
      </c>
      <c r="I359" s="5"/>
      <c r="J359" s="5"/>
      <c r="K359" s="5"/>
      <c r="L359" s="13" t="e">
        <f>Data_Geotech[[#This Row],[RQD (m)]]/Data_Geotech[[#This Row],[Run Reel (m)]]*100</f>
        <v>#DIV/0!</v>
      </c>
      <c r="P359" s="115"/>
      <c r="Q359" s="5"/>
      <c r="R359" s="5"/>
      <c r="S359" s="5"/>
      <c r="T359" s="5"/>
      <c r="U359" s="5"/>
      <c r="V359" s="6"/>
      <c r="W359" s="92">
        <f>SUMIFS(Discontinuities!$D$4:$D$9664,Discontinuities!$A$4:$A$9664,A359,Discontinuities!$C$4:$C$9664,"&gt;="&amp;C359,Discontinuities!$C$4:$C$9664,"&lt;"&amp;D359)
-SUMIFS(Discontinuities!$D$4:$D$9664,Discontinuities!$A$4:$A$9664,A359,Discontinuities!$C$4:$C$9664,"&gt;="&amp;C359,Discontinuities!$C$4:$C$9664,"&lt;"&amp;D359,Discontinuities!$E$4:$E$9664,"=BC")
-SUMIFS(Discontinuities!$D$4:$D$9664,Discontinuities!$A$4:$A$9664,A359,Discontinuities!$C$4:$C$9664,"&gt;="&amp;C359,Discontinuities!$C$4:$C$9664,"&lt;"&amp;D359,Discontinuities!$E$4:$E$9664,"=LC")
-SUMIFS(Discontinuities!$D$4:$D$9664,Discontinuities!$A$4:$A$9664,A359,Discontinuities!$C$4:$C$9664,"&gt;="&amp;C359,Discontinuities!$C$4:$C$9664,"&lt;"&amp;D359,Discontinuities!$E$4:$E$9664,"=FLT")</f>
        <v>0</v>
      </c>
      <c r="AA359" s="132"/>
      <c r="AB359" s="159">
        <f>IFERROR(ROUND((Data_Geotech[[#This Row],[Fault (m)]]+Data_Geotech[[#This Row],[Broken Core (m)]]+Data_Geotech[[#This Row],[Lost Core (m)]])*30,0),0)</f>
        <v>0</v>
      </c>
      <c r="AC359" s="135">
        <f>IF(Data_Geotech[[#This Row],[Added fractures 
(BC, FLT, LC)]]+Data_Geotech[[#This Row],[Fracture per interval]]=0,99,1/((Data_Geotech[[#This Row],[Fracture per interval]]+Data_Geotech[[#This Row],[Added fractures 
(BC, FLT, LC)]])/Data_Geotech[[#This Row],[Run (m)]]))</f>
        <v>99</v>
      </c>
      <c r="AD359" s="160" t="str" cm="1">
        <f t="array" ref="AD359">IFERROR(_xlfn.XLOOKUP(1,(A359=PLT!$A$4:$A$8886)*(Geotech!C359&lt;=PLT!$F$4:$F$8886)*(Geotech!D359&gt;=PLT!$F$4:$F$8886)*("Valid"=PLT!$P$4:$P$8886),PLT!$V$4:$V$8886),"")</f>
        <v/>
      </c>
      <c r="AE359" s="161" t="str" cm="1">
        <f t="array" ref="AE359">IFERROR(_xlfn.XLOOKUP(1,(A359=PLT!$A$4:$A$8886)*(Geotech!C359&lt;=PLT!$F$4:$F$8886)*(Geotech!D359&gt;=PLT!$F$4:$F$8886)*(PLT!$V$4:$V$8886&lt;&gt;AD359)*("Valid"=PLT!$P$4:$P$7190),PLT!$V$4:$V$8886),"")</f>
        <v/>
      </c>
      <c r="AF359" s="161" t="str" cm="1">
        <f t="array" ref="AF359">IFERROR(_xlfn.XLOOKUP(1,(A359=PLT!$A$4:$A$8886)*(Geotech!C359&lt;=PLT!$F$4:$F$8886)*(Geotech!D359&gt;=PLT!$F$4:$F$8886)*(PLT!$V$4:$V$8886&lt;&gt;AD359)*(PLT!$V$4:$V$8886&lt;&gt;AE359)*("Valid"=PLT!$P$4:$P$7190),PLT!$V$4:$V$8886),"")</f>
        <v/>
      </c>
      <c r="AG359" s="162" t="str">
        <f>IFERROR(IF(AVERAGE(AD359:AF359)&gt;References!$BO$23,References!$BP$23,
IF(AVERAGE(AD359:AF359)&gt;References!$BO$22,References!$BP$22,
IF(AVERAGE(AD359:AF359)&gt;References!$BO$21,References!$BP$21,
IF(AVERAGE(AD359:AF359)&gt;References!$BO$20,References!$BP$20,
IF(AVERAGE(AD359:AF359)&gt;References!$BO$19,References!$BP$19,
IF(AVERAGE(AD359:AF359)&gt;References!$BO$18,References!$BP$18,
0)))))),"")</f>
        <v/>
      </c>
      <c r="AH359" s="163" t="e">
        <f>VLOOKUP(Data_Geotech[[#This Row],[Field Intact Rock Strength]],Table_RMR76_Strength[],2,FALSE)</f>
        <v>#N/A</v>
      </c>
      <c r="AI359" s="163" t="e">
        <f>IF(Data_Geotech[[#This Row],[RQD (%)]]&lt;=25,3,IF(Data_Geotech[[#This Row],[RQD (%)]]&lt;=50,8,IF(Data_Geotech[[#This Row],[RQD (%)]]&lt;=75,13,IF(Data_Geotech[[#This Row],[RQD (%)]]&lt;=90,17,20))))</f>
        <v>#DIV/0!</v>
      </c>
      <c r="AJ359" s="136">
        <f>IF(Data_Geotech[[#This Row],[Joint spacing (m)]]&lt;=0.05,5,IF(Data_Geotech[[#This Row],[Joint spacing (m)]]&lt;=0.3,10,IF(Data_Geotech[[#This Row],[Joint spacing (m)]]&lt;=1,20,IF(Data_Geotech[[#This Row],[Joint spacing (m)]]&lt;=3,25,30))))</f>
        <v>30</v>
      </c>
      <c r="AK35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59" s="6"/>
      <c r="AM359" s="137" t="str">
        <f>IF(Data_Geotech[[#This Row],[FIRS Code]]="R",IFERROR(SUM(Data_Geotech[[#This Row],[RMR76 - Strength rating]:[RMR76 - Ground water rating]]),""),"")</f>
        <v/>
      </c>
      <c r="AN359" s="164" t="str">
        <f>IF(Data_Geotech[[#This Row],[FIRS Code]]="R",(2*Data_Geotech[[#This Row],[RMR76 - Joint condition rating]])+(IF(Data_Geotech[[#This Row],[RQD (%)]]&gt;80,80/2,Data_Geotech[[#This Row],[RQD (%)]]/2)),"")</f>
        <v/>
      </c>
      <c r="AO359" s="136" t="e">
        <f>LEFT(Data_Geotech[[#This Row],[Joint Set Rating]],FIND("-",Data_Geotech[[#This Row],[Joint Set Rating]],1)-2)</f>
        <v>#VALUE!</v>
      </c>
      <c r="AP35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59" s="143">
        <f t="shared" si="7"/>
        <v>1</v>
      </c>
      <c r="AR359" s="165" t="str">
        <f>IF(Data_Geotech[[#This Row],[FIRS Code]]="R",IFERROR((IF(Data_Geotech[[#This Row],[RQD (%)]]&lt;10,10,Data_Geotech[[#This Row],[RQD (%)]])/Data_Geotech[[#This Row],[Jn rating]])*Data_Geotech[[#This Row],[Jr/Ja]],""),"")</f>
        <v/>
      </c>
      <c r="AS359" s="138" t="str">
        <f>IF(Data_Geotech[[#This Row],[FIRS Code]]="R",IFERROR((IF(Data_Geotech[[#This Row],[RQD (%)]]&lt;10,10,Data_Geotech[[#This Row],[RQD (%)]])/Data_Geotech[[#This Row],[Jn rating]])*Data_Geotech[[#This Row],[Jr/Ja]]*Data_Geotech[[#This Row],[Jw/SRF]],""),"")</f>
        <v/>
      </c>
      <c r="AT359" s="12"/>
      <c r="AU359" s="13" t="e">
        <f>100-Data_Geotech[[#This Row],[RQD (%)]]</f>
        <v>#DIV/0!</v>
      </c>
      <c r="AV359" s="13" t="e">
        <f>100-Data_Geotech[[#This Row],[TCR (%)]]</f>
        <v>#DIV/0!</v>
      </c>
      <c r="AW359" s="62" t="e">
        <f>(Data_Geotech[[#This Row],[Fracture per interval]]+Data_Geotech[[#This Row],[Added fractures 
(BC, FLT, LC)]])/Data_Geotech[[#This Row],[TCR (m)]]</f>
        <v>#DIV/0!</v>
      </c>
      <c r="AX359" s="62" t="str">
        <f>MID(Data_Geotech[[#This Row],[Field Intact Rock Strength]],2,1)</f>
        <v/>
      </c>
      <c r="AY359" s="63" t="e">
        <f>7-MID(Data_Geotech[[#This Row],[Field Intact Rock Strength]],2,1)</f>
        <v>#VALUE!</v>
      </c>
      <c r="AZ359" s="63" t="e">
        <f>VLOOKUP(Data_Geotech[[#This Row],[Field Intact Rock Strength]],Table_FieldStrength[],2,FALSE)</f>
        <v>#N/A</v>
      </c>
      <c r="BA359" s="63" t="e">
        <f>VLOOKUP(Data_Geotech[[#This Row],[Field Intact Rock Strength]],Table_FieldStrength[],3,FALSE)</f>
        <v>#N/A</v>
      </c>
      <c r="BB359" s="63" t="e">
        <f>VLOOKUP(Data_Geotech[[#This Row],[Field Intact Rock Strength]],Table_FieldStrength[],4,FALSE)</f>
        <v>#N/A</v>
      </c>
      <c r="BC359" s="63" t="e">
        <f>100-Data_Geotech[[#This Row],[RMR76]]</f>
        <v>#VALUE!</v>
      </c>
      <c r="BD359" s="63" t="e">
        <f>LEFT(Data_Geotech[[#This Row],[Weathering/Alteration]],FIND("-",Data_Geotech[[#This Row],[Weathering/Alteration]])-2)</f>
        <v>#VALUE!</v>
      </c>
    </row>
    <row r="360" spans="1:56" hidden="1" x14ac:dyDescent="0.25">
      <c r="A360" s="14"/>
      <c r="B360" s="166" t="e">
        <f>VLOOKUP(Data_Geotech[[#This Row],[Hole ID]],Data_Log[],2,FALSE)</f>
        <v>#N/A</v>
      </c>
      <c r="C360" s="5"/>
      <c r="D360" s="5"/>
      <c r="E360" s="5">
        <f>(Data_Geotech[[#This Row],[To (m)]]-Data_Geotech[[#This Row],[From (m)]])/2+Data_Geotech[[#This Row],[From (m)]]</f>
        <v>0</v>
      </c>
      <c r="F360" s="13">
        <f>Data_Geotech[[#This Row],[To (m)]]-Data_Geotech[[#This Row],[From (m)]]</f>
        <v>0</v>
      </c>
      <c r="G360" s="5"/>
      <c r="H360" s="13" t="e">
        <f>Data_Geotech[[#This Row],[TCR (m)]]/Data_Geotech[[#This Row],[Run (m)]]*100</f>
        <v>#DIV/0!</v>
      </c>
      <c r="I360" s="5"/>
      <c r="J360" s="5"/>
      <c r="K360" s="5"/>
      <c r="L360" s="13" t="e">
        <f>Data_Geotech[[#This Row],[RQD (m)]]/Data_Geotech[[#This Row],[Run Reel (m)]]*100</f>
        <v>#DIV/0!</v>
      </c>
      <c r="P360" s="115"/>
      <c r="Q360" s="5"/>
      <c r="R360" s="5"/>
      <c r="S360" s="5"/>
      <c r="T360" s="5"/>
      <c r="U360" s="5"/>
      <c r="V360" s="6"/>
      <c r="W360" s="92">
        <f>SUMIFS(Discontinuities!$D$4:$D$9664,Discontinuities!$A$4:$A$9664,A360,Discontinuities!$C$4:$C$9664,"&gt;="&amp;C360,Discontinuities!$C$4:$C$9664,"&lt;"&amp;D360)
-SUMIFS(Discontinuities!$D$4:$D$9664,Discontinuities!$A$4:$A$9664,A360,Discontinuities!$C$4:$C$9664,"&gt;="&amp;C360,Discontinuities!$C$4:$C$9664,"&lt;"&amp;D360,Discontinuities!$E$4:$E$9664,"=BC")
-SUMIFS(Discontinuities!$D$4:$D$9664,Discontinuities!$A$4:$A$9664,A360,Discontinuities!$C$4:$C$9664,"&gt;="&amp;C360,Discontinuities!$C$4:$C$9664,"&lt;"&amp;D360,Discontinuities!$E$4:$E$9664,"=LC")
-SUMIFS(Discontinuities!$D$4:$D$9664,Discontinuities!$A$4:$A$9664,A360,Discontinuities!$C$4:$C$9664,"&gt;="&amp;C360,Discontinuities!$C$4:$C$9664,"&lt;"&amp;D360,Discontinuities!$E$4:$E$9664,"=FLT")</f>
        <v>0</v>
      </c>
      <c r="AA360" s="132"/>
      <c r="AB360" s="159">
        <f>IFERROR(ROUND((Data_Geotech[[#This Row],[Fault (m)]]+Data_Geotech[[#This Row],[Broken Core (m)]]+Data_Geotech[[#This Row],[Lost Core (m)]])*30,0),0)</f>
        <v>0</v>
      </c>
      <c r="AC360" s="135">
        <f>IF(Data_Geotech[[#This Row],[Added fractures 
(BC, FLT, LC)]]+Data_Geotech[[#This Row],[Fracture per interval]]=0,99,1/((Data_Geotech[[#This Row],[Fracture per interval]]+Data_Geotech[[#This Row],[Added fractures 
(BC, FLT, LC)]])/Data_Geotech[[#This Row],[Run (m)]]))</f>
        <v>99</v>
      </c>
      <c r="AD360" s="160" t="str" cm="1">
        <f t="array" ref="AD360">IFERROR(_xlfn.XLOOKUP(1,(A360=PLT!$A$4:$A$8886)*(Geotech!C360&lt;=PLT!$F$4:$F$8886)*(Geotech!D360&gt;=PLT!$F$4:$F$8886)*("Valid"=PLT!$P$4:$P$8886),PLT!$V$4:$V$8886),"")</f>
        <v/>
      </c>
      <c r="AE360" s="161" t="str" cm="1">
        <f t="array" ref="AE360">IFERROR(_xlfn.XLOOKUP(1,(A360=PLT!$A$4:$A$8886)*(Geotech!C360&lt;=PLT!$F$4:$F$8886)*(Geotech!D360&gt;=PLT!$F$4:$F$8886)*(PLT!$V$4:$V$8886&lt;&gt;AD360)*("Valid"=PLT!$P$4:$P$7190),PLT!$V$4:$V$8886),"")</f>
        <v/>
      </c>
      <c r="AF360" s="161" t="str" cm="1">
        <f t="array" ref="AF360">IFERROR(_xlfn.XLOOKUP(1,(A360=PLT!$A$4:$A$8886)*(Geotech!C360&lt;=PLT!$F$4:$F$8886)*(Geotech!D360&gt;=PLT!$F$4:$F$8886)*(PLT!$V$4:$V$8886&lt;&gt;AD360)*(PLT!$V$4:$V$8886&lt;&gt;AE360)*("Valid"=PLT!$P$4:$P$7190),PLT!$V$4:$V$8886),"")</f>
        <v/>
      </c>
      <c r="AG360" s="162" t="str">
        <f>IFERROR(IF(AVERAGE(AD360:AF360)&gt;References!$BO$23,References!$BP$23,
IF(AVERAGE(AD360:AF360)&gt;References!$BO$22,References!$BP$22,
IF(AVERAGE(AD360:AF360)&gt;References!$BO$21,References!$BP$21,
IF(AVERAGE(AD360:AF360)&gt;References!$BO$20,References!$BP$20,
IF(AVERAGE(AD360:AF360)&gt;References!$BO$19,References!$BP$19,
IF(AVERAGE(AD360:AF360)&gt;References!$BO$18,References!$BP$18,
0)))))),"")</f>
        <v/>
      </c>
      <c r="AH360" s="163" t="e">
        <f>VLOOKUP(Data_Geotech[[#This Row],[Field Intact Rock Strength]],Table_RMR76_Strength[],2,FALSE)</f>
        <v>#N/A</v>
      </c>
      <c r="AI360" s="163" t="e">
        <f>IF(Data_Geotech[[#This Row],[RQD (%)]]&lt;=25,3,IF(Data_Geotech[[#This Row],[RQD (%)]]&lt;=50,8,IF(Data_Geotech[[#This Row],[RQD (%)]]&lt;=75,13,IF(Data_Geotech[[#This Row],[RQD (%)]]&lt;=90,17,20))))</f>
        <v>#DIV/0!</v>
      </c>
      <c r="AJ360" s="136">
        <f>IF(Data_Geotech[[#This Row],[Joint spacing (m)]]&lt;=0.05,5,IF(Data_Geotech[[#This Row],[Joint spacing (m)]]&lt;=0.3,10,IF(Data_Geotech[[#This Row],[Joint spacing (m)]]&lt;=1,20,IF(Data_Geotech[[#This Row],[Joint spacing (m)]]&lt;=3,25,30))))</f>
        <v>30</v>
      </c>
      <c r="AK36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0" s="6"/>
      <c r="AM360" s="137" t="str">
        <f>IF(Data_Geotech[[#This Row],[FIRS Code]]="R",IFERROR(SUM(Data_Geotech[[#This Row],[RMR76 - Strength rating]:[RMR76 - Ground water rating]]),""),"")</f>
        <v/>
      </c>
      <c r="AN360" s="164" t="str">
        <f>IF(Data_Geotech[[#This Row],[FIRS Code]]="R",(2*Data_Geotech[[#This Row],[RMR76 - Joint condition rating]])+(IF(Data_Geotech[[#This Row],[RQD (%)]]&gt;80,80/2,Data_Geotech[[#This Row],[RQD (%)]]/2)),"")</f>
        <v/>
      </c>
      <c r="AO360" s="136" t="e">
        <f>LEFT(Data_Geotech[[#This Row],[Joint Set Rating]],FIND("-",Data_Geotech[[#This Row],[Joint Set Rating]],1)-2)</f>
        <v>#VALUE!</v>
      </c>
      <c r="AP36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0" s="143">
        <f t="shared" si="7"/>
        <v>1</v>
      </c>
      <c r="AR360" s="165" t="str">
        <f>IF(Data_Geotech[[#This Row],[FIRS Code]]="R",IFERROR((IF(Data_Geotech[[#This Row],[RQD (%)]]&lt;10,10,Data_Geotech[[#This Row],[RQD (%)]])/Data_Geotech[[#This Row],[Jn rating]])*Data_Geotech[[#This Row],[Jr/Ja]],""),"")</f>
        <v/>
      </c>
      <c r="AS360" s="138" t="str">
        <f>IF(Data_Geotech[[#This Row],[FIRS Code]]="R",IFERROR((IF(Data_Geotech[[#This Row],[RQD (%)]]&lt;10,10,Data_Geotech[[#This Row],[RQD (%)]])/Data_Geotech[[#This Row],[Jn rating]])*Data_Geotech[[#This Row],[Jr/Ja]]*Data_Geotech[[#This Row],[Jw/SRF]],""),"")</f>
        <v/>
      </c>
      <c r="AT360" s="12"/>
      <c r="AU360" s="13" t="e">
        <f>100-Data_Geotech[[#This Row],[RQD (%)]]</f>
        <v>#DIV/0!</v>
      </c>
      <c r="AV360" s="13" t="e">
        <f>100-Data_Geotech[[#This Row],[TCR (%)]]</f>
        <v>#DIV/0!</v>
      </c>
      <c r="AW360" s="62" t="e">
        <f>(Data_Geotech[[#This Row],[Fracture per interval]]+Data_Geotech[[#This Row],[Added fractures 
(BC, FLT, LC)]])/Data_Geotech[[#This Row],[TCR (m)]]</f>
        <v>#DIV/0!</v>
      </c>
      <c r="AX360" s="62" t="str">
        <f>MID(Data_Geotech[[#This Row],[Field Intact Rock Strength]],2,1)</f>
        <v/>
      </c>
      <c r="AY360" s="63" t="e">
        <f>7-MID(Data_Geotech[[#This Row],[Field Intact Rock Strength]],2,1)</f>
        <v>#VALUE!</v>
      </c>
      <c r="AZ360" s="63" t="e">
        <f>VLOOKUP(Data_Geotech[[#This Row],[Field Intact Rock Strength]],Table_FieldStrength[],2,FALSE)</f>
        <v>#N/A</v>
      </c>
      <c r="BA360" s="63" t="e">
        <f>VLOOKUP(Data_Geotech[[#This Row],[Field Intact Rock Strength]],Table_FieldStrength[],3,FALSE)</f>
        <v>#N/A</v>
      </c>
      <c r="BB360" s="63" t="e">
        <f>VLOOKUP(Data_Geotech[[#This Row],[Field Intact Rock Strength]],Table_FieldStrength[],4,FALSE)</f>
        <v>#N/A</v>
      </c>
      <c r="BC360" s="63" t="e">
        <f>100-Data_Geotech[[#This Row],[RMR76]]</f>
        <v>#VALUE!</v>
      </c>
      <c r="BD360" s="63" t="e">
        <f>LEFT(Data_Geotech[[#This Row],[Weathering/Alteration]],FIND("-",Data_Geotech[[#This Row],[Weathering/Alteration]])-2)</f>
        <v>#VALUE!</v>
      </c>
    </row>
    <row r="361" spans="1:56" hidden="1" x14ac:dyDescent="0.25">
      <c r="A361" s="14"/>
      <c r="B361" s="166" t="e">
        <f>VLOOKUP(Data_Geotech[[#This Row],[Hole ID]],Data_Log[],2,FALSE)</f>
        <v>#N/A</v>
      </c>
      <c r="C361" s="5"/>
      <c r="D361" s="5"/>
      <c r="E361" s="5">
        <f>(Data_Geotech[[#This Row],[To (m)]]-Data_Geotech[[#This Row],[From (m)]])/2+Data_Geotech[[#This Row],[From (m)]]</f>
        <v>0</v>
      </c>
      <c r="F361" s="13">
        <f>Data_Geotech[[#This Row],[To (m)]]-Data_Geotech[[#This Row],[From (m)]]</f>
        <v>0</v>
      </c>
      <c r="G361" s="5"/>
      <c r="H361" s="13" t="e">
        <f>Data_Geotech[[#This Row],[TCR (m)]]/Data_Geotech[[#This Row],[Run (m)]]*100</f>
        <v>#DIV/0!</v>
      </c>
      <c r="I361" s="5"/>
      <c r="J361" s="5"/>
      <c r="K361" s="5"/>
      <c r="L361" s="13" t="e">
        <f>Data_Geotech[[#This Row],[RQD (m)]]/Data_Geotech[[#This Row],[Run Reel (m)]]*100</f>
        <v>#DIV/0!</v>
      </c>
      <c r="P361" s="115"/>
      <c r="Q361" s="5"/>
      <c r="R361" s="5"/>
      <c r="S361" s="5"/>
      <c r="T361" s="5"/>
      <c r="U361" s="5"/>
      <c r="V361" s="6"/>
      <c r="W361" s="92">
        <f>SUMIFS(Discontinuities!$D$4:$D$9664,Discontinuities!$A$4:$A$9664,A361,Discontinuities!$C$4:$C$9664,"&gt;="&amp;C361,Discontinuities!$C$4:$C$9664,"&lt;"&amp;D361)
-SUMIFS(Discontinuities!$D$4:$D$9664,Discontinuities!$A$4:$A$9664,A361,Discontinuities!$C$4:$C$9664,"&gt;="&amp;C361,Discontinuities!$C$4:$C$9664,"&lt;"&amp;D361,Discontinuities!$E$4:$E$9664,"=BC")
-SUMIFS(Discontinuities!$D$4:$D$9664,Discontinuities!$A$4:$A$9664,A361,Discontinuities!$C$4:$C$9664,"&gt;="&amp;C361,Discontinuities!$C$4:$C$9664,"&lt;"&amp;D361,Discontinuities!$E$4:$E$9664,"=LC")
-SUMIFS(Discontinuities!$D$4:$D$9664,Discontinuities!$A$4:$A$9664,A361,Discontinuities!$C$4:$C$9664,"&gt;="&amp;C361,Discontinuities!$C$4:$C$9664,"&lt;"&amp;D361,Discontinuities!$E$4:$E$9664,"=FLT")</f>
        <v>0</v>
      </c>
      <c r="AA361" s="132"/>
      <c r="AB361" s="159">
        <f>IFERROR(ROUND((Data_Geotech[[#This Row],[Fault (m)]]+Data_Geotech[[#This Row],[Broken Core (m)]]+Data_Geotech[[#This Row],[Lost Core (m)]])*30,0),0)</f>
        <v>0</v>
      </c>
      <c r="AC361" s="135">
        <f>IF(Data_Geotech[[#This Row],[Added fractures 
(BC, FLT, LC)]]+Data_Geotech[[#This Row],[Fracture per interval]]=0,99,1/((Data_Geotech[[#This Row],[Fracture per interval]]+Data_Geotech[[#This Row],[Added fractures 
(BC, FLT, LC)]])/Data_Geotech[[#This Row],[Run (m)]]))</f>
        <v>99</v>
      </c>
      <c r="AD361" s="160" t="str" cm="1">
        <f t="array" ref="AD361">IFERROR(_xlfn.XLOOKUP(1,(A361=PLT!$A$4:$A$8886)*(Geotech!C361&lt;=PLT!$F$4:$F$8886)*(Geotech!D361&gt;=PLT!$F$4:$F$8886)*("Valid"=PLT!$P$4:$P$8886),PLT!$V$4:$V$8886),"")</f>
        <v/>
      </c>
      <c r="AE361" s="161" t="str" cm="1">
        <f t="array" ref="AE361">IFERROR(_xlfn.XLOOKUP(1,(A361=PLT!$A$4:$A$8886)*(Geotech!C361&lt;=PLT!$F$4:$F$8886)*(Geotech!D361&gt;=PLT!$F$4:$F$8886)*(PLT!$V$4:$V$8886&lt;&gt;AD361)*("Valid"=PLT!$P$4:$P$7190),PLT!$V$4:$V$8886),"")</f>
        <v/>
      </c>
      <c r="AF361" s="161" t="str" cm="1">
        <f t="array" ref="AF361">IFERROR(_xlfn.XLOOKUP(1,(A361=PLT!$A$4:$A$8886)*(Geotech!C361&lt;=PLT!$F$4:$F$8886)*(Geotech!D361&gt;=PLT!$F$4:$F$8886)*(PLT!$V$4:$V$8886&lt;&gt;AD361)*(PLT!$V$4:$V$8886&lt;&gt;AE361)*("Valid"=PLT!$P$4:$P$7190),PLT!$V$4:$V$8886),"")</f>
        <v/>
      </c>
      <c r="AG361" s="162" t="str">
        <f>IFERROR(IF(AVERAGE(AD361:AF361)&gt;References!$BO$23,References!$BP$23,
IF(AVERAGE(AD361:AF361)&gt;References!$BO$22,References!$BP$22,
IF(AVERAGE(AD361:AF361)&gt;References!$BO$21,References!$BP$21,
IF(AVERAGE(AD361:AF361)&gt;References!$BO$20,References!$BP$20,
IF(AVERAGE(AD361:AF361)&gt;References!$BO$19,References!$BP$19,
IF(AVERAGE(AD361:AF361)&gt;References!$BO$18,References!$BP$18,
0)))))),"")</f>
        <v/>
      </c>
      <c r="AH361" s="163" t="e">
        <f>VLOOKUP(Data_Geotech[[#This Row],[Field Intact Rock Strength]],Table_RMR76_Strength[],2,FALSE)</f>
        <v>#N/A</v>
      </c>
      <c r="AI361" s="163" t="e">
        <f>IF(Data_Geotech[[#This Row],[RQD (%)]]&lt;=25,3,IF(Data_Geotech[[#This Row],[RQD (%)]]&lt;=50,8,IF(Data_Geotech[[#This Row],[RQD (%)]]&lt;=75,13,IF(Data_Geotech[[#This Row],[RQD (%)]]&lt;=90,17,20))))</f>
        <v>#DIV/0!</v>
      </c>
      <c r="AJ361" s="136">
        <f>IF(Data_Geotech[[#This Row],[Joint spacing (m)]]&lt;=0.05,5,IF(Data_Geotech[[#This Row],[Joint spacing (m)]]&lt;=0.3,10,IF(Data_Geotech[[#This Row],[Joint spacing (m)]]&lt;=1,20,IF(Data_Geotech[[#This Row],[Joint spacing (m)]]&lt;=3,25,30))))</f>
        <v>30</v>
      </c>
      <c r="AK36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1" s="6"/>
      <c r="AM361" s="137" t="str">
        <f>IF(Data_Geotech[[#This Row],[FIRS Code]]="R",IFERROR(SUM(Data_Geotech[[#This Row],[RMR76 - Strength rating]:[RMR76 - Ground water rating]]),""),"")</f>
        <v/>
      </c>
      <c r="AN361" s="164" t="str">
        <f>IF(Data_Geotech[[#This Row],[FIRS Code]]="R",(2*Data_Geotech[[#This Row],[RMR76 - Joint condition rating]])+(IF(Data_Geotech[[#This Row],[RQD (%)]]&gt;80,80/2,Data_Geotech[[#This Row],[RQD (%)]]/2)),"")</f>
        <v/>
      </c>
      <c r="AO361" s="136" t="e">
        <f>LEFT(Data_Geotech[[#This Row],[Joint Set Rating]],FIND("-",Data_Geotech[[#This Row],[Joint Set Rating]],1)-2)</f>
        <v>#VALUE!</v>
      </c>
      <c r="AP36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1" s="143">
        <f t="shared" si="7"/>
        <v>1</v>
      </c>
      <c r="AR361" s="165" t="str">
        <f>IF(Data_Geotech[[#This Row],[FIRS Code]]="R",IFERROR((IF(Data_Geotech[[#This Row],[RQD (%)]]&lt;10,10,Data_Geotech[[#This Row],[RQD (%)]])/Data_Geotech[[#This Row],[Jn rating]])*Data_Geotech[[#This Row],[Jr/Ja]],""),"")</f>
        <v/>
      </c>
      <c r="AS361" s="138" t="str">
        <f>IF(Data_Geotech[[#This Row],[FIRS Code]]="R",IFERROR((IF(Data_Geotech[[#This Row],[RQD (%)]]&lt;10,10,Data_Geotech[[#This Row],[RQD (%)]])/Data_Geotech[[#This Row],[Jn rating]])*Data_Geotech[[#This Row],[Jr/Ja]]*Data_Geotech[[#This Row],[Jw/SRF]],""),"")</f>
        <v/>
      </c>
      <c r="AT361" s="12"/>
      <c r="AU361" s="13" t="e">
        <f>100-Data_Geotech[[#This Row],[RQD (%)]]</f>
        <v>#DIV/0!</v>
      </c>
      <c r="AV361" s="13" t="e">
        <f>100-Data_Geotech[[#This Row],[TCR (%)]]</f>
        <v>#DIV/0!</v>
      </c>
      <c r="AW361" s="62" t="e">
        <f>(Data_Geotech[[#This Row],[Fracture per interval]]+Data_Geotech[[#This Row],[Added fractures 
(BC, FLT, LC)]])/Data_Geotech[[#This Row],[TCR (m)]]</f>
        <v>#DIV/0!</v>
      </c>
      <c r="AX361" s="62" t="str">
        <f>MID(Data_Geotech[[#This Row],[Field Intact Rock Strength]],2,1)</f>
        <v/>
      </c>
      <c r="AY361" s="63" t="e">
        <f>7-MID(Data_Geotech[[#This Row],[Field Intact Rock Strength]],2,1)</f>
        <v>#VALUE!</v>
      </c>
      <c r="AZ361" s="63" t="e">
        <f>VLOOKUP(Data_Geotech[[#This Row],[Field Intact Rock Strength]],Table_FieldStrength[],2,FALSE)</f>
        <v>#N/A</v>
      </c>
      <c r="BA361" s="63" t="e">
        <f>VLOOKUP(Data_Geotech[[#This Row],[Field Intact Rock Strength]],Table_FieldStrength[],3,FALSE)</f>
        <v>#N/A</v>
      </c>
      <c r="BB361" s="63" t="e">
        <f>VLOOKUP(Data_Geotech[[#This Row],[Field Intact Rock Strength]],Table_FieldStrength[],4,FALSE)</f>
        <v>#N/A</v>
      </c>
      <c r="BC361" s="63" t="e">
        <f>100-Data_Geotech[[#This Row],[RMR76]]</f>
        <v>#VALUE!</v>
      </c>
      <c r="BD361" s="63" t="e">
        <f>LEFT(Data_Geotech[[#This Row],[Weathering/Alteration]],FIND("-",Data_Geotech[[#This Row],[Weathering/Alteration]])-2)</f>
        <v>#VALUE!</v>
      </c>
    </row>
    <row r="362" spans="1:56" hidden="1" x14ac:dyDescent="0.25">
      <c r="A362" s="14"/>
      <c r="B362" s="166" t="e">
        <f>VLOOKUP(Data_Geotech[[#This Row],[Hole ID]],Data_Log[],2,FALSE)</f>
        <v>#N/A</v>
      </c>
      <c r="C362" s="5"/>
      <c r="D362" s="5"/>
      <c r="E362" s="5">
        <f>(Data_Geotech[[#This Row],[To (m)]]-Data_Geotech[[#This Row],[From (m)]])/2+Data_Geotech[[#This Row],[From (m)]]</f>
        <v>0</v>
      </c>
      <c r="F362" s="13">
        <f>Data_Geotech[[#This Row],[To (m)]]-Data_Geotech[[#This Row],[From (m)]]</f>
        <v>0</v>
      </c>
      <c r="G362" s="5"/>
      <c r="H362" s="13" t="e">
        <f>Data_Geotech[[#This Row],[TCR (m)]]/Data_Geotech[[#This Row],[Run (m)]]*100</f>
        <v>#DIV/0!</v>
      </c>
      <c r="I362" s="5"/>
      <c r="J362" s="5"/>
      <c r="K362" s="5"/>
      <c r="L362" s="13" t="e">
        <f>Data_Geotech[[#This Row],[RQD (m)]]/Data_Geotech[[#This Row],[Run Reel (m)]]*100</f>
        <v>#DIV/0!</v>
      </c>
      <c r="P362" s="115"/>
      <c r="Q362" s="5"/>
      <c r="R362" s="5"/>
      <c r="S362" s="5"/>
      <c r="T362" s="5"/>
      <c r="U362" s="5"/>
      <c r="V362" s="6"/>
      <c r="W362" s="92">
        <f>SUMIFS(Discontinuities!$D$4:$D$9664,Discontinuities!$A$4:$A$9664,A362,Discontinuities!$C$4:$C$9664,"&gt;="&amp;C362,Discontinuities!$C$4:$C$9664,"&lt;"&amp;D362)
-SUMIFS(Discontinuities!$D$4:$D$9664,Discontinuities!$A$4:$A$9664,A362,Discontinuities!$C$4:$C$9664,"&gt;="&amp;C362,Discontinuities!$C$4:$C$9664,"&lt;"&amp;D362,Discontinuities!$E$4:$E$9664,"=BC")
-SUMIFS(Discontinuities!$D$4:$D$9664,Discontinuities!$A$4:$A$9664,A362,Discontinuities!$C$4:$C$9664,"&gt;="&amp;C362,Discontinuities!$C$4:$C$9664,"&lt;"&amp;D362,Discontinuities!$E$4:$E$9664,"=LC")
-SUMIFS(Discontinuities!$D$4:$D$9664,Discontinuities!$A$4:$A$9664,A362,Discontinuities!$C$4:$C$9664,"&gt;="&amp;C362,Discontinuities!$C$4:$C$9664,"&lt;"&amp;D362,Discontinuities!$E$4:$E$9664,"=FLT")</f>
        <v>0</v>
      </c>
      <c r="AA362" s="132"/>
      <c r="AB362" s="159">
        <f>IFERROR(ROUND((Data_Geotech[[#This Row],[Fault (m)]]+Data_Geotech[[#This Row],[Broken Core (m)]]+Data_Geotech[[#This Row],[Lost Core (m)]])*30,0),0)</f>
        <v>0</v>
      </c>
      <c r="AC362" s="135">
        <f>IF(Data_Geotech[[#This Row],[Added fractures 
(BC, FLT, LC)]]+Data_Geotech[[#This Row],[Fracture per interval]]=0,99,1/((Data_Geotech[[#This Row],[Fracture per interval]]+Data_Geotech[[#This Row],[Added fractures 
(BC, FLT, LC)]])/Data_Geotech[[#This Row],[Run (m)]]))</f>
        <v>99</v>
      </c>
      <c r="AD362" s="160" t="str" cm="1">
        <f t="array" ref="AD362">IFERROR(_xlfn.XLOOKUP(1,(A362=PLT!$A$4:$A$8886)*(Geotech!C362&lt;=PLT!$F$4:$F$8886)*(Geotech!D362&gt;=PLT!$F$4:$F$8886)*("Valid"=PLT!$P$4:$P$8886),PLT!$V$4:$V$8886),"")</f>
        <v/>
      </c>
      <c r="AE362" s="161" t="str" cm="1">
        <f t="array" ref="AE362">IFERROR(_xlfn.XLOOKUP(1,(A362=PLT!$A$4:$A$8886)*(Geotech!C362&lt;=PLT!$F$4:$F$8886)*(Geotech!D362&gt;=PLT!$F$4:$F$8886)*(PLT!$V$4:$V$8886&lt;&gt;AD362)*("Valid"=PLT!$P$4:$P$7190),PLT!$V$4:$V$8886),"")</f>
        <v/>
      </c>
      <c r="AF362" s="161" t="str" cm="1">
        <f t="array" ref="AF362">IFERROR(_xlfn.XLOOKUP(1,(A362=PLT!$A$4:$A$8886)*(Geotech!C362&lt;=PLT!$F$4:$F$8886)*(Geotech!D362&gt;=PLT!$F$4:$F$8886)*(PLT!$V$4:$V$8886&lt;&gt;AD362)*(PLT!$V$4:$V$8886&lt;&gt;AE362)*("Valid"=PLT!$P$4:$P$7190),PLT!$V$4:$V$8886),"")</f>
        <v/>
      </c>
      <c r="AG362" s="162" t="str">
        <f>IFERROR(IF(AVERAGE(AD362:AF362)&gt;References!$BO$23,References!$BP$23,
IF(AVERAGE(AD362:AF362)&gt;References!$BO$22,References!$BP$22,
IF(AVERAGE(AD362:AF362)&gt;References!$BO$21,References!$BP$21,
IF(AVERAGE(AD362:AF362)&gt;References!$BO$20,References!$BP$20,
IF(AVERAGE(AD362:AF362)&gt;References!$BO$19,References!$BP$19,
IF(AVERAGE(AD362:AF362)&gt;References!$BO$18,References!$BP$18,
0)))))),"")</f>
        <v/>
      </c>
      <c r="AH362" s="163" t="e">
        <f>VLOOKUP(Data_Geotech[[#This Row],[Field Intact Rock Strength]],Table_RMR76_Strength[],2,FALSE)</f>
        <v>#N/A</v>
      </c>
      <c r="AI362" s="163" t="e">
        <f>IF(Data_Geotech[[#This Row],[RQD (%)]]&lt;=25,3,IF(Data_Geotech[[#This Row],[RQD (%)]]&lt;=50,8,IF(Data_Geotech[[#This Row],[RQD (%)]]&lt;=75,13,IF(Data_Geotech[[#This Row],[RQD (%)]]&lt;=90,17,20))))</f>
        <v>#DIV/0!</v>
      </c>
      <c r="AJ362" s="136">
        <f>IF(Data_Geotech[[#This Row],[Joint spacing (m)]]&lt;=0.05,5,IF(Data_Geotech[[#This Row],[Joint spacing (m)]]&lt;=0.3,10,IF(Data_Geotech[[#This Row],[Joint spacing (m)]]&lt;=1,20,IF(Data_Geotech[[#This Row],[Joint spacing (m)]]&lt;=3,25,30))))</f>
        <v>30</v>
      </c>
      <c r="AK36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2" s="6"/>
      <c r="AM362" s="137" t="str">
        <f>IF(Data_Geotech[[#This Row],[FIRS Code]]="R",IFERROR(SUM(Data_Geotech[[#This Row],[RMR76 - Strength rating]:[RMR76 - Ground water rating]]),""),"")</f>
        <v/>
      </c>
      <c r="AN362" s="164" t="str">
        <f>IF(Data_Geotech[[#This Row],[FIRS Code]]="R",(2*Data_Geotech[[#This Row],[RMR76 - Joint condition rating]])+(IF(Data_Geotech[[#This Row],[RQD (%)]]&gt;80,80/2,Data_Geotech[[#This Row],[RQD (%)]]/2)),"")</f>
        <v/>
      </c>
      <c r="AO362" s="136" t="e">
        <f>LEFT(Data_Geotech[[#This Row],[Joint Set Rating]],FIND("-",Data_Geotech[[#This Row],[Joint Set Rating]],1)-2)</f>
        <v>#VALUE!</v>
      </c>
      <c r="AP36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2" s="143">
        <f t="shared" si="7"/>
        <v>1</v>
      </c>
      <c r="AR362" s="165" t="str">
        <f>IF(Data_Geotech[[#This Row],[FIRS Code]]="R",IFERROR((IF(Data_Geotech[[#This Row],[RQD (%)]]&lt;10,10,Data_Geotech[[#This Row],[RQD (%)]])/Data_Geotech[[#This Row],[Jn rating]])*Data_Geotech[[#This Row],[Jr/Ja]],""),"")</f>
        <v/>
      </c>
      <c r="AS362" s="138" t="str">
        <f>IF(Data_Geotech[[#This Row],[FIRS Code]]="R",IFERROR((IF(Data_Geotech[[#This Row],[RQD (%)]]&lt;10,10,Data_Geotech[[#This Row],[RQD (%)]])/Data_Geotech[[#This Row],[Jn rating]])*Data_Geotech[[#This Row],[Jr/Ja]]*Data_Geotech[[#This Row],[Jw/SRF]],""),"")</f>
        <v/>
      </c>
      <c r="AT362" s="12"/>
      <c r="AU362" s="13" t="e">
        <f>100-Data_Geotech[[#This Row],[RQD (%)]]</f>
        <v>#DIV/0!</v>
      </c>
      <c r="AV362" s="13" t="e">
        <f>100-Data_Geotech[[#This Row],[TCR (%)]]</f>
        <v>#DIV/0!</v>
      </c>
      <c r="AW362" s="62" t="e">
        <f>(Data_Geotech[[#This Row],[Fracture per interval]]+Data_Geotech[[#This Row],[Added fractures 
(BC, FLT, LC)]])/Data_Geotech[[#This Row],[TCR (m)]]</f>
        <v>#DIV/0!</v>
      </c>
      <c r="AX362" s="62" t="str">
        <f>MID(Data_Geotech[[#This Row],[Field Intact Rock Strength]],2,1)</f>
        <v/>
      </c>
      <c r="AY362" s="63" t="e">
        <f>7-MID(Data_Geotech[[#This Row],[Field Intact Rock Strength]],2,1)</f>
        <v>#VALUE!</v>
      </c>
      <c r="AZ362" s="63" t="e">
        <f>VLOOKUP(Data_Geotech[[#This Row],[Field Intact Rock Strength]],Table_FieldStrength[],2,FALSE)</f>
        <v>#N/A</v>
      </c>
      <c r="BA362" s="63" t="e">
        <f>VLOOKUP(Data_Geotech[[#This Row],[Field Intact Rock Strength]],Table_FieldStrength[],3,FALSE)</f>
        <v>#N/A</v>
      </c>
      <c r="BB362" s="63" t="e">
        <f>VLOOKUP(Data_Geotech[[#This Row],[Field Intact Rock Strength]],Table_FieldStrength[],4,FALSE)</f>
        <v>#N/A</v>
      </c>
      <c r="BC362" s="63" t="e">
        <f>100-Data_Geotech[[#This Row],[RMR76]]</f>
        <v>#VALUE!</v>
      </c>
      <c r="BD362" s="63" t="e">
        <f>LEFT(Data_Geotech[[#This Row],[Weathering/Alteration]],FIND("-",Data_Geotech[[#This Row],[Weathering/Alteration]])-2)</f>
        <v>#VALUE!</v>
      </c>
    </row>
    <row r="363" spans="1:56" hidden="1" x14ac:dyDescent="0.25">
      <c r="A363" s="14"/>
      <c r="B363" s="166" t="e">
        <f>VLOOKUP(Data_Geotech[[#This Row],[Hole ID]],Data_Log[],2,FALSE)</f>
        <v>#N/A</v>
      </c>
      <c r="C363" s="5"/>
      <c r="D363" s="5"/>
      <c r="E363" s="5">
        <f>(Data_Geotech[[#This Row],[To (m)]]-Data_Geotech[[#This Row],[From (m)]])/2+Data_Geotech[[#This Row],[From (m)]]</f>
        <v>0</v>
      </c>
      <c r="F363" s="13">
        <f>Data_Geotech[[#This Row],[To (m)]]-Data_Geotech[[#This Row],[From (m)]]</f>
        <v>0</v>
      </c>
      <c r="G363" s="5"/>
      <c r="H363" s="13" t="e">
        <f>Data_Geotech[[#This Row],[TCR (m)]]/Data_Geotech[[#This Row],[Run (m)]]*100</f>
        <v>#DIV/0!</v>
      </c>
      <c r="I363" s="5"/>
      <c r="J363" s="5"/>
      <c r="K363" s="5"/>
      <c r="L363" s="13" t="e">
        <f>Data_Geotech[[#This Row],[RQD (m)]]/Data_Geotech[[#This Row],[Run Reel (m)]]*100</f>
        <v>#DIV/0!</v>
      </c>
      <c r="P363" s="115"/>
      <c r="Q363" s="5"/>
      <c r="R363" s="5"/>
      <c r="S363" s="5"/>
      <c r="T363" s="5"/>
      <c r="U363" s="5"/>
      <c r="V363" s="6"/>
      <c r="W363" s="92">
        <f>SUMIFS(Discontinuities!$D$4:$D$9664,Discontinuities!$A$4:$A$9664,A363,Discontinuities!$C$4:$C$9664,"&gt;="&amp;C363,Discontinuities!$C$4:$C$9664,"&lt;"&amp;D363)
-SUMIFS(Discontinuities!$D$4:$D$9664,Discontinuities!$A$4:$A$9664,A363,Discontinuities!$C$4:$C$9664,"&gt;="&amp;C363,Discontinuities!$C$4:$C$9664,"&lt;"&amp;D363,Discontinuities!$E$4:$E$9664,"=BC")
-SUMIFS(Discontinuities!$D$4:$D$9664,Discontinuities!$A$4:$A$9664,A363,Discontinuities!$C$4:$C$9664,"&gt;="&amp;C363,Discontinuities!$C$4:$C$9664,"&lt;"&amp;D363,Discontinuities!$E$4:$E$9664,"=LC")
-SUMIFS(Discontinuities!$D$4:$D$9664,Discontinuities!$A$4:$A$9664,A363,Discontinuities!$C$4:$C$9664,"&gt;="&amp;C363,Discontinuities!$C$4:$C$9664,"&lt;"&amp;D363,Discontinuities!$E$4:$E$9664,"=FLT")</f>
        <v>0</v>
      </c>
      <c r="AA363" s="132"/>
      <c r="AB363" s="159">
        <f>IFERROR(ROUND((Data_Geotech[[#This Row],[Fault (m)]]+Data_Geotech[[#This Row],[Broken Core (m)]]+Data_Geotech[[#This Row],[Lost Core (m)]])*30,0),0)</f>
        <v>0</v>
      </c>
      <c r="AC363" s="135">
        <f>IF(Data_Geotech[[#This Row],[Added fractures 
(BC, FLT, LC)]]+Data_Geotech[[#This Row],[Fracture per interval]]=0,99,1/((Data_Geotech[[#This Row],[Fracture per interval]]+Data_Geotech[[#This Row],[Added fractures 
(BC, FLT, LC)]])/Data_Geotech[[#This Row],[Run (m)]]))</f>
        <v>99</v>
      </c>
      <c r="AD363" s="160" t="str" cm="1">
        <f t="array" ref="AD363">IFERROR(_xlfn.XLOOKUP(1,(A363=PLT!$A$4:$A$8886)*(Geotech!C363&lt;=PLT!$F$4:$F$8886)*(Geotech!D363&gt;=PLT!$F$4:$F$8886)*("Valid"=PLT!$P$4:$P$8886),PLT!$V$4:$V$8886),"")</f>
        <v/>
      </c>
      <c r="AE363" s="161" t="str" cm="1">
        <f t="array" ref="AE363">IFERROR(_xlfn.XLOOKUP(1,(A363=PLT!$A$4:$A$8886)*(Geotech!C363&lt;=PLT!$F$4:$F$8886)*(Geotech!D363&gt;=PLT!$F$4:$F$8886)*(PLT!$V$4:$V$8886&lt;&gt;AD363)*("Valid"=PLT!$P$4:$P$7190),PLT!$V$4:$V$8886),"")</f>
        <v/>
      </c>
      <c r="AF363" s="161" t="str" cm="1">
        <f t="array" ref="AF363">IFERROR(_xlfn.XLOOKUP(1,(A363=PLT!$A$4:$A$8886)*(Geotech!C363&lt;=PLT!$F$4:$F$8886)*(Geotech!D363&gt;=PLT!$F$4:$F$8886)*(PLT!$V$4:$V$8886&lt;&gt;AD363)*(PLT!$V$4:$V$8886&lt;&gt;AE363)*("Valid"=PLT!$P$4:$P$7190),PLT!$V$4:$V$8886),"")</f>
        <v/>
      </c>
      <c r="AG363" s="162" t="str">
        <f>IFERROR(IF(AVERAGE(AD363:AF363)&gt;References!$BO$23,References!$BP$23,
IF(AVERAGE(AD363:AF363)&gt;References!$BO$22,References!$BP$22,
IF(AVERAGE(AD363:AF363)&gt;References!$BO$21,References!$BP$21,
IF(AVERAGE(AD363:AF363)&gt;References!$BO$20,References!$BP$20,
IF(AVERAGE(AD363:AF363)&gt;References!$BO$19,References!$BP$19,
IF(AVERAGE(AD363:AF363)&gt;References!$BO$18,References!$BP$18,
0)))))),"")</f>
        <v/>
      </c>
      <c r="AH363" s="163" t="e">
        <f>VLOOKUP(Data_Geotech[[#This Row],[Field Intact Rock Strength]],Table_RMR76_Strength[],2,FALSE)</f>
        <v>#N/A</v>
      </c>
      <c r="AI363" s="163" t="e">
        <f>IF(Data_Geotech[[#This Row],[RQD (%)]]&lt;=25,3,IF(Data_Geotech[[#This Row],[RQD (%)]]&lt;=50,8,IF(Data_Geotech[[#This Row],[RQD (%)]]&lt;=75,13,IF(Data_Geotech[[#This Row],[RQD (%)]]&lt;=90,17,20))))</f>
        <v>#DIV/0!</v>
      </c>
      <c r="AJ363" s="136">
        <f>IF(Data_Geotech[[#This Row],[Joint spacing (m)]]&lt;=0.05,5,IF(Data_Geotech[[#This Row],[Joint spacing (m)]]&lt;=0.3,10,IF(Data_Geotech[[#This Row],[Joint spacing (m)]]&lt;=1,20,IF(Data_Geotech[[#This Row],[Joint spacing (m)]]&lt;=3,25,30))))</f>
        <v>30</v>
      </c>
      <c r="AK36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3" s="6"/>
      <c r="AM363" s="137" t="str">
        <f>IF(Data_Geotech[[#This Row],[FIRS Code]]="R",IFERROR(SUM(Data_Geotech[[#This Row],[RMR76 - Strength rating]:[RMR76 - Ground water rating]]),""),"")</f>
        <v/>
      </c>
      <c r="AN363" s="164" t="str">
        <f>IF(Data_Geotech[[#This Row],[FIRS Code]]="R",(2*Data_Geotech[[#This Row],[RMR76 - Joint condition rating]])+(IF(Data_Geotech[[#This Row],[RQD (%)]]&gt;80,80/2,Data_Geotech[[#This Row],[RQD (%)]]/2)),"")</f>
        <v/>
      </c>
      <c r="AO363" s="136" t="e">
        <f>LEFT(Data_Geotech[[#This Row],[Joint Set Rating]],FIND("-",Data_Geotech[[#This Row],[Joint Set Rating]],1)-2)</f>
        <v>#VALUE!</v>
      </c>
      <c r="AP36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3" s="143">
        <f t="shared" si="7"/>
        <v>1</v>
      </c>
      <c r="AR363" s="165" t="str">
        <f>IF(Data_Geotech[[#This Row],[FIRS Code]]="R",IFERROR((IF(Data_Geotech[[#This Row],[RQD (%)]]&lt;10,10,Data_Geotech[[#This Row],[RQD (%)]])/Data_Geotech[[#This Row],[Jn rating]])*Data_Geotech[[#This Row],[Jr/Ja]],""),"")</f>
        <v/>
      </c>
      <c r="AS363" s="138" t="str">
        <f>IF(Data_Geotech[[#This Row],[FIRS Code]]="R",IFERROR((IF(Data_Geotech[[#This Row],[RQD (%)]]&lt;10,10,Data_Geotech[[#This Row],[RQD (%)]])/Data_Geotech[[#This Row],[Jn rating]])*Data_Geotech[[#This Row],[Jr/Ja]]*Data_Geotech[[#This Row],[Jw/SRF]],""),"")</f>
        <v/>
      </c>
      <c r="AT363" s="12"/>
      <c r="AU363" s="13" t="e">
        <f>100-Data_Geotech[[#This Row],[RQD (%)]]</f>
        <v>#DIV/0!</v>
      </c>
      <c r="AV363" s="13" t="e">
        <f>100-Data_Geotech[[#This Row],[TCR (%)]]</f>
        <v>#DIV/0!</v>
      </c>
      <c r="AW363" s="62" t="e">
        <f>(Data_Geotech[[#This Row],[Fracture per interval]]+Data_Geotech[[#This Row],[Added fractures 
(BC, FLT, LC)]])/Data_Geotech[[#This Row],[TCR (m)]]</f>
        <v>#DIV/0!</v>
      </c>
      <c r="AX363" s="62" t="str">
        <f>MID(Data_Geotech[[#This Row],[Field Intact Rock Strength]],2,1)</f>
        <v/>
      </c>
      <c r="AY363" s="63" t="e">
        <f>7-MID(Data_Geotech[[#This Row],[Field Intact Rock Strength]],2,1)</f>
        <v>#VALUE!</v>
      </c>
      <c r="AZ363" s="63" t="e">
        <f>VLOOKUP(Data_Geotech[[#This Row],[Field Intact Rock Strength]],Table_FieldStrength[],2,FALSE)</f>
        <v>#N/A</v>
      </c>
      <c r="BA363" s="63" t="e">
        <f>VLOOKUP(Data_Geotech[[#This Row],[Field Intact Rock Strength]],Table_FieldStrength[],3,FALSE)</f>
        <v>#N/A</v>
      </c>
      <c r="BB363" s="63" t="e">
        <f>VLOOKUP(Data_Geotech[[#This Row],[Field Intact Rock Strength]],Table_FieldStrength[],4,FALSE)</f>
        <v>#N/A</v>
      </c>
      <c r="BC363" s="63" t="e">
        <f>100-Data_Geotech[[#This Row],[RMR76]]</f>
        <v>#VALUE!</v>
      </c>
      <c r="BD363" s="63" t="e">
        <f>LEFT(Data_Geotech[[#This Row],[Weathering/Alteration]],FIND("-",Data_Geotech[[#This Row],[Weathering/Alteration]])-2)</f>
        <v>#VALUE!</v>
      </c>
    </row>
    <row r="364" spans="1:56" hidden="1" x14ac:dyDescent="0.25">
      <c r="A364" s="14"/>
      <c r="B364" s="166" t="e">
        <f>VLOOKUP(Data_Geotech[[#This Row],[Hole ID]],Data_Log[],2,FALSE)</f>
        <v>#N/A</v>
      </c>
      <c r="C364" s="5"/>
      <c r="D364" s="5"/>
      <c r="E364" s="5">
        <f>(Data_Geotech[[#This Row],[To (m)]]-Data_Geotech[[#This Row],[From (m)]])/2+Data_Geotech[[#This Row],[From (m)]]</f>
        <v>0</v>
      </c>
      <c r="F364" s="13">
        <f>Data_Geotech[[#This Row],[To (m)]]-Data_Geotech[[#This Row],[From (m)]]</f>
        <v>0</v>
      </c>
      <c r="G364" s="5"/>
      <c r="H364" s="13" t="e">
        <f>Data_Geotech[[#This Row],[TCR (m)]]/Data_Geotech[[#This Row],[Run (m)]]*100</f>
        <v>#DIV/0!</v>
      </c>
      <c r="I364" s="5"/>
      <c r="J364" s="5"/>
      <c r="K364" s="5"/>
      <c r="L364" s="13" t="e">
        <f>Data_Geotech[[#This Row],[RQD (m)]]/Data_Geotech[[#This Row],[Run Reel (m)]]*100</f>
        <v>#DIV/0!</v>
      </c>
      <c r="P364" s="115"/>
      <c r="Q364" s="5"/>
      <c r="R364" s="5"/>
      <c r="S364" s="5"/>
      <c r="T364" s="5"/>
      <c r="U364" s="5"/>
      <c r="V364" s="6"/>
      <c r="W364" s="92">
        <f>SUMIFS(Discontinuities!$D$4:$D$9664,Discontinuities!$A$4:$A$9664,A364,Discontinuities!$C$4:$C$9664,"&gt;="&amp;C364,Discontinuities!$C$4:$C$9664,"&lt;"&amp;D364)
-SUMIFS(Discontinuities!$D$4:$D$9664,Discontinuities!$A$4:$A$9664,A364,Discontinuities!$C$4:$C$9664,"&gt;="&amp;C364,Discontinuities!$C$4:$C$9664,"&lt;"&amp;D364,Discontinuities!$E$4:$E$9664,"=BC")
-SUMIFS(Discontinuities!$D$4:$D$9664,Discontinuities!$A$4:$A$9664,A364,Discontinuities!$C$4:$C$9664,"&gt;="&amp;C364,Discontinuities!$C$4:$C$9664,"&lt;"&amp;D364,Discontinuities!$E$4:$E$9664,"=LC")
-SUMIFS(Discontinuities!$D$4:$D$9664,Discontinuities!$A$4:$A$9664,A364,Discontinuities!$C$4:$C$9664,"&gt;="&amp;C364,Discontinuities!$C$4:$C$9664,"&lt;"&amp;D364,Discontinuities!$E$4:$E$9664,"=FLT")</f>
        <v>0</v>
      </c>
      <c r="AA364" s="132"/>
      <c r="AB364" s="159">
        <f>IFERROR(ROUND((Data_Geotech[[#This Row],[Fault (m)]]+Data_Geotech[[#This Row],[Broken Core (m)]]+Data_Geotech[[#This Row],[Lost Core (m)]])*30,0),0)</f>
        <v>0</v>
      </c>
      <c r="AC364" s="135">
        <f>IF(Data_Geotech[[#This Row],[Added fractures 
(BC, FLT, LC)]]+Data_Geotech[[#This Row],[Fracture per interval]]=0,99,1/((Data_Geotech[[#This Row],[Fracture per interval]]+Data_Geotech[[#This Row],[Added fractures 
(BC, FLT, LC)]])/Data_Geotech[[#This Row],[Run (m)]]))</f>
        <v>99</v>
      </c>
      <c r="AD364" s="160" t="str" cm="1">
        <f t="array" ref="AD364">IFERROR(_xlfn.XLOOKUP(1,(A364=PLT!$A$4:$A$8886)*(Geotech!C364&lt;=PLT!$F$4:$F$8886)*(Geotech!D364&gt;=PLT!$F$4:$F$8886)*("Valid"=PLT!$P$4:$P$8886),PLT!$V$4:$V$8886),"")</f>
        <v/>
      </c>
      <c r="AE364" s="161" t="str" cm="1">
        <f t="array" ref="AE364">IFERROR(_xlfn.XLOOKUP(1,(A364=PLT!$A$4:$A$8886)*(Geotech!C364&lt;=PLT!$F$4:$F$8886)*(Geotech!D364&gt;=PLT!$F$4:$F$8886)*(PLT!$V$4:$V$8886&lt;&gt;AD364)*("Valid"=PLT!$P$4:$P$7190),PLT!$V$4:$V$8886),"")</f>
        <v/>
      </c>
      <c r="AF364" s="161" t="str" cm="1">
        <f t="array" ref="AF364">IFERROR(_xlfn.XLOOKUP(1,(A364=PLT!$A$4:$A$8886)*(Geotech!C364&lt;=PLT!$F$4:$F$8886)*(Geotech!D364&gt;=PLT!$F$4:$F$8886)*(PLT!$V$4:$V$8886&lt;&gt;AD364)*(PLT!$V$4:$V$8886&lt;&gt;AE364)*("Valid"=PLT!$P$4:$P$7190),PLT!$V$4:$V$8886),"")</f>
        <v/>
      </c>
      <c r="AG364" s="162" t="str">
        <f>IFERROR(IF(AVERAGE(AD364:AF364)&gt;References!$BO$23,References!$BP$23,
IF(AVERAGE(AD364:AF364)&gt;References!$BO$22,References!$BP$22,
IF(AVERAGE(AD364:AF364)&gt;References!$BO$21,References!$BP$21,
IF(AVERAGE(AD364:AF364)&gt;References!$BO$20,References!$BP$20,
IF(AVERAGE(AD364:AF364)&gt;References!$BO$19,References!$BP$19,
IF(AVERAGE(AD364:AF364)&gt;References!$BO$18,References!$BP$18,
0)))))),"")</f>
        <v/>
      </c>
      <c r="AH364" s="163" t="e">
        <f>VLOOKUP(Data_Geotech[[#This Row],[Field Intact Rock Strength]],Table_RMR76_Strength[],2,FALSE)</f>
        <v>#N/A</v>
      </c>
      <c r="AI364" s="163" t="e">
        <f>IF(Data_Geotech[[#This Row],[RQD (%)]]&lt;=25,3,IF(Data_Geotech[[#This Row],[RQD (%)]]&lt;=50,8,IF(Data_Geotech[[#This Row],[RQD (%)]]&lt;=75,13,IF(Data_Geotech[[#This Row],[RQD (%)]]&lt;=90,17,20))))</f>
        <v>#DIV/0!</v>
      </c>
      <c r="AJ364" s="136">
        <f>IF(Data_Geotech[[#This Row],[Joint spacing (m)]]&lt;=0.05,5,IF(Data_Geotech[[#This Row],[Joint spacing (m)]]&lt;=0.3,10,IF(Data_Geotech[[#This Row],[Joint spacing (m)]]&lt;=1,20,IF(Data_Geotech[[#This Row],[Joint spacing (m)]]&lt;=3,25,30))))</f>
        <v>30</v>
      </c>
      <c r="AK36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4" s="6"/>
      <c r="AM364" s="137" t="str">
        <f>IF(Data_Geotech[[#This Row],[FIRS Code]]="R",IFERROR(SUM(Data_Geotech[[#This Row],[RMR76 - Strength rating]:[RMR76 - Ground water rating]]),""),"")</f>
        <v/>
      </c>
      <c r="AN364" s="164" t="str">
        <f>IF(Data_Geotech[[#This Row],[FIRS Code]]="R",(2*Data_Geotech[[#This Row],[RMR76 - Joint condition rating]])+(IF(Data_Geotech[[#This Row],[RQD (%)]]&gt;80,80/2,Data_Geotech[[#This Row],[RQD (%)]]/2)),"")</f>
        <v/>
      </c>
      <c r="AO364" s="136" t="e">
        <f>LEFT(Data_Geotech[[#This Row],[Joint Set Rating]],FIND("-",Data_Geotech[[#This Row],[Joint Set Rating]],1)-2)</f>
        <v>#VALUE!</v>
      </c>
      <c r="AP36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4" s="143">
        <f t="shared" si="7"/>
        <v>1</v>
      </c>
      <c r="AR364" s="165" t="str">
        <f>IF(Data_Geotech[[#This Row],[FIRS Code]]="R",IFERROR((IF(Data_Geotech[[#This Row],[RQD (%)]]&lt;10,10,Data_Geotech[[#This Row],[RQD (%)]])/Data_Geotech[[#This Row],[Jn rating]])*Data_Geotech[[#This Row],[Jr/Ja]],""),"")</f>
        <v/>
      </c>
      <c r="AS364" s="138" t="str">
        <f>IF(Data_Geotech[[#This Row],[FIRS Code]]="R",IFERROR((IF(Data_Geotech[[#This Row],[RQD (%)]]&lt;10,10,Data_Geotech[[#This Row],[RQD (%)]])/Data_Geotech[[#This Row],[Jn rating]])*Data_Geotech[[#This Row],[Jr/Ja]]*Data_Geotech[[#This Row],[Jw/SRF]],""),"")</f>
        <v/>
      </c>
      <c r="AT364" s="12"/>
      <c r="AU364" s="13" t="e">
        <f>100-Data_Geotech[[#This Row],[RQD (%)]]</f>
        <v>#DIV/0!</v>
      </c>
      <c r="AV364" s="13" t="e">
        <f>100-Data_Geotech[[#This Row],[TCR (%)]]</f>
        <v>#DIV/0!</v>
      </c>
      <c r="AW364" s="62" t="e">
        <f>(Data_Geotech[[#This Row],[Fracture per interval]]+Data_Geotech[[#This Row],[Added fractures 
(BC, FLT, LC)]])/Data_Geotech[[#This Row],[TCR (m)]]</f>
        <v>#DIV/0!</v>
      </c>
      <c r="AX364" s="62" t="str">
        <f>MID(Data_Geotech[[#This Row],[Field Intact Rock Strength]],2,1)</f>
        <v/>
      </c>
      <c r="AY364" s="63" t="e">
        <f>7-MID(Data_Geotech[[#This Row],[Field Intact Rock Strength]],2,1)</f>
        <v>#VALUE!</v>
      </c>
      <c r="AZ364" s="63" t="e">
        <f>VLOOKUP(Data_Geotech[[#This Row],[Field Intact Rock Strength]],Table_FieldStrength[],2,FALSE)</f>
        <v>#N/A</v>
      </c>
      <c r="BA364" s="63" t="e">
        <f>VLOOKUP(Data_Geotech[[#This Row],[Field Intact Rock Strength]],Table_FieldStrength[],3,FALSE)</f>
        <v>#N/A</v>
      </c>
      <c r="BB364" s="63" t="e">
        <f>VLOOKUP(Data_Geotech[[#This Row],[Field Intact Rock Strength]],Table_FieldStrength[],4,FALSE)</f>
        <v>#N/A</v>
      </c>
      <c r="BC364" s="63" t="e">
        <f>100-Data_Geotech[[#This Row],[RMR76]]</f>
        <v>#VALUE!</v>
      </c>
      <c r="BD364" s="63" t="e">
        <f>LEFT(Data_Geotech[[#This Row],[Weathering/Alteration]],FIND("-",Data_Geotech[[#This Row],[Weathering/Alteration]])-2)</f>
        <v>#VALUE!</v>
      </c>
    </row>
    <row r="365" spans="1:56" hidden="1" x14ac:dyDescent="0.25">
      <c r="A365" s="14"/>
      <c r="B365" s="166" t="e">
        <f>VLOOKUP(Data_Geotech[[#This Row],[Hole ID]],Data_Log[],2,FALSE)</f>
        <v>#N/A</v>
      </c>
      <c r="C365" s="5"/>
      <c r="D365" s="5"/>
      <c r="E365" s="5">
        <f>(Data_Geotech[[#This Row],[To (m)]]-Data_Geotech[[#This Row],[From (m)]])/2+Data_Geotech[[#This Row],[From (m)]]</f>
        <v>0</v>
      </c>
      <c r="F365" s="13">
        <f>Data_Geotech[[#This Row],[To (m)]]-Data_Geotech[[#This Row],[From (m)]]</f>
        <v>0</v>
      </c>
      <c r="G365" s="5"/>
      <c r="H365" s="13" t="e">
        <f>Data_Geotech[[#This Row],[TCR (m)]]/Data_Geotech[[#This Row],[Run (m)]]*100</f>
        <v>#DIV/0!</v>
      </c>
      <c r="I365" s="5"/>
      <c r="J365" s="5"/>
      <c r="K365" s="5"/>
      <c r="L365" s="13" t="e">
        <f>Data_Geotech[[#This Row],[RQD (m)]]/Data_Geotech[[#This Row],[Run Reel (m)]]*100</f>
        <v>#DIV/0!</v>
      </c>
      <c r="P365" s="115"/>
      <c r="Q365" s="5"/>
      <c r="R365" s="5"/>
      <c r="S365" s="5"/>
      <c r="T365" s="5"/>
      <c r="U365" s="5"/>
      <c r="V365" s="6"/>
      <c r="W365" s="92">
        <f>SUMIFS(Discontinuities!$D$4:$D$9664,Discontinuities!$A$4:$A$9664,A365,Discontinuities!$C$4:$C$9664,"&gt;="&amp;C365,Discontinuities!$C$4:$C$9664,"&lt;"&amp;D365)
-SUMIFS(Discontinuities!$D$4:$D$9664,Discontinuities!$A$4:$A$9664,A365,Discontinuities!$C$4:$C$9664,"&gt;="&amp;C365,Discontinuities!$C$4:$C$9664,"&lt;"&amp;D365,Discontinuities!$E$4:$E$9664,"=BC")
-SUMIFS(Discontinuities!$D$4:$D$9664,Discontinuities!$A$4:$A$9664,A365,Discontinuities!$C$4:$C$9664,"&gt;="&amp;C365,Discontinuities!$C$4:$C$9664,"&lt;"&amp;D365,Discontinuities!$E$4:$E$9664,"=LC")
-SUMIFS(Discontinuities!$D$4:$D$9664,Discontinuities!$A$4:$A$9664,A365,Discontinuities!$C$4:$C$9664,"&gt;="&amp;C365,Discontinuities!$C$4:$C$9664,"&lt;"&amp;D365,Discontinuities!$E$4:$E$9664,"=FLT")</f>
        <v>0</v>
      </c>
      <c r="AA365" s="132"/>
      <c r="AB365" s="159">
        <f>IFERROR(ROUND((Data_Geotech[[#This Row],[Fault (m)]]+Data_Geotech[[#This Row],[Broken Core (m)]]+Data_Geotech[[#This Row],[Lost Core (m)]])*30,0),0)</f>
        <v>0</v>
      </c>
      <c r="AC365" s="135">
        <f>IF(Data_Geotech[[#This Row],[Added fractures 
(BC, FLT, LC)]]+Data_Geotech[[#This Row],[Fracture per interval]]=0,99,1/((Data_Geotech[[#This Row],[Fracture per interval]]+Data_Geotech[[#This Row],[Added fractures 
(BC, FLT, LC)]])/Data_Geotech[[#This Row],[Run (m)]]))</f>
        <v>99</v>
      </c>
      <c r="AD365" s="160" t="str" cm="1">
        <f t="array" ref="AD365">IFERROR(_xlfn.XLOOKUP(1,(A365=PLT!$A$4:$A$8886)*(Geotech!C365&lt;=PLT!$F$4:$F$8886)*(Geotech!D365&gt;=PLT!$F$4:$F$8886)*("Valid"=PLT!$P$4:$P$8886),PLT!$V$4:$V$8886),"")</f>
        <v/>
      </c>
      <c r="AE365" s="161" t="str" cm="1">
        <f t="array" ref="AE365">IFERROR(_xlfn.XLOOKUP(1,(A365=PLT!$A$4:$A$8886)*(Geotech!C365&lt;=PLT!$F$4:$F$8886)*(Geotech!D365&gt;=PLT!$F$4:$F$8886)*(PLT!$V$4:$V$8886&lt;&gt;AD365)*("Valid"=PLT!$P$4:$P$7190),PLT!$V$4:$V$8886),"")</f>
        <v/>
      </c>
      <c r="AF365" s="161" t="str" cm="1">
        <f t="array" ref="AF365">IFERROR(_xlfn.XLOOKUP(1,(A365=PLT!$A$4:$A$8886)*(Geotech!C365&lt;=PLT!$F$4:$F$8886)*(Geotech!D365&gt;=PLT!$F$4:$F$8886)*(PLT!$V$4:$V$8886&lt;&gt;AD365)*(PLT!$V$4:$V$8886&lt;&gt;AE365)*("Valid"=PLT!$P$4:$P$7190),PLT!$V$4:$V$8886),"")</f>
        <v/>
      </c>
      <c r="AG365" s="162" t="str">
        <f>IFERROR(IF(AVERAGE(AD365:AF365)&gt;References!$BO$23,References!$BP$23,
IF(AVERAGE(AD365:AF365)&gt;References!$BO$22,References!$BP$22,
IF(AVERAGE(AD365:AF365)&gt;References!$BO$21,References!$BP$21,
IF(AVERAGE(AD365:AF365)&gt;References!$BO$20,References!$BP$20,
IF(AVERAGE(AD365:AF365)&gt;References!$BO$19,References!$BP$19,
IF(AVERAGE(AD365:AF365)&gt;References!$BO$18,References!$BP$18,
0)))))),"")</f>
        <v/>
      </c>
      <c r="AH365" s="163" t="e">
        <f>VLOOKUP(Data_Geotech[[#This Row],[Field Intact Rock Strength]],Table_RMR76_Strength[],2,FALSE)</f>
        <v>#N/A</v>
      </c>
      <c r="AI365" s="163" t="e">
        <f>IF(Data_Geotech[[#This Row],[RQD (%)]]&lt;=25,3,IF(Data_Geotech[[#This Row],[RQD (%)]]&lt;=50,8,IF(Data_Geotech[[#This Row],[RQD (%)]]&lt;=75,13,IF(Data_Geotech[[#This Row],[RQD (%)]]&lt;=90,17,20))))</f>
        <v>#DIV/0!</v>
      </c>
      <c r="AJ365" s="136">
        <f>IF(Data_Geotech[[#This Row],[Joint spacing (m)]]&lt;=0.05,5,IF(Data_Geotech[[#This Row],[Joint spacing (m)]]&lt;=0.3,10,IF(Data_Geotech[[#This Row],[Joint spacing (m)]]&lt;=1,20,IF(Data_Geotech[[#This Row],[Joint spacing (m)]]&lt;=3,25,30))))</f>
        <v>30</v>
      </c>
      <c r="AK36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5" s="6"/>
      <c r="AM365" s="137" t="str">
        <f>IF(Data_Geotech[[#This Row],[FIRS Code]]="R",IFERROR(SUM(Data_Geotech[[#This Row],[RMR76 - Strength rating]:[RMR76 - Ground water rating]]),""),"")</f>
        <v/>
      </c>
      <c r="AN365" s="164" t="str">
        <f>IF(Data_Geotech[[#This Row],[FIRS Code]]="R",(2*Data_Geotech[[#This Row],[RMR76 - Joint condition rating]])+(IF(Data_Geotech[[#This Row],[RQD (%)]]&gt;80,80/2,Data_Geotech[[#This Row],[RQD (%)]]/2)),"")</f>
        <v/>
      </c>
      <c r="AO365" s="136" t="e">
        <f>LEFT(Data_Geotech[[#This Row],[Joint Set Rating]],FIND("-",Data_Geotech[[#This Row],[Joint Set Rating]],1)-2)</f>
        <v>#VALUE!</v>
      </c>
      <c r="AP36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5" s="143">
        <f t="shared" ref="AQ365:AQ394" si="8">1/1</f>
        <v>1</v>
      </c>
      <c r="AR365" s="165" t="str">
        <f>IF(Data_Geotech[[#This Row],[FIRS Code]]="R",IFERROR((IF(Data_Geotech[[#This Row],[RQD (%)]]&lt;10,10,Data_Geotech[[#This Row],[RQD (%)]])/Data_Geotech[[#This Row],[Jn rating]])*Data_Geotech[[#This Row],[Jr/Ja]],""),"")</f>
        <v/>
      </c>
      <c r="AS365" s="138" t="str">
        <f>IF(Data_Geotech[[#This Row],[FIRS Code]]="R",IFERROR((IF(Data_Geotech[[#This Row],[RQD (%)]]&lt;10,10,Data_Geotech[[#This Row],[RQD (%)]])/Data_Geotech[[#This Row],[Jn rating]])*Data_Geotech[[#This Row],[Jr/Ja]]*Data_Geotech[[#This Row],[Jw/SRF]],""),"")</f>
        <v/>
      </c>
      <c r="AT365" s="12"/>
      <c r="AU365" s="13" t="e">
        <f>100-Data_Geotech[[#This Row],[RQD (%)]]</f>
        <v>#DIV/0!</v>
      </c>
      <c r="AV365" s="13" t="e">
        <f>100-Data_Geotech[[#This Row],[TCR (%)]]</f>
        <v>#DIV/0!</v>
      </c>
      <c r="AW365" s="62" t="e">
        <f>(Data_Geotech[[#This Row],[Fracture per interval]]+Data_Geotech[[#This Row],[Added fractures 
(BC, FLT, LC)]])/Data_Geotech[[#This Row],[TCR (m)]]</f>
        <v>#DIV/0!</v>
      </c>
      <c r="AX365" s="62" t="str">
        <f>MID(Data_Geotech[[#This Row],[Field Intact Rock Strength]],2,1)</f>
        <v/>
      </c>
      <c r="AY365" s="63" t="e">
        <f>7-MID(Data_Geotech[[#This Row],[Field Intact Rock Strength]],2,1)</f>
        <v>#VALUE!</v>
      </c>
      <c r="AZ365" s="63" t="e">
        <f>VLOOKUP(Data_Geotech[[#This Row],[Field Intact Rock Strength]],Table_FieldStrength[],2,FALSE)</f>
        <v>#N/A</v>
      </c>
      <c r="BA365" s="63" t="e">
        <f>VLOOKUP(Data_Geotech[[#This Row],[Field Intact Rock Strength]],Table_FieldStrength[],3,FALSE)</f>
        <v>#N/A</v>
      </c>
      <c r="BB365" s="63" t="e">
        <f>VLOOKUP(Data_Geotech[[#This Row],[Field Intact Rock Strength]],Table_FieldStrength[],4,FALSE)</f>
        <v>#N/A</v>
      </c>
      <c r="BC365" s="63" t="e">
        <f>100-Data_Geotech[[#This Row],[RMR76]]</f>
        <v>#VALUE!</v>
      </c>
      <c r="BD365" s="63" t="e">
        <f>LEFT(Data_Geotech[[#This Row],[Weathering/Alteration]],FIND("-",Data_Geotech[[#This Row],[Weathering/Alteration]])-2)</f>
        <v>#VALUE!</v>
      </c>
    </row>
    <row r="366" spans="1:56" hidden="1" x14ac:dyDescent="0.25">
      <c r="A366" s="14"/>
      <c r="B366" s="166" t="e">
        <f>VLOOKUP(Data_Geotech[[#This Row],[Hole ID]],Data_Log[],2,FALSE)</f>
        <v>#N/A</v>
      </c>
      <c r="C366" s="5"/>
      <c r="D366" s="5"/>
      <c r="E366" s="5">
        <f>(Data_Geotech[[#This Row],[To (m)]]-Data_Geotech[[#This Row],[From (m)]])/2+Data_Geotech[[#This Row],[From (m)]]</f>
        <v>0</v>
      </c>
      <c r="F366" s="13">
        <f>Data_Geotech[[#This Row],[To (m)]]-Data_Geotech[[#This Row],[From (m)]]</f>
        <v>0</v>
      </c>
      <c r="G366" s="5"/>
      <c r="H366" s="13" t="e">
        <f>Data_Geotech[[#This Row],[TCR (m)]]/Data_Geotech[[#This Row],[Run (m)]]*100</f>
        <v>#DIV/0!</v>
      </c>
      <c r="I366" s="5"/>
      <c r="J366" s="5"/>
      <c r="K366" s="5"/>
      <c r="L366" s="13" t="e">
        <f>Data_Geotech[[#This Row],[RQD (m)]]/Data_Geotech[[#This Row],[Run Reel (m)]]*100</f>
        <v>#DIV/0!</v>
      </c>
      <c r="P366" s="115"/>
      <c r="Q366" s="5"/>
      <c r="R366" s="5"/>
      <c r="S366" s="5"/>
      <c r="T366" s="5"/>
      <c r="U366" s="5"/>
      <c r="V366" s="6"/>
      <c r="W366" s="92">
        <f>SUMIFS(Discontinuities!$D$4:$D$9664,Discontinuities!$A$4:$A$9664,A366,Discontinuities!$C$4:$C$9664,"&gt;="&amp;C366,Discontinuities!$C$4:$C$9664,"&lt;"&amp;D366)
-SUMIFS(Discontinuities!$D$4:$D$9664,Discontinuities!$A$4:$A$9664,A366,Discontinuities!$C$4:$C$9664,"&gt;="&amp;C366,Discontinuities!$C$4:$C$9664,"&lt;"&amp;D366,Discontinuities!$E$4:$E$9664,"=BC")
-SUMIFS(Discontinuities!$D$4:$D$9664,Discontinuities!$A$4:$A$9664,A366,Discontinuities!$C$4:$C$9664,"&gt;="&amp;C366,Discontinuities!$C$4:$C$9664,"&lt;"&amp;D366,Discontinuities!$E$4:$E$9664,"=LC")
-SUMIFS(Discontinuities!$D$4:$D$9664,Discontinuities!$A$4:$A$9664,A366,Discontinuities!$C$4:$C$9664,"&gt;="&amp;C366,Discontinuities!$C$4:$C$9664,"&lt;"&amp;D366,Discontinuities!$E$4:$E$9664,"=FLT")</f>
        <v>0</v>
      </c>
      <c r="AA366" s="132"/>
      <c r="AB366" s="159">
        <f>IFERROR(ROUND((Data_Geotech[[#This Row],[Fault (m)]]+Data_Geotech[[#This Row],[Broken Core (m)]]+Data_Geotech[[#This Row],[Lost Core (m)]])*30,0),0)</f>
        <v>0</v>
      </c>
      <c r="AC366" s="135">
        <f>IF(Data_Geotech[[#This Row],[Added fractures 
(BC, FLT, LC)]]+Data_Geotech[[#This Row],[Fracture per interval]]=0,99,1/((Data_Geotech[[#This Row],[Fracture per interval]]+Data_Geotech[[#This Row],[Added fractures 
(BC, FLT, LC)]])/Data_Geotech[[#This Row],[Run (m)]]))</f>
        <v>99</v>
      </c>
      <c r="AD366" s="160" t="str" cm="1">
        <f t="array" ref="AD366">IFERROR(_xlfn.XLOOKUP(1,(A366=PLT!$A$4:$A$8886)*(Geotech!C366&lt;=PLT!$F$4:$F$8886)*(Geotech!D366&gt;=PLT!$F$4:$F$8886)*("Valid"=PLT!$P$4:$P$8886),PLT!$V$4:$V$8886),"")</f>
        <v/>
      </c>
      <c r="AE366" s="161" t="str" cm="1">
        <f t="array" ref="AE366">IFERROR(_xlfn.XLOOKUP(1,(A366=PLT!$A$4:$A$8886)*(Geotech!C366&lt;=PLT!$F$4:$F$8886)*(Geotech!D366&gt;=PLT!$F$4:$F$8886)*(PLT!$V$4:$V$8886&lt;&gt;AD366)*("Valid"=PLT!$P$4:$P$7190),PLT!$V$4:$V$8886),"")</f>
        <v/>
      </c>
      <c r="AF366" s="161" t="str" cm="1">
        <f t="array" ref="AF366">IFERROR(_xlfn.XLOOKUP(1,(A366=PLT!$A$4:$A$8886)*(Geotech!C366&lt;=PLT!$F$4:$F$8886)*(Geotech!D366&gt;=PLT!$F$4:$F$8886)*(PLT!$V$4:$V$8886&lt;&gt;AD366)*(PLT!$V$4:$V$8886&lt;&gt;AE366)*("Valid"=PLT!$P$4:$P$7190),PLT!$V$4:$V$8886),"")</f>
        <v/>
      </c>
      <c r="AG366" s="162" t="str">
        <f>IFERROR(IF(AVERAGE(AD366:AF366)&gt;References!$BO$23,References!$BP$23,
IF(AVERAGE(AD366:AF366)&gt;References!$BO$22,References!$BP$22,
IF(AVERAGE(AD366:AF366)&gt;References!$BO$21,References!$BP$21,
IF(AVERAGE(AD366:AF366)&gt;References!$BO$20,References!$BP$20,
IF(AVERAGE(AD366:AF366)&gt;References!$BO$19,References!$BP$19,
IF(AVERAGE(AD366:AF366)&gt;References!$BO$18,References!$BP$18,
0)))))),"")</f>
        <v/>
      </c>
      <c r="AH366" s="163" t="e">
        <f>VLOOKUP(Data_Geotech[[#This Row],[Field Intact Rock Strength]],Table_RMR76_Strength[],2,FALSE)</f>
        <v>#N/A</v>
      </c>
      <c r="AI366" s="163" t="e">
        <f>IF(Data_Geotech[[#This Row],[RQD (%)]]&lt;=25,3,IF(Data_Geotech[[#This Row],[RQD (%)]]&lt;=50,8,IF(Data_Geotech[[#This Row],[RQD (%)]]&lt;=75,13,IF(Data_Geotech[[#This Row],[RQD (%)]]&lt;=90,17,20))))</f>
        <v>#DIV/0!</v>
      </c>
      <c r="AJ366" s="136">
        <f>IF(Data_Geotech[[#This Row],[Joint spacing (m)]]&lt;=0.05,5,IF(Data_Geotech[[#This Row],[Joint spacing (m)]]&lt;=0.3,10,IF(Data_Geotech[[#This Row],[Joint spacing (m)]]&lt;=1,20,IF(Data_Geotech[[#This Row],[Joint spacing (m)]]&lt;=3,25,30))))</f>
        <v>30</v>
      </c>
      <c r="AK36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6" s="6"/>
      <c r="AM366" s="137" t="str">
        <f>IF(Data_Geotech[[#This Row],[FIRS Code]]="R",IFERROR(SUM(Data_Geotech[[#This Row],[RMR76 - Strength rating]:[RMR76 - Ground water rating]]),""),"")</f>
        <v/>
      </c>
      <c r="AN366" s="164" t="str">
        <f>IF(Data_Geotech[[#This Row],[FIRS Code]]="R",(2*Data_Geotech[[#This Row],[RMR76 - Joint condition rating]])+(IF(Data_Geotech[[#This Row],[RQD (%)]]&gt;80,80/2,Data_Geotech[[#This Row],[RQD (%)]]/2)),"")</f>
        <v/>
      </c>
      <c r="AO366" s="136" t="e">
        <f>LEFT(Data_Geotech[[#This Row],[Joint Set Rating]],FIND("-",Data_Geotech[[#This Row],[Joint Set Rating]],1)-2)</f>
        <v>#VALUE!</v>
      </c>
      <c r="AP36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6" s="143">
        <f t="shared" si="8"/>
        <v>1</v>
      </c>
      <c r="AR366" s="165" t="str">
        <f>IF(Data_Geotech[[#This Row],[FIRS Code]]="R",IFERROR((IF(Data_Geotech[[#This Row],[RQD (%)]]&lt;10,10,Data_Geotech[[#This Row],[RQD (%)]])/Data_Geotech[[#This Row],[Jn rating]])*Data_Geotech[[#This Row],[Jr/Ja]],""),"")</f>
        <v/>
      </c>
      <c r="AS366" s="138" t="str">
        <f>IF(Data_Geotech[[#This Row],[FIRS Code]]="R",IFERROR((IF(Data_Geotech[[#This Row],[RQD (%)]]&lt;10,10,Data_Geotech[[#This Row],[RQD (%)]])/Data_Geotech[[#This Row],[Jn rating]])*Data_Geotech[[#This Row],[Jr/Ja]]*Data_Geotech[[#This Row],[Jw/SRF]],""),"")</f>
        <v/>
      </c>
      <c r="AT366" s="12"/>
      <c r="AU366" s="13" t="e">
        <f>100-Data_Geotech[[#This Row],[RQD (%)]]</f>
        <v>#DIV/0!</v>
      </c>
      <c r="AV366" s="13" t="e">
        <f>100-Data_Geotech[[#This Row],[TCR (%)]]</f>
        <v>#DIV/0!</v>
      </c>
      <c r="AW366" s="62" t="e">
        <f>(Data_Geotech[[#This Row],[Fracture per interval]]+Data_Geotech[[#This Row],[Added fractures 
(BC, FLT, LC)]])/Data_Geotech[[#This Row],[TCR (m)]]</f>
        <v>#DIV/0!</v>
      </c>
      <c r="AX366" s="62" t="str">
        <f>MID(Data_Geotech[[#This Row],[Field Intact Rock Strength]],2,1)</f>
        <v/>
      </c>
      <c r="AY366" s="63" t="e">
        <f>7-MID(Data_Geotech[[#This Row],[Field Intact Rock Strength]],2,1)</f>
        <v>#VALUE!</v>
      </c>
      <c r="AZ366" s="63" t="e">
        <f>VLOOKUP(Data_Geotech[[#This Row],[Field Intact Rock Strength]],Table_FieldStrength[],2,FALSE)</f>
        <v>#N/A</v>
      </c>
      <c r="BA366" s="63" t="e">
        <f>VLOOKUP(Data_Geotech[[#This Row],[Field Intact Rock Strength]],Table_FieldStrength[],3,FALSE)</f>
        <v>#N/A</v>
      </c>
      <c r="BB366" s="63" t="e">
        <f>VLOOKUP(Data_Geotech[[#This Row],[Field Intact Rock Strength]],Table_FieldStrength[],4,FALSE)</f>
        <v>#N/A</v>
      </c>
      <c r="BC366" s="63" t="e">
        <f>100-Data_Geotech[[#This Row],[RMR76]]</f>
        <v>#VALUE!</v>
      </c>
      <c r="BD366" s="63" t="e">
        <f>LEFT(Data_Geotech[[#This Row],[Weathering/Alteration]],FIND("-",Data_Geotech[[#This Row],[Weathering/Alteration]])-2)</f>
        <v>#VALUE!</v>
      </c>
    </row>
    <row r="367" spans="1:56" hidden="1" x14ac:dyDescent="0.25">
      <c r="A367" s="14"/>
      <c r="B367" s="166" t="e">
        <f>VLOOKUP(Data_Geotech[[#This Row],[Hole ID]],Data_Log[],2,FALSE)</f>
        <v>#N/A</v>
      </c>
      <c r="C367" s="5"/>
      <c r="D367" s="5"/>
      <c r="E367" s="5">
        <f>(Data_Geotech[[#This Row],[To (m)]]-Data_Geotech[[#This Row],[From (m)]])/2+Data_Geotech[[#This Row],[From (m)]]</f>
        <v>0</v>
      </c>
      <c r="F367" s="13">
        <f>Data_Geotech[[#This Row],[To (m)]]-Data_Geotech[[#This Row],[From (m)]]</f>
        <v>0</v>
      </c>
      <c r="G367" s="5"/>
      <c r="H367" s="13" t="e">
        <f>Data_Geotech[[#This Row],[TCR (m)]]/Data_Geotech[[#This Row],[Run (m)]]*100</f>
        <v>#DIV/0!</v>
      </c>
      <c r="I367" s="5"/>
      <c r="J367" s="5"/>
      <c r="K367" s="5"/>
      <c r="L367" s="13" t="e">
        <f>Data_Geotech[[#This Row],[RQD (m)]]/Data_Geotech[[#This Row],[Run Reel (m)]]*100</f>
        <v>#DIV/0!</v>
      </c>
      <c r="P367" s="115"/>
      <c r="Q367" s="5"/>
      <c r="R367" s="5"/>
      <c r="S367" s="5"/>
      <c r="T367" s="5"/>
      <c r="U367" s="5"/>
      <c r="V367" s="6"/>
      <c r="W367" s="92">
        <f>SUMIFS(Discontinuities!$D$4:$D$9664,Discontinuities!$A$4:$A$9664,A367,Discontinuities!$C$4:$C$9664,"&gt;="&amp;C367,Discontinuities!$C$4:$C$9664,"&lt;"&amp;D367)
-SUMIFS(Discontinuities!$D$4:$D$9664,Discontinuities!$A$4:$A$9664,A367,Discontinuities!$C$4:$C$9664,"&gt;="&amp;C367,Discontinuities!$C$4:$C$9664,"&lt;"&amp;D367,Discontinuities!$E$4:$E$9664,"=BC")
-SUMIFS(Discontinuities!$D$4:$D$9664,Discontinuities!$A$4:$A$9664,A367,Discontinuities!$C$4:$C$9664,"&gt;="&amp;C367,Discontinuities!$C$4:$C$9664,"&lt;"&amp;D367,Discontinuities!$E$4:$E$9664,"=LC")
-SUMIFS(Discontinuities!$D$4:$D$9664,Discontinuities!$A$4:$A$9664,A367,Discontinuities!$C$4:$C$9664,"&gt;="&amp;C367,Discontinuities!$C$4:$C$9664,"&lt;"&amp;D367,Discontinuities!$E$4:$E$9664,"=FLT")</f>
        <v>0</v>
      </c>
      <c r="AA367" s="132"/>
      <c r="AB367" s="159">
        <f>IFERROR(ROUND((Data_Geotech[[#This Row],[Fault (m)]]+Data_Geotech[[#This Row],[Broken Core (m)]]+Data_Geotech[[#This Row],[Lost Core (m)]])*30,0),0)</f>
        <v>0</v>
      </c>
      <c r="AC367" s="135">
        <f>IF(Data_Geotech[[#This Row],[Added fractures 
(BC, FLT, LC)]]+Data_Geotech[[#This Row],[Fracture per interval]]=0,99,1/((Data_Geotech[[#This Row],[Fracture per interval]]+Data_Geotech[[#This Row],[Added fractures 
(BC, FLT, LC)]])/Data_Geotech[[#This Row],[Run (m)]]))</f>
        <v>99</v>
      </c>
      <c r="AD367" s="160" t="str" cm="1">
        <f t="array" ref="AD367">IFERROR(_xlfn.XLOOKUP(1,(A367=PLT!$A$4:$A$8886)*(Geotech!C367&lt;=PLT!$F$4:$F$8886)*(Geotech!D367&gt;=PLT!$F$4:$F$8886)*("Valid"=PLT!$P$4:$P$8886),PLT!$V$4:$V$8886),"")</f>
        <v/>
      </c>
      <c r="AE367" s="161" t="str" cm="1">
        <f t="array" ref="AE367">IFERROR(_xlfn.XLOOKUP(1,(A367=PLT!$A$4:$A$8886)*(Geotech!C367&lt;=PLT!$F$4:$F$8886)*(Geotech!D367&gt;=PLT!$F$4:$F$8886)*(PLT!$V$4:$V$8886&lt;&gt;AD367)*("Valid"=PLT!$P$4:$P$7190),PLT!$V$4:$V$8886),"")</f>
        <v/>
      </c>
      <c r="AF367" s="161" t="str" cm="1">
        <f t="array" ref="AF367">IFERROR(_xlfn.XLOOKUP(1,(A367=PLT!$A$4:$A$8886)*(Geotech!C367&lt;=PLT!$F$4:$F$8886)*(Geotech!D367&gt;=PLT!$F$4:$F$8886)*(PLT!$V$4:$V$8886&lt;&gt;AD367)*(PLT!$V$4:$V$8886&lt;&gt;AE367)*("Valid"=PLT!$P$4:$P$7190),PLT!$V$4:$V$8886),"")</f>
        <v/>
      </c>
      <c r="AG367" s="162" t="str">
        <f>IFERROR(IF(AVERAGE(AD367:AF367)&gt;References!$BO$23,References!$BP$23,
IF(AVERAGE(AD367:AF367)&gt;References!$BO$22,References!$BP$22,
IF(AVERAGE(AD367:AF367)&gt;References!$BO$21,References!$BP$21,
IF(AVERAGE(AD367:AF367)&gt;References!$BO$20,References!$BP$20,
IF(AVERAGE(AD367:AF367)&gt;References!$BO$19,References!$BP$19,
IF(AVERAGE(AD367:AF367)&gt;References!$BO$18,References!$BP$18,
0)))))),"")</f>
        <v/>
      </c>
      <c r="AH367" s="163" t="e">
        <f>VLOOKUP(Data_Geotech[[#This Row],[Field Intact Rock Strength]],Table_RMR76_Strength[],2,FALSE)</f>
        <v>#N/A</v>
      </c>
      <c r="AI367" s="163" t="e">
        <f>IF(Data_Geotech[[#This Row],[RQD (%)]]&lt;=25,3,IF(Data_Geotech[[#This Row],[RQD (%)]]&lt;=50,8,IF(Data_Geotech[[#This Row],[RQD (%)]]&lt;=75,13,IF(Data_Geotech[[#This Row],[RQD (%)]]&lt;=90,17,20))))</f>
        <v>#DIV/0!</v>
      </c>
      <c r="AJ367" s="136">
        <f>IF(Data_Geotech[[#This Row],[Joint spacing (m)]]&lt;=0.05,5,IF(Data_Geotech[[#This Row],[Joint spacing (m)]]&lt;=0.3,10,IF(Data_Geotech[[#This Row],[Joint spacing (m)]]&lt;=1,20,IF(Data_Geotech[[#This Row],[Joint spacing (m)]]&lt;=3,25,30))))</f>
        <v>30</v>
      </c>
      <c r="AK36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7" s="6"/>
      <c r="AM367" s="137" t="str">
        <f>IF(Data_Geotech[[#This Row],[FIRS Code]]="R",IFERROR(SUM(Data_Geotech[[#This Row],[RMR76 - Strength rating]:[RMR76 - Ground water rating]]),""),"")</f>
        <v/>
      </c>
      <c r="AN367" s="164" t="str">
        <f>IF(Data_Geotech[[#This Row],[FIRS Code]]="R",(2*Data_Geotech[[#This Row],[RMR76 - Joint condition rating]])+(IF(Data_Geotech[[#This Row],[RQD (%)]]&gt;80,80/2,Data_Geotech[[#This Row],[RQD (%)]]/2)),"")</f>
        <v/>
      </c>
      <c r="AO367" s="136" t="e">
        <f>LEFT(Data_Geotech[[#This Row],[Joint Set Rating]],FIND("-",Data_Geotech[[#This Row],[Joint Set Rating]],1)-2)</f>
        <v>#VALUE!</v>
      </c>
      <c r="AP36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7" s="143">
        <f t="shared" si="8"/>
        <v>1</v>
      </c>
      <c r="AR367" s="165" t="str">
        <f>IF(Data_Geotech[[#This Row],[FIRS Code]]="R",IFERROR((IF(Data_Geotech[[#This Row],[RQD (%)]]&lt;10,10,Data_Geotech[[#This Row],[RQD (%)]])/Data_Geotech[[#This Row],[Jn rating]])*Data_Geotech[[#This Row],[Jr/Ja]],""),"")</f>
        <v/>
      </c>
      <c r="AS367" s="138" t="str">
        <f>IF(Data_Geotech[[#This Row],[FIRS Code]]="R",IFERROR((IF(Data_Geotech[[#This Row],[RQD (%)]]&lt;10,10,Data_Geotech[[#This Row],[RQD (%)]])/Data_Geotech[[#This Row],[Jn rating]])*Data_Geotech[[#This Row],[Jr/Ja]]*Data_Geotech[[#This Row],[Jw/SRF]],""),"")</f>
        <v/>
      </c>
      <c r="AT367" s="12"/>
      <c r="AU367" s="13" t="e">
        <f>100-Data_Geotech[[#This Row],[RQD (%)]]</f>
        <v>#DIV/0!</v>
      </c>
      <c r="AV367" s="13" t="e">
        <f>100-Data_Geotech[[#This Row],[TCR (%)]]</f>
        <v>#DIV/0!</v>
      </c>
      <c r="AW367" s="62" t="e">
        <f>(Data_Geotech[[#This Row],[Fracture per interval]]+Data_Geotech[[#This Row],[Added fractures 
(BC, FLT, LC)]])/Data_Geotech[[#This Row],[TCR (m)]]</f>
        <v>#DIV/0!</v>
      </c>
      <c r="AX367" s="62" t="str">
        <f>MID(Data_Geotech[[#This Row],[Field Intact Rock Strength]],2,1)</f>
        <v/>
      </c>
      <c r="AY367" s="63" t="e">
        <f>7-MID(Data_Geotech[[#This Row],[Field Intact Rock Strength]],2,1)</f>
        <v>#VALUE!</v>
      </c>
      <c r="AZ367" s="63" t="e">
        <f>VLOOKUP(Data_Geotech[[#This Row],[Field Intact Rock Strength]],Table_FieldStrength[],2,FALSE)</f>
        <v>#N/A</v>
      </c>
      <c r="BA367" s="63" t="e">
        <f>VLOOKUP(Data_Geotech[[#This Row],[Field Intact Rock Strength]],Table_FieldStrength[],3,FALSE)</f>
        <v>#N/A</v>
      </c>
      <c r="BB367" s="63" t="e">
        <f>VLOOKUP(Data_Geotech[[#This Row],[Field Intact Rock Strength]],Table_FieldStrength[],4,FALSE)</f>
        <v>#N/A</v>
      </c>
      <c r="BC367" s="63" t="e">
        <f>100-Data_Geotech[[#This Row],[RMR76]]</f>
        <v>#VALUE!</v>
      </c>
      <c r="BD367" s="63" t="e">
        <f>LEFT(Data_Geotech[[#This Row],[Weathering/Alteration]],FIND("-",Data_Geotech[[#This Row],[Weathering/Alteration]])-2)</f>
        <v>#VALUE!</v>
      </c>
    </row>
    <row r="368" spans="1:56" hidden="1" x14ac:dyDescent="0.25">
      <c r="A368" s="14"/>
      <c r="B368" s="166" t="e">
        <f>VLOOKUP(Data_Geotech[[#This Row],[Hole ID]],Data_Log[],2,FALSE)</f>
        <v>#N/A</v>
      </c>
      <c r="C368" s="5"/>
      <c r="D368" s="5"/>
      <c r="E368" s="5">
        <f>(Data_Geotech[[#This Row],[To (m)]]-Data_Geotech[[#This Row],[From (m)]])/2+Data_Geotech[[#This Row],[From (m)]]</f>
        <v>0</v>
      </c>
      <c r="F368" s="13">
        <f>Data_Geotech[[#This Row],[To (m)]]-Data_Geotech[[#This Row],[From (m)]]</f>
        <v>0</v>
      </c>
      <c r="G368" s="5"/>
      <c r="H368" s="13" t="e">
        <f>Data_Geotech[[#This Row],[TCR (m)]]/Data_Geotech[[#This Row],[Run (m)]]*100</f>
        <v>#DIV/0!</v>
      </c>
      <c r="I368" s="5"/>
      <c r="J368" s="5"/>
      <c r="K368" s="5"/>
      <c r="L368" s="13" t="e">
        <f>Data_Geotech[[#This Row],[RQD (m)]]/Data_Geotech[[#This Row],[Run Reel (m)]]*100</f>
        <v>#DIV/0!</v>
      </c>
      <c r="P368" s="115"/>
      <c r="Q368" s="5"/>
      <c r="R368" s="5"/>
      <c r="S368" s="5"/>
      <c r="T368" s="5"/>
      <c r="U368" s="5"/>
      <c r="V368" s="6"/>
      <c r="W368" s="92">
        <f>SUMIFS(Discontinuities!$D$4:$D$9664,Discontinuities!$A$4:$A$9664,A368,Discontinuities!$C$4:$C$9664,"&gt;="&amp;C368,Discontinuities!$C$4:$C$9664,"&lt;"&amp;D368)
-SUMIFS(Discontinuities!$D$4:$D$9664,Discontinuities!$A$4:$A$9664,A368,Discontinuities!$C$4:$C$9664,"&gt;="&amp;C368,Discontinuities!$C$4:$C$9664,"&lt;"&amp;D368,Discontinuities!$E$4:$E$9664,"=BC")
-SUMIFS(Discontinuities!$D$4:$D$9664,Discontinuities!$A$4:$A$9664,A368,Discontinuities!$C$4:$C$9664,"&gt;="&amp;C368,Discontinuities!$C$4:$C$9664,"&lt;"&amp;D368,Discontinuities!$E$4:$E$9664,"=LC")
-SUMIFS(Discontinuities!$D$4:$D$9664,Discontinuities!$A$4:$A$9664,A368,Discontinuities!$C$4:$C$9664,"&gt;="&amp;C368,Discontinuities!$C$4:$C$9664,"&lt;"&amp;D368,Discontinuities!$E$4:$E$9664,"=FLT")</f>
        <v>0</v>
      </c>
      <c r="AA368" s="132"/>
      <c r="AB368" s="159">
        <f>IFERROR(ROUND((Data_Geotech[[#This Row],[Fault (m)]]+Data_Geotech[[#This Row],[Broken Core (m)]]+Data_Geotech[[#This Row],[Lost Core (m)]])*30,0),0)</f>
        <v>0</v>
      </c>
      <c r="AC368" s="135">
        <f>IF(Data_Geotech[[#This Row],[Added fractures 
(BC, FLT, LC)]]+Data_Geotech[[#This Row],[Fracture per interval]]=0,99,1/((Data_Geotech[[#This Row],[Fracture per interval]]+Data_Geotech[[#This Row],[Added fractures 
(BC, FLT, LC)]])/Data_Geotech[[#This Row],[Run (m)]]))</f>
        <v>99</v>
      </c>
      <c r="AD368" s="160" t="str" cm="1">
        <f t="array" ref="AD368">IFERROR(_xlfn.XLOOKUP(1,(A368=PLT!$A$4:$A$8886)*(Geotech!C368&lt;=PLT!$F$4:$F$8886)*(Geotech!D368&gt;=PLT!$F$4:$F$8886)*("Valid"=PLT!$P$4:$P$8886),PLT!$V$4:$V$8886),"")</f>
        <v/>
      </c>
      <c r="AE368" s="161" t="str" cm="1">
        <f t="array" ref="AE368">IFERROR(_xlfn.XLOOKUP(1,(A368=PLT!$A$4:$A$8886)*(Geotech!C368&lt;=PLT!$F$4:$F$8886)*(Geotech!D368&gt;=PLT!$F$4:$F$8886)*(PLT!$V$4:$V$8886&lt;&gt;AD368)*("Valid"=PLT!$P$4:$P$7190),PLT!$V$4:$V$8886),"")</f>
        <v/>
      </c>
      <c r="AF368" s="161" t="str" cm="1">
        <f t="array" ref="AF368">IFERROR(_xlfn.XLOOKUP(1,(A368=PLT!$A$4:$A$8886)*(Geotech!C368&lt;=PLT!$F$4:$F$8886)*(Geotech!D368&gt;=PLT!$F$4:$F$8886)*(PLT!$V$4:$V$8886&lt;&gt;AD368)*(PLT!$V$4:$V$8886&lt;&gt;AE368)*("Valid"=PLT!$P$4:$P$7190),PLT!$V$4:$V$8886),"")</f>
        <v/>
      </c>
      <c r="AG368" s="162" t="str">
        <f>IFERROR(IF(AVERAGE(AD368:AF368)&gt;References!$BO$23,References!$BP$23,
IF(AVERAGE(AD368:AF368)&gt;References!$BO$22,References!$BP$22,
IF(AVERAGE(AD368:AF368)&gt;References!$BO$21,References!$BP$21,
IF(AVERAGE(AD368:AF368)&gt;References!$BO$20,References!$BP$20,
IF(AVERAGE(AD368:AF368)&gt;References!$BO$19,References!$BP$19,
IF(AVERAGE(AD368:AF368)&gt;References!$BO$18,References!$BP$18,
0)))))),"")</f>
        <v/>
      </c>
      <c r="AH368" s="163" t="e">
        <f>VLOOKUP(Data_Geotech[[#This Row],[Field Intact Rock Strength]],Table_RMR76_Strength[],2,FALSE)</f>
        <v>#N/A</v>
      </c>
      <c r="AI368" s="163" t="e">
        <f>IF(Data_Geotech[[#This Row],[RQD (%)]]&lt;=25,3,IF(Data_Geotech[[#This Row],[RQD (%)]]&lt;=50,8,IF(Data_Geotech[[#This Row],[RQD (%)]]&lt;=75,13,IF(Data_Geotech[[#This Row],[RQD (%)]]&lt;=90,17,20))))</f>
        <v>#DIV/0!</v>
      </c>
      <c r="AJ368" s="136">
        <f>IF(Data_Geotech[[#This Row],[Joint spacing (m)]]&lt;=0.05,5,IF(Data_Geotech[[#This Row],[Joint spacing (m)]]&lt;=0.3,10,IF(Data_Geotech[[#This Row],[Joint spacing (m)]]&lt;=1,20,IF(Data_Geotech[[#This Row],[Joint spacing (m)]]&lt;=3,25,30))))</f>
        <v>30</v>
      </c>
      <c r="AK36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8" s="6"/>
      <c r="AM368" s="137" t="str">
        <f>IF(Data_Geotech[[#This Row],[FIRS Code]]="R",IFERROR(SUM(Data_Geotech[[#This Row],[RMR76 - Strength rating]:[RMR76 - Ground water rating]]),""),"")</f>
        <v/>
      </c>
      <c r="AN368" s="164" t="str">
        <f>IF(Data_Geotech[[#This Row],[FIRS Code]]="R",(2*Data_Geotech[[#This Row],[RMR76 - Joint condition rating]])+(IF(Data_Geotech[[#This Row],[RQD (%)]]&gt;80,80/2,Data_Geotech[[#This Row],[RQD (%)]]/2)),"")</f>
        <v/>
      </c>
      <c r="AO368" s="136" t="e">
        <f>LEFT(Data_Geotech[[#This Row],[Joint Set Rating]],FIND("-",Data_Geotech[[#This Row],[Joint Set Rating]],1)-2)</f>
        <v>#VALUE!</v>
      </c>
      <c r="AP36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8" s="143">
        <f t="shared" si="8"/>
        <v>1</v>
      </c>
      <c r="AR368" s="165" t="str">
        <f>IF(Data_Geotech[[#This Row],[FIRS Code]]="R",IFERROR((IF(Data_Geotech[[#This Row],[RQD (%)]]&lt;10,10,Data_Geotech[[#This Row],[RQD (%)]])/Data_Geotech[[#This Row],[Jn rating]])*Data_Geotech[[#This Row],[Jr/Ja]],""),"")</f>
        <v/>
      </c>
      <c r="AS368" s="138" t="str">
        <f>IF(Data_Geotech[[#This Row],[FIRS Code]]="R",IFERROR((IF(Data_Geotech[[#This Row],[RQD (%)]]&lt;10,10,Data_Geotech[[#This Row],[RQD (%)]])/Data_Geotech[[#This Row],[Jn rating]])*Data_Geotech[[#This Row],[Jr/Ja]]*Data_Geotech[[#This Row],[Jw/SRF]],""),"")</f>
        <v/>
      </c>
      <c r="AT368" s="12"/>
      <c r="AU368" s="13" t="e">
        <f>100-Data_Geotech[[#This Row],[RQD (%)]]</f>
        <v>#DIV/0!</v>
      </c>
      <c r="AV368" s="13" t="e">
        <f>100-Data_Geotech[[#This Row],[TCR (%)]]</f>
        <v>#DIV/0!</v>
      </c>
      <c r="AW368" s="62" t="e">
        <f>(Data_Geotech[[#This Row],[Fracture per interval]]+Data_Geotech[[#This Row],[Added fractures 
(BC, FLT, LC)]])/Data_Geotech[[#This Row],[TCR (m)]]</f>
        <v>#DIV/0!</v>
      </c>
      <c r="AX368" s="62" t="str">
        <f>MID(Data_Geotech[[#This Row],[Field Intact Rock Strength]],2,1)</f>
        <v/>
      </c>
      <c r="AY368" s="63" t="e">
        <f>7-MID(Data_Geotech[[#This Row],[Field Intact Rock Strength]],2,1)</f>
        <v>#VALUE!</v>
      </c>
      <c r="AZ368" s="63" t="e">
        <f>VLOOKUP(Data_Geotech[[#This Row],[Field Intact Rock Strength]],Table_FieldStrength[],2,FALSE)</f>
        <v>#N/A</v>
      </c>
      <c r="BA368" s="63" t="e">
        <f>VLOOKUP(Data_Geotech[[#This Row],[Field Intact Rock Strength]],Table_FieldStrength[],3,FALSE)</f>
        <v>#N/A</v>
      </c>
      <c r="BB368" s="63" t="e">
        <f>VLOOKUP(Data_Geotech[[#This Row],[Field Intact Rock Strength]],Table_FieldStrength[],4,FALSE)</f>
        <v>#N/A</v>
      </c>
      <c r="BC368" s="63" t="e">
        <f>100-Data_Geotech[[#This Row],[RMR76]]</f>
        <v>#VALUE!</v>
      </c>
      <c r="BD368" s="63" t="e">
        <f>LEFT(Data_Geotech[[#This Row],[Weathering/Alteration]],FIND("-",Data_Geotech[[#This Row],[Weathering/Alteration]])-2)</f>
        <v>#VALUE!</v>
      </c>
    </row>
    <row r="369" spans="1:56" hidden="1" x14ac:dyDescent="0.25">
      <c r="A369" s="14"/>
      <c r="B369" s="166" t="e">
        <f>VLOOKUP(Data_Geotech[[#This Row],[Hole ID]],Data_Log[],2,FALSE)</f>
        <v>#N/A</v>
      </c>
      <c r="C369" s="5"/>
      <c r="D369" s="5"/>
      <c r="E369" s="5">
        <f>(Data_Geotech[[#This Row],[To (m)]]-Data_Geotech[[#This Row],[From (m)]])/2+Data_Geotech[[#This Row],[From (m)]]</f>
        <v>0</v>
      </c>
      <c r="F369" s="13">
        <f>Data_Geotech[[#This Row],[To (m)]]-Data_Geotech[[#This Row],[From (m)]]</f>
        <v>0</v>
      </c>
      <c r="G369" s="5"/>
      <c r="H369" s="13" t="e">
        <f>Data_Geotech[[#This Row],[TCR (m)]]/Data_Geotech[[#This Row],[Run (m)]]*100</f>
        <v>#DIV/0!</v>
      </c>
      <c r="I369" s="5"/>
      <c r="J369" s="5"/>
      <c r="K369" s="5"/>
      <c r="L369" s="13" t="e">
        <f>Data_Geotech[[#This Row],[RQD (m)]]/Data_Geotech[[#This Row],[Run Reel (m)]]*100</f>
        <v>#DIV/0!</v>
      </c>
      <c r="P369" s="115"/>
      <c r="Q369" s="5"/>
      <c r="R369" s="5"/>
      <c r="S369" s="5"/>
      <c r="T369" s="5"/>
      <c r="U369" s="5"/>
      <c r="V369" s="6"/>
      <c r="W369" s="92">
        <f>SUMIFS(Discontinuities!$D$4:$D$9664,Discontinuities!$A$4:$A$9664,A369,Discontinuities!$C$4:$C$9664,"&gt;="&amp;C369,Discontinuities!$C$4:$C$9664,"&lt;"&amp;D369)
-SUMIFS(Discontinuities!$D$4:$D$9664,Discontinuities!$A$4:$A$9664,A369,Discontinuities!$C$4:$C$9664,"&gt;="&amp;C369,Discontinuities!$C$4:$C$9664,"&lt;"&amp;D369,Discontinuities!$E$4:$E$9664,"=BC")
-SUMIFS(Discontinuities!$D$4:$D$9664,Discontinuities!$A$4:$A$9664,A369,Discontinuities!$C$4:$C$9664,"&gt;="&amp;C369,Discontinuities!$C$4:$C$9664,"&lt;"&amp;D369,Discontinuities!$E$4:$E$9664,"=LC")
-SUMIFS(Discontinuities!$D$4:$D$9664,Discontinuities!$A$4:$A$9664,A369,Discontinuities!$C$4:$C$9664,"&gt;="&amp;C369,Discontinuities!$C$4:$C$9664,"&lt;"&amp;D369,Discontinuities!$E$4:$E$9664,"=FLT")</f>
        <v>0</v>
      </c>
      <c r="AA369" s="132"/>
      <c r="AB369" s="159">
        <f>IFERROR(ROUND((Data_Geotech[[#This Row],[Fault (m)]]+Data_Geotech[[#This Row],[Broken Core (m)]]+Data_Geotech[[#This Row],[Lost Core (m)]])*30,0),0)</f>
        <v>0</v>
      </c>
      <c r="AC369" s="135">
        <f>IF(Data_Geotech[[#This Row],[Added fractures 
(BC, FLT, LC)]]+Data_Geotech[[#This Row],[Fracture per interval]]=0,99,1/((Data_Geotech[[#This Row],[Fracture per interval]]+Data_Geotech[[#This Row],[Added fractures 
(BC, FLT, LC)]])/Data_Geotech[[#This Row],[Run (m)]]))</f>
        <v>99</v>
      </c>
      <c r="AD369" s="160" t="str" cm="1">
        <f t="array" ref="AD369">IFERROR(_xlfn.XLOOKUP(1,(A369=PLT!$A$4:$A$8886)*(Geotech!C369&lt;=PLT!$F$4:$F$8886)*(Geotech!D369&gt;=PLT!$F$4:$F$8886)*("Valid"=PLT!$P$4:$P$8886),PLT!$V$4:$V$8886),"")</f>
        <v/>
      </c>
      <c r="AE369" s="161" t="str" cm="1">
        <f t="array" ref="AE369">IFERROR(_xlfn.XLOOKUP(1,(A369=PLT!$A$4:$A$8886)*(Geotech!C369&lt;=PLT!$F$4:$F$8886)*(Geotech!D369&gt;=PLT!$F$4:$F$8886)*(PLT!$V$4:$V$8886&lt;&gt;AD369)*("Valid"=PLT!$P$4:$P$7190),PLT!$V$4:$V$8886),"")</f>
        <v/>
      </c>
      <c r="AF369" s="161" t="str" cm="1">
        <f t="array" ref="AF369">IFERROR(_xlfn.XLOOKUP(1,(A369=PLT!$A$4:$A$8886)*(Geotech!C369&lt;=PLT!$F$4:$F$8886)*(Geotech!D369&gt;=PLT!$F$4:$F$8886)*(PLT!$V$4:$V$8886&lt;&gt;AD369)*(PLT!$V$4:$V$8886&lt;&gt;AE369)*("Valid"=PLT!$P$4:$P$7190),PLT!$V$4:$V$8886),"")</f>
        <v/>
      </c>
      <c r="AG369" s="162" t="str">
        <f>IFERROR(IF(AVERAGE(AD369:AF369)&gt;References!$BO$23,References!$BP$23,
IF(AVERAGE(AD369:AF369)&gt;References!$BO$22,References!$BP$22,
IF(AVERAGE(AD369:AF369)&gt;References!$BO$21,References!$BP$21,
IF(AVERAGE(AD369:AF369)&gt;References!$BO$20,References!$BP$20,
IF(AVERAGE(AD369:AF369)&gt;References!$BO$19,References!$BP$19,
IF(AVERAGE(AD369:AF369)&gt;References!$BO$18,References!$BP$18,
0)))))),"")</f>
        <v/>
      </c>
      <c r="AH369" s="163" t="e">
        <f>VLOOKUP(Data_Geotech[[#This Row],[Field Intact Rock Strength]],Table_RMR76_Strength[],2,FALSE)</f>
        <v>#N/A</v>
      </c>
      <c r="AI369" s="163" t="e">
        <f>IF(Data_Geotech[[#This Row],[RQD (%)]]&lt;=25,3,IF(Data_Geotech[[#This Row],[RQD (%)]]&lt;=50,8,IF(Data_Geotech[[#This Row],[RQD (%)]]&lt;=75,13,IF(Data_Geotech[[#This Row],[RQD (%)]]&lt;=90,17,20))))</f>
        <v>#DIV/0!</v>
      </c>
      <c r="AJ369" s="136">
        <f>IF(Data_Geotech[[#This Row],[Joint spacing (m)]]&lt;=0.05,5,IF(Data_Geotech[[#This Row],[Joint spacing (m)]]&lt;=0.3,10,IF(Data_Geotech[[#This Row],[Joint spacing (m)]]&lt;=1,20,IF(Data_Geotech[[#This Row],[Joint spacing (m)]]&lt;=3,25,30))))</f>
        <v>30</v>
      </c>
      <c r="AK36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69" s="6"/>
      <c r="AM369" s="137" t="str">
        <f>IF(Data_Geotech[[#This Row],[FIRS Code]]="R",IFERROR(SUM(Data_Geotech[[#This Row],[RMR76 - Strength rating]:[RMR76 - Ground water rating]]),""),"")</f>
        <v/>
      </c>
      <c r="AN369" s="164" t="str">
        <f>IF(Data_Geotech[[#This Row],[FIRS Code]]="R",(2*Data_Geotech[[#This Row],[RMR76 - Joint condition rating]])+(IF(Data_Geotech[[#This Row],[RQD (%)]]&gt;80,80/2,Data_Geotech[[#This Row],[RQD (%)]]/2)),"")</f>
        <v/>
      </c>
      <c r="AO369" s="136" t="e">
        <f>LEFT(Data_Geotech[[#This Row],[Joint Set Rating]],FIND("-",Data_Geotech[[#This Row],[Joint Set Rating]],1)-2)</f>
        <v>#VALUE!</v>
      </c>
      <c r="AP36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69" s="143">
        <f t="shared" si="8"/>
        <v>1</v>
      </c>
      <c r="AR369" s="165" t="str">
        <f>IF(Data_Geotech[[#This Row],[FIRS Code]]="R",IFERROR((IF(Data_Geotech[[#This Row],[RQD (%)]]&lt;10,10,Data_Geotech[[#This Row],[RQD (%)]])/Data_Geotech[[#This Row],[Jn rating]])*Data_Geotech[[#This Row],[Jr/Ja]],""),"")</f>
        <v/>
      </c>
      <c r="AS369" s="138" t="str">
        <f>IF(Data_Geotech[[#This Row],[FIRS Code]]="R",IFERROR((IF(Data_Geotech[[#This Row],[RQD (%)]]&lt;10,10,Data_Geotech[[#This Row],[RQD (%)]])/Data_Geotech[[#This Row],[Jn rating]])*Data_Geotech[[#This Row],[Jr/Ja]]*Data_Geotech[[#This Row],[Jw/SRF]],""),"")</f>
        <v/>
      </c>
      <c r="AT369" s="12"/>
      <c r="AU369" s="13" t="e">
        <f>100-Data_Geotech[[#This Row],[RQD (%)]]</f>
        <v>#DIV/0!</v>
      </c>
      <c r="AV369" s="13" t="e">
        <f>100-Data_Geotech[[#This Row],[TCR (%)]]</f>
        <v>#DIV/0!</v>
      </c>
      <c r="AW369" s="62" t="e">
        <f>(Data_Geotech[[#This Row],[Fracture per interval]]+Data_Geotech[[#This Row],[Added fractures 
(BC, FLT, LC)]])/Data_Geotech[[#This Row],[TCR (m)]]</f>
        <v>#DIV/0!</v>
      </c>
      <c r="AX369" s="62" t="str">
        <f>MID(Data_Geotech[[#This Row],[Field Intact Rock Strength]],2,1)</f>
        <v/>
      </c>
      <c r="AY369" s="63" t="e">
        <f>7-MID(Data_Geotech[[#This Row],[Field Intact Rock Strength]],2,1)</f>
        <v>#VALUE!</v>
      </c>
      <c r="AZ369" s="63" t="e">
        <f>VLOOKUP(Data_Geotech[[#This Row],[Field Intact Rock Strength]],Table_FieldStrength[],2,FALSE)</f>
        <v>#N/A</v>
      </c>
      <c r="BA369" s="63" t="e">
        <f>VLOOKUP(Data_Geotech[[#This Row],[Field Intact Rock Strength]],Table_FieldStrength[],3,FALSE)</f>
        <v>#N/A</v>
      </c>
      <c r="BB369" s="63" t="e">
        <f>VLOOKUP(Data_Geotech[[#This Row],[Field Intact Rock Strength]],Table_FieldStrength[],4,FALSE)</f>
        <v>#N/A</v>
      </c>
      <c r="BC369" s="63" t="e">
        <f>100-Data_Geotech[[#This Row],[RMR76]]</f>
        <v>#VALUE!</v>
      </c>
      <c r="BD369" s="63" t="e">
        <f>LEFT(Data_Geotech[[#This Row],[Weathering/Alteration]],FIND("-",Data_Geotech[[#This Row],[Weathering/Alteration]])-2)</f>
        <v>#VALUE!</v>
      </c>
    </row>
    <row r="370" spans="1:56" hidden="1" x14ac:dyDescent="0.25">
      <c r="A370" s="14"/>
      <c r="B370" s="166" t="e">
        <f>VLOOKUP(Data_Geotech[[#This Row],[Hole ID]],Data_Log[],2,FALSE)</f>
        <v>#N/A</v>
      </c>
      <c r="C370" s="5"/>
      <c r="D370" s="5"/>
      <c r="E370" s="5">
        <f>(Data_Geotech[[#This Row],[To (m)]]-Data_Geotech[[#This Row],[From (m)]])/2+Data_Geotech[[#This Row],[From (m)]]</f>
        <v>0</v>
      </c>
      <c r="F370" s="13">
        <f>Data_Geotech[[#This Row],[To (m)]]-Data_Geotech[[#This Row],[From (m)]]</f>
        <v>0</v>
      </c>
      <c r="G370" s="5"/>
      <c r="H370" s="13" t="e">
        <f>Data_Geotech[[#This Row],[TCR (m)]]/Data_Geotech[[#This Row],[Run (m)]]*100</f>
        <v>#DIV/0!</v>
      </c>
      <c r="I370" s="5"/>
      <c r="J370" s="5"/>
      <c r="K370" s="5"/>
      <c r="L370" s="13" t="e">
        <f>Data_Geotech[[#This Row],[RQD (m)]]/Data_Geotech[[#This Row],[Run Reel (m)]]*100</f>
        <v>#DIV/0!</v>
      </c>
      <c r="P370" s="115"/>
      <c r="Q370" s="5"/>
      <c r="R370" s="5"/>
      <c r="S370" s="5"/>
      <c r="T370" s="5"/>
      <c r="U370" s="5"/>
      <c r="V370" s="6"/>
      <c r="W370" s="92">
        <f>SUMIFS(Discontinuities!$D$4:$D$9664,Discontinuities!$A$4:$A$9664,A370,Discontinuities!$C$4:$C$9664,"&gt;="&amp;C370,Discontinuities!$C$4:$C$9664,"&lt;"&amp;D370)
-SUMIFS(Discontinuities!$D$4:$D$9664,Discontinuities!$A$4:$A$9664,A370,Discontinuities!$C$4:$C$9664,"&gt;="&amp;C370,Discontinuities!$C$4:$C$9664,"&lt;"&amp;D370,Discontinuities!$E$4:$E$9664,"=BC")
-SUMIFS(Discontinuities!$D$4:$D$9664,Discontinuities!$A$4:$A$9664,A370,Discontinuities!$C$4:$C$9664,"&gt;="&amp;C370,Discontinuities!$C$4:$C$9664,"&lt;"&amp;D370,Discontinuities!$E$4:$E$9664,"=LC")
-SUMIFS(Discontinuities!$D$4:$D$9664,Discontinuities!$A$4:$A$9664,A370,Discontinuities!$C$4:$C$9664,"&gt;="&amp;C370,Discontinuities!$C$4:$C$9664,"&lt;"&amp;D370,Discontinuities!$E$4:$E$9664,"=FLT")</f>
        <v>0</v>
      </c>
      <c r="AA370" s="132"/>
      <c r="AB370" s="159">
        <f>IFERROR(ROUND((Data_Geotech[[#This Row],[Fault (m)]]+Data_Geotech[[#This Row],[Broken Core (m)]]+Data_Geotech[[#This Row],[Lost Core (m)]])*30,0),0)</f>
        <v>0</v>
      </c>
      <c r="AC370" s="135">
        <f>IF(Data_Geotech[[#This Row],[Added fractures 
(BC, FLT, LC)]]+Data_Geotech[[#This Row],[Fracture per interval]]=0,99,1/((Data_Geotech[[#This Row],[Fracture per interval]]+Data_Geotech[[#This Row],[Added fractures 
(BC, FLT, LC)]])/Data_Geotech[[#This Row],[Run (m)]]))</f>
        <v>99</v>
      </c>
      <c r="AD370" s="160" t="str" cm="1">
        <f t="array" ref="AD370">IFERROR(_xlfn.XLOOKUP(1,(A370=PLT!$A$4:$A$8886)*(Geotech!C370&lt;=PLT!$F$4:$F$8886)*(Geotech!D370&gt;=PLT!$F$4:$F$8886)*("Valid"=PLT!$P$4:$P$8886),PLT!$V$4:$V$8886),"")</f>
        <v/>
      </c>
      <c r="AE370" s="161" t="str" cm="1">
        <f t="array" ref="AE370">IFERROR(_xlfn.XLOOKUP(1,(A370=PLT!$A$4:$A$8886)*(Geotech!C370&lt;=PLT!$F$4:$F$8886)*(Geotech!D370&gt;=PLT!$F$4:$F$8886)*(PLT!$V$4:$V$8886&lt;&gt;AD370)*("Valid"=PLT!$P$4:$P$7190),PLT!$V$4:$V$8886),"")</f>
        <v/>
      </c>
      <c r="AF370" s="161" t="str" cm="1">
        <f t="array" ref="AF370">IFERROR(_xlfn.XLOOKUP(1,(A370=PLT!$A$4:$A$8886)*(Geotech!C370&lt;=PLT!$F$4:$F$8886)*(Geotech!D370&gt;=PLT!$F$4:$F$8886)*(PLT!$V$4:$V$8886&lt;&gt;AD370)*(PLT!$V$4:$V$8886&lt;&gt;AE370)*("Valid"=PLT!$P$4:$P$7190),PLT!$V$4:$V$8886),"")</f>
        <v/>
      </c>
      <c r="AG370" s="162" t="str">
        <f>IFERROR(IF(AVERAGE(AD370:AF370)&gt;References!$BO$23,References!$BP$23,
IF(AVERAGE(AD370:AF370)&gt;References!$BO$22,References!$BP$22,
IF(AVERAGE(AD370:AF370)&gt;References!$BO$21,References!$BP$21,
IF(AVERAGE(AD370:AF370)&gt;References!$BO$20,References!$BP$20,
IF(AVERAGE(AD370:AF370)&gt;References!$BO$19,References!$BP$19,
IF(AVERAGE(AD370:AF370)&gt;References!$BO$18,References!$BP$18,
0)))))),"")</f>
        <v/>
      </c>
      <c r="AH370" s="163" t="e">
        <f>VLOOKUP(Data_Geotech[[#This Row],[Field Intact Rock Strength]],Table_RMR76_Strength[],2,FALSE)</f>
        <v>#N/A</v>
      </c>
      <c r="AI370" s="163" t="e">
        <f>IF(Data_Geotech[[#This Row],[RQD (%)]]&lt;=25,3,IF(Data_Geotech[[#This Row],[RQD (%)]]&lt;=50,8,IF(Data_Geotech[[#This Row],[RQD (%)]]&lt;=75,13,IF(Data_Geotech[[#This Row],[RQD (%)]]&lt;=90,17,20))))</f>
        <v>#DIV/0!</v>
      </c>
      <c r="AJ370" s="136">
        <f>IF(Data_Geotech[[#This Row],[Joint spacing (m)]]&lt;=0.05,5,IF(Data_Geotech[[#This Row],[Joint spacing (m)]]&lt;=0.3,10,IF(Data_Geotech[[#This Row],[Joint spacing (m)]]&lt;=1,20,IF(Data_Geotech[[#This Row],[Joint spacing (m)]]&lt;=3,25,30))))</f>
        <v>30</v>
      </c>
      <c r="AK37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0" s="6"/>
      <c r="AM370" s="137" t="str">
        <f>IF(Data_Geotech[[#This Row],[FIRS Code]]="R",IFERROR(SUM(Data_Geotech[[#This Row],[RMR76 - Strength rating]:[RMR76 - Ground water rating]]),""),"")</f>
        <v/>
      </c>
      <c r="AN370" s="164" t="str">
        <f>IF(Data_Geotech[[#This Row],[FIRS Code]]="R",(2*Data_Geotech[[#This Row],[RMR76 - Joint condition rating]])+(IF(Data_Geotech[[#This Row],[RQD (%)]]&gt;80,80/2,Data_Geotech[[#This Row],[RQD (%)]]/2)),"")</f>
        <v/>
      </c>
      <c r="AO370" s="136" t="e">
        <f>LEFT(Data_Geotech[[#This Row],[Joint Set Rating]],FIND("-",Data_Geotech[[#This Row],[Joint Set Rating]],1)-2)</f>
        <v>#VALUE!</v>
      </c>
      <c r="AP37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0" s="143">
        <f t="shared" si="8"/>
        <v>1</v>
      </c>
      <c r="AR370" s="165" t="str">
        <f>IF(Data_Geotech[[#This Row],[FIRS Code]]="R",IFERROR((IF(Data_Geotech[[#This Row],[RQD (%)]]&lt;10,10,Data_Geotech[[#This Row],[RQD (%)]])/Data_Geotech[[#This Row],[Jn rating]])*Data_Geotech[[#This Row],[Jr/Ja]],""),"")</f>
        <v/>
      </c>
      <c r="AS370" s="138" t="str">
        <f>IF(Data_Geotech[[#This Row],[FIRS Code]]="R",IFERROR((IF(Data_Geotech[[#This Row],[RQD (%)]]&lt;10,10,Data_Geotech[[#This Row],[RQD (%)]])/Data_Geotech[[#This Row],[Jn rating]])*Data_Geotech[[#This Row],[Jr/Ja]]*Data_Geotech[[#This Row],[Jw/SRF]],""),"")</f>
        <v/>
      </c>
      <c r="AT370" s="12"/>
      <c r="AU370" s="13" t="e">
        <f>100-Data_Geotech[[#This Row],[RQD (%)]]</f>
        <v>#DIV/0!</v>
      </c>
      <c r="AV370" s="13" t="e">
        <f>100-Data_Geotech[[#This Row],[TCR (%)]]</f>
        <v>#DIV/0!</v>
      </c>
      <c r="AW370" s="62" t="e">
        <f>(Data_Geotech[[#This Row],[Fracture per interval]]+Data_Geotech[[#This Row],[Added fractures 
(BC, FLT, LC)]])/Data_Geotech[[#This Row],[TCR (m)]]</f>
        <v>#DIV/0!</v>
      </c>
      <c r="AX370" s="62" t="str">
        <f>MID(Data_Geotech[[#This Row],[Field Intact Rock Strength]],2,1)</f>
        <v/>
      </c>
      <c r="AY370" s="63" t="e">
        <f>7-MID(Data_Geotech[[#This Row],[Field Intact Rock Strength]],2,1)</f>
        <v>#VALUE!</v>
      </c>
      <c r="AZ370" s="63" t="e">
        <f>VLOOKUP(Data_Geotech[[#This Row],[Field Intact Rock Strength]],Table_FieldStrength[],2,FALSE)</f>
        <v>#N/A</v>
      </c>
      <c r="BA370" s="63" t="e">
        <f>VLOOKUP(Data_Geotech[[#This Row],[Field Intact Rock Strength]],Table_FieldStrength[],3,FALSE)</f>
        <v>#N/A</v>
      </c>
      <c r="BB370" s="63" t="e">
        <f>VLOOKUP(Data_Geotech[[#This Row],[Field Intact Rock Strength]],Table_FieldStrength[],4,FALSE)</f>
        <v>#N/A</v>
      </c>
      <c r="BC370" s="63" t="e">
        <f>100-Data_Geotech[[#This Row],[RMR76]]</f>
        <v>#VALUE!</v>
      </c>
      <c r="BD370" s="63" t="e">
        <f>LEFT(Data_Geotech[[#This Row],[Weathering/Alteration]],FIND("-",Data_Geotech[[#This Row],[Weathering/Alteration]])-2)</f>
        <v>#VALUE!</v>
      </c>
    </row>
    <row r="371" spans="1:56" hidden="1" x14ac:dyDescent="0.25">
      <c r="A371" s="14"/>
      <c r="B371" s="166" t="e">
        <f>VLOOKUP(Data_Geotech[[#This Row],[Hole ID]],Data_Log[],2,FALSE)</f>
        <v>#N/A</v>
      </c>
      <c r="C371" s="5"/>
      <c r="D371" s="5"/>
      <c r="E371" s="5">
        <f>(Data_Geotech[[#This Row],[To (m)]]-Data_Geotech[[#This Row],[From (m)]])/2+Data_Geotech[[#This Row],[From (m)]]</f>
        <v>0</v>
      </c>
      <c r="F371" s="13">
        <f>Data_Geotech[[#This Row],[To (m)]]-Data_Geotech[[#This Row],[From (m)]]</f>
        <v>0</v>
      </c>
      <c r="G371" s="5"/>
      <c r="H371" s="13" t="e">
        <f>Data_Geotech[[#This Row],[TCR (m)]]/Data_Geotech[[#This Row],[Run (m)]]*100</f>
        <v>#DIV/0!</v>
      </c>
      <c r="I371" s="5"/>
      <c r="J371" s="5"/>
      <c r="K371" s="5"/>
      <c r="L371" s="13" t="e">
        <f>Data_Geotech[[#This Row],[RQD (m)]]/Data_Geotech[[#This Row],[Run Reel (m)]]*100</f>
        <v>#DIV/0!</v>
      </c>
      <c r="P371" s="115"/>
      <c r="Q371" s="5"/>
      <c r="R371" s="5"/>
      <c r="S371" s="5"/>
      <c r="T371" s="5"/>
      <c r="U371" s="5"/>
      <c r="V371" s="6"/>
      <c r="W371" s="92">
        <f>SUMIFS(Discontinuities!$D$4:$D$9664,Discontinuities!$A$4:$A$9664,A371,Discontinuities!$C$4:$C$9664,"&gt;="&amp;C371,Discontinuities!$C$4:$C$9664,"&lt;"&amp;D371)
-SUMIFS(Discontinuities!$D$4:$D$9664,Discontinuities!$A$4:$A$9664,A371,Discontinuities!$C$4:$C$9664,"&gt;="&amp;C371,Discontinuities!$C$4:$C$9664,"&lt;"&amp;D371,Discontinuities!$E$4:$E$9664,"=BC")
-SUMIFS(Discontinuities!$D$4:$D$9664,Discontinuities!$A$4:$A$9664,A371,Discontinuities!$C$4:$C$9664,"&gt;="&amp;C371,Discontinuities!$C$4:$C$9664,"&lt;"&amp;D371,Discontinuities!$E$4:$E$9664,"=LC")
-SUMIFS(Discontinuities!$D$4:$D$9664,Discontinuities!$A$4:$A$9664,A371,Discontinuities!$C$4:$C$9664,"&gt;="&amp;C371,Discontinuities!$C$4:$C$9664,"&lt;"&amp;D371,Discontinuities!$E$4:$E$9664,"=FLT")</f>
        <v>0</v>
      </c>
      <c r="AA371" s="132"/>
      <c r="AB371" s="159">
        <f>IFERROR(ROUND((Data_Geotech[[#This Row],[Fault (m)]]+Data_Geotech[[#This Row],[Broken Core (m)]]+Data_Geotech[[#This Row],[Lost Core (m)]])*30,0),0)</f>
        <v>0</v>
      </c>
      <c r="AC371" s="135">
        <f>IF(Data_Geotech[[#This Row],[Added fractures 
(BC, FLT, LC)]]+Data_Geotech[[#This Row],[Fracture per interval]]=0,99,1/((Data_Geotech[[#This Row],[Fracture per interval]]+Data_Geotech[[#This Row],[Added fractures 
(BC, FLT, LC)]])/Data_Geotech[[#This Row],[Run (m)]]))</f>
        <v>99</v>
      </c>
      <c r="AD371" s="160" t="str" cm="1">
        <f t="array" ref="AD371">IFERROR(_xlfn.XLOOKUP(1,(A371=PLT!$A$4:$A$8886)*(Geotech!C371&lt;=PLT!$F$4:$F$8886)*(Geotech!D371&gt;=PLT!$F$4:$F$8886)*("Valid"=PLT!$P$4:$P$8886),PLT!$V$4:$V$8886),"")</f>
        <v/>
      </c>
      <c r="AE371" s="161" t="str" cm="1">
        <f t="array" ref="AE371">IFERROR(_xlfn.XLOOKUP(1,(A371=PLT!$A$4:$A$8886)*(Geotech!C371&lt;=PLT!$F$4:$F$8886)*(Geotech!D371&gt;=PLT!$F$4:$F$8886)*(PLT!$V$4:$V$8886&lt;&gt;AD371)*("Valid"=PLT!$P$4:$P$7190),PLT!$V$4:$V$8886),"")</f>
        <v/>
      </c>
      <c r="AF371" s="161" t="str" cm="1">
        <f t="array" ref="AF371">IFERROR(_xlfn.XLOOKUP(1,(A371=PLT!$A$4:$A$8886)*(Geotech!C371&lt;=PLT!$F$4:$F$8886)*(Geotech!D371&gt;=PLT!$F$4:$F$8886)*(PLT!$V$4:$V$8886&lt;&gt;AD371)*(PLT!$V$4:$V$8886&lt;&gt;AE371)*("Valid"=PLT!$P$4:$P$7190),PLT!$V$4:$V$8886),"")</f>
        <v/>
      </c>
      <c r="AG371" s="162" t="str">
        <f>IFERROR(IF(AVERAGE(AD371:AF371)&gt;References!$BO$23,References!$BP$23,
IF(AVERAGE(AD371:AF371)&gt;References!$BO$22,References!$BP$22,
IF(AVERAGE(AD371:AF371)&gt;References!$BO$21,References!$BP$21,
IF(AVERAGE(AD371:AF371)&gt;References!$BO$20,References!$BP$20,
IF(AVERAGE(AD371:AF371)&gt;References!$BO$19,References!$BP$19,
IF(AVERAGE(AD371:AF371)&gt;References!$BO$18,References!$BP$18,
0)))))),"")</f>
        <v/>
      </c>
      <c r="AH371" s="163" t="e">
        <f>VLOOKUP(Data_Geotech[[#This Row],[Field Intact Rock Strength]],Table_RMR76_Strength[],2,FALSE)</f>
        <v>#N/A</v>
      </c>
      <c r="AI371" s="163" t="e">
        <f>IF(Data_Geotech[[#This Row],[RQD (%)]]&lt;=25,3,IF(Data_Geotech[[#This Row],[RQD (%)]]&lt;=50,8,IF(Data_Geotech[[#This Row],[RQD (%)]]&lt;=75,13,IF(Data_Geotech[[#This Row],[RQD (%)]]&lt;=90,17,20))))</f>
        <v>#DIV/0!</v>
      </c>
      <c r="AJ371" s="136">
        <f>IF(Data_Geotech[[#This Row],[Joint spacing (m)]]&lt;=0.05,5,IF(Data_Geotech[[#This Row],[Joint spacing (m)]]&lt;=0.3,10,IF(Data_Geotech[[#This Row],[Joint spacing (m)]]&lt;=1,20,IF(Data_Geotech[[#This Row],[Joint spacing (m)]]&lt;=3,25,30))))</f>
        <v>30</v>
      </c>
      <c r="AK37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1" s="6"/>
      <c r="AM371" s="137" t="str">
        <f>IF(Data_Geotech[[#This Row],[FIRS Code]]="R",IFERROR(SUM(Data_Geotech[[#This Row],[RMR76 - Strength rating]:[RMR76 - Ground water rating]]),""),"")</f>
        <v/>
      </c>
      <c r="AN371" s="164" t="str">
        <f>IF(Data_Geotech[[#This Row],[FIRS Code]]="R",(2*Data_Geotech[[#This Row],[RMR76 - Joint condition rating]])+(IF(Data_Geotech[[#This Row],[RQD (%)]]&gt;80,80/2,Data_Geotech[[#This Row],[RQD (%)]]/2)),"")</f>
        <v/>
      </c>
      <c r="AO371" s="136" t="e">
        <f>LEFT(Data_Geotech[[#This Row],[Joint Set Rating]],FIND("-",Data_Geotech[[#This Row],[Joint Set Rating]],1)-2)</f>
        <v>#VALUE!</v>
      </c>
      <c r="AP37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1" s="143">
        <f t="shared" si="8"/>
        <v>1</v>
      </c>
      <c r="AR371" s="165" t="str">
        <f>IF(Data_Geotech[[#This Row],[FIRS Code]]="R",IFERROR((IF(Data_Geotech[[#This Row],[RQD (%)]]&lt;10,10,Data_Geotech[[#This Row],[RQD (%)]])/Data_Geotech[[#This Row],[Jn rating]])*Data_Geotech[[#This Row],[Jr/Ja]],""),"")</f>
        <v/>
      </c>
      <c r="AS371" s="138" t="str">
        <f>IF(Data_Geotech[[#This Row],[FIRS Code]]="R",IFERROR((IF(Data_Geotech[[#This Row],[RQD (%)]]&lt;10,10,Data_Geotech[[#This Row],[RQD (%)]])/Data_Geotech[[#This Row],[Jn rating]])*Data_Geotech[[#This Row],[Jr/Ja]]*Data_Geotech[[#This Row],[Jw/SRF]],""),"")</f>
        <v/>
      </c>
      <c r="AT371" s="12"/>
      <c r="AU371" s="13" t="e">
        <f>100-Data_Geotech[[#This Row],[RQD (%)]]</f>
        <v>#DIV/0!</v>
      </c>
      <c r="AV371" s="13" t="e">
        <f>100-Data_Geotech[[#This Row],[TCR (%)]]</f>
        <v>#DIV/0!</v>
      </c>
      <c r="AW371" s="62" t="e">
        <f>(Data_Geotech[[#This Row],[Fracture per interval]]+Data_Geotech[[#This Row],[Added fractures 
(BC, FLT, LC)]])/Data_Geotech[[#This Row],[TCR (m)]]</f>
        <v>#DIV/0!</v>
      </c>
      <c r="AX371" s="62" t="str">
        <f>MID(Data_Geotech[[#This Row],[Field Intact Rock Strength]],2,1)</f>
        <v/>
      </c>
      <c r="AY371" s="63" t="e">
        <f>7-MID(Data_Geotech[[#This Row],[Field Intact Rock Strength]],2,1)</f>
        <v>#VALUE!</v>
      </c>
      <c r="AZ371" s="63" t="e">
        <f>VLOOKUP(Data_Geotech[[#This Row],[Field Intact Rock Strength]],Table_FieldStrength[],2,FALSE)</f>
        <v>#N/A</v>
      </c>
      <c r="BA371" s="63" t="e">
        <f>VLOOKUP(Data_Geotech[[#This Row],[Field Intact Rock Strength]],Table_FieldStrength[],3,FALSE)</f>
        <v>#N/A</v>
      </c>
      <c r="BB371" s="63" t="e">
        <f>VLOOKUP(Data_Geotech[[#This Row],[Field Intact Rock Strength]],Table_FieldStrength[],4,FALSE)</f>
        <v>#N/A</v>
      </c>
      <c r="BC371" s="63" t="e">
        <f>100-Data_Geotech[[#This Row],[RMR76]]</f>
        <v>#VALUE!</v>
      </c>
      <c r="BD371" s="63" t="e">
        <f>LEFT(Data_Geotech[[#This Row],[Weathering/Alteration]],FIND("-",Data_Geotech[[#This Row],[Weathering/Alteration]])-2)</f>
        <v>#VALUE!</v>
      </c>
    </row>
    <row r="372" spans="1:56" hidden="1" x14ac:dyDescent="0.25">
      <c r="A372" s="14"/>
      <c r="B372" s="166" t="e">
        <f>VLOOKUP(Data_Geotech[[#This Row],[Hole ID]],Data_Log[],2,FALSE)</f>
        <v>#N/A</v>
      </c>
      <c r="C372" s="5"/>
      <c r="D372" s="5"/>
      <c r="E372" s="5">
        <f>(Data_Geotech[[#This Row],[To (m)]]-Data_Geotech[[#This Row],[From (m)]])/2+Data_Geotech[[#This Row],[From (m)]]</f>
        <v>0</v>
      </c>
      <c r="F372" s="13">
        <f>Data_Geotech[[#This Row],[To (m)]]-Data_Geotech[[#This Row],[From (m)]]</f>
        <v>0</v>
      </c>
      <c r="G372" s="5"/>
      <c r="H372" s="13" t="e">
        <f>Data_Geotech[[#This Row],[TCR (m)]]/Data_Geotech[[#This Row],[Run (m)]]*100</f>
        <v>#DIV/0!</v>
      </c>
      <c r="I372" s="5"/>
      <c r="J372" s="5"/>
      <c r="K372" s="5"/>
      <c r="L372" s="13" t="e">
        <f>Data_Geotech[[#This Row],[RQD (m)]]/Data_Geotech[[#This Row],[Run Reel (m)]]*100</f>
        <v>#DIV/0!</v>
      </c>
      <c r="P372" s="115"/>
      <c r="Q372" s="5"/>
      <c r="R372" s="5"/>
      <c r="S372" s="5"/>
      <c r="T372" s="5"/>
      <c r="U372" s="5"/>
      <c r="V372" s="6"/>
      <c r="W372" s="92">
        <f>SUMIFS(Discontinuities!$D$4:$D$9664,Discontinuities!$A$4:$A$9664,A372,Discontinuities!$C$4:$C$9664,"&gt;="&amp;C372,Discontinuities!$C$4:$C$9664,"&lt;"&amp;D372)
-SUMIFS(Discontinuities!$D$4:$D$9664,Discontinuities!$A$4:$A$9664,A372,Discontinuities!$C$4:$C$9664,"&gt;="&amp;C372,Discontinuities!$C$4:$C$9664,"&lt;"&amp;D372,Discontinuities!$E$4:$E$9664,"=BC")
-SUMIFS(Discontinuities!$D$4:$D$9664,Discontinuities!$A$4:$A$9664,A372,Discontinuities!$C$4:$C$9664,"&gt;="&amp;C372,Discontinuities!$C$4:$C$9664,"&lt;"&amp;D372,Discontinuities!$E$4:$E$9664,"=LC")
-SUMIFS(Discontinuities!$D$4:$D$9664,Discontinuities!$A$4:$A$9664,A372,Discontinuities!$C$4:$C$9664,"&gt;="&amp;C372,Discontinuities!$C$4:$C$9664,"&lt;"&amp;D372,Discontinuities!$E$4:$E$9664,"=FLT")</f>
        <v>0</v>
      </c>
      <c r="AA372" s="132"/>
      <c r="AB372" s="159">
        <f>IFERROR(ROUND((Data_Geotech[[#This Row],[Fault (m)]]+Data_Geotech[[#This Row],[Broken Core (m)]]+Data_Geotech[[#This Row],[Lost Core (m)]])*30,0),0)</f>
        <v>0</v>
      </c>
      <c r="AC372" s="135">
        <f>IF(Data_Geotech[[#This Row],[Added fractures 
(BC, FLT, LC)]]+Data_Geotech[[#This Row],[Fracture per interval]]=0,99,1/((Data_Geotech[[#This Row],[Fracture per interval]]+Data_Geotech[[#This Row],[Added fractures 
(BC, FLT, LC)]])/Data_Geotech[[#This Row],[Run (m)]]))</f>
        <v>99</v>
      </c>
      <c r="AD372" s="160" t="str" cm="1">
        <f t="array" ref="AD372">IFERROR(_xlfn.XLOOKUP(1,(A372=PLT!$A$4:$A$8886)*(Geotech!C372&lt;=PLT!$F$4:$F$8886)*(Geotech!D372&gt;=PLT!$F$4:$F$8886)*("Valid"=PLT!$P$4:$P$8886),PLT!$V$4:$V$8886),"")</f>
        <v/>
      </c>
      <c r="AE372" s="161" t="str" cm="1">
        <f t="array" ref="AE372">IFERROR(_xlfn.XLOOKUP(1,(A372=PLT!$A$4:$A$8886)*(Geotech!C372&lt;=PLT!$F$4:$F$8886)*(Geotech!D372&gt;=PLT!$F$4:$F$8886)*(PLT!$V$4:$V$8886&lt;&gt;AD372)*("Valid"=PLT!$P$4:$P$7190),PLT!$V$4:$V$8886),"")</f>
        <v/>
      </c>
      <c r="AF372" s="161" t="str" cm="1">
        <f t="array" ref="AF372">IFERROR(_xlfn.XLOOKUP(1,(A372=PLT!$A$4:$A$8886)*(Geotech!C372&lt;=PLT!$F$4:$F$8886)*(Geotech!D372&gt;=PLT!$F$4:$F$8886)*(PLT!$V$4:$V$8886&lt;&gt;AD372)*(PLT!$V$4:$V$8886&lt;&gt;AE372)*("Valid"=PLT!$P$4:$P$7190),PLT!$V$4:$V$8886),"")</f>
        <v/>
      </c>
      <c r="AG372" s="162" t="str">
        <f>IFERROR(IF(AVERAGE(AD372:AF372)&gt;References!$BO$23,References!$BP$23,
IF(AVERAGE(AD372:AF372)&gt;References!$BO$22,References!$BP$22,
IF(AVERAGE(AD372:AF372)&gt;References!$BO$21,References!$BP$21,
IF(AVERAGE(AD372:AF372)&gt;References!$BO$20,References!$BP$20,
IF(AVERAGE(AD372:AF372)&gt;References!$BO$19,References!$BP$19,
IF(AVERAGE(AD372:AF372)&gt;References!$BO$18,References!$BP$18,
0)))))),"")</f>
        <v/>
      </c>
      <c r="AH372" s="163" t="e">
        <f>VLOOKUP(Data_Geotech[[#This Row],[Field Intact Rock Strength]],Table_RMR76_Strength[],2,FALSE)</f>
        <v>#N/A</v>
      </c>
      <c r="AI372" s="163" t="e">
        <f>IF(Data_Geotech[[#This Row],[RQD (%)]]&lt;=25,3,IF(Data_Geotech[[#This Row],[RQD (%)]]&lt;=50,8,IF(Data_Geotech[[#This Row],[RQD (%)]]&lt;=75,13,IF(Data_Geotech[[#This Row],[RQD (%)]]&lt;=90,17,20))))</f>
        <v>#DIV/0!</v>
      </c>
      <c r="AJ372" s="136">
        <f>IF(Data_Geotech[[#This Row],[Joint spacing (m)]]&lt;=0.05,5,IF(Data_Geotech[[#This Row],[Joint spacing (m)]]&lt;=0.3,10,IF(Data_Geotech[[#This Row],[Joint spacing (m)]]&lt;=1,20,IF(Data_Geotech[[#This Row],[Joint spacing (m)]]&lt;=3,25,30))))</f>
        <v>30</v>
      </c>
      <c r="AK37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2" s="6"/>
      <c r="AM372" s="137" t="str">
        <f>IF(Data_Geotech[[#This Row],[FIRS Code]]="R",IFERROR(SUM(Data_Geotech[[#This Row],[RMR76 - Strength rating]:[RMR76 - Ground water rating]]),""),"")</f>
        <v/>
      </c>
      <c r="AN372" s="164" t="str">
        <f>IF(Data_Geotech[[#This Row],[FIRS Code]]="R",(2*Data_Geotech[[#This Row],[RMR76 - Joint condition rating]])+(IF(Data_Geotech[[#This Row],[RQD (%)]]&gt;80,80/2,Data_Geotech[[#This Row],[RQD (%)]]/2)),"")</f>
        <v/>
      </c>
      <c r="AO372" s="136" t="e">
        <f>LEFT(Data_Geotech[[#This Row],[Joint Set Rating]],FIND("-",Data_Geotech[[#This Row],[Joint Set Rating]],1)-2)</f>
        <v>#VALUE!</v>
      </c>
      <c r="AP37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2" s="143">
        <f t="shared" si="8"/>
        <v>1</v>
      </c>
      <c r="AR372" s="165" t="str">
        <f>IF(Data_Geotech[[#This Row],[FIRS Code]]="R",IFERROR((IF(Data_Geotech[[#This Row],[RQD (%)]]&lt;10,10,Data_Geotech[[#This Row],[RQD (%)]])/Data_Geotech[[#This Row],[Jn rating]])*Data_Geotech[[#This Row],[Jr/Ja]],""),"")</f>
        <v/>
      </c>
      <c r="AS372" s="138" t="str">
        <f>IF(Data_Geotech[[#This Row],[FIRS Code]]="R",IFERROR((IF(Data_Geotech[[#This Row],[RQD (%)]]&lt;10,10,Data_Geotech[[#This Row],[RQD (%)]])/Data_Geotech[[#This Row],[Jn rating]])*Data_Geotech[[#This Row],[Jr/Ja]]*Data_Geotech[[#This Row],[Jw/SRF]],""),"")</f>
        <v/>
      </c>
      <c r="AT372" s="12"/>
      <c r="AU372" s="13" t="e">
        <f>100-Data_Geotech[[#This Row],[RQD (%)]]</f>
        <v>#DIV/0!</v>
      </c>
      <c r="AV372" s="13" t="e">
        <f>100-Data_Geotech[[#This Row],[TCR (%)]]</f>
        <v>#DIV/0!</v>
      </c>
      <c r="AW372" s="62" t="e">
        <f>(Data_Geotech[[#This Row],[Fracture per interval]]+Data_Geotech[[#This Row],[Added fractures 
(BC, FLT, LC)]])/Data_Geotech[[#This Row],[TCR (m)]]</f>
        <v>#DIV/0!</v>
      </c>
      <c r="AX372" s="62" t="str">
        <f>MID(Data_Geotech[[#This Row],[Field Intact Rock Strength]],2,1)</f>
        <v/>
      </c>
      <c r="AY372" s="63" t="e">
        <f>7-MID(Data_Geotech[[#This Row],[Field Intact Rock Strength]],2,1)</f>
        <v>#VALUE!</v>
      </c>
      <c r="AZ372" s="63" t="e">
        <f>VLOOKUP(Data_Geotech[[#This Row],[Field Intact Rock Strength]],Table_FieldStrength[],2,FALSE)</f>
        <v>#N/A</v>
      </c>
      <c r="BA372" s="63" t="e">
        <f>VLOOKUP(Data_Geotech[[#This Row],[Field Intact Rock Strength]],Table_FieldStrength[],3,FALSE)</f>
        <v>#N/A</v>
      </c>
      <c r="BB372" s="63" t="e">
        <f>VLOOKUP(Data_Geotech[[#This Row],[Field Intact Rock Strength]],Table_FieldStrength[],4,FALSE)</f>
        <v>#N/A</v>
      </c>
      <c r="BC372" s="63" t="e">
        <f>100-Data_Geotech[[#This Row],[RMR76]]</f>
        <v>#VALUE!</v>
      </c>
      <c r="BD372" s="63" t="e">
        <f>LEFT(Data_Geotech[[#This Row],[Weathering/Alteration]],FIND("-",Data_Geotech[[#This Row],[Weathering/Alteration]])-2)</f>
        <v>#VALUE!</v>
      </c>
    </row>
    <row r="373" spans="1:56" hidden="1" x14ac:dyDescent="0.25">
      <c r="A373" s="14"/>
      <c r="B373" s="166" t="e">
        <f>VLOOKUP(Data_Geotech[[#This Row],[Hole ID]],Data_Log[],2,FALSE)</f>
        <v>#N/A</v>
      </c>
      <c r="C373" s="5"/>
      <c r="D373" s="5"/>
      <c r="E373" s="5">
        <f>(Data_Geotech[[#This Row],[To (m)]]-Data_Geotech[[#This Row],[From (m)]])/2+Data_Geotech[[#This Row],[From (m)]]</f>
        <v>0</v>
      </c>
      <c r="F373" s="13">
        <f>Data_Geotech[[#This Row],[To (m)]]-Data_Geotech[[#This Row],[From (m)]]</f>
        <v>0</v>
      </c>
      <c r="G373" s="5"/>
      <c r="H373" s="13" t="e">
        <f>Data_Geotech[[#This Row],[TCR (m)]]/Data_Geotech[[#This Row],[Run (m)]]*100</f>
        <v>#DIV/0!</v>
      </c>
      <c r="I373" s="5"/>
      <c r="J373" s="5"/>
      <c r="K373" s="5"/>
      <c r="L373" s="13" t="e">
        <f>Data_Geotech[[#This Row],[RQD (m)]]/Data_Geotech[[#This Row],[Run Reel (m)]]*100</f>
        <v>#DIV/0!</v>
      </c>
      <c r="P373" s="115"/>
      <c r="Q373" s="5"/>
      <c r="R373" s="5"/>
      <c r="S373" s="5"/>
      <c r="T373" s="5"/>
      <c r="U373" s="5"/>
      <c r="V373" s="6"/>
      <c r="W373" s="92">
        <f>SUMIFS(Discontinuities!$D$4:$D$9664,Discontinuities!$A$4:$A$9664,A373,Discontinuities!$C$4:$C$9664,"&gt;="&amp;C373,Discontinuities!$C$4:$C$9664,"&lt;"&amp;D373)
-SUMIFS(Discontinuities!$D$4:$D$9664,Discontinuities!$A$4:$A$9664,A373,Discontinuities!$C$4:$C$9664,"&gt;="&amp;C373,Discontinuities!$C$4:$C$9664,"&lt;"&amp;D373,Discontinuities!$E$4:$E$9664,"=BC")
-SUMIFS(Discontinuities!$D$4:$D$9664,Discontinuities!$A$4:$A$9664,A373,Discontinuities!$C$4:$C$9664,"&gt;="&amp;C373,Discontinuities!$C$4:$C$9664,"&lt;"&amp;D373,Discontinuities!$E$4:$E$9664,"=LC")
-SUMIFS(Discontinuities!$D$4:$D$9664,Discontinuities!$A$4:$A$9664,A373,Discontinuities!$C$4:$C$9664,"&gt;="&amp;C373,Discontinuities!$C$4:$C$9664,"&lt;"&amp;D373,Discontinuities!$E$4:$E$9664,"=FLT")</f>
        <v>0</v>
      </c>
      <c r="AA373" s="132"/>
      <c r="AB373" s="159">
        <f>IFERROR(ROUND((Data_Geotech[[#This Row],[Fault (m)]]+Data_Geotech[[#This Row],[Broken Core (m)]]+Data_Geotech[[#This Row],[Lost Core (m)]])*30,0),0)</f>
        <v>0</v>
      </c>
      <c r="AC373" s="135">
        <f>IF(Data_Geotech[[#This Row],[Added fractures 
(BC, FLT, LC)]]+Data_Geotech[[#This Row],[Fracture per interval]]=0,99,1/((Data_Geotech[[#This Row],[Fracture per interval]]+Data_Geotech[[#This Row],[Added fractures 
(BC, FLT, LC)]])/Data_Geotech[[#This Row],[Run (m)]]))</f>
        <v>99</v>
      </c>
      <c r="AD373" s="160" t="str" cm="1">
        <f t="array" ref="AD373">IFERROR(_xlfn.XLOOKUP(1,(A373=PLT!$A$4:$A$8886)*(Geotech!C373&lt;=PLT!$F$4:$F$8886)*(Geotech!D373&gt;=PLT!$F$4:$F$8886)*("Valid"=PLT!$P$4:$P$8886),PLT!$V$4:$V$8886),"")</f>
        <v/>
      </c>
      <c r="AE373" s="161" t="str" cm="1">
        <f t="array" ref="AE373">IFERROR(_xlfn.XLOOKUP(1,(A373=PLT!$A$4:$A$8886)*(Geotech!C373&lt;=PLT!$F$4:$F$8886)*(Geotech!D373&gt;=PLT!$F$4:$F$8886)*(PLT!$V$4:$V$8886&lt;&gt;AD373)*("Valid"=PLT!$P$4:$P$7190),PLT!$V$4:$V$8886),"")</f>
        <v/>
      </c>
      <c r="AF373" s="161" t="str" cm="1">
        <f t="array" ref="AF373">IFERROR(_xlfn.XLOOKUP(1,(A373=PLT!$A$4:$A$8886)*(Geotech!C373&lt;=PLT!$F$4:$F$8886)*(Geotech!D373&gt;=PLT!$F$4:$F$8886)*(PLT!$V$4:$V$8886&lt;&gt;AD373)*(PLT!$V$4:$V$8886&lt;&gt;AE373)*("Valid"=PLT!$P$4:$P$7190),PLT!$V$4:$V$8886),"")</f>
        <v/>
      </c>
      <c r="AG373" s="162" t="str">
        <f>IFERROR(IF(AVERAGE(AD373:AF373)&gt;References!$BO$23,References!$BP$23,
IF(AVERAGE(AD373:AF373)&gt;References!$BO$22,References!$BP$22,
IF(AVERAGE(AD373:AF373)&gt;References!$BO$21,References!$BP$21,
IF(AVERAGE(AD373:AF373)&gt;References!$BO$20,References!$BP$20,
IF(AVERAGE(AD373:AF373)&gt;References!$BO$19,References!$BP$19,
IF(AVERAGE(AD373:AF373)&gt;References!$BO$18,References!$BP$18,
0)))))),"")</f>
        <v/>
      </c>
      <c r="AH373" s="163" t="e">
        <f>VLOOKUP(Data_Geotech[[#This Row],[Field Intact Rock Strength]],Table_RMR76_Strength[],2,FALSE)</f>
        <v>#N/A</v>
      </c>
      <c r="AI373" s="163" t="e">
        <f>IF(Data_Geotech[[#This Row],[RQD (%)]]&lt;=25,3,IF(Data_Geotech[[#This Row],[RQD (%)]]&lt;=50,8,IF(Data_Geotech[[#This Row],[RQD (%)]]&lt;=75,13,IF(Data_Geotech[[#This Row],[RQD (%)]]&lt;=90,17,20))))</f>
        <v>#DIV/0!</v>
      </c>
      <c r="AJ373" s="136">
        <f>IF(Data_Geotech[[#This Row],[Joint spacing (m)]]&lt;=0.05,5,IF(Data_Geotech[[#This Row],[Joint spacing (m)]]&lt;=0.3,10,IF(Data_Geotech[[#This Row],[Joint spacing (m)]]&lt;=1,20,IF(Data_Geotech[[#This Row],[Joint spacing (m)]]&lt;=3,25,30))))</f>
        <v>30</v>
      </c>
      <c r="AK37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3" s="6"/>
      <c r="AM373" s="137" t="str">
        <f>IF(Data_Geotech[[#This Row],[FIRS Code]]="R",IFERROR(SUM(Data_Geotech[[#This Row],[RMR76 - Strength rating]:[RMR76 - Ground water rating]]),""),"")</f>
        <v/>
      </c>
      <c r="AN373" s="164" t="str">
        <f>IF(Data_Geotech[[#This Row],[FIRS Code]]="R",(2*Data_Geotech[[#This Row],[RMR76 - Joint condition rating]])+(IF(Data_Geotech[[#This Row],[RQD (%)]]&gt;80,80/2,Data_Geotech[[#This Row],[RQD (%)]]/2)),"")</f>
        <v/>
      </c>
      <c r="AO373" s="136" t="e">
        <f>LEFT(Data_Geotech[[#This Row],[Joint Set Rating]],FIND("-",Data_Geotech[[#This Row],[Joint Set Rating]],1)-2)</f>
        <v>#VALUE!</v>
      </c>
      <c r="AP37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3" s="143">
        <f t="shared" si="8"/>
        <v>1</v>
      </c>
      <c r="AR373" s="165" t="str">
        <f>IF(Data_Geotech[[#This Row],[FIRS Code]]="R",IFERROR((IF(Data_Geotech[[#This Row],[RQD (%)]]&lt;10,10,Data_Geotech[[#This Row],[RQD (%)]])/Data_Geotech[[#This Row],[Jn rating]])*Data_Geotech[[#This Row],[Jr/Ja]],""),"")</f>
        <v/>
      </c>
      <c r="AS373" s="138" t="str">
        <f>IF(Data_Geotech[[#This Row],[FIRS Code]]="R",IFERROR((IF(Data_Geotech[[#This Row],[RQD (%)]]&lt;10,10,Data_Geotech[[#This Row],[RQD (%)]])/Data_Geotech[[#This Row],[Jn rating]])*Data_Geotech[[#This Row],[Jr/Ja]]*Data_Geotech[[#This Row],[Jw/SRF]],""),"")</f>
        <v/>
      </c>
      <c r="AT373" s="12"/>
      <c r="AU373" s="13" t="e">
        <f>100-Data_Geotech[[#This Row],[RQD (%)]]</f>
        <v>#DIV/0!</v>
      </c>
      <c r="AV373" s="13" t="e">
        <f>100-Data_Geotech[[#This Row],[TCR (%)]]</f>
        <v>#DIV/0!</v>
      </c>
      <c r="AW373" s="62" t="e">
        <f>(Data_Geotech[[#This Row],[Fracture per interval]]+Data_Geotech[[#This Row],[Added fractures 
(BC, FLT, LC)]])/Data_Geotech[[#This Row],[TCR (m)]]</f>
        <v>#DIV/0!</v>
      </c>
      <c r="AX373" s="62" t="str">
        <f>MID(Data_Geotech[[#This Row],[Field Intact Rock Strength]],2,1)</f>
        <v/>
      </c>
      <c r="AY373" s="63" t="e">
        <f>7-MID(Data_Geotech[[#This Row],[Field Intact Rock Strength]],2,1)</f>
        <v>#VALUE!</v>
      </c>
      <c r="AZ373" s="63" t="e">
        <f>VLOOKUP(Data_Geotech[[#This Row],[Field Intact Rock Strength]],Table_FieldStrength[],2,FALSE)</f>
        <v>#N/A</v>
      </c>
      <c r="BA373" s="63" t="e">
        <f>VLOOKUP(Data_Geotech[[#This Row],[Field Intact Rock Strength]],Table_FieldStrength[],3,FALSE)</f>
        <v>#N/A</v>
      </c>
      <c r="BB373" s="63" t="e">
        <f>VLOOKUP(Data_Geotech[[#This Row],[Field Intact Rock Strength]],Table_FieldStrength[],4,FALSE)</f>
        <v>#N/A</v>
      </c>
      <c r="BC373" s="63" t="e">
        <f>100-Data_Geotech[[#This Row],[RMR76]]</f>
        <v>#VALUE!</v>
      </c>
      <c r="BD373" s="63" t="e">
        <f>LEFT(Data_Geotech[[#This Row],[Weathering/Alteration]],FIND("-",Data_Geotech[[#This Row],[Weathering/Alteration]])-2)</f>
        <v>#VALUE!</v>
      </c>
    </row>
    <row r="374" spans="1:56" hidden="1" x14ac:dyDescent="0.25">
      <c r="A374" s="14"/>
      <c r="B374" s="166" t="e">
        <f>VLOOKUP(Data_Geotech[[#This Row],[Hole ID]],Data_Log[],2,FALSE)</f>
        <v>#N/A</v>
      </c>
      <c r="C374" s="5"/>
      <c r="D374" s="5"/>
      <c r="E374" s="5">
        <f>(Data_Geotech[[#This Row],[To (m)]]-Data_Geotech[[#This Row],[From (m)]])/2+Data_Geotech[[#This Row],[From (m)]]</f>
        <v>0</v>
      </c>
      <c r="F374" s="13">
        <f>Data_Geotech[[#This Row],[To (m)]]-Data_Geotech[[#This Row],[From (m)]]</f>
        <v>0</v>
      </c>
      <c r="G374" s="5"/>
      <c r="H374" s="13" t="e">
        <f>Data_Geotech[[#This Row],[TCR (m)]]/Data_Geotech[[#This Row],[Run (m)]]*100</f>
        <v>#DIV/0!</v>
      </c>
      <c r="I374" s="5"/>
      <c r="J374" s="5"/>
      <c r="K374" s="5"/>
      <c r="L374" s="13" t="e">
        <f>Data_Geotech[[#This Row],[RQD (m)]]/Data_Geotech[[#This Row],[Run Reel (m)]]*100</f>
        <v>#DIV/0!</v>
      </c>
      <c r="P374" s="115"/>
      <c r="Q374" s="5"/>
      <c r="R374" s="5"/>
      <c r="S374" s="5"/>
      <c r="T374" s="5"/>
      <c r="U374" s="5"/>
      <c r="V374" s="6"/>
      <c r="W374" s="92">
        <f>SUMIFS(Discontinuities!$D$4:$D$9664,Discontinuities!$A$4:$A$9664,A374,Discontinuities!$C$4:$C$9664,"&gt;="&amp;C374,Discontinuities!$C$4:$C$9664,"&lt;"&amp;D374)
-SUMIFS(Discontinuities!$D$4:$D$9664,Discontinuities!$A$4:$A$9664,A374,Discontinuities!$C$4:$C$9664,"&gt;="&amp;C374,Discontinuities!$C$4:$C$9664,"&lt;"&amp;D374,Discontinuities!$E$4:$E$9664,"=BC")
-SUMIFS(Discontinuities!$D$4:$D$9664,Discontinuities!$A$4:$A$9664,A374,Discontinuities!$C$4:$C$9664,"&gt;="&amp;C374,Discontinuities!$C$4:$C$9664,"&lt;"&amp;D374,Discontinuities!$E$4:$E$9664,"=LC")
-SUMIFS(Discontinuities!$D$4:$D$9664,Discontinuities!$A$4:$A$9664,A374,Discontinuities!$C$4:$C$9664,"&gt;="&amp;C374,Discontinuities!$C$4:$C$9664,"&lt;"&amp;D374,Discontinuities!$E$4:$E$9664,"=FLT")</f>
        <v>0</v>
      </c>
      <c r="AA374" s="132"/>
      <c r="AB374" s="159">
        <f>IFERROR(ROUND((Data_Geotech[[#This Row],[Fault (m)]]+Data_Geotech[[#This Row],[Broken Core (m)]]+Data_Geotech[[#This Row],[Lost Core (m)]])*30,0),0)</f>
        <v>0</v>
      </c>
      <c r="AC374" s="135">
        <f>IF(Data_Geotech[[#This Row],[Added fractures 
(BC, FLT, LC)]]+Data_Geotech[[#This Row],[Fracture per interval]]=0,99,1/((Data_Geotech[[#This Row],[Fracture per interval]]+Data_Geotech[[#This Row],[Added fractures 
(BC, FLT, LC)]])/Data_Geotech[[#This Row],[Run (m)]]))</f>
        <v>99</v>
      </c>
      <c r="AD374" s="160" t="str" cm="1">
        <f t="array" ref="AD374">IFERROR(_xlfn.XLOOKUP(1,(A374=PLT!$A$4:$A$8886)*(Geotech!C374&lt;=PLT!$F$4:$F$8886)*(Geotech!D374&gt;=PLT!$F$4:$F$8886)*("Valid"=PLT!$P$4:$P$8886),PLT!$V$4:$V$8886),"")</f>
        <v/>
      </c>
      <c r="AE374" s="161" t="str" cm="1">
        <f t="array" ref="AE374">IFERROR(_xlfn.XLOOKUP(1,(A374=PLT!$A$4:$A$8886)*(Geotech!C374&lt;=PLT!$F$4:$F$8886)*(Geotech!D374&gt;=PLT!$F$4:$F$8886)*(PLT!$V$4:$V$8886&lt;&gt;AD374)*("Valid"=PLT!$P$4:$P$7190),PLT!$V$4:$V$8886),"")</f>
        <v/>
      </c>
      <c r="AF374" s="161" t="str" cm="1">
        <f t="array" ref="AF374">IFERROR(_xlfn.XLOOKUP(1,(A374=PLT!$A$4:$A$8886)*(Geotech!C374&lt;=PLT!$F$4:$F$8886)*(Geotech!D374&gt;=PLT!$F$4:$F$8886)*(PLT!$V$4:$V$8886&lt;&gt;AD374)*(PLT!$V$4:$V$8886&lt;&gt;AE374)*("Valid"=PLT!$P$4:$P$7190),PLT!$V$4:$V$8886),"")</f>
        <v/>
      </c>
      <c r="AG374" s="162" t="str">
        <f>IFERROR(IF(AVERAGE(AD374:AF374)&gt;References!$BO$23,References!$BP$23,
IF(AVERAGE(AD374:AF374)&gt;References!$BO$22,References!$BP$22,
IF(AVERAGE(AD374:AF374)&gt;References!$BO$21,References!$BP$21,
IF(AVERAGE(AD374:AF374)&gt;References!$BO$20,References!$BP$20,
IF(AVERAGE(AD374:AF374)&gt;References!$BO$19,References!$BP$19,
IF(AVERAGE(AD374:AF374)&gt;References!$BO$18,References!$BP$18,
0)))))),"")</f>
        <v/>
      </c>
      <c r="AH374" s="163" t="e">
        <f>VLOOKUP(Data_Geotech[[#This Row],[Field Intact Rock Strength]],Table_RMR76_Strength[],2,FALSE)</f>
        <v>#N/A</v>
      </c>
      <c r="AI374" s="163" t="e">
        <f>IF(Data_Geotech[[#This Row],[RQD (%)]]&lt;=25,3,IF(Data_Geotech[[#This Row],[RQD (%)]]&lt;=50,8,IF(Data_Geotech[[#This Row],[RQD (%)]]&lt;=75,13,IF(Data_Geotech[[#This Row],[RQD (%)]]&lt;=90,17,20))))</f>
        <v>#DIV/0!</v>
      </c>
      <c r="AJ374" s="136">
        <f>IF(Data_Geotech[[#This Row],[Joint spacing (m)]]&lt;=0.05,5,IF(Data_Geotech[[#This Row],[Joint spacing (m)]]&lt;=0.3,10,IF(Data_Geotech[[#This Row],[Joint spacing (m)]]&lt;=1,20,IF(Data_Geotech[[#This Row],[Joint spacing (m)]]&lt;=3,25,30))))</f>
        <v>30</v>
      </c>
      <c r="AK37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4" s="6"/>
      <c r="AM374" s="137" t="str">
        <f>IF(Data_Geotech[[#This Row],[FIRS Code]]="R",IFERROR(SUM(Data_Geotech[[#This Row],[RMR76 - Strength rating]:[RMR76 - Ground water rating]]),""),"")</f>
        <v/>
      </c>
      <c r="AN374" s="164" t="str">
        <f>IF(Data_Geotech[[#This Row],[FIRS Code]]="R",(2*Data_Geotech[[#This Row],[RMR76 - Joint condition rating]])+(IF(Data_Geotech[[#This Row],[RQD (%)]]&gt;80,80/2,Data_Geotech[[#This Row],[RQD (%)]]/2)),"")</f>
        <v/>
      </c>
      <c r="AO374" s="136" t="e">
        <f>LEFT(Data_Geotech[[#This Row],[Joint Set Rating]],FIND("-",Data_Geotech[[#This Row],[Joint Set Rating]],1)-2)</f>
        <v>#VALUE!</v>
      </c>
      <c r="AP37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4" s="143">
        <f t="shared" si="8"/>
        <v>1</v>
      </c>
      <c r="AR374" s="165" t="str">
        <f>IF(Data_Geotech[[#This Row],[FIRS Code]]="R",IFERROR((IF(Data_Geotech[[#This Row],[RQD (%)]]&lt;10,10,Data_Geotech[[#This Row],[RQD (%)]])/Data_Geotech[[#This Row],[Jn rating]])*Data_Geotech[[#This Row],[Jr/Ja]],""),"")</f>
        <v/>
      </c>
      <c r="AS374" s="138" t="str">
        <f>IF(Data_Geotech[[#This Row],[FIRS Code]]="R",IFERROR((IF(Data_Geotech[[#This Row],[RQD (%)]]&lt;10,10,Data_Geotech[[#This Row],[RQD (%)]])/Data_Geotech[[#This Row],[Jn rating]])*Data_Geotech[[#This Row],[Jr/Ja]]*Data_Geotech[[#This Row],[Jw/SRF]],""),"")</f>
        <v/>
      </c>
      <c r="AT374" s="12"/>
      <c r="AU374" s="13" t="e">
        <f>100-Data_Geotech[[#This Row],[RQD (%)]]</f>
        <v>#DIV/0!</v>
      </c>
      <c r="AV374" s="13" t="e">
        <f>100-Data_Geotech[[#This Row],[TCR (%)]]</f>
        <v>#DIV/0!</v>
      </c>
      <c r="AW374" s="62" t="e">
        <f>(Data_Geotech[[#This Row],[Fracture per interval]]+Data_Geotech[[#This Row],[Added fractures 
(BC, FLT, LC)]])/Data_Geotech[[#This Row],[TCR (m)]]</f>
        <v>#DIV/0!</v>
      </c>
      <c r="AX374" s="62" t="str">
        <f>MID(Data_Geotech[[#This Row],[Field Intact Rock Strength]],2,1)</f>
        <v/>
      </c>
      <c r="AY374" s="63" t="e">
        <f>7-MID(Data_Geotech[[#This Row],[Field Intact Rock Strength]],2,1)</f>
        <v>#VALUE!</v>
      </c>
      <c r="AZ374" s="63" t="e">
        <f>VLOOKUP(Data_Geotech[[#This Row],[Field Intact Rock Strength]],Table_FieldStrength[],2,FALSE)</f>
        <v>#N/A</v>
      </c>
      <c r="BA374" s="63" t="e">
        <f>VLOOKUP(Data_Geotech[[#This Row],[Field Intact Rock Strength]],Table_FieldStrength[],3,FALSE)</f>
        <v>#N/A</v>
      </c>
      <c r="BB374" s="63" t="e">
        <f>VLOOKUP(Data_Geotech[[#This Row],[Field Intact Rock Strength]],Table_FieldStrength[],4,FALSE)</f>
        <v>#N/A</v>
      </c>
      <c r="BC374" s="63" t="e">
        <f>100-Data_Geotech[[#This Row],[RMR76]]</f>
        <v>#VALUE!</v>
      </c>
      <c r="BD374" s="63" t="e">
        <f>LEFT(Data_Geotech[[#This Row],[Weathering/Alteration]],FIND("-",Data_Geotech[[#This Row],[Weathering/Alteration]])-2)</f>
        <v>#VALUE!</v>
      </c>
    </row>
    <row r="375" spans="1:56" hidden="1" x14ac:dyDescent="0.25">
      <c r="A375" s="14"/>
      <c r="B375" s="166" t="e">
        <f>VLOOKUP(Data_Geotech[[#This Row],[Hole ID]],Data_Log[],2,FALSE)</f>
        <v>#N/A</v>
      </c>
      <c r="C375" s="5"/>
      <c r="D375" s="5"/>
      <c r="E375" s="5">
        <f>(Data_Geotech[[#This Row],[To (m)]]-Data_Geotech[[#This Row],[From (m)]])/2+Data_Geotech[[#This Row],[From (m)]]</f>
        <v>0</v>
      </c>
      <c r="F375" s="13">
        <f>Data_Geotech[[#This Row],[To (m)]]-Data_Geotech[[#This Row],[From (m)]]</f>
        <v>0</v>
      </c>
      <c r="G375" s="5"/>
      <c r="H375" s="13" t="e">
        <f>Data_Geotech[[#This Row],[TCR (m)]]/Data_Geotech[[#This Row],[Run (m)]]*100</f>
        <v>#DIV/0!</v>
      </c>
      <c r="I375" s="5"/>
      <c r="J375" s="5"/>
      <c r="K375" s="5"/>
      <c r="L375" s="13" t="e">
        <f>Data_Geotech[[#This Row],[RQD (m)]]/Data_Geotech[[#This Row],[Run Reel (m)]]*100</f>
        <v>#DIV/0!</v>
      </c>
      <c r="P375" s="115"/>
      <c r="Q375" s="5"/>
      <c r="R375" s="5"/>
      <c r="S375" s="5"/>
      <c r="T375" s="5"/>
      <c r="U375" s="5"/>
      <c r="V375" s="6"/>
      <c r="W375" s="92">
        <f>SUMIFS(Discontinuities!$D$4:$D$9664,Discontinuities!$A$4:$A$9664,A375,Discontinuities!$C$4:$C$9664,"&gt;="&amp;C375,Discontinuities!$C$4:$C$9664,"&lt;"&amp;D375)
-SUMIFS(Discontinuities!$D$4:$D$9664,Discontinuities!$A$4:$A$9664,A375,Discontinuities!$C$4:$C$9664,"&gt;="&amp;C375,Discontinuities!$C$4:$C$9664,"&lt;"&amp;D375,Discontinuities!$E$4:$E$9664,"=BC")
-SUMIFS(Discontinuities!$D$4:$D$9664,Discontinuities!$A$4:$A$9664,A375,Discontinuities!$C$4:$C$9664,"&gt;="&amp;C375,Discontinuities!$C$4:$C$9664,"&lt;"&amp;D375,Discontinuities!$E$4:$E$9664,"=LC")
-SUMIFS(Discontinuities!$D$4:$D$9664,Discontinuities!$A$4:$A$9664,A375,Discontinuities!$C$4:$C$9664,"&gt;="&amp;C375,Discontinuities!$C$4:$C$9664,"&lt;"&amp;D375,Discontinuities!$E$4:$E$9664,"=FLT")</f>
        <v>0</v>
      </c>
      <c r="AA375" s="132"/>
      <c r="AB375" s="159">
        <f>IFERROR(ROUND((Data_Geotech[[#This Row],[Fault (m)]]+Data_Geotech[[#This Row],[Broken Core (m)]]+Data_Geotech[[#This Row],[Lost Core (m)]])*30,0),0)</f>
        <v>0</v>
      </c>
      <c r="AC375" s="135">
        <f>IF(Data_Geotech[[#This Row],[Added fractures 
(BC, FLT, LC)]]+Data_Geotech[[#This Row],[Fracture per interval]]=0,99,1/((Data_Geotech[[#This Row],[Fracture per interval]]+Data_Geotech[[#This Row],[Added fractures 
(BC, FLT, LC)]])/Data_Geotech[[#This Row],[Run (m)]]))</f>
        <v>99</v>
      </c>
      <c r="AD375" s="160" t="str" cm="1">
        <f t="array" ref="AD375">IFERROR(_xlfn.XLOOKUP(1,(A375=PLT!$A$4:$A$8886)*(Geotech!C375&lt;=PLT!$F$4:$F$8886)*(Geotech!D375&gt;=PLT!$F$4:$F$8886)*("Valid"=PLT!$P$4:$P$8886),PLT!$V$4:$V$8886),"")</f>
        <v/>
      </c>
      <c r="AE375" s="161" t="str" cm="1">
        <f t="array" ref="AE375">IFERROR(_xlfn.XLOOKUP(1,(A375=PLT!$A$4:$A$8886)*(Geotech!C375&lt;=PLT!$F$4:$F$8886)*(Geotech!D375&gt;=PLT!$F$4:$F$8886)*(PLT!$V$4:$V$8886&lt;&gt;AD375)*("Valid"=PLT!$P$4:$P$7190),PLT!$V$4:$V$8886),"")</f>
        <v/>
      </c>
      <c r="AF375" s="161" t="str" cm="1">
        <f t="array" ref="AF375">IFERROR(_xlfn.XLOOKUP(1,(A375=PLT!$A$4:$A$8886)*(Geotech!C375&lt;=PLT!$F$4:$F$8886)*(Geotech!D375&gt;=PLT!$F$4:$F$8886)*(PLT!$V$4:$V$8886&lt;&gt;AD375)*(PLT!$V$4:$V$8886&lt;&gt;AE375)*("Valid"=PLT!$P$4:$P$7190),PLT!$V$4:$V$8886),"")</f>
        <v/>
      </c>
      <c r="AG375" s="162" t="str">
        <f>IFERROR(IF(AVERAGE(AD375:AF375)&gt;References!$BO$23,References!$BP$23,
IF(AVERAGE(AD375:AF375)&gt;References!$BO$22,References!$BP$22,
IF(AVERAGE(AD375:AF375)&gt;References!$BO$21,References!$BP$21,
IF(AVERAGE(AD375:AF375)&gt;References!$BO$20,References!$BP$20,
IF(AVERAGE(AD375:AF375)&gt;References!$BO$19,References!$BP$19,
IF(AVERAGE(AD375:AF375)&gt;References!$BO$18,References!$BP$18,
0)))))),"")</f>
        <v/>
      </c>
      <c r="AH375" s="163" t="e">
        <f>VLOOKUP(Data_Geotech[[#This Row],[Field Intact Rock Strength]],Table_RMR76_Strength[],2,FALSE)</f>
        <v>#N/A</v>
      </c>
      <c r="AI375" s="163" t="e">
        <f>IF(Data_Geotech[[#This Row],[RQD (%)]]&lt;=25,3,IF(Data_Geotech[[#This Row],[RQD (%)]]&lt;=50,8,IF(Data_Geotech[[#This Row],[RQD (%)]]&lt;=75,13,IF(Data_Geotech[[#This Row],[RQD (%)]]&lt;=90,17,20))))</f>
        <v>#DIV/0!</v>
      </c>
      <c r="AJ375" s="136">
        <f>IF(Data_Geotech[[#This Row],[Joint spacing (m)]]&lt;=0.05,5,IF(Data_Geotech[[#This Row],[Joint spacing (m)]]&lt;=0.3,10,IF(Data_Geotech[[#This Row],[Joint spacing (m)]]&lt;=1,20,IF(Data_Geotech[[#This Row],[Joint spacing (m)]]&lt;=3,25,30))))</f>
        <v>30</v>
      </c>
      <c r="AK37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5" s="6"/>
      <c r="AM375" s="137" t="str">
        <f>IF(Data_Geotech[[#This Row],[FIRS Code]]="R",IFERROR(SUM(Data_Geotech[[#This Row],[RMR76 - Strength rating]:[RMR76 - Ground water rating]]),""),"")</f>
        <v/>
      </c>
      <c r="AN375" s="164" t="str">
        <f>IF(Data_Geotech[[#This Row],[FIRS Code]]="R",(2*Data_Geotech[[#This Row],[RMR76 - Joint condition rating]])+(IF(Data_Geotech[[#This Row],[RQD (%)]]&gt;80,80/2,Data_Geotech[[#This Row],[RQD (%)]]/2)),"")</f>
        <v/>
      </c>
      <c r="AO375" s="136" t="e">
        <f>LEFT(Data_Geotech[[#This Row],[Joint Set Rating]],FIND("-",Data_Geotech[[#This Row],[Joint Set Rating]],1)-2)</f>
        <v>#VALUE!</v>
      </c>
      <c r="AP37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5" s="143">
        <f t="shared" si="8"/>
        <v>1</v>
      </c>
      <c r="AR375" s="165" t="str">
        <f>IF(Data_Geotech[[#This Row],[FIRS Code]]="R",IFERROR((IF(Data_Geotech[[#This Row],[RQD (%)]]&lt;10,10,Data_Geotech[[#This Row],[RQD (%)]])/Data_Geotech[[#This Row],[Jn rating]])*Data_Geotech[[#This Row],[Jr/Ja]],""),"")</f>
        <v/>
      </c>
      <c r="AS375" s="138" t="str">
        <f>IF(Data_Geotech[[#This Row],[FIRS Code]]="R",IFERROR((IF(Data_Geotech[[#This Row],[RQD (%)]]&lt;10,10,Data_Geotech[[#This Row],[RQD (%)]])/Data_Geotech[[#This Row],[Jn rating]])*Data_Geotech[[#This Row],[Jr/Ja]]*Data_Geotech[[#This Row],[Jw/SRF]],""),"")</f>
        <v/>
      </c>
      <c r="AT375" s="12"/>
      <c r="AU375" s="13" t="e">
        <f>100-Data_Geotech[[#This Row],[RQD (%)]]</f>
        <v>#DIV/0!</v>
      </c>
      <c r="AV375" s="13" t="e">
        <f>100-Data_Geotech[[#This Row],[TCR (%)]]</f>
        <v>#DIV/0!</v>
      </c>
      <c r="AW375" s="62" t="e">
        <f>(Data_Geotech[[#This Row],[Fracture per interval]]+Data_Geotech[[#This Row],[Added fractures 
(BC, FLT, LC)]])/Data_Geotech[[#This Row],[TCR (m)]]</f>
        <v>#DIV/0!</v>
      </c>
      <c r="AX375" s="62" t="str">
        <f>MID(Data_Geotech[[#This Row],[Field Intact Rock Strength]],2,1)</f>
        <v/>
      </c>
      <c r="AY375" s="63" t="e">
        <f>7-MID(Data_Geotech[[#This Row],[Field Intact Rock Strength]],2,1)</f>
        <v>#VALUE!</v>
      </c>
      <c r="AZ375" s="63" t="e">
        <f>VLOOKUP(Data_Geotech[[#This Row],[Field Intact Rock Strength]],Table_FieldStrength[],2,FALSE)</f>
        <v>#N/A</v>
      </c>
      <c r="BA375" s="63" t="e">
        <f>VLOOKUP(Data_Geotech[[#This Row],[Field Intact Rock Strength]],Table_FieldStrength[],3,FALSE)</f>
        <v>#N/A</v>
      </c>
      <c r="BB375" s="63" t="e">
        <f>VLOOKUP(Data_Geotech[[#This Row],[Field Intact Rock Strength]],Table_FieldStrength[],4,FALSE)</f>
        <v>#N/A</v>
      </c>
      <c r="BC375" s="63" t="e">
        <f>100-Data_Geotech[[#This Row],[RMR76]]</f>
        <v>#VALUE!</v>
      </c>
      <c r="BD375" s="63" t="e">
        <f>LEFT(Data_Geotech[[#This Row],[Weathering/Alteration]],FIND("-",Data_Geotech[[#This Row],[Weathering/Alteration]])-2)</f>
        <v>#VALUE!</v>
      </c>
    </row>
    <row r="376" spans="1:56" hidden="1" x14ac:dyDescent="0.25">
      <c r="A376" s="14"/>
      <c r="B376" s="166" t="e">
        <f>VLOOKUP(Data_Geotech[[#This Row],[Hole ID]],Data_Log[],2,FALSE)</f>
        <v>#N/A</v>
      </c>
      <c r="C376" s="5"/>
      <c r="D376" s="5"/>
      <c r="E376" s="5">
        <f>(Data_Geotech[[#This Row],[To (m)]]-Data_Geotech[[#This Row],[From (m)]])/2+Data_Geotech[[#This Row],[From (m)]]</f>
        <v>0</v>
      </c>
      <c r="F376" s="13">
        <f>Data_Geotech[[#This Row],[To (m)]]-Data_Geotech[[#This Row],[From (m)]]</f>
        <v>0</v>
      </c>
      <c r="G376" s="5"/>
      <c r="H376" s="13" t="e">
        <f>Data_Geotech[[#This Row],[TCR (m)]]/Data_Geotech[[#This Row],[Run (m)]]*100</f>
        <v>#DIV/0!</v>
      </c>
      <c r="I376" s="5"/>
      <c r="J376" s="5"/>
      <c r="K376" s="5"/>
      <c r="L376" s="13" t="e">
        <f>Data_Geotech[[#This Row],[RQD (m)]]/Data_Geotech[[#This Row],[Run Reel (m)]]*100</f>
        <v>#DIV/0!</v>
      </c>
      <c r="P376" s="115"/>
      <c r="Q376" s="5"/>
      <c r="R376" s="5"/>
      <c r="S376" s="5"/>
      <c r="T376" s="5"/>
      <c r="U376" s="5"/>
      <c r="V376" s="6"/>
      <c r="W376" s="92">
        <f>SUMIFS(Discontinuities!$D$4:$D$9664,Discontinuities!$A$4:$A$9664,A376,Discontinuities!$C$4:$C$9664,"&gt;="&amp;C376,Discontinuities!$C$4:$C$9664,"&lt;"&amp;D376)
-SUMIFS(Discontinuities!$D$4:$D$9664,Discontinuities!$A$4:$A$9664,A376,Discontinuities!$C$4:$C$9664,"&gt;="&amp;C376,Discontinuities!$C$4:$C$9664,"&lt;"&amp;D376,Discontinuities!$E$4:$E$9664,"=BC")
-SUMIFS(Discontinuities!$D$4:$D$9664,Discontinuities!$A$4:$A$9664,A376,Discontinuities!$C$4:$C$9664,"&gt;="&amp;C376,Discontinuities!$C$4:$C$9664,"&lt;"&amp;D376,Discontinuities!$E$4:$E$9664,"=LC")
-SUMIFS(Discontinuities!$D$4:$D$9664,Discontinuities!$A$4:$A$9664,A376,Discontinuities!$C$4:$C$9664,"&gt;="&amp;C376,Discontinuities!$C$4:$C$9664,"&lt;"&amp;D376,Discontinuities!$E$4:$E$9664,"=FLT")</f>
        <v>0</v>
      </c>
      <c r="AA376" s="132"/>
      <c r="AB376" s="159">
        <f>IFERROR(ROUND((Data_Geotech[[#This Row],[Fault (m)]]+Data_Geotech[[#This Row],[Broken Core (m)]]+Data_Geotech[[#This Row],[Lost Core (m)]])*30,0),0)</f>
        <v>0</v>
      </c>
      <c r="AC376" s="135">
        <f>IF(Data_Geotech[[#This Row],[Added fractures 
(BC, FLT, LC)]]+Data_Geotech[[#This Row],[Fracture per interval]]=0,99,1/((Data_Geotech[[#This Row],[Fracture per interval]]+Data_Geotech[[#This Row],[Added fractures 
(BC, FLT, LC)]])/Data_Geotech[[#This Row],[Run (m)]]))</f>
        <v>99</v>
      </c>
      <c r="AD376" s="160" t="str" cm="1">
        <f t="array" ref="AD376">IFERROR(_xlfn.XLOOKUP(1,(A376=PLT!$A$4:$A$8886)*(Geotech!C376&lt;=PLT!$F$4:$F$8886)*(Geotech!D376&gt;=PLT!$F$4:$F$8886)*("Valid"=PLT!$P$4:$P$8886),PLT!$V$4:$V$8886),"")</f>
        <v/>
      </c>
      <c r="AE376" s="161" t="str" cm="1">
        <f t="array" ref="AE376">IFERROR(_xlfn.XLOOKUP(1,(A376=PLT!$A$4:$A$8886)*(Geotech!C376&lt;=PLT!$F$4:$F$8886)*(Geotech!D376&gt;=PLT!$F$4:$F$8886)*(PLT!$V$4:$V$8886&lt;&gt;AD376)*("Valid"=PLT!$P$4:$P$7190),PLT!$V$4:$V$8886),"")</f>
        <v/>
      </c>
      <c r="AF376" s="161" t="str" cm="1">
        <f t="array" ref="AF376">IFERROR(_xlfn.XLOOKUP(1,(A376=PLT!$A$4:$A$8886)*(Geotech!C376&lt;=PLT!$F$4:$F$8886)*(Geotech!D376&gt;=PLT!$F$4:$F$8886)*(PLT!$V$4:$V$8886&lt;&gt;AD376)*(PLT!$V$4:$V$8886&lt;&gt;AE376)*("Valid"=PLT!$P$4:$P$7190),PLT!$V$4:$V$8886),"")</f>
        <v/>
      </c>
      <c r="AG376" s="162" t="str">
        <f>IFERROR(IF(AVERAGE(AD376:AF376)&gt;References!$BO$23,References!$BP$23,
IF(AVERAGE(AD376:AF376)&gt;References!$BO$22,References!$BP$22,
IF(AVERAGE(AD376:AF376)&gt;References!$BO$21,References!$BP$21,
IF(AVERAGE(AD376:AF376)&gt;References!$BO$20,References!$BP$20,
IF(AVERAGE(AD376:AF376)&gt;References!$BO$19,References!$BP$19,
IF(AVERAGE(AD376:AF376)&gt;References!$BO$18,References!$BP$18,
0)))))),"")</f>
        <v/>
      </c>
      <c r="AH376" s="163" t="e">
        <f>VLOOKUP(Data_Geotech[[#This Row],[Field Intact Rock Strength]],Table_RMR76_Strength[],2,FALSE)</f>
        <v>#N/A</v>
      </c>
      <c r="AI376" s="163" t="e">
        <f>IF(Data_Geotech[[#This Row],[RQD (%)]]&lt;=25,3,IF(Data_Geotech[[#This Row],[RQD (%)]]&lt;=50,8,IF(Data_Geotech[[#This Row],[RQD (%)]]&lt;=75,13,IF(Data_Geotech[[#This Row],[RQD (%)]]&lt;=90,17,20))))</f>
        <v>#DIV/0!</v>
      </c>
      <c r="AJ376" s="136">
        <f>IF(Data_Geotech[[#This Row],[Joint spacing (m)]]&lt;=0.05,5,IF(Data_Geotech[[#This Row],[Joint spacing (m)]]&lt;=0.3,10,IF(Data_Geotech[[#This Row],[Joint spacing (m)]]&lt;=1,20,IF(Data_Geotech[[#This Row],[Joint spacing (m)]]&lt;=3,25,30))))</f>
        <v>30</v>
      </c>
      <c r="AK37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6" s="6"/>
      <c r="AM376" s="137" t="str">
        <f>IF(Data_Geotech[[#This Row],[FIRS Code]]="R",IFERROR(SUM(Data_Geotech[[#This Row],[RMR76 - Strength rating]:[RMR76 - Ground water rating]]),""),"")</f>
        <v/>
      </c>
      <c r="AN376" s="164" t="str">
        <f>IF(Data_Geotech[[#This Row],[FIRS Code]]="R",(2*Data_Geotech[[#This Row],[RMR76 - Joint condition rating]])+(IF(Data_Geotech[[#This Row],[RQD (%)]]&gt;80,80/2,Data_Geotech[[#This Row],[RQD (%)]]/2)),"")</f>
        <v/>
      </c>
      <c r="AO376" s="136" t="e">
        <f>LEFT(Data_Geotech[[#This Row],[Joint Set Rating]],FIND("-",Data_Geotech[[#This Row],[Joint Set Rating]],1)-2)</f>
        <v>#VALUE!</v>
      </c>
      <c r="AP37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6" s="143">
        <f t="shared" si="8"/>
        <v>1</v>
      </c>
      <c r="AR376" s="165" t="str">
        <f>IF(Data_Geotech[[#This Row],[FIRS Code]]="R",IFERROR((IF(Data_Geotech[[#This Row],[RQD (%)]]&lt;10,10,Data_Geotech[[#This Row],[RQD (%)]])/Data_Geotech[[#This Row],[Jn rating]])*Data_Geotech[[#This Row],[Jr/Ja]],""),"")</f>
        <v/>
      </c>
      <c r="AS376" s="138" t="str">
        <f>IF(Data_Geotech[[#This Row],[FIRS Code]]="R",IFERROR((IF(Data_Geotech[[#This Row],[RQD (%)]]&lt;10,10,Data_Geotech[[#This Row],[RQD (%)]])/Data_Geotech[[#This Row],[Jn rating]])*Data_Geotech[[#This Row],[Jr/Ja]]*Data_Geotech[[#This Row],[Jw/SRF]],""),"")</f>
        <v/>
      </c>
      <c r="AT376" s="12"/>
      <c r="AU376" s="13" t="e">
        <f>100-Data_Geotech[[#This Row],[RQD (%)]]</f>
        <v>#DIV/0!</v>
      </c>
      <c r="AV376" s="13" t="e">
        <f>100-Data_Geotech[[#This Row],[TCR (%)]]</f>
        <v>#DIV/0!</v>
      </c>
      <c r="AW376" s="62" t="e">
        <f>(Data_Geotech[[#This Row],[Fracture per interval]]+Data_Geotech[[#This Row],[Added fractures 
(BC, FLT, LC)]])/Data_Geotech[[#This Row],[TCR (m)]]</f>
        <v>#DIV/0!</v>
      </c>
      <c r="AX376" s="62" t="str">
        <f>MID(Data_Geotech[[#This Row],[Field Intact Rock Strength]],2,1)</f>
        <v/>
      </c>
      <c r="AY376" s="63" t="e">
        <f>7-MID(Data_Geotech[[#This Row],[Field Intact Rock Strength]],2,1)</f>
        <v>#VALUE!</v>
      </c>
      <c r="AZ376" s="63" t="e">
        <f>VLOOKUP(Data_Geotech[[#This Row],[Field Intact Rock Strength]],Table_FieldStrength[],2,FALSE)</f>
        <v>#N/A</v>
      </c>
      <c r="BA376" s="63" t="e">
        <f>VLOOKUP(Data_Geotech[[#This Row],[Field Intact Rock Strength]],Table_FieldStrength[],3,FALSE)</f>
        <v>#N/A</v>
      </c>
      <c r="BB376" s="63" t="e">
        <f>VLOOKUP(Data_Geotech[[#This Row],[Field Intact Rock Strength]],Table_FieldStrength[],4,FALSE)</f>
        <v>#N/A</v>
      </c>
      <c r="BC376" s="63" t="e">
        <f>100-Data_Geotech[[#This Row],[RMR76]]</f>
        <v>#VALUE!</v>
      </c>
      <c r="BD376" s="63" t="e">
        <f>LEFT(Data_Geotech[[#This Row],[Weathering/Alteration]],FIND("-",Data_Geotech[[#This Row],[Weathering/Alteration]])-2)</f>
        <v>#VALUE!</v>
      </c>
    </row>
    <row r="377" spans="1:56" hidden="1" x14ac:dyDescent="0.25">
      <c r="A377" s="14"/>
      <c r="B377" s="166" t="e">
        <f>VLOOKUP(Data_Geotech[[#This Row],[Hole ID]],Data_Log[],2,FALSE)</f>
        <v>#N/A</v>
      </c>
      <c r="C377" s="5"/>
      <c r="D377" s="5"/>
      <c r="E377" s="5">
        <f>(Data_Geotech[[#This Row],[To (m)]]-Data_Geotech[[#This Row],[From (m)]])/2+Data_Geotech[[#This Row],[From (m)]]</f>
        <v>0</v>
      </c>
      <c r="F377" s="13">
        <f>Data_Geotech[[#This Row],[To (m)]]-Data_Geotech[[#This Row],[From (m)]]</f>
        <v>0</v>
      </c>
      <c r="G377" s="5"/>
      <c r="H377" s="13" t="e">
        <f>Data_Geotech[[#This Row],[TCR (m)]]/Data_Geotech[[#This Row],[Run (m)]]*100</f>
        <v>#DIV/0!</v>
      </c>
      <c r="I377" s="5"/>
      <c r="J377" s="5"/>
      <c r="K377" s="5"/>
      <c r="L377" s="13" t="e">
        <f>Data_Geotech[[#This Row],[RQD (m)]]/Data_Geotech[[#This Row],[Run Reel (m)]]*100</f>
        <v>#DIV/0!</v>
      </c>
      <c r="P377" s="115"/>
      <c r="Q377" s="5"/>
      <c r="R377" s="5"/>
      <c r="S377" s="5"/>
      <c r="T377" s="5"/>
      <c r="U377" s="5"/>
      <c r="V377" s="6"/>
      <c r="W377" s="92">
        <f>SUMIFS(Discontinuities!$D$4:$D$9664,Discontinuities!$A$4:$A$9664,A377,Discontinuities!$C$4:$C$9664,"&gt;="&amp;C377,Discontinuities!$C$4:$C$9664,"&lt;"&amp;D377)
-SUMIFS(Discontinuities!$D$4:$D$9664,Discontinuities!$A$4:$A$9664,A377,Discontinuities!$C$4:$C$9664,"&gt;="&amp;C377,Discontinuities!$C$4:$C$9664,"&lt;"&amp;D377,Discontinuities!$E$4:$E$9664,"=BC")
-SUMIFS(Discontinuities!$D$4:$D$9664,Discontinuities!$A$4:$A$9664,A377,Discontinuities!$C$4:$C$9664,"&gt;="&amp;C377,Discontinuities!$C$4:$C$9664,"&lt;"&amp;D377,Discontinuities!$E$4:$E$9664,"=LC")
-SUMIFS(Discontinuities!$D$4:$D$9664,Discontinuities!$A$4:$A$9664,A377,Discontinuities!$C$4:$C$9664,"&gt;="&amp;C377,Discontinuities!$C$4:$C$9664,"&lt;"&amp;D377,Discontinuities!$E$4:$E$9664,"=FLT")</f>
        <v>0</v>
      </c>
      <c r="AA377" s="132"/>
      <c r="AB377" s="159">
        <f>IFERROR(ROUND((Data_Geotech[[#This Row],[Fault (m)]]+Data_Geotech[[#This Row],[Broken Core (m)]]+Data_Geotech[[#This Row],[Lost Core (m)]])*30,0),0)</f>
        <v>0</v>
      </c>
      <c r="AC377" s="135">
        <f>IF(Data_Geotech[[#This Row],[Added fractures 
(BC, FLT, LC)]]+Data_Geotech[[#This Row],[Fracture per interval]]=0,99,1/((Data_Geotech[[#This Row],[Fracture per interval]]+Data_Geotech[[#This Row],[Added fractures 
(BC, FLT, LC)]])/Data_Geotech[[#This Row],[Run (m)]]))</f>
        <v>99</v>
      </c>
      <c r="AD377" s="160" t="str" cm="1">
        <f t="array" ref="AD377">IFERROR(_xlfn.XLOOKUP(1,(A377=PLT!$A$4:$A$8886)*(Geotech!C377&lt;=PLT!$F$4:$F$8886)*(Geotech!D377&gt;=PLT!$F$4:$F$8886)*("Valid"=PLT!$P$4:$P$8886),PLT!$V$4:$V$8886),"")</f>
        <v/>
      </c>
      <c r="AE377" s="161" t="str" cm="1">
        <f t="array" ref="AE377">IFERROR(_xlfn.XLOOKUP(1,(A377=PLT!$A$4:$A$8886)*(Geotech!C377&lt;=PLT!$F$4:$F$8886)*(Geotech!D377&gt;=PLT!$F$4:$F$8886)*(PLT!$V$4:$V$8886&lt;&gt;AD377)*("Valid"=PLT!$P$4:$P$7190),PLT!$V$4:$V$8886),"")</f>
        <v/>
      </c>
      <c r="AF377" s="161" t="str" cm="1">
        <f t="array" ref="AF377">IFERROR(_xlfn.XLOOKUP(1,(A377=PLT!$A$4:$A$8886)*(Geotech!C377&lt;=PLT!$F$4:$F$8886)*(Geotech!D377&gt;=PLT!$F$4:$F$8886)*(PLT!$V$4:$V$8886&lt;&gt;AD377)*(PLT!$V$4:$V$8886&lt;&gt;AE377)*("Valid"=PLT!$P$4:$P$7190),PLT!$V$4:$V$8886),"")</f>
        <v/>
      </c>
      <c r="AG377" s="162" t="str">
        <f>IFERROR(IF(AVERAGE(AD377:AF377)&gt;References!$BO$23,References!$BP$23,
IF(AVERAGE(AD377:AF377)&gt;References!$BO$22,References!$BP$22,
IF(AVERAGE(AD377:AF377)&gt;References!$BO$21,References!$BP$21,
IF(AVERAGE(AD377:AF377)&gt;References!$BO$20,References!$BP$20,
IF(AVERAGE(AD377:AF377)&gt;References!$BO$19,References!$BP$19,
IF(AVERAGE(AD377:AF377)&gt;References!$BO$18,References!$BP$18,
0)))))),"")</f>
        <v/>
      </c>
      <c r="AH377" s="163" t="e">
        <f>VLOOKUP(Data_Geotech[[#This Row],[Field Intact Rock Strength]],Table_RMR76_Strength[],2,FALSE)</f>
        <v>#N/A</v>
      </c>
      <c r="AI377" s="163" t="e">
        <f>IF(Data_Geotech[[#This Row],[RQD (%)]]&lt;=25,3,IF(Data_Geotech[[#This Row],[RQD (%)]]&lt;=50,8,IF(Data_Geotech[[#This Row],[RQD (%)]]&lt;=75,13,IF(Data_Geotech[[#This Row],[RQD (%)]]&lt;=90,17,20))))</f>
        <v>#DIV/0!</v>
      </c>
      <c r="AJ377" s="136">
        <f>IF(Data_Geotech[[#This Row],[Joint spacing (m)]]&lt;=0.05,5,IF(Data_Geotech[[#This Row],[Joint spacing (m)]]&lt;=0.3,10,IF(Data_Geotech[[#This Row],[Joint spacing (m)]]&lt;=1,20,IF(Data_Geotech[[#This Row],[Joint spacing (m)]]&lt;=3,25,30))))</f>
        <v>30</v>
      </c>
      <c r="AK37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7" s="6"/>
      <c r="AM377" s="137" t="str">
        <f>IF(Data_Geotech[[#This Row],[FIRS Code]]="R",IFERROR(SUM(Data_Geotech[[#This Row],[RMR76 - Strength rating]:[RMR76 - Ground water rating]]),""),"")</f>
        <v/>
      </c>
      <c r="AN377" s="164" t="str">
        <f>IF(Data_Geotech[[#This Row],[FIRS Code]]="R",(2*Data_Geotech[[#This Row],[RMR76 - Joint condition rating]])+(IF(Data_Geotech[[#This Row],[RQD (%)]]&gt;80,80/2,Data_Geotech[[#This Row],[RQD (%)]]/2)),"")</f>
        <v/>
      </c>
      <c r="AO377" s="136" t="e">
        <f>LEFT(Data_Geotech[[#This Row],[Joint Set Rating]],FIND("-",Data_Geotech[[#This Row],[Joint Set Rating]],1)-2)</f>
        <v>#VALUE!</v>
      </c>
      <c r="AP37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7" s="143">
        <f t="shared" si="8"/>
        <v>1</v>
      </c>
      <c r="AR377" s="165" t="str">
        <f>IF(Data_Geotech[[#This Row],[FIRS Code]]="R",IFERROR((IF(Data_Geotech[[#This Row],[RQD (%)]]&lt;10,10,Data_Geotech[[#This Row],[RQD (%)]])/Data_Geotech[[#This Row],[Jn rating]])*Data_Geotech[[#This Row],[Jr/Ja]],""),"")</f>
        <v/>
      </c>
      <c r="AS377" s="138" t="str">
        <f>IF(Data_Geotech[[#This Row],[FIRS Code]]="R",IFERROR((IF(Data_Geotech[[#This Row],[RQD (%)]]&lt;10,10,Data_Geotech[[#This Row],[RQD (%)]])/Data_Geotech[[#This Row],[Jn rating]])*Data_Geotech[[#This Row],[Jr/Ja]]*Data_Geotech[[#This Row],[Jw/SRF]],""),"")</f>
        <v/>
      </c>
      <c r="AT377" s="12"/>
      <c r="AU377" s="13" t="e">
        <f>100-Data_Geotech[[#This Row],[RQD (%)]]</f>
        <v>#DIV/0!</v>
      </c>
      <c r="AV377" s="13" t="e">
        <f>100-Data_Geotech[[#This Row],[TCR (%)]]</f>
        <v>#DIV/0!</v>
      </c>
      <c r="AW377" s="62" t="e">
        <f>(Data_Geotech[[#This Row],[Fracture per interval]]+Data_Geotech[[#This Row],[Added fractures 
(BC, FLT, LC)]])/Data_Geotech[[#This Row],[TCR (m)]]</f>
        <v>#DIV/0!</v>
      </c>
      <c r="AX377" s="62" t="str">
        <f>MID(Data_Geotech[[#This Row],[Field Intact Rock Strength]],2,1)</f>
        <v/>
      </c>
      <c r="AY377" s="63" t="e">
        <f>7-MID(Data_Geotech[[#This Row],[Field Intact Rock Strength]],2,1)</f>
        <v>#VALUE!</v>
      </c>
      <c r="AZ377" s="63" t="e">
        <f>VLOOKUP(Data_Geotech[[#This Row],[Field Intact Rock Strength]],Table_FieldStrength[],2,FALSE)</f>
        <v>#N/A</v>
      </c>
      <c r="BA377" s="63" t="e">
        <f>VLOOKUP(Data_Geotech[[#This Row],[Field Intact Rock Strength]],Table_FieldStrength[],3,FALSE)</f>
        <v>#N/A</v>
      </c>
      <c r="BB377" s="63" t="e">
        <f>VLOOKUP(Data_Geotech[[#This Row],[Field Intact Rock Strength]],Table_FieldStrength[],4,FALSE)</f>
        <v>#N/A</v>
      </c>
      <c r="BC377" s="63" t="e">
        <f>100-Data_Geotech[[#This Row],[RMR76]]</f>
        <v>#VALUE!</v>
      </c>
      <c r="BD377" s="63" t="e">
        <f>LEFT(Data_Geotech[[#This Row],[Weathering/Alteration]],FIND("-",Data_Geotech[[#This Row],[Weathering/Alteration]])-2)</f>
        <v>#VALUE!</v>
      </c>
    </row>
    <row r="378" spans="1:56" hidden="1" x14ac:dyDescent="0.25">
      <c r="A378" s="14"/>
      <c r="B378" s="166" t="e">
        <f>VLOOKUP(Data_Geotech[[#This Row],[Hole ID]],Data_Log[],2,FALSE)</f>
        <v>#N/A</v>
      </c>
      <c r="C378" s="5"/>
      <c r="D378" s="5"/>
      <c r="E378" s="5">
        <f>(Data_Geotech[[#This Row],[To (m)]]-Data_Geotech[[#This Row],[From (m)]])/2+Data_Geotech[[#This Row],[From (m)]]</f>
        <v>0</v>
      </c>
      <c r="F378" s="13">
        <f>Data_Geotech[[#This Row],[To (m)]]-Data_Geotech[[#This Row],[From (m)]]</f>
        <v>0</v>
      </c>
      <c r="G378" s="5"/>
      <c r="H378" s="13" t="e">
        <f>Data_Geotech[[#This Row],[TCR (m)]]/Data_Geotech[[#This Row],[Run (m)]]*100</f>
        <v>#DIV/0!</v>
      </c>
      <c r="I378" s="5"/>
      <c r="J378" s="5"/>
      <c r="K378" s="5"/>
      <c r="L378" s="13" t="e">
        <f>Data_Geotech[[#This Row],[RQD (m)]]/Data_Geotech[[#This Row],[Run Reel (m)]]*100</f>
        <v>#DIV/0!</v>
      </c>
      <c r="P378" s="115"/>
      <c r="Q378" s="5"/>
      <c r="R378" s="5"/>
      <c r="S378" s="5"/>
      <c r="T378" s="5"/>
      <c r="U378" s="5"/>
      <c r="V378" s="6"/>
      <c r="W378" s="92">
        <f>SUMIFS(Discontinuities!$D$4:$D$9664,Discontinuities!$A$4:$A$9664,A378,Discontinuities!$C$4:$C$9664,"&gt;="&amp;C378,Discontinuities!$C$4:$C$9664,"&lt;"&amp;D378)
-SUMIFS(Discontinuities!$D$4:$D$9664,Discontinuities!$A$4:$A$9664,A378,Discontinuities!$C$4:$C$9664,"&gt;="&amp;C378,Discontinuities!$C$4:$C$9664,"&lt;"&amp;D378,Discontinuities!$E$4:$E$9664,"=BC")
-SUMIFS(Discontinuities!$D$4:$D$9664,Discontinuities!$A$4:$A$9664,A378,Discontinuities!$C$4:$C$9664,"&gt;="&amp;C378,Discontinuities!$C$4:$C$9664,"&lt;"&amp;D378,Discontinuities!$E$4:$E$9664,"=LC")
-SUMIFS(Discontinuities!$D$4:$D$9664,Discontinuities!$A$4:$A$9664,A378,Discontinuities!$C$4:$C$9664,"&gt;="&amp;C378,Discontinuities!$C$4:$C$9664,"&lt;"&amp;D378,Discontinuities!$E$4:$E$9664,"=FLT")</f>
        <v>0</v>
      </c>
      <c r="AA378" s="132"/>
      <c r="AB378" s="159">
        <f>IFERROR(ROUND((Data_Geotech[[#This Row],[Fault (m)]]+Data_Geotech[[#This Row],[Broken Core (m)]]+Data_Geotech[[#This Row],[Lost Core (m)]])*30,0),0)</f>
        <v>0</v>
      </c>
      <c r="AC378" s="135">
        <f>IF(Data_Geotech[[#This Row],[Added fractures 
(BC, FLT, LC)]]+Data_Geotech[[#This Row],[Fracture per interval]]=0,99,1/((Data_Geotech[[#This Row],[Fracture per interval]]+Data_Geotech[[#This Row],[Added fractures 
(BC, FLT, LC)]])/Data_Geotech[[#This Row],[Run (m)]]))</f>
        <v>99</v>
      </c>
      <c r="AD378" s="160" t="str" cm="1">
        <f t="array" ref="AD378">IFERROR(_xlfn.XLOOKUP(1,(A378=PLT!$A$4:$A$8886)*(Geotech!C378&lt;=PLT!$F$4:$F$8886)*(Geotech!D378&gt;=PLT!$F$4:$F$8886)*("Valid"=PLT!$P$4:$P$8886),PLT!$V$4:$V$8886),"")</f>
        <v/>
      </c>
      <c r="AE378" s="161" t="str" cm="1">
        <f t="array" ref="AE378">IFERROR(_xlfn.XLOOKUP(1,(A378=PLT!$A$4:$A$8886)*(Geotech!C378&lt;=PLT!$F$4:$F$8886)*(Geotech!D378&gt;=PLT!$F$4:$F$8886)*(PLT!$V$4:$V$8886&lt;&gt;AD378)*("Valid"=PLT!$P$4:$P$7190),PLT!$V$4:$V$8886),"")</f>
        <v/>
      </c>
      <c r="AF378" s="161" t="str" cm="1">
        <f t="array" ref="AF378">IFERROR(_xlfn.XLOOKUP(1,(A378=PLT!$A$4:$A$8886)*(Geotech!C378&lt;=PLT!$F$4:$F$8886)*(Geotech!D378&gt;=PLT!$F$4:$F$8886)*(PLT!$V$4:$V$8886&lt;&gt;AD378)*(PLT!$V$4:$V$8886&lt;&gt;AE378)*("Valid"=PLT!$P$4:$P$7190),PLT!$V$4:$V$8886),"")</f>
        <v/>
      </c>
      <c r="AG378" s="162" t="str">
        <f>IFERROR(IF(AVERAGE(AD378:AF378)&gt;References!$BO$23,References!$BP$23,
IF(AVERAGE(AD378:AF378)&gt;References!$BO$22,References!$BP$22,
IF(AVERAGE(AD378:AF378)&gt;References!$BO$21,References!$BP$21,
IF(AVERAGE(AD378:AF378)&gt;References!$BO$20,References!$BP$20,
IF(AVERAGE(AD378:AF378)&gt;References!$BO$19,References!$BP$19,
IF(AVERAGE(AD378:AF378)&gt;References!$BO$18,References!$BP$18,
0)))))),"")</f>
        <v/>
      </c>
      <c r="AH378" s="163" t="e">
        <f>VLOOKUP(Data_Geotech[[#This Row],[Field Intact Rock Strength]],Table_RMR76_Strength[],2,FALSE)</f>
        <v>#N/A</v>
      </c>
      <c r="AI378" s="163" t="e">
        <f>IF(Data_Geotech[[#This Row],[RQD (%)]]&lt;=25,3,IF(Data_Geotech[[#This Row],[RQD (%)]]&lt;=50,8,IF(Data_Geotech[[#This Row],[RQD (%)]]&lt;=75,13,IF(Data_Geotech[[#This Row],[RQD (%)]]&lt;=90,17,20))))</f>
        <v>#DIV/0!</v>
      </c>
      <c r="AJ378" s="136">
        <f>IF(Data_Geotech[[#This Row],[Joint spacing (m)]]&lt;=0.05,5,IF(Data_Geotech[[#This Row],[Joint spacing (m)]]&lt;=0.3,10,IF(Data_Geotech[[#This Row],[Joint spacing (m)]]&lt;=1,20,IF(Data_Geotech[[#This Row],[Joint spacing (m)]]&lt;=3,25,30))))</f>
        <v>30</v>
      </c>
      <c r="AK37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8" s="6"/>
      <c r="AM378" s="137" t="str">
        <f>IF(Data_Geotech[[#This Row],[FIRS Code]]="R",IFERROR(SUM(Data_Geotech[[#This Row],[RMR76 - Strength rating]:[RMR76 - Ground water rating]]),""),"")</f>
        <v/>
      </c>
      <c r="AN378" s="164" t="str">
        <f>IF(Data_Geotech[[#This Row],[FIRS Code]]="R",(2*Data_Geotech[[#This Row],[RMR76 - Joint condition rating]])+(IF(Data_Geotech[[#This Row],[RQD (%)]]&gt;80,80/2,Data_Geotech[[#This Row],[RQD (%)]]/2)),"")</f>
        <v/>
      </c>
      <c r="AO378" s="136" t="e">
        <f>LEFT(Data_Geotech[[#This Row],[Joint Set Rating]],FIND("-",Data_Geotech[[#This Row],[Joint Set Rating]],1)-2)</f>
        <v>#VALUE!</v>
      </c>
      <c r="AP37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8" s="143">
        <f t="shared" si="8"/>
        <v>1</v>
      </c>
      <c r="AR378" s="165" t="str">
        <f>IF(Data_Geotech[[#This Row],[FIRS Code]]="R",IFERROR((IF(Data_Geotech[[#This Row],[RQD (%)]]&lt;10,10,Data_Geotech[[#This Row],[RQD (%)]])/Data_Geotech[[#This Row],[Jn rating]])*Data_Geotech[[#This Row],[Jr/Ja]],""),"")</f>
        <v/>
      </c>
      <c r="AS378" s="138" t="str">
        <f>IF(Data_Geotech[[#This Row],[FIRS Code]]="R",IFERROR((IF(Data_Geotech[[#This Row],[RQD (%)]]&lt;10,10,Data_Geotech[[#This Row],[RQD (%)]])/Data_Geotech[[#This Row],[Jn rating]])*Data_Geotech[[#This Row],[Jr/Ja]]*Data_Geotech[[#This Row],[Jw/SRF]],""),"")</f>
        <v/>
      </c>
      <c r="AT378" s="12"/>
      <c r="AU378" s="13" t="e">
        <f>100-Data_Geotech[[#This Row],[RQD (%)]]</f>
        <v>#DIV/0!</v>
      </c>
      <c r="AV378" s="13" t="e">
        <f>100-Data_Geotech[[#This Row],[TCR (%)]]</f>
        <v>#DIV/0!</v>
      </c>
      <c r="AW378" s="62" t="e">
        <f>(Data_Geotech[[#This Row],[Fracture per interval]]+Data_Geotech[[#This Row],[Added fractures 
(BC, FLT, LC)]])/Data_Geotech[[#This Row],[TCR (m)]]</f>
        <v>#DIV/0!</v>
      </c>
      <c r="AX378" s="62" t="str">
        <f>MID(Data_Geotech[[#This Row],[Field Intact Rock Strength]],2,1)</f>
        <v/>
      </c>
      <c r="AY378" s="63" t="e">
        <f>7-MID(Data_Geotech[[#This Row],[Field Intact Rock Strength]],2,1)</f>
        <v>#VALUE!</v>
      </c>
      <c r="AZ378" s="63" t="e">
        <f>VLOOKUP(Data_Geotech[[#This Row],[Field Intact Rock Strength]],Table_FieldStrength[],2,FALSE)</f>
        <v>#N/A</v>
      </c>
      <c r="BA378" s="63" t="e">
        <f>VLOOKUP(Data_Geotech[[#This Row],[Field Intact Rock Strength]],Table_FieldStrength[],3,FALSE)</f>
        <v>#N/A</v>
      </c>
      <c r="BB378" s="63" t="e">
        <f>VLOOKUP(Data_Geotech[[#This Row],[Field Intact Rock Strength]],Table_FieldStrength[],4,FALSE)</f>
        <v>#N/A</v>
      </c>
      <c r="BC378" s="63" t="e">
        <f>100-Data_Geotech[[#This Row],[RMR76]]</f>
        <v>#VALUE!</v>
      </c>
      <c r="BD378" s="63" t="e">
        <f>LEFT(Data_Geotech[[#This Row],[Weathering/Alteration]],FIND("-",Data_Geotech[[#This Row],[Weathering/Alteration]])-2)</f>
        <v>#VALUE!</v>
      </c>
    </row>
    <row r="379" spans="1:56" hidden="1" x14ac:dyDescent="0.25">
      <c r="A379" s="14"/>
      <c r="B379" s="166" t="e">
        <f>VLOOKUP(Data_Geotech[[#This Row],[Hole ID]],Data_Log[],2,FALSE)</f>
        <v>#N/A</v>
      </c>
      <c r="C379" s="5"/>
      <c r="D379" s="5"/>
      <c r="E379" s="5">
        <f>(Data_Geotech[[#This Row],[To (m)]]-Data_Geotech[[#This Row],[From (m)]])/2+Data_Geotech[[#This Row],[From (m)]]</f>
        <v>0</v>
      </c>
      <c r="F379" s="13">
        <f>Data_Geotech[[#This Row],[To (m)]]-Data_Geotech[[#This Row],[From (m)]]</f>
        <v>0</v>
      </c>
      <c r="G379" s="5"/>
      <c r="H379" s="13" t="e">
        <f>Data_Geotech[[#This Row],[TCR (m)]]/Data_Geotech[[#This Row],[Run (m)]]*100</f>
        <v>#DIV/0!</v>
      </c>
      <c r="I379" s="5"/>
      <c r="J379" s="5"/>
      <c r="K379" s="5"/>
      <c r="L379" s="13" t="e">
        <f>Data_Geotech[[#This Row],[RQD (m)]]/Data_Geotech[[#This Row],[Run Reel (m)]]*100</f>
        <v>#DIV/0!</v>
      </c>
      <c r="P379" s="115"/>
      <c r="Q379" s="5"/>
      <c r="R379" s="5"/>
      <c r="S379" s="5"/>
      <c r="T379" s="5"/>
      <c r="U379" s="5"/>
      <c r="V379" s="6"/>
      <c r="W379" s="92">
        <f>SUMIFS(Discontinuities!$D$4:$D$9664,Discontinuities!$A$4:$A$9664,A379,Discontinuities!$C$4:$C$9664,"&gt;="&amp;C379,Discontinuities!$C$4:$C$9664,"&lt;"&amp;D379)
-SUMIFS(Discontinuities!$D$4:$D$9664,Discontinuities!$A$4:$A$9664,A379,Discontinuities!$C$4:$C$9664,"&gt;="&amp;C379,Discontinuities!$C$4:$C$9664,"&lt;"&amp;D379,Discontinuities!$E$4:$E$9664,"=BC")
-SUMIFS(Discontinuities!$D$4:$D$9664,Discontinuities!$A$4:$A$9664,A379,Discontinuities!$C$4:$C$9664,"&gt;="&amp;C379,Discontinuities!$C$4:$C$9664,"&lt;"&amp;D379,Discontinuities!$E$4:$E$9664,"=LC")
-SUMIFS(Discontinuities!$D$4:$D$9664,Discontinuities!$A$4:$A$9664,A379,Discontinuities!$C$4:$C$9664,"&gt;="&amp;C379,Discontinuities!$C$4:$C$9664,"&lt;"&amp;D379,Discontinuities!$E$4:$E$9664,"=FLT")</f>
        <v>0</v>
      </c>
      <c r="AA379" s="132"/>
      <c r="AB379" s="159">
        <f>IFERROR(ROUND((Data_Geotech[[#This Row],[Fault (m)]]+Data_Geotech[[#This Row],[Broken Core (m)]]+Data_Geotech[[#This Row],[Lost Core (m)]])*30,0),0)</f>
        <v>0</v>
      </c>
      <c r="AC379" s="135">
        <f>IF(Data_Geotech[[#This Row],[Added fractures 
(BC, FLT, LC)]]+Data_Geotech[[#This Row],[Fracture per interval]]=0,99,1/((Data_Geotech[[#This Row],[Fracture per interval]]+Data_Geotech[[#This Row],[Added fractures 
(BC, FLT, LC)]])/Data_Geotech[[#This Row],[Run (m)]]))</f>
        <v>99</v>
      </c>
      <c r="AD379" s="160" t="str" cm="1">
        <f t="array" ref="AD379">IFERROR(_xlfn.XLOOKUP(1,(A379=PLT!$A$4:$A$8886)*(Geotech!C379&lt;=PLT!$F$4:$F$8886)*(Geotech!D379&gt;=PLT!$F$4:$F$8886)*("Valid"=PLT!$P$4:$P$8886),PLT!$V$4:$V$8886),"")</f>
        <v/>
      </c>
      <c r="AE379" s="161" t="str" cm="1">
        <f t="array" ref="AE379">IFERROR(_xlfn.XLOOKUP(1,(A379=PLT!$A$4:$A$8886)*(Geotech!C379&lt;=PLT!$F$4:$F$8886)*(Geotech!D379&gt;=PLT!$F$4:$F$8886)*(PLT!$V$4:$V$8886&lt;&gt;AD379)*("Valid"=PLT!$P$4:$P$7190),PLT!$V$4:$V$8886),"")</f>
        <v/>
      </c>
      <c r="AF379" s="161" t="str" cm="1">
        <f t="array" ref="AF379">IFERROR(_xlfn.XLOOKUP(1,(A379=PLT!$A$4:$A$8886)*(Geotech!C379&lt;=PLT!$F$4:$F$8886)*(Geotech!D379&gt;=PLT!$F$4:$F$8886)*(PLT!$V$4:$V$8886&lt;&gt;AD379)*(PLT!$V$4:$V$8886&lt;&gt;AE379)*("Valid"=PLT!$P$4:$P$7190),PLT!$V$4:$V$8886),"")</f>
        <v/>
      </c>
      <c r="AG379" s="162" t="str">
        <f>IFERROR(IF(AVERAGE(AD379:AF379)&gt;References!$BO$23,References!$BP$23,
IF(AVERAGE(AD379:AF379)&gt;References!$BO$22,References!$BP$22,
IF(AVERAGE(AD379:AF379)&gt;References!$BO$21,References!$BP$21,
IF(AVERAGE(AD379:AF379)&gt;References!$BO$20,References!$BP$20,
IF(AVERAGE(AD379:AF379)&gt;References!$BO$19,References!$BP$19,
IF(AVERAGE(AD379:AF379)&gt;References!$BO$18,References!$BP$18,
0)))))),"")</f>
        <v/>
      </c>
      <c r="AH379" s="163" t="e">
        <f>VLOOKUP(Data_Geotech[[#This Row],[Field Intact Rock Strength]],Table_RMR76_Strength[],2,FALSE)</f>
        <v>#N/A</v>
      </c>
      <c r="AI379" s="163" t="e">
        <f>IF(Data_Geotech[[#This Row],[RQD (%)]]&lt;=25,3,IF(Data_Geotech[[#This Row],[RQD (%)]]&lt;=50,8,IF(Data_Geotech[[#This Row],[RQD (%)]]&lt;=75,13,IF(Data_Geotech[[#This Row],[RQD (%)]]&lt;=90,17,20))))</f>
        <v>#DIV/0!</v>
      </c>
      <c r="AJ379" s="136">
        <f>IF(Data_Geotech[[#This Row],[Joint spacing (m)]]&lt;=0.05,5,IF(Data_Geotech[[#This Row],[Joint spacing (m)]]&lt;=0.3,10,IF(Data_Geotech[[#This Row],[Joint spacing (m)]]&lt;=1,20,IF(Data_Geotech[[#This Row],[Joint spacing (m)]]&lt;=3,25,30))))</f>
        <v>30</v>
      </c>
      <c r="AK37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79" s="6"/>
      <c r="AM379" s="137" t="str">
        <f>IF(Data_Geotech[[#This Row],[FIRS Code]]="R",IFERROR(SUM(Data_Geotech[[#This Row],[RMR76 - Strength rating]:[RMR76 - Ground water rating]]),""),"")</f>
        <v/>
      </c>
      <c r="AN379" s="164" t="str">
        <f>IF(Data_Geotech[[#This Row],[FIRS Code]]="R",(2*Data_Geotech[[#This Row],[RMR76 - Joint condition rating]])+(IF(Data_Geotech[[#This Row],[RQD (%)]]&gt;80,80/2,Data_Geotech[[#This Row],[RQD (%)]]/2)),"")</f>
        <v/>
      </c>
      <c r="AO379" s="136" t="e">
        <f>LEFT(Data_Geotech[[#This Row],[Joint Set Rating]],FIND("-",Data_Geotech[[#This Row],[Joint Set Rating]],1)-2)</f>
        <v>#VALUE!</v>
      </c>
      <c r="AP37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79" s="143">
        <f t="shared" si="8"/>
        <v>1</v>
      </c>
      <c r="AR379" s="165" t="str">
        <f>IF(Data_Geotech[[#This Row],[FIRS Code]]="R",IFERROR((IF(Data_Geotech[[#This Row],[RQD (%)]]&lt;10,10,Data_Geotech[[#This Row],[RQD (%)]])/Data_Geotech[[#This Row],[Jn rating]])*Data_Geotech[[#This Row],[Jr/Ja]],""),"")</f>
        <v/>
      </c>
      <c r="AS379" s="138" t="str">
        <f>IF(Data_Geotech[[#This Row],[FIRS Code]]="R",IFERROR((IF(Data_Geotech[[#This Row],[RQD (%)]]&lt;10,10,Data_Geotech[[#This Row],[RQD (%)]])/Data_Geotech[[#This Row],[Jn rating]])*Data_Geotech[[#This Row],[Jr/Ja]]*Data_Geotech[[#This Row],[Jw/SRF]],""),"")</f>
        <v/>
      </c>
      <c r="AT379" s="12"/>
      <c r="AU379" s="13" t="e">
        <f>100-Data_Geotech[[#This Row],[RQD (%)]]</f>
        <v>#DIV/0!</v>
      </c>
      <c r="AV379" s="13" t="e">
        <f>100-Data_Geotech[[#This Row],[TCR (%)]]</f>
        <v>#DIV/0!</v>
      </c>
      <c r="AW379" s="62" t="e">
        <f>(Data_Geotech[[#This Row],[Fracture per interval]]+Data_Geotech[[#This Row],[Added fractures 
(BC, FLT, LC)]])/Data_Geotech[[#This Row],[TCR (m)]]</f>
        <v>#DIV/0!</v>
      </c>
      <c r="AX379" s="62" t="str">
        <f>MID(Data_Geotech[[#This Row],[Field Intact Rock Strength]],2,1)</f>
        <v/>
      </c>
      <c r="AY379" s="63" t="e">
        <f>7-MID(Data_Geotech[[#This Row],[Field Intact Rock Strength]],2,1)</f>
        <v>#VALUE!</v>
      </c>
      <c r="AZ379" s="63" t="e">
        <f>VLOOKUP(Data_Geotech[[#This Row],[Field Intact Rock Strength]],Table_FieldStrength[],2,FALSE)</f>
        <v>#N/A</v>
      </c>
      <c r="BA379" s="63" t="e">
        <f>VLOOKUP(Data_Geotech[[#This Row],[Field Intact Rock Strength]],Table_FieldStrength[],3,FALSE)</f>
        <v>#N/A</v>
      </c>
      <c r="BB379" s="63" t="e">
        <f>VLOOKUP(Data_Geotech[[#This Row],[Field Intact Rock Strength]],Table_FieldStrength[],4,FALSE)</f>
        <v>#N/A</v>
      </c>
      <c r="BC379" s="63" t="e">
        <f>100-Data_Geotech[[#This Row],[RMR76]]</f>
        <v>#VALUE!</v>
      </c>
      <c r="BD379" s="63" t="e">
        <f>LEFT(Data_Geotech[[#This Row],[Weathering/Alteration]],FIND("-",Data_Geotech[[#This Row],[Weathering/Alteration]])-2)</f>
        <v>#VALUE!</v>
      </c>
    </row>
    <row r="380" spans="1:56" hidden="1" x14ac:dyDescent="0.25">
      <c r="A380" s="14"/>
      <c r="B380" s="166" t="e">
        <f>VLOOKUP(Data_Geotech[[#This Row],[Hole ID]],Data_Log[],2,FALSE)</f>
        <v>#N/A</v>
      </c>
      <c r="C380" s="5"/>
      <c r="D380" s="5"/>
      <c r="E380" s="5">
        <f>(Data_Geotech[[#This Row],[To (m)]]-Data_Geotech[[#This Row],[From (m)]])/2+Data_Geotech[[#This Row],[From (m)]]</f>
        <v>0</v>
      </c>
      <c r="F380" s="13">
        <f>Data_Geotech[[#This Row],[To (m)]]-Data_Geotech[[#This Row],[From (m)]]</f>
        <v>0</v>
      </c>
      <c r="G380" s="5"/>
      <c r="H380" s="13" t="e">
        <f>Data_Geotech[[#This Row],[TCR (m)]]/Data_Geotech[[#This Row],[Run (m)]]*100</f>
        <v>#DIV/0!</v>
      </c>
      <c r="I380" s="5"/>
      <c r="J380" s="5"/>
      <c r="K380" s="5"/>
      <c r="L380" s="13" t="e">
        <f>Data_Geotech[[#This Row],[RQD (m)]]/Data_Geotech[[#This Row],[Run Reel (m)]]*100</f>
        <v>#DIV/0!</v>
      </c>
      <c r="P380" s="115"/>
      <c r="Q380" s="5"/>
      <c r="R380" s="5"/>
      <c r="S380" s="5"/>
      <c r="T380" s="5"/>
      <c r="U380" s="5"/>
      <c r="V380" s="6"/>
      <c r="W380" s="92">
        <f>SUMIFS(Discontinuities!$D$4:$D$9664,Discontinuities!$A$4:$A$9664,A380,Discontinuities!$C$4:$C$9664,"&gt;="&amp;C380,Discontinuities!$C$4:$C$9664,"&lt;"&amp;D380)
-SUMIFS(Discontinuities!$D$4:$D$9664,Discontinuities!$A$4:$A$9664,A380,Discontinuities!$C$4:$C$9664,"&gt;="&amp;C380,Discontinuities!$C$4:$C$9664,"&lt;"&amp;D380,Discontinuities!$E$4:$E$9664,"=BC")
-SUMIFS(Discontinuities!$D$4:$D$9664,Discontinuities!$A$4:$A$9664,A380,Discontinuities!$C$4:$C$9664,"&gt;="&amp;C380,Discontinuities!$C$4:$C$9664,"&lt;"&amp;D380,Discontinuities!$E$4:$E$9664,"=LC")
-SUMIFS(Discontinuities!$D$4:$D$9664,Discontinuities!$A$4:$A$9664,A380,Discontinuities!$C$4:$C$9664,"&gt;="&amp;C380,Discontinuities!$C$4:$C$9664,"&lt;"&amp;D380,Discontinuities!$E$4:$E$9664,"=FLT")</f>
        <v>0</v>
      </c>
      <c r="AA380" s="132"/>
      <c r="AB380" s="159">
        <f>IFERROR(ROUND((Data_Geotech[[#This Row],[Fault (m)]]+Data_Geotech[[#This Row],[Broken Core (m)]]+Data_Geotech[[#This Row],[Lost Core (m)]])*30,0),0)</f>
        <v>0</v>
      </c>
      <c r="AC380" s="135">
        <f>IF(Data_Geotech[[#This Row],[Added fractures 
(BC, FLT, LC)]]+Data_Geotech[[#This Row],[Fracture per interval]]=0,99,1/((Data_Geotech[[#This Row],[Fracture per interval]]+Data_Geotech[[#This Row],[Added fractures 
(BC, FLT, LC)]])/Data_Geotech[[#This Row],[Run (m)]]))</f>
        <v>99</v>
      </c>
      <c r="AD380" s="160" t="str" cm="1">
        <f t="array" ref="AD380">IFERROR(_xlfn.XLOOKUP(1,(A380=PLT!$A$4:$A$8886)*(Geotech!C380&lt;=PLT!$F$4:$F$8886)*(Geotech!D380&gt;=PLT!$F$4:$F$8886)*("Valid"=PLT!$P$4:$P$8886),PLT!$V$4:$V$8886),"")</f>
        <v/>
      </c>
      <c r="AE380" s="161" t="str" cm="1">
        <f t="array" ref="AE380">IFERROR(_xlfn.XLOOKUP(1,(A380=PLT!$A$4:$A$8886)*(Geotech!C380&lt;=PLT!$F$4:$F$8886)*(Geotech!D380&gt;=PLT!$F$4:$F$8886)*(PLT!$V$4:$V$8886&lt;&gt;AD380)*("Valid"=PLT!$P$4:$P$7190),PLT!$V$4:$V$8886),"")</f>
        <v/>
      </c>
      <c r="AF380" s="161" t="str" cm="1">
        <f t="array" ref="AF380">IFERROR(_xlfn.XLOOKUP(1,(A380=PLT!$A$4:$A$8886)*(Geotech!C380&lt;=PLT!$F$4:$F$8886)*(Geotech!D380&gt;=PLT!$F$4:$F$8886)*(PLT!$V$4:$V$8886&lt;&gt;AD380)*(PLT!$V$4:$V$8886&lt;&gt;AE380)*("Valid"=PLT!$P$4:$P$7190),PLT!$V$4:$V$8886),"")</f>
        <v/>
      </c>
      <c r="AG380" s="162" t="str">
        <f>IFERROR(IF(AVERAGE(AD380:AF380)&gt;References!$BO$23,References!$BP$23,
IF(AVERAGE(AD380:AF380)&gt;References!$BO$22,References!$BP$22,
IF(AVERAGE(AD380:AF380)&gt;References!$BO$21,References!$BP$21,
IF(AVERAGE(AD380:AF380)&gt;References!$BO$20,References!$BP$20,
IF(AVERAGE(AD380:AF380)&gt;References!$BO$19,References!$BP$19,
IF(AVERAGE(AD380:AF380)&gt;References!$BO$18,References!$BP$18,
0)))))),"")</f>
        <v/>
      </c>
      <c r="AH380" s="163" t="e">
        <f>VLOOKUP(Data_Geotech[[#This Row],[Field Intact Rock Strength]],Table_RMR76_Strength[],2,FALSE)</f>
        <v>#N/A</v>
      </c>
      <c r="AI380" s="163" t="e">
        <f>IF(Data_Geotech[[#This Row],[RQD (%)]]&lt;=25,3,IF(Data_Geotech[[#This Row],[RQD (%)]]&lt;=50,8,IF(Data_Geotech[[#This Row],[RQD (%)]]&lt;=75,13,IF(Data_Geotech[[#This Row],[RQD (%)]]&lt;=90,17,20))))</f>
        <v>#DIV/0!</v>
      </c>
      <c r="AJ380" s="136">
        <f>IF(Data_Geotech[[#This Row],[Joint spacing (m)]]&lt;=0.05,5,IF(Data_Geotech[[#This Row],[Joint spacing (m)]]&lt;=0.3,10,IF(Data_Geotech[[#This Row],[Joint spacing (m)]]&lt;=1,20,IF(Data_Geotech[[#This Row],[Joint spacing (m)]]&lt;=3,25,30))))</f>
        <v>30</v>
      </c>
      <c r="AK38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0" s="6"/>
      <c r="AM380" s="137" t="str">
        <f>IF(Data_Geotech[[#This Row],[FIRS Code]]="R",IFERROR(SUM(Data_Geotech[[#This Row],[RMR76 - Strength rating]:[RMR76 - Ground water rating]]),""),"")</f>
        <v/>
      </c>
      <c r="AN380" s="164" t="str">
        <f>IF(Data_Geotech[[#This Row],[FIRS Code]]="R",(2*Data_Geotech[[#This Row],[RMR76 - Joint condition rating]])+(IF(Data_Geotech[[#This Row],[RQD (%)]]&gt;80,80/2,Data_Geotech[[#This Row],[RQD (%)]]/2)),"")</f>
        <v/>
      </c>
      <c r="AO380" s="136" t="e">
        <f>LEFT(Data_Geotech[[#This Row],[Joint Set Rating]],FIND("-",Data_Geotech[[#This Row],[Joint Set Rating]],1)-2)</f>
        <v>#VALUE!</v>
      </c>
      <c r="AP38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0" s="143">
        <f t="shared" si="8"/>
        <v>1</v>
      </c>
      <c r="AR380" s="165" t="str">
        <f>IF(Data_Geotech[[#This Row],[FIRS Code]]="R",IFERROR((IF(Data_Geotech[[#This Row],[RQD (%)]]&lt;10,10,Data_Geotech[[#This Row],[RQD (%)]])/Data_Geotech[[#This Row],[Jn rating]])*Data_Geotech[[#This Row],[Jr/Ja]],""),"")</f>
        <v/>
      </c>
      <c r="AS380" s="138" t="str">
        <f>IF(Data_Geotech[[#This Row],[FIRS Code]]="R",IFERROR((IF(Data_Geotech[[#This Row],[RQD (%)]]&lt;10,10,Data_Geotech[[#This Row],[RQD (%)]])/Data_Geotech[[#This Row],[Jn rating]])*Data_Geotech[[#This Row],[Jr/Ja]]*Data_Geotech[[#This Row],[Jw/SRF]],""),"")</f>
        <v/>
      </c>
      <c r="AT380" s="12"/>
      <c r="AU380" s="13" t="e">
        <f>100-Data_Geotech[[#This Row],[RQD (%)]]</f>
        <v>#DIV/0!</v>
      </c>
      <c r="AV380" s="13" t="e">
        <f>100-Data_Geotech[[#This Row],[TCR (%)]]</f>
        <v>#DIV/0!</v>
      </c>
      <c r="AW380" s="62" t="e">
        <f>(Data_Geotech[[#This Row],[Fracture per interval]]+Data_Geotech[[#This Row],[Added fractures 
(BC, FLT, LC)]])/Data_Geotech[[#This Row],[TCR (m)]]</f>
        <v>#DIV/0!</v>
      </c>
      <c r="AX380" s="62" t="str">
        <f>MID(Data_Geotech[[#This Row],[Field Intact Rock Strength]],2,1)</f>
        <v/>
      </c>
      <c r="AY380" s="63" t="e">
        <f>7-MID(Data_Geotech[[#This Row],[Field Intact Rock Strength]],2,1)</f>
        <v>#VALUE!</v>
      </c>
      <c r="AZ380" s="63" t="e">
        <f>VLOOKUP(Data_Geotech[[#This Row],[Field Intact Rock Strength]],Table_FieldStrength[],2,FALSE)</f>
        <v>#N/A</v>
      </c>
      <c r="BA380" s="63" t="e">
        <f>VLOOKUP(Data_Geotech[[#This Row],[Field Intact Rock Strength]],Table_FieldStrength[],3,FALSE)</f>
        <v>#N/A</v>
      </c>
      <c r="BB380" s="63" t="e">
        <f>VLOOKUP(Data_Geotech[[#This Row],[Field Intact Rock Strength]],Table_FieldStrength[],4,FALSE)</f>
        <v>#N/A</v>
      </c>
      <c r="BC380" s="63" t="e">
        <f>100-Data_Geotech[[#This Row],[RMR76]]</f>
        <v>#VALUE!</v>
      </c>
      <c r="BD380" s="63" t="e">
        <f>LEFT(Data_Geotech[[#This Row],[Weathering/Alteration]],FIND("-",Data_Geotech[[#This Row],[Weathering/Alteration]])-2)</f>
        <v>#VALUE!</v>
      </c>
    </row>
    <row r="381" spans="1:56" hidden="1" x14ac:dyDescent="0.25">
      <c r="A381" s="14"/>
      <c r="B381" s="166" t="e">
        <f>VLOOKUP(Data_Geotech[[#This Row],[Hole ID]],Data_Log[],2,FALSE)</f>
        <v>#N/A</v>
      </c>
      <c r="C381" s="5"/>
      <c r="D381" s="5"/>
      <c r="E381" s="5">
        <f>(Data_Geotech[[#This Row],[To (m)]]-Data_Geotech[[#This Row],[From (m)]])/2+Data_Geotech[[#This Row],[From (m)]]</f>
        <v>0</v>
      </c>
      <c r="F381" s="13">
        <f>Data_Geotech[[#This Row],[To (m)]]-Data_Geotech[[#This Row],[From (m)]]</f>
        <v>0</v>
      </c>
      <c r="G381" s="5"/>
      <c r="H381" s="13" t="e">
        <f>Data_Geotech[[#This Row],[TCR (m)]]/Data_Geotech[[#This Row],[Run (m)]]*100</f>
        <v>#DIV/0!</v>
      </c>
      <c r="I381" s="5"/>
      <c r="J381" s="5"/>
      <c r="K381" s="5"/>
      <c r="L381" s="13" t="e">
        <f>Data_Geotech[[#This Row],[RQD (m)]]/Data_Geotech[[#This Row],[Run Reel (m)]]*100</f>
        <v>#DIV/0!</v>
      </c>
      <c r="P381" s="115"/>
      <c r="Q381" s="5"/>
      <c r="R381" s="5"/>
      <c r="S381" s="5"/>
      <c r="T381" s="5"/>
      <c r="U381" s="5"/>
      <c r="V381" s="6"/>
      <c r="W381" s="92">
        <f>SUMIFS(Discontinuities!$D$4:$D$9664,Discontinuities!$A$4:$A$9664,A381,Discontinuities!$C$4:$C$9664,"&gt;="&amp;C381,Discontinuities!$C$4:$C$9664,"&lt;"&amp;D381)
-SUMIFS(Discontinuities!$D$4:$D$9664,Discontinuities!$A$4:$A$9664,A381,Discontinuities!$C$4:$C$9664,"&gt;="&amp;C381,Discontinuities!$C$4:$C$9664,"&lt;"&amp;D381,Discontinuities!$E$4:$E$9664,"=BC")
-SUMIFS(Discontinuities!$D$4:$D$9664,Discontinuities!$A$4:$A$9664,A381,Discontinuities!$C$4:$C$9664,"&gt;="&amp;C381,Discontinuities!$C$4:$C$9664,"&lt;"&amp;D381,Discontinuities!$E$4:$E$9664,"=LC")
-SUMIFS(Discontinuities!$D$4:$D$9664,Discontinuities!$A$4:$A$9664,A381,Discontinuities!$C$4:$C$9664,"&gt;="&amp;C381,Discontinuities!$C$4:$C$9664,"&lt;"&amp;D381,Discontinuities!$E$4:$E$9664,"=FLT")</f>
        <v>0</v>
      </c>
      <c r="AA381" s="132"/>
      <c r="AB381" s="159">
        <f>IFERROR(ROUND((Data_Geotech[[#This Row],[Fault (m)]]+Data_Geotech[[#This Row],[Broken Core (m)]]+Data_Geotech[[#This Row],[Lost Core (m)]])*30,0),0)</f>
        <v>0</v>
      </c>
      <c r="AC381" s="135">
        <f>IF(Data_Geotech[[#This Row],[Added fractures 
(BC, FLT, LC)]]+Data_Geotech[[#This Row],[Fracture per interval]]=0,99,1/((Data_Geotech[[#This Row],[Fracture per interval]]+Data_Geotech[[#This Row],[Added fractures 
(BC, FLT, LC)]])/Data_Geotech[[#This Row],[Run (m)]]))</f>
        <v>99</v>
      </c>
      <c r="AD381" s="160" t="str" cm="1">
        <f t="array" ref="AD381">IFERROR(_xlfn.XLOOKUP(1,(A381=PLT!$A$4:$A$8886)*(Geotech!C381&lt;=PLT!$F$4:$F$8886)*(Geotech!D381&gt;=PLT!$F$4:$F$8886)*("Valid"=PLT!$P$4:$P$8886),PLT!$V$4:$V$8886),"")</f>
        <v/>
      </c>
      <c r="AE381" s="161" t="str" cm="1">
        <f t="array" ref="AE381">IFERROR(_xlfn.XLOOKUP(1,(A381=PLT!$A$4:$A$8886)*(Geotech!C381&lt;=PLT!$F$4:$F$8886)*(Geotech!D381&gt;=PLT!$F$4:$F$8886)*(PLT!$V$4:$V$8886&lt;&gt;AD381)*("Valid"=PLT!$P$4:$P$7190),PLT!$V$4:$V$8886),"")</f>
        <v/>
      </c>
      <c r="AF381" s="161" t="str" cm="1">
        <f t="array" ref="AF381">IFERROR(_xlfn.XLOOKUP(1,(A381=PLT!$A$4:$A$8886)*(Geotech!C381&lt;=PLT!$F$4:$F$8886)*(Geotech!D381&gt;=PLT!$F$4:$F$8886)*(PLT!$V$4:$V$8886&lt;&gt;AD381)*(PLT!$V$4:$V$8886&lt;&gt;AE381)*("Valid"=PLT!$P$4:$P$7190),PLT!$V$4:$V$8886),"")</f>
        <v/>
      </c>
      <c r="AG381" s="162" t="str">
        <f>IFERROR(IF(AVERAGE(AD381:AF381)&gt;References!$BO$23,References!$BP$23,
IF(AVERAGE(AD381:AF381)&gt;References!$BO$22,References!$BP$22,
IF(AVERAGE(AD381:AF381)&gt;References!$BO$21,References!$BP$21,
IF(AVERAGE(AD381:AF381)&gt;References!$BO$20,References!$BP$20,
IF(AVERAGE(AD381:AF381)&gt;References!$BO$19,References!$BP$19,
IF(AVERAGE(AD381:AF381)&gt;References!$BO$18,References!$BP$18,
0)))))),"")</f>
        <v/>
      </c>
      <c r="AH381" s="163" t="e">
        <f>VLOOKUP(Data_Geotech[[#This Row],[Field Intact Rock Strength]],Table_RMR76_Strength[],2,FALSE)</f>
        <v>#N/A</v>
      </c>
      <c r="AI381" s="163" t="e">
        <f>IF(Data_Geotech[[#This Row],[RQD (%)]]&lt;=25,3,IF(Data_Geotech[[#This Row],[RQD (%)]]&lt;=50,8,IF(Data_Geotech[[#This Row],[RQD (%)]]&lt;=75,13,IF(Data_Geotech[[#This Row],[RQD (%)]]&lt;=90,17,20))))</f>
        <v>#DIV/0!</v>
      </c>
      <c r="AJ381" s="136">
        <f>IF(Data_Geotech[[#This Row],[Joint spacing (m)]]&lt;=0.05,5,IF(Data_Geotech[[#This Row],[Joint spacing (m)]]&lt;=0.3,10,IF(Data_Geotech[[#This Row],[Joint spacing (m)]]&lt;=1,20,IF(Data_Geotech[[#This Row],[Joint spacing (m)]]&lt;=3,25,30))))</f>
        <v>30</v>
      </c>
      <c r="AK38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1" s="6"/>
      <c r="AM381" s="137" t="str">
        <f>IF(Data_Geotech[[#This Row],[FIRS Code]]="R",IFERROR(SUM(Data_Geotech[[#This Row],[RMR76 - Strength rating]:[RMR76 - Ground water rating]]),""),"")</f>
        <v/>
      </c>
      <c r="AN381" s="164" t="str">
        <f>IF(Data_Geotech[[#This Row],[FIRS Code]]="R",(2*Data_Geotech[[#This Row],[RMR76 - Joint condition rating]])+(IF(Data_Geotech[[#This Row],[RQD (%)]]&gt;80,80/2,Data_Geotech[[#This Row],[RQD (%)]]/2)),"")</f>
        <v/>
      </c>
      <c r="AO381" s="136" t="e">
        <f>LEFT(Data_Geotech[[#This Row],[Joint Set Rating]],FIND("-",Data_Geotech[[#This Row],[Joint Set Rating]],1)-2)</f>
        <v>#VALUE!</v>
      </c>
      <c r="AP38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1" s="143">
        <f t="shared" si="8"/>
        <v>1</v>
      </c>
      <c r="AR381" s="165" t="str">
        <f>IF(Data_Geotech[[#This Row],[FIRS Code]]="R",IFERROR((IF(Data_Geotech[[#This Row],[RQD (%)]]&lt;10,10,Data_Geotech[[#This Row],[RQD (%)]])/Data_Geotech[[#This Row],[Jn rating]])*Data_Geotech[[#This Row],[Jr/Ja]],""),"")</f>
        <v/>
      </c>
      <c r="AS381" s="138" t="str">
        <f>IF(Data_Geotech[[#This Row],[FIRS Code]]="R",IFERROR((IF(Data_Geotech[[#This Row],[RQD (%)]]&lt;10,10,Data_Geotech[[#This Row],[RQD (%)]])/Data_Geotech[[#This Row],[Jn rating]])*Data_Geotech[[#This Row],[Jr/Ja]]*Data_Geotech[[#This Row],[Jw/SRF]],""),"")</f>
        <v/>
      </c>
      <c r="AT381" s="12"/>
      <c r="AU381" s="13" t="e">
        <f>100-Data_Geotech[[#This Row],[RQD (%)]]</f>
        <v>#DIV/0!</v>
      </c>
      <c r="AV381" s="13" t="e">
        <f>100-Data_Geotech[[#This Row],[TCR (%)]]</f>
        <v>#DIV/0!</v>
      </c>
      <c r="AW381" s="62" t="e">
        <f>(Data_Geotech[[#This Row],[Fracture per interval]]+Data_Geotech[[#This Row],[Added fractures 
(BC, FLT, LC)]])/Data_Geotech[[#This Row],[TCR (m)]]</f>
        <v>#DIV/0!</v>
      </c>
      <c r="AX381" s="62" t="str">
        <f>MID(Data_Geotech[[#This Row],[Field Intact Rock Strength]],2,1)</f>
        <v/>
      </c>
      <c r="AY381" s="63" t="e">
        <f>7-MID(Data_Geotech[[#This Row],[Field Intact Rock Strength]],2,1)</f>
        <v>#VALUE!</v>
      </c>
      <c r="AZ381" s="63" t="e">
        <f>VLOOKUP(Data_Geotech[[#This Row],[Field Intact Rock Strength]],Table_FieldStrength[],2,FALSE)</f>
        <v>#N/A</v>
      </c>
      <c r="BA381" s="63" t="e">
        <f>VLOOKUP(Data_Geotech[[#This Row],[Field Intact Rock Strength]],Table_FieldStrength[],3,FALSE)</f>
        <v>#N/A</v>
      </c>
      <c r="BB381" s="63" t="e">
        <f>VLOOKUP(Data_Geotech[[#This Row],[Field Intact Rock Strength]],Table_FieldStrength[],4,FALSE)</f>
        <v>#N/A</v>
      </c>
      <c r="BC381" s="63" t="e">
        <f>100-Data_Geotech[[#This Row],[RMR76]]</f>
        <v>#VALUE!</v>
      </c>
      <c r="BD381" s="63" t="e">
        <f>LEFT(Data_Geotech[[#This Row],[Weathering/Alteration]],FIND("-",Data_Geotech[[#This Row],[Weathering/Alteration]])-2)</f>
        <v>#VALUE!</v>
      </c>
    </row>
    <row r="382" spans="1:56" hidden="1" x14ac:dyDescent="0.25">
      <c r="A382" s="14"/>
      <c r="B382" s="166" t="e">
        <f>VLOOKUP(Data_Geotech[[#This Row],[Hole ID]],Data_Log[],2,FALSE)</f>
        <v>#N/A</v>
      </c>
      <c r="C382" s="5"/>
      <c r="D382" s="5"/>
      <c r="E382" s="5">
        <f>(Data_Geotech[[#This Row],[To (m)]]-Data_Geotech[[#This Row],[From (m)]])/2+Data_Geotech[[#This Row],[From (m)]]</f>
        <v>0</v>
      </c>
      <c r="F382" s="13">
        <f>Data_Geotech[[#This Row],[To (m)]]-Data_Geotech[[#This Row],[From (m)]]</f>
        <v>0</v>
      </c>
      <c r="G382" s="5"/>
      <c r="H382" s="13" t="e">
        <f>Data_Geotech[[#This Row],[TCR (m)]]/Data_Geotech[[#This Row],[Run (m)]]*100</f>
        <v>#DIV/0!</v>
      </c>
      <c r="I382" s="5"/>
      <c r="J382" s="5"/>
      <c r="K382" s="5"/>
      <c r="L382" s="13" t="e">
        <f>Data_Geotech[[#This Row],[RQD (m)]]/Data_Geotech[[#This Row],[Run Reel (m)]]*100</f>
        <v>#DIV/0!</v>
      </c>
      <c r="P382" s="115"/>
      <c r="Q382" s="5"/>
      <c r="R382" s="5"/>
      <c r="S382" s="5"/>
      <c r="T382" s="5"/>
      <c r="U382" s="5"/>
      <c r="V382" s="6"/>
      <c r="W382" s="92">
        <f>SUMIFS(Discontinuities!$D$4:$D$9664,Discontinuities!$A$4:$A$9664,A382,Discontinuities!$C$4:$C$9664,"&gt;="&amp;C382,Discontinuities!$C$4:$C$9664,"&lt;"&amp;D382)
-SUMIFS(Discontinuities!$D$4:$D$9664,Discontinuities!$A$4:$A$9664,A382,Discontinuities!$C$4:$C$9664,"&gt;="&amp;C382,Discontinuities!$C$4:$C$9664,"&lt;"&amp;D382,Discontinuities!$E$4:$E$9664,"=BC")
-SUMIFS(Discontinuities!$D$4:$D$9664,Discontinuities!$A$4:$A$9664,A382,Discontinuities!$C$4:$C$9664,"&gt;="&amp;C382,Discontinuities!$C$4:$C$9664,"&lt;"&amp;D382,Discontinuities!$E$4:$E$9664,"=LC")
-SUMIFS(Discontinuities!$D$4:$D$9664,Discontinuities!$A$4:$A$9664,A382,Discontinuities!$C$4:$C$9664,"&gt;="&amp;C382,Discontinuities!$C$4:$C$9664,"&lt;"&amp;D382,Discontinuities!$E$4:$E$9664,"=FLT")</f>
        <v>0</v>
      </c>
      <c r="AA382" s="132"/>
      <c r="AB382" s="159">
        <f>IFERROR(ROUND((Data_Geotech[[#This Row],[Fault (m)]]+Data_Geotech[[#This Row],[Broken Core (m)]]+Data_Geotech[[#This Row],[Lost Core (m)]])*30,0),0)</f>
        <v>0</v>
      </c>
      <c r="AC382" s="135">
        <f>IF(Data_Geotech[[#This Row],[Added fractures 
(BC, FLT, LC)]]+Data_Geotech[[#This Row],[Fracture per interval]]=0,99,1/((Data_Geotech[[#This Row],[Fracture per interval]]+Data_Geotech[[#This Row],[Added fractures 
(BC, FLT, LC)]])/Data_Geotech[[#This Row],[Run (m)]]))</f>
        <v>99</v>
      </c>
      <c r="AD382" s="160" t="str" cm="1">
        <f t="array" ref="AD382">IFERROR(_xlfn.XLOOKUP(1,(A382=PLT!$A$4:$A$8886)*(Geotech!C382&lt;=PLT!$F$4:$F$8886)*(Geotech!D382&gt;=PLT!$F$4:$F$8886)*("Valid"=PLT!$P$4:$P$8886),PLT!$V$4:$V$8886),"")</f>
        <v/>
      </c>
      <c r="AE382" s="161" t="str" cm="1">
        <f t="array" ref="AE382">IFERROR(_xlfn.XLOOKUP(1,(A382=PLT!$A$4:$A$8886)*(Geotech!C382&lt;=PLT!$F$4:$F$8886)*(Geotech!D382&gt;=PLT!$F$4:$F$8886)*(PLT!$V$4:$V$8886&lt;&gt;AD382)*("Valid"=PLT!$P$4:$P$7190),PLT!$V$4:$V$8886),"")</f>
        <v/>
      </c>
      <c r="AF382" s="161" t="str" cm="1">
        <f t="array" ref="AF382">IFERROR(_xlfn.XLOOKUP(1,(A382=PLT!$A$4:$A$8886)*(Geotech!C382&lt;=PLT!$F$4:$F$8886)*(Geotech!D382&gt;=PLT!$F$4:$F$8886)*(PLT!$V$4:$V$8886&lt;&gt;AD382)*(PLT!$V$4:$V$8886&lt;&gt;AE382)*("Valid"=PLT!$P$4:$P$7190),PLT!$V$4:$V$8886),"")</f>
        <v/>
      </c>
      <c r="AG382" s="162" t="str">
        <f>IFERROR(IF(AVERAGE(AD382:AF382)&gt;References!$BO$23,References!$BP$23,
IF(AVERAGE(AD382:AF382)&gt;References!$BO$22,References!$BP$22,
IF(AVERAGE(AD382:AF382)&gt;References!$BO$21,References!$BP$21,
IF(AVERAGE(AD382:AF382)&gt;References!$BO$20,References!$BP$20,
IF(AVERAGE(AD382:AF382)&gt;References!$BO$19,References!$BP$19,
IF(AVERAGE(AD382:AF382)&gt;References!$BO$18,References!$BP$18,
0)))))),"")</f>
        <v/>
      </c>
      <c r="AH382" s="163" t="e">
        <f>VLOOKUP(Data_Geotech[[#This Row],[Field Intact Rock Strength]],Table_RMR76_Strength[],2,FALSE)</f>
        <v>#N/A</v>
      </c>
      <c r="AI382" s="163" t="e">
        <f>IF(Data_Geotech[[#This Row],[RQD (%)]]&lt;=25,3,IF(Data_Geotech[[#This Row],[RQD (%)]]&lt;=50,8,IF(Data_Geotech[[#This Row],[RQD (%)]]&lt;=75,13,IF(Data_Geotech[[#This Row],[RQD (%)]]&lt;=90,17,20))))</f>
        <v>#DIV/0!</v>
      </c>
      <c r="AJ382" s="136">
        <f>IF(Data_Geotech[[#This Row],[Joint spacing (m)]]&lt;=0.05,5,IF(Data_Geotech[[#This Row],[Joint spacing (m)]]&lt;=0.3,10,IF(Data_Geotech[[#This Row],[Joint spacing (m)]]&lt;=1,20,IF(Data_Geotech[[#This Row],[Joint spacing (m)]]&lt;=3,25,30))))</f>
        <v>30</v>
      </c>
      <c r="AK38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2" s="6"/>
      <c r="AM382" s="137" t="str">
        <f>IF(Data_Geotech[[#This Row],[FIRS Code]]="R",IFERROR(SUM(Data_Geotech[[#This Row],[RMR76 - Strength rating]:[RMR76 - Ground water rating]]),""),"")</f>
        <v/>
      </c>
      <c r="AN382" s="164" t="str">
        <f>IF(Data_Geotech[[#This Row],[FIRS Code]]="R",(2*Data_Geotech[[#This Row],[RMR76 - Joint condition rating]])+(IF(Data_Geotech[[#This Row],[RQD (%)]]&gt;80,80/2,Data_Geotech[[#This Row],[RQD (%)]]/2)),"")</f>
        <v/>
      </c>
      <c r="AO382" s="136" t="e">
        <f>LEFT(Data_Geotech[[#This Row],[Joint Set Rating]],FIND("-",Data_Geotech[[#This Row],[Joint Set Rating]],1)-2)</f>
        <v>#VALUE!</v>
      </c>
      <c r="AP38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2" s="143">
        <f t="shared" si="8"/>
        <v>1</v>
      </c>
      <c r="AR382" s="165" t="str">
        <f>IF(Data_Geotech[[#This Row],[FIRS Code]]="R",IFERROR((IF(Data_Geotech[[#This Row],[RQD (%)]]&lt;10,10,Data_Geotech[[#This Row],[RQD (%)]])/Data_Geotech[[#This Row],[Jn rating]])*Data_Geotech[[#This Row],[Jr/Ja]],""),"")</f>
        <v/>
      </c>
      <c r="AS382" s="138" t="str">
        <f>IF(Data_Geotech[[#This Row],[FIRS Code]]="R",IFERROR((IF(Data_Geotech[[#This Row],[RQD (%)]]&lt;10,10,Data_Geotech[[#This Row],[RQD (%)]])/Data_Geotech[[#This Row],[Jn rating]])*Data_Geotech[[#This Row],[Jr/Ja]]*Data_Geotech[[#This Row],[Jw/SRF]],""),"")</f>
        <v/>
      </c>
      <c r="AT382" s="12"/>
      <c r="AU382" s="13" t="e">
        <f>100-Data_Geotech[[#This Row],[RQD (%)]]</f>
        <v>#DIV/0!</v>
      </c>
      <c r="AV382" s="13" t="e">
        <f>100-Data_Geotech[[#This Row],[TCR (%)]]</f>
        <v>#DIV/0!</v>
      </c>
      <c r="AW382" s="62" t="e">
        <f>(Data_Geotech[[#This Row],[Fracture per interval]]+Data_Geotech[[#This Row],[Added fractures 
(BC, FLT, LC)]])/Data_Geotech[[#This Row],[TCR (m)]]</f>
        <v>#DIV/0!</v>
      </c>
      <c r="AX382" s="62" t="str">
        <f>MID(Data_Geotech[[#This Row],[Field Intact Rock Strength]],2,1)</f>
        <v/>
      </c>
      <c r="AY382" s="63" t="e">
        <f>7-MID(Data_Geotech[[#This Row],[Field Intact Rock Strength]],2,1)</f>
        <v>#VALUE!</v>
      </c>
      <c r="AZ382" s="63" t="e">
        <f>VLOOKUP(Data_Geotech[[#This Row],[Field Intact Rock Strength]],Table_FieldStrength[],2,FALSE)</f>
        <v>#N/A</v>
      </c>
      <c r="BA382" s="63" t="e">
        <f>VLOOKUP(Data_Geotech[[#This Row],[Field Intact Rock Strength]],Table_FieldStrength[],3,FALSE)</f>
        <v>#N/A</v>
      </c>
      <c r="BB382" s="63" t="e">
        <f>VLOOKUP(Data_Geotech[[#This Row],[Field Intact Rock Strength]],Table_FieldStrength[],4,FALSE)</f>
        <v>#N/A</v>
      </c>
      <c r="BC382" s="63" t="e">
        <f>100-Data_Geotech[[#This Row],[RMR76]]</f>
        <v>#VALUE!</v>
      </c>
      <c r="BD382" s="63" t="e">
        <f>LEFT(Data_Geotech[[#This Row],[Weathering/Alteration]],FIND("-",Data_Geotech[[#This Row],[Weathering/Alteration]])-2)</f>
        <v>#VALUE!</v>
      </c>
    </row>
    <row r="383" spans="1:56" hidden="1" x14ac:dyDescent="0.25">
      <c r="A383" s="14"/>
      <c r="B383" s="166" t="e">
        <f>VLOOKUP(Data_Geotech[[#This Row],[Hole ID]],Data_Log[],2,FALSE)</f>
        <v>#N/A</v>
      </c>
      <c r="C383" s="5"/>
      <c r="D383" s="5"/>
      <c r="E383" s="5">
        <f>(Data_Geotech[[#This Row],[To (m)]]-Data_Geotech[[#This Row],[From (m)]])/2+Data_Geotech[[#This Row],[From (m)]]</f>
        <v>0</v>
      </c>
      <c r="F383" s="13">
        <f>Data_Geotech[[#This Row],[To (m)]]-Data_Geotech[[#This Row],[From (m)]]</f>
        <v>0</v>
      </c>
      <c r="G383" s="5"/>
      <c r="H383" s="13" t="e">
        <f>Data_Geotech[[#This Row],[TCR (m)]]/Data_Geotech[[#This Row],[Run (m)]]*100</f>
        <v>#DIV/0!</v>
      </c>
      <c r="I383" s="5"/>
      <c r="J383" s="5"/>
      <c r="K383" s="5"/>
      <c r="L383" s="13" t="e">
        <f>Data_Geotech[[#This Row],[RQD (m)]]/Data_Geotech[[#This Row],[Run Reel (m)]]*100</f>
        <v>#DIV/0!</v>
      </c>
      <c r="P383" s="115"/>
      <c r="Q383" s="5"/>
      <c r="R383" s="5"/>
      <c r="S383" s="5"/>
      <c r="T383" s="5"/>
      <c r="U383" s="5"/>
      <c r="V383" s="6"/>
      <c r="W383" s="92">
        <f>SUMIFS(Discontinuities!$D$4:$D$9664,Discontinuities!$A$4:$A$9664,A383,Discontinuities!$C$4:$C$9664,"&gt;="&amp;C383,Discontinuities!$C$4:$C$9664,"&lt;"&amp;D383)
-SUMIFS(Discontinuities!$D$4:$D$9664,Discontinuities!$A$4:$A$9664,A383,Discontinuities!$C$4:$C$9664,"&gt;="&amp;C383,Discontinuities!$C$4:$C$9664,"&lt;"&amp;D383,Discontinuities!$E$4:$E$9664,"=BC")
-SUMIFS(Discontinuities!$D$4:$D$9664,Discontinuities!$A$4:$A$9664,A383,Discontinuities!$C$4:$C$9664,"&gt;="&amp;C383,Discontinuities!$C$4:$C$9664,"&lt;"&amp;D383,Discontinuities!$E$4:$E$9664,"=LC")
-SUMIFS(Discontinuities!$D$4:$D$9664,Discontinuities!$A$4:$A$9664,A383,Discontinuities!$C$4:$C$9664,"&gt;="&amp;C383,Discontinuities!$C$4:$C$9664,"&lt;"&amp;D383,Discontinuities!$E$4:$E$9664,"=FLT")</f>
        <v>0</v>
      </c>
      <c r="AA383" s="132"/>
      <c r="AB383" s="159">
        <f>IFERROR(ROUND((Data_Geotech[[#This Row],[Fault (m)]]+Data_Geotech[[#This Row],[Broken Core (m)]]+Data_Geotech[[#This Row],[Lost Core (m)]])*30,0),0)</f>
        <v>0</v>
      </c>
      <c r="AC383" s="135">
        <f>IF(Data_Geotech[[#This Row],[Added fractures 
(BC, FLT, LC)]]+Data_Geotech[[#This Row],[Fracture per interval]]=0,99,1/((Data_Geotech[[#This Row],[Fracture per interval]]+Data_Geotech[[#This Row],[Added fractures 
(BC, FLT, LC)]])/Data_Geotech[[#This Row],[Run (m)]]))</f>
        <v>99</v>
      </c>
      <c r="AD383" s="160" t="str" cm="1">
        <f t="array" ref="AD383">IFERROR(_xlfn.XLOOKUP(1,(A383=PLT!$A$4:$A$8886)*(Geotech!C383&lt;=PLT!$F$4:$F$8886)*(Geotech!D383&gt;=PLT!$F$4:$F$8886)*("Valid"=PLT!$P$4:$P$8886),PLT!$V$4:$V$8886),"")</f>
        <v/>
      </c>
      <c r="AE383" s="161" t="str" cm="1">
        <f t="array" ref="AE383">IFERROR(_xlfn.XLOOKUP(1,(A383=PLT!$A$4:$A$8886)*(Geotech!C383&lt;=PLT!$F$4:$F$8886)*(Geotech!D383&gt;=PLT!$F$4:$F$8886)*(PLT!$V$4:$V$8886&lt;&gt;AD383)*("Valid"=PLT!$P$4:$P$7190),PLT!$V$4:$V$8886),"")</f>
        <v/>
      </c>
      <c r="AF383" s="161" t="str" cm="1">
        <f t="array" ref="AF383">IFERROR(_xlfn.XLOOKUP(1,(A383=PLT!$A$4:$A$8886)*(Geotech!C383&lt;=PLT!$F$4:$F$8886)*(Geotech!D383&gt;=PLT!$F$4:$F$8886)*(PLT!$V$4:$V$8886&lt;&gt;AD383)*(PLT!$V$4:$V$8886&lt;&gt;AE383)*("Valid"=PLT!$P$4:$P$7190),PLT!$V$4:$V$8886),"")</f>
        <v/>
      </c>
      <c r="AG383" s="162" t="str">
        <f>IFERROR(IF(AVERAGE(AD383:AF383)&gt;References!$BO$23,References!$BP$23,
IF(AVERAGE(AD383:AF383)&gt;References!$BO$22,References!$BP$22,
IF(AVERAGE(AD383:AF383)&gt;References!$BO$21,References!$BP$21,
IF(AVERAGE(AD383:AF383)&gt;References!$BO$20,References!$BP$20,
IF(AVERAGE(AD383:AF383)&gt;References!$BO$19,References!$BP$19,
IF(AVERAGE(AD383:AF383)&gt;References!$BO$18,References!$BP$18,
0)))))),"")</f>
        <v/>
      </c>
      <c r="AH383" s="163" t="e">
        <f>VLOOKUP(Data_Geotech[[#This Row],[Field Intact Rock Strength]],Table_RMR76_Strength[],2,FALSE)</f>
        <v>#N/A</v>
      </c>
      <c r="AI383" s="163" t="e">
        <f>IF(Data_Geotech[[#This Row],[RQD (%)]]&lt;=25,3,IF(Data_Geotech[[#This Row],[RQD (%)]]&lt;=50,8,IF(Data_Geotech[[#This Row],[RQD (%)]]&lt;=75,13,IF(Data_Geotech[[#This Row],[RQD (%)]]&lt;=90,17,20))))</f>
        <v>#DIV/0!</v>
      </c>
      <c r="AJ383" s="136">
        <f>IF(Data_Geotech[[#This Row],[Joint spacing (m)]]&lt;=0.05,5,IF(Data_Geotech[[#This Row],[Joint spacing (m)]]&lt;=0.3,10,IF(Data_Geotech[[#This Row],[Joint spacing (m)]]&lt;=1,20,IF(Data_Geotech[[#This Row],[Joint spacing (m)]]&lt;=3,25,30))))</f>
        <v>30</v>
      </c>
      <c r="AK38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3" s="6"/>
      <c r="AM383" s="137" t="str">
        <f>IF(Data_Geotech[[#This Row],[FIRS Code]]="R",IFERROR(SUM(Data_Geotech[[#This Row],[RMR76 - Strength rating]:[RMR76 - Ground water rating]]),""),"")</f>
        <v/>
      </c>
      <c r="AN383" s="164" t="str">
        <f>IF(Data_Geotech[[#This Row],[FIRS Code]]="R",(2*Data_Geotech[[#This Row],[RMR76 - Joint condition rating]])+(IF(Data_Geotech[[#This Row],[RQD (%)]]&gt;80,80/2,Data_Geotech[[#This Row],[RQD (%)]]/2)),"")</f>
        <v/>
      </c>
      <c r="AO383" s="136" t="e">
        <f>LEFT(Data_Geotech[[#This Row],[Joint Set Rating]],FIND("-",Data_Geotech[[#This Row],[Joint Set Rating]],1)-2)</f>
        <v>#VALUE!</v>
      </c>
      <c r="AP38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3" s="143">
        <f t="shared" si="8"/>
        <v>1</v>
      </c>
      <c r="AR383" s="165" t="str">
        <f>IF(Data_Geotech[[#This Row],[FIRS Code]]="R",IFERROR((IF(Data_Geotech[[#This Row],[RQD (%)]]&lt;10,10,Data_Geotech[[#This Row],[RQD (%)]])/Data_Geotech[[#This Row],[Jn rating]])*Data_Geotech[[#This Row],[Jr/Ja]],""),"")</f>
        <v/>
      </c>
      <c r="AS383" s="138" t="str">
        <f>IF(Data_Geotech[[#This Row],[FIRS Code]]="R",IFERROR((IF(Data_Geotech[[#This Row],[RQD (%)]]&lt;10,10,Data_Geotech[[#This Row],[RQD (%)]])/Data_Geotech[[#This Row],[Jn rating]])*Data_Geotech[[#This Row],[Jr/Ja]]*Data_Geotech[[#This Row],[Jw/SRF]],""),"")</f>
        <v/>
      </c>
      <c r="AT383" s="12"/>
      <c r="AU383" s="13" t="e">
        <f>100-Data_Geotech[[#This Row],[RQD (%)]]</f>
        <v>#DIV/0!</v>
      </c>
      <c r="AV383" s="13" t="e">
        <f>100-Data_Geotech[[#This Row],[TCR (%)]]</f>
        <v>#DIV/0!</v>
      </c>
      <c r="AW383" s="62" t="e">
        <f>(Data_Geotech[[#This Row],[Fracture per interval]]+Data_Geotech[[#This Row],[Added fractures 
(BC, FLT, LC)]])/Data_Geotech[[#This Row],[TCR (m)]]</f>
        <v>#DIV/0!</v>
      </c>
      <c r="AX383" s="62" t="str">
        <f>MID(Data_Geotech[[#This Row],[Field Intact Rock Strength]],2,1)</f>
        <v/>
      </c>
      <c r="AY383" s="63" t="e">
        <f>7-MID(Data_Geotech[[#This Row],[Field Intact Rock Strength]],2,1)</f>
        <v>#VALUE!</v>
      </c>
      <c r="AZ383" s="63" t="e">
        <f>VLOOKUP(Data_Geotech[[#This Row],[Field Intact Rock Strength]],Table_FieldStrength[],2,FALSE)</f>
        <v>#N/A</v>
      </c>
      <c r="BA383" s="63" t="e">
        <f>VLOOKUP(Data_Geotech[[#This Row],[Field Intact Rock Strength]],Table_FieldStrength[],3,FALSE)</f>
        <v>#N/A</v>
      </c>
      <c r="BB383" s="63" t="e">
        <f>VLOOKUP(Data_Geotech[[#This Row],[Field Intact Rock Strength]],Table_FieldStrength[],4,FALSE)</f>
        <v>#N/A</v>
      </c>
      <c r="BC383" s="63" t="e">
        <f>100-Data_Geotech[[#This Row],[RMR76]]</f>
        <v>#VALUE!</v>
      </c>
      <c r="BD383" s="63" t="e">
        <f>LEFT(Data_Geotech[[#This Row],[Weathering/Alteration]],FIND("-",Data_Geotech[[#This Row],[Weathering/Alteration]])-2)</f>
        <v>#VALUE!</v>
      </c>
    </row>
    <row r="384" spans="1:56" hidden="1" x14ac:dyDescent="0.25">
      <c r="A384" s="14"/>
      <c r="B384" s="166" t="e">
        <f>VLOOKUP(Data_Geotech[[#This Row],[Hole ID]],Data_Log[],2,FALSE)</f>
        <v>#N/A</v>
      </c>
      <c r="C384" s="5"/>
      <c r="D384" s="5"/>
      <c r="E384" s="5">
        <f>(Data_Geotech[[#This Row],[To (m)]]-Data_Geotech[[#This Row],[From (m)]])/2+Data_Geotech[[#This Row],[From (m)]]</f>
        <v>0</v>
      </c>
      <c r="F384" s="13">
        <f>Data_Geotech[[#This Row],[To (m)]]-Data_Geotech[[#This Row],[From (m)]]</f>
        <v>0</v>
      </c>
      <c r="G384" s="5"/>
      <c r="H384" s="13" t="e">
        <f>Data_Geotech[[#This Row],[TCR (m)]]/Data_Geotech[[#This Row],[Run (m)]]*100</f>
        <v>#DIV/0!</v>
      </c>
      <c r="I384" s="5"/>
      <c r="J384" s="5"/>
      <c r="K384" s="5"/>
      <c r="L384" s="13" t="e">
        <f>Data_Geotech[[#This Row],[RQD (m)]]/Data_Geotech[[#This Row],[Run Reel (m)]]*100</f>
        <v>#DIV/0!</v>
      </c>
      <c r="P384" s="115"/>
      <c r="Q384" s="5"/>
      <c r="R384" s="5"/>
      <c r="S384" s="5"/>
      <c r="T384" s="5"/>
      <c r="U384" s="5"/>
      <c r="V384" s="6"/>
      <c r="W384" s="92">
        <f>SUMIFS(Discontinuities!$D$4:$D$9664,Discontinuities!$A$4:$A$9664,A384,Discontinuities!$C$4:$C$9664,"&gt;="&amp;C384,Discontinuities!$C$4:$C$9664,"&lt;"&amp;D384)
-SUMIFS(Discontinuities!$D$4:$D$9664,Discontinuities!$A$4:$A$9664,A384,Discontinuities!$C$4:$C$9664,"&gt;="&amp;C384,Discontinuities!$C$4:$C$9664,"&lt;"&amp;D384,Discontinuities!$E$4:$E$9664,"=BC")
-SUMIFS(Discontinuities!$D$4:$D$9664,Discontinuities!$A$4:$A$9664,A384,Discontinuities!$C$4:$C$9664,"&gt;="&amp;C384,Discontinuities!$C$4:$C$9664,"&lt;"&amp;D384,Discontinuities!$E$4:$E$9664,"=LC")
-SUMIFS(Discontinuities!$D$4:$D$9664,Discontinuities!$A$4:$A$9664,A384,Discontinuities!$C$4:$C$9664,"&gt;="&amp;C384,Discontinuities!$C$4:$C$9664,"&lt;"&amp;D384,Discontinuities!$E$4:$E$9664,"=FLT")</f>
        <v>0</v>
      </c>
      <c r="AA384" s="132"/>
      <c r="AB384" s="159">
        <f>IFERROR(ROUND((Data_Geotech[[#This Row],[Fault (m)]]+Data_Geotech[[#This Row],[Broken Core (m)]]+Data_Geotech[[#This Row],[Lost Core (m)]])*30,0),0)</f>
        <v>0</v>
      </c>
      <c r="AC384" s="135">
        <f>IF(Data_Geotech[[#This Row],[Added fractures 
(BC, FLT, LC)]]+Data_Geotech[[#This Row],[Fracture per interval]]=0,99,1/((Data_Geotech[[#This Row],[Fracture per interval]]+Data_Geotech[[#This Row],[Added fractures 
(BC, FLT, LC)]])/Data_Geotech[[#This Row],[Run (m)]]))</f>
        <v>99</v>
      </c>
      <c r="AD384" s="160" t="str" cm="1">
        <f t="array" ref="AD384">IFERROR(_xlfn.XLOOKUP(1,(A384=PLT!$A$4:$A$8886)*(Geotech!C384&lt;=PLT!$F$4:$F$8886)*(Geotech!D384&gt;=PLT!$F$4:$F$8886)*("Valid"=PLT!$P$4:$P$8886),PLT!$V$4:$V$8886),"")</f>
        <v/>
      </c>
      <c r="AE384" s="161" t="str" cm="1">
        <f t="array" ref="AE384">IFERROR(_xlfn.XLOOKUP(1,(A384=PLT!$A$4:$A$8886)*(Geotech!C384&lt;=PLT!$F$4:$F$8886)*(Geotech!D384&gt;=PLT!$F$4:$F$8886)*(PLT!$V$4:$V$8886&lt;&gt;AD384)*("Valid"=PLT!$P$4:$P$7190),PLT!$V$4:$V$8886),"")</f>
        <v/>
      </c>
      <c r="AF384" s="161" t="str" cm="1">
        <f t="array" ref="AF384">IFERROR(_xlfn.XLOOKUP(1,(A384=PLT!$A$4:$A$8886)*(Geotech!C384&lt;=PLT!$F$4:$F$8886)*(Geotech!D384&gt;=PLT!$F$4:$F$8886)*(PLT!$V$4:$V$8886&lt;&gt;AD384)*(PLT!$V$4:$V$8886&lt;&gt;AE384)*("Valid"=PLT!$P$4:$P$7190),PLT!$V$4:$V$8886),"")</f>
        <v/>
      </c>
      <c r="AG384" s="162" t="str">
        <f>IFERROR(IF(AVERAGE(AD384:AF384)&gt;References!$BO$23,References!$BP$23,
IF(AVERAGE(AD384:AF384)&gt;References!$BO$22,References!$BP$22,
IF(AVERAGE(AD384:AF384)&gt;References!$BO$21,References!$BP$21,
IF(AVERAGE(AD384:AF384)&gt;References!$BO$20,References!$BP$20,
IF(AVERAGE(AD384:AF384)&gt;References!$BO$19,References!$BP$19,
IF(AVERAGE(AD384:AF384)&gt;References!$BO$18,References!$BP$18,
0)))))),"")</f>
        <v/>
      </c>
      <c r="AH384" s="163" t="e">
        <f>VLOOKUP(Data_Geotech[[#This Row],[Field Intact Rock Strength]],Table_RMR76_Strength[],2,FALSE)</f>
        <v>#N/A</v>
      </c>
      <c r="AI384" s="163" t="e">
        <f>IF(Data_Geotech[[#This Row],[RQD (%)]]&lt;=25,3,IF(Data_Geotech[[#This Row],[RQD (%)]]&lt;=50,8,IF(Data_Geotech[[#This Row],[RQD (%)]]&lt;=75,13,IF(Data_Geotech[[#This Row],[RQD (%)]]&lt;=90,17,20))))</f>
        <v>#DIV/0!</v>
      </c>
      <c r="AJ384" s="136">
        <f>IF(Data_Geotech[[#This Row],[Joint spacing (m)]]&lt;=0.05,5,IF(Data_Geotech[[#This Row],[Joint spacing (m)]]&lt;=0.3,10,IF(Data_Geotech[[#This Row],[Joint spacing (m)]]&lt;=1,20,IF(Data_Geotech[[#This Row],[Joint spacing (m)]]&lt;=3,25,30))))</f>
        <v>30</v>
      </c>
      <c r="AK38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4" s="6"/>
      <c r="AM384" s="137" t="str">
        <f>IF(Data_Geotech[[#This Row],[FIRS Code]]="R",IFERROR(SUM(Data_Geotech[[#This Row],[RMR76 - Strength rating]:[RMR76 - Ground water rating]]),""),"")</f>
        <v/>
      </c>
      <c r="AN384" s="164" t="str">
        <f>IF(Data_Geotech[[#This Row],[FIRS Code]]="R",(2*Data_Geotech[[#This Row],[RMR76 - Joint condition rating]])+(IF(Data_Geotech[[#This Row],[RQD (%)]]&gt;80,80/2,Data_Geotech[[#This Row],[RQD (%)]]/2)),"")</f>
        <v/>
      </c>
      <c r="AO384" s="136" t="e">
        <f>LEFT(Data_Geotech[[#This Row],[Joint Set Rating]],FIND("-",Data_Geotech[[#This Row],[Joint Set Rating]],1)-2)</f>
        <v>#VALUE!</v>
      </c>
      <c r="AP38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4" s="143">
        <f t="shared" si="8"/>
        <v>1</v>
      </c>
      <c r="AR384" s="165" t="str">
        <f>IF(Data_Geotech[[#This Row],[FIRS Code]]="R",IFERROR((IF(Data_Geotech[[#This Row],[RQD (%)]]&lt;10,10,Data_Geotech[[#This Row],[RQD (%)]])/Data_Geotech[[#This Row],[Jn rating]])*Data_Geotech[[#This Row],[Jr/Ja]],""),"")</f>
        <v/>
      </c>
      <c r="AS384" s="138" t="str">
        <f>IF(Data_Geotech[[#This Row],[FIRS Code]]="R",IFERROR((IF(Data_Geotech[[#This Row],[RQD (%)]]&lt;10,10,Data_Geotech[[#This Row],[RQD (%)]])/Data_Geotech[[#This Row],[Jn rating]])*Data_Geotech[[#This Row],[Jr/Ja]]*Data_Geotech[[#This Row],[Jw/SRF]],""),"")</f>
        <v/>
      </c>
      <c r="AT384" s="12"/>
      <c r="AU384" s="13" t="e">
        <f>100-Data_Geotech[[#This Row],[RQD (%)]]</f>
        <v>#DIV/0!</v>
      </c>
      <c r="AV384" s="13" t="e">
        <f>100-Data_Geotech[[#This Row],[TCR (%)]]</f>
        <v>#DIV/0!</v>
      </c>
      <c r="AW384" s="62" t="e">
        <f>(Data_Geotech[[#This Row],[Fracture per interval]]+Data_Geotech[[#This Row],[Added fractures 
(BC, FLT, LC)]])/Data_Geotech[[#This Row],[TCR (m)]]</f>
        <v>#DIV/0!</v>
      </c>
      <c r="AX384" s="62" t="str">
        <f>MID(Data_Geotech[[#This Row],[Field Intact Rock Strength]],2,1)</f>
        <v/>
      </c>
      <c r="AY384" s="63" t="e">
        <f>7-MID(Data_Geotech[[#This Row],[Field Intact Rock Strength]],2,1)</f>
        <v>#VALUE!</v>
      </c>
      <c r="AZ384" s="63" t="e">
        <f>VLOOKUP(Data_Geotech[[#This Row],[Field Intact Rock Strength]],Table_FieldStrength[],2,FALSE)</f>
        <v>#N/A</v>
      </c>
      <c r="BA384" s="63" t="e">
        <f>VLOOKUP(Data_Geotech[[#This Row],[Field Intact Rock Strength]],Table_FieldStrength[],3,FALSE)</f>
        <v>#N/A</v>
      </c>
      <c r="BB384" s="63" t="e">
        <f>VLOOKUP(Data_Geotech[[#This Row],[Field Intact Rock Strength]],Table_FieldStrength[],4,FALSE)</f>
        <v>#N/A</v>
      </c>
      <c r="BC384" s="63" t="e">
        <f>100-Data_Geotech[[#This Row],[RMR76]]</f>
        <v>#VALUE!</v>
      </c>
      <c r="BD384" s="63" t="e">
        <f>LEFT(Data_Geotech[[#This Row],[Weathering/Alteration]],FIND("-",Data_Geotech[[#This Row],[Weathering/Alteration]])-2)</f>
        <v>#VALUE!</v>
      </c>
    </row>
    <row r="385" spans="1:56" hidden="1" x14ac:dyDescent="0.25">
      <c r="A385" s="14"/>
      <c r="B385" s="166" t="e">
        <f>VLOOKUP(Data_Geotech[[#This Row],[Hole ID]],Data_Log[],2,FALSE)</f>
        <v>#N/A</v>
      </c>
      <c r="C385" s="5"/>
      <c r="D385" s="5"/>
      <c r="E385" s="5">
        <f>(Data_Geotech[[#This Row],[To (m)]]-Data_Geotech[[#This Row],[From (m)]])/2+Data_Geotech[[#This Row],[From (m)]]</f>
        <v>0</v>
      </c>
      <c r="F385" s="13">
        <f>Data_Geotech[[#This Row],[To (m)]]-Data_Geotech[[#This Row],[From (m)]]</f>
        <v>0</v>
      </c>
      <c r="G385" s="5"/>
      <c r="H385" s="13" t="e">
        <f>Data_Geotech[[#This Row],[TCR (m)]]/Data_Geotech[[#This Row],[Run (m)]]*100</f>
        <v>#DIV/0!</v>
      </c>
      <c r="I385" s="5"/>
      <c r="J385" s="5"/>
      <c r="K385" s="5"/>
      <c r="L385" s="13" t="e">
        <f>Data_Geotech[[#This Row],[RQD (m)]]/Data_Geotech[[#This Row],[Run Reel (m)]]*100</f>
        <v>#DIV/0!</v>
      </c>
      <c r="P385" s="115"/>
      <c r="Q385" s="5"/>
      <c r="R385" s="5"/>
      <c r="S385" s="5"/>
      <c r="T385" s="5"/>
      <c r="U385" s="5"/>
      <c r="V385" s="6"/>
      <c r="W385" s="92">
        <f>SUMIFS(Discontinuities!$D$4:$D$9664,Discontinuities!$A$4:$A$9664,A385,Discontinuities!$C$4:$C$9664,"&gt;="&amp;C385,Discontinuities!$C$4:$C$9664,"&lt;"&amp;D385)
-SUMIFS(Discontinuities!$D$4:$D$9664,Discontinuities!$A$4:$A$9664,A385,Discontinuities!$C$4:$C$9664,"&gt;="&amp;C385,Discontinuities!$C$4:$C$9664,"&lt;"&amp;D385,Discontinuities!$E$4:$E$9664,"=BC")
-SUMIFS(Discontinuities!$D$4:$D$9664,Discontinuities!$A$4:$A$9664,A385,Discontinuities!$C$4:$C$9664,"&gt;="&amp;C385,Discontinuities!$C$4:$C$9664,"&lt;"&amp;D385,Discontinuities!$E$4:$E$9664,"=LC")
-SUMIFS(Discontinuities!$D$4:$D$9664,Discontinuities!$A$4:$A$9664,A385,Discontinuities!$C$4:$C$9664,"&gt;="&amp;C385,Discontinuities!$C$4:$C$9664,"&lt;"&amp;D385,Discontinuities!$E$4:$E$9664,"=FLT")</f>
        <v>0</v>
      </c>
      <c r="AA385" s="132"/>
      <c r="AB385" s="159">
        <f>IFERROR(ROUND((Data_Geotech[[#This Row],[Fault (m)]]+Data_Geotech[[#This Row],[Broken Core (m)]]+Data_Geotech[[#This Row],[Lost Core (m)]])*30,0),0)</f>
        <v>0</v>
      </c>
      <c r="AC385" s="135">
        <f>IF(Data_Geotech[[#This Row],[Added fractures 
(BC, FLT, LC)]]+Data_Geotech[[#This Row],[Fracture per interval]]=0,99,1/((Data_Geotech[[#This Row],[Fracture per interval]]+Data_Geotech[[#This Row],[Added fractures 
(BC, FLT, LC)]])/Data_Geotech[[#This Row],[Run (m)]]))</f>
        <v>99</v>
      </c>
      <c r="AD385" s="160" t="str" cm="1">
        <f t="array" ref="AD385">IFERROR(_xlfn.XLOOKUP(1,(A385=PLT!$A$4:$A$8886)*(Geotech!C385&lt;=PLT!$F$4:$F$8886)*(Geotech!D385&gt;=PLT!$F$4:$F$8886)*("Valid"=PLT!$P$4:$P$8886),PLT!$V$4:$V$8886),"")</f>
        <v/>
      </c>
      <c r="AE385" s="161" t="str" cm="1">
        <f t="array" ref="AE385">IFERROR(_xlfn.XLOOKUP(1,(A385=PLT!$A$4:$A$8886)*(Geotech!C385&lt;=PLT!$F$4:$F$8886)*(Geotech!D385&gt;=PLT!$F$4:$F$8886)*(PLT!$V$4:$V$8886&lt;&gt;AD385)*("Valid"=PLT!$P$4:$P$7190),PLT!$V$4:$V$8886),"")</f>
        <v/>
      </c>
      <c r="AF385" s="161" t="str" cm="1">
        <f t="array" ref="AF385">IFERROR(_xlfn.XLOOKUP(1,(A385=PLT!$A$4:$A$8886)*(Geotech!C385&lt;=PLT!$F$4:$F$8886)*(Geotech!D385&gt;=PLT!$F$4:$F$8886)*(PLT!$V$4:$V$8886&lt;&gt;AD385)*(PLT!$V$4:$V$8886&lt;&gt;AE385)*("Valid"=PLT!$P$4:$P$7190),PLT!$V$4:$V$8886),"")</f>
        <v/>
      </c>
      <c r="AG385" s="162" t="str">
        <f>IFERROR(IF(AVERAGE(AD385:AF385)&gt;References!$BO$23,References!$BP$23,
IF(AVERAGE(AD385:AF385)&gt;References!$BO$22,References!$BP$22,
IF(AVERAGE(AD385:AF385)&gt;References!$BO$21,References!$BP$21,
IF(AVERAGE(AD385:AF385)&gt;References!$BO$20,References!$BP$20,
IF(AVERAGE(AD385:AF385)&gt;References!$BO$19,References!$BP$19,
IF(AVERAGE(AD385:AF385)&gt;References!$BO$18,References!$BP$18,
0)))))),"")</f>
        <v/>
      </c>
      <c r="AH385" s="163" t="e">
        <f>VLOOKUP(Data_Geotech[[#This Row],[Field Intact Rock Strength]],Table_RMR76_Strength[],2,FALSE)</f>
        <v>#N/A</v>
      </c>
      <c r="AI385" s="163" t="e">
        <f>IF(Data_Geotech[[#This Row],[RQD (%)]]&lt;=25,3,IF(Data_Geotech[[#This Row],[RQD (%)]]&lt;=50,8,IF(Data_Geotech[[#This Row],[RQD (%)]]&lt;=75,13,IF(Data_Geotech[[#This Row],[RQD (%)]]&lt;=90,17,20))))</f>
        <v>#DIV/0!</v>
      </c>
      <c r="AJ385" s="136">
        <f>IF(Data_Geotech[[#This Row],[Joint spacing (m)]]&lt;=0.05,5,IF(Data_Geotech[[#This Row],[Joint spacing (m)]]&lt;=0.3,10,IF(Data_Geotech[[#This Row],[Joint spacing (m)]]&lt;=1,20,IF(Data_Geotech[[#This Row],[Joint spacing (m)]]&lt;=3,25,30))))</f>
        <v>30</v>
      </c>
      <c r="AK38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5" s="6"/>
      <c r="AM385" s="137" t="str">
        <f>IF(Data_Geotech[[#This Row],[FIRS Code]]="R",IFERROR(SUM(Data_Geotech[[#This Row],[RMR76 - Strength rating]:[RMR76 - Ground water rating]]),""),"")</f>
        <v/>
      </c>
      <c r="AN385" s="164" t="str">
        <f>IF(Data_Geotech[[#This Row],[FIRS Code]]="R",(2*Data_Geotech[[#This Row],[RMR76 - Joint condition rating]])+(IF(Data_Geotech[[#This Row],[RQD (%)]]&gt;80,80/2,Data_Geotech[[#This Row],[RQD (%)]]/2)),"")</f>
        <v/>
      </c>
      <c r="AO385" s="136" t="e">
        <f>LEFT(Data_Geotech[[#This Row],[Joint Set Rating]],FIND("-",Data_Geotech[[#This Row],[Joint Set Rating]],1)-2)</f>
        <v>#VALUE!</v>
      </c>
      <c r="AP38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5" s="143">
        <f t="shared" si="8"/>
        <v>1</v>
      </c>
      <c r="AR385" s="165" t="str">
        <f>IF(Data_Geotech[[#This Row],[FIRS Code]]="R",IFERROR((IF(Data_Geotech[[#This Row],[RQD (%)]]&lt;10,10,Data_Geotech[[#This Row],[RQD (%)]])/Data_Geotech[[#This Row],[Jn rating]])*Data_Geotech[[#This Row],[Jr/Ja]],""),"")</f>
        <v/>
      </c>
      <c r="AS385" s="138" t="str">
        <f>IF(Data_Geotech[[#This Row],[FIRS Code]]="R",IFERROR((IF(Data_Geotech[[#This Row],[RQD (%)]]&lt;10,10,Data_Geotech[[#This Row],[RQD (%)]])/Data_Geotech[[#This Row],[Jn rating]])*Data_Geotech[[#This Row],[Jr/Ja]]*Data_Geotech[[#This Row],[Jw/SRF]],""),"")</f>
        <v/>
      </c>
      <c r="AT385" s="12"/>
      <c r="AU385" s="13" t="e">
        <f>100-Data_Geotech[[#This Row],[RQD (%)]]</f>
        <v>#DIV/0!</v>
      </c>
      <c r="AV385" s="13" t="e">
        <f>100-Data_Geotech[[#This Row],[TCR (%)]]</f>
        <v>#DIV/0!</v>
      </c>
      <c r="AW385" s="62" t="e">
        <f>(Data_Geotech[[#This Row],[Fracture per interval]]+Data_Geotech[[#This Row],[Added fractures 
(BC, FLT, LC)]])/Data_Geotech[[#This Row],[TCR (m)]]</f>
        <v>#DIV/0!</v>
      </c>
      <c r="AX385" s="62" t="str">
        <f>MID(Data_Geotech[[#This Row],[Field Intact Rock Strength]],2,1)</f>
        <v/>
      </c>
      <c r="AY385" s="63" t="e">
        <f>7-MID(Data_Geotech[[#This Row],[Field Intact Rock Strength]],2,1)</f>
        <v>#VALUE!</v>
      </c>
      <c r="AZ385" s="63" t="e">
        <f>VLOOKUP(Data_Geotech[[#This Row],[Field Intact Rock Strength]],Table_FieldStrength[],2,FALSE)</f>
        <v>#N/A</v>
      </c>
      <c r="BA385" s="63" t="e">
        <f>VLOOKUP(Data_Geotech[[#This Row],[Field Intact Rock Strength]],Table_FieldStrength[],3,FALSE)</f>
        <v>#N/A</v>
      </c>
      <c r="BB385" s="63" t="e">
        <f>VLOOKUP(Data_Geotech[[#This Row],[Field Intact Rock Strength]],Table_FieldStrength[],4,FALSE)</f>
        <v>#N/A</v>
      </c>
      <c r="BC385" s="63" t="e">
        <f>100-Data_Geotech[[#This Row],[RMR76]]</f>
        <v>#VALUE!</v>
      </c>
      <c r="BD385" s="63" t="e">
        <f>LEFT(Data_Geotech[[#This Row],[Weathering/Alteration]],FIND("-",Data_Geotech[[#This Row],[Weathering/Alteration]])-2)</f>
        <v>#VALUE!</v>
      </c>
    </row>
    <row r="386" spans="1:56" hidden="1" x14ac:dyDescent="0.25">
      <c r="A386" s="14"/>
      <c r="B386" s="166" t="e">
        <f>VLOOKUP(Data_Geotech[[#This Row],[Hole ID]],Data_Log[],2,FALSE)</f>
        <v>#N/A</v>
      </c>
      <c r="C386" s="5"/>
      <c r="D386" s="5"/>
      <c r="E386" s="5">
        <f>(Data_Geotech[[#This Row],[To (m)]]-Data_Geotech[[#This Row],[From (m)]])/2+Data_Geotech[[#This Row],[From (m)]]</f>
        <v>0</v>
      </c>
      <c r="F386" s="13">
        <f>Data_Geotech[[#This Row],[To (m)]]-Data_Geotech[[#This Row],[From (m)]]</f>
        <v>0</v>
      </c>
      <c r="G386" s="5"/>
      <c r="H386" s="13" t="e">
        <f>Data_Geotech[[#This Row],[TCR (m)]]/Data_Geotech[[#This Row],[Run (m)]]*100</f>
        <v>#DIV/0!</v>
      </c>
      <c r="I386" s="5"/>
      <c r="J386" s="5"/>
      <c r="K386" s="5"/>
      <c r="L386" s="13" t="e">
        <f>Data_Geotech[[#This Row],[RQD (m)]]/Data_Geotech[[#This Row],[Run Reel (m)]]*100</f>
        <v>#DIV/0!</v>
      </c>
      <c r="P386" s="115"/>
      <c r="Q386" s="5"/>
      <c r="R386" s="5"/>
      <c r="S386" s="5"/>
      <c r="T386" s="5"/>
      <c r="U386" s="5"/>
      <c r="V386" s="6"/>
      <c r="W386" s="92">
        <f>SUMIFS(Discontinuities!$D$4:$D$9664,Discontinuities!$A$4:$A$9664,A386,Discontinuities!$C$4:$C$9664,"&gt;="&amp;C386,Discontinuities!$C$4:$C$9664,"&lt;"&amp;D386)
-SUMIFS(Discontinuities!$D$4:$D$9664,Discontinuities!$A$4:$A$9664,A386,Discontinuities!$C$4:$C$9664,"&gt;="&amp;C386,Discontinuities!$C$4:$C$9664,"&lt;"&amp;D386,Discontinuities!$E$4:$E$9664,"=BC")
-SUMIFS(Discontinuities!$D$4:$D$9664,Discontinuities!$A$4:$A$9664,A386,Discontinuities!$C$4:$C$9664,"&gt;="&amp;C386,Discontinuities!$C$4:$C$9664,"&lt;"&amp;D386,Discontinuities!$E$4:$E$9664,"=LC")
-SUMIFS(Discontinuities!$D$4:$D$9664,Discontinuities!$A$4:$A$9664,A386,Discontinuities!$C$4:$C$9664,"&gt;="&amp;C386,Discontinuities!$C$4:$C$9664,"&lt;"&amp;D386,Discontinuities!$E$4:$E$9664,"=FLT")</f>
        <v>0</v>
      </c>
      <c r="AA386" s="132"/>
      <c r="AB386" s="159">
        <f>IFERROR(ROUND((Data_Geotech[[#This Row],[Fault (m)]]+Data_Geotech[[#This Row],[Broken Core (m)]]+Data_Geotech[[#This Row],[Lost Core (m)]])*30,0),0)</f>
        <v>0</v>
      </c>
      <c r="AC386" s="135">
        <f>IF(Data_Geotech[[#This Row],[Added fractures 
(BC, FLT, LC)]]+Data_Geotech[[#This Row],[Fracture per interval]]=0,99,1/((Data_Geotech[[#This Row],[Fracture per interval]]+Data_Geotech[[#This Row],[Added fractures 
(BC, FLT, LC)]])/Data_Geotech[[#This Row],[Run (m)]]))</f>
        <v>99</v>
      </c>
      <c r="AD386" s="160" t="str" cm="1">
        <f t="array" ref="AD386">IFERROR(_xlfn.XLOOKUP(1,(A386=PLT!$A$4:$A$8886)*(Geotech!C386&lt;=PLT!$F$4:$F$8886)*(Geotech!D386&gt;=PLT!$F$4:$F$8886)*("Valid"=PLT!$P$4:$P$8886),PLT!$V$4:$V$8886),"")</f>
        <v/>
      </c>
      <c r="AE386" s="161" t="str" cm="1">
        <f t="array" ref="AE386">IFERROR(_xlfn.XLOOKUP(1,(A386=PLT!$A$4:$A$8886)*(Geotech!C386&lt;=PLT!$F$4:$F$8886)*(Geotech!D386&gt;=PLT!$F$4:$F$8886)*(PLT!$V$4:$V$8886&lt;&gt;AD386)*("Valid"=PLT!$P$4:$P$7190),PLT!$V$4:$V$8886),"")</f>
        <v/>
      </c>
      <c r="AF386" s="161" t="str" cm="1">
        <f t="array" ref="AF386">IFERROR(_xlfn.XLOOKUP(1,(A386=PLT!$A$4:$A$8886)*(Geotech!C386&lt;=PLT!$F$4:$F$8886)*(Geotech!D386&gt;=PLT!$F$4:$F$8886)*(PLT!$V$4:$V$8886&lt;&gt;AD386)*(PLT!$V$4:$V$8886&lt;&gt;AE386)*("Valid"=PLT!$P$4:$P$7190),PLT!$V$4:$V$8886),"")</f>
        <v/>
      </c>
      <c r="AG386" s="162" t="str">
        <f>IFERROR(IF(AVERAGE(AD386:AF386)&gt;References!$BO$23,References!$BP$23,
IF(AVERAGE(AD386:AF386)&gt;References!$BO$22,References!$BP$22,
IF(AVERAGE(AD386:AF386)&gt;References!$BO$21,References!$BP$21,
IF(AVERAGE(AD386:AF386)&gt;References!$BO$20,References!$BP$20,
IF(AVERAGE(AD386:AF386)&gt;References!$BO$19,References!$BP$19,
IF(AVERAGE(AD386:AF386)&gt;References!$BO$18,References!$BP$18,
0)))))),"")</f>
        <v/>
      </c>
      <c r="AH386" s="163" t="e">
        <f>VLOOKUP(Data_Geotech[[#This Row],[Field Intact Rock Strength]],Table_RMR76_Strength[],2,FALSE)</f>
        <v>#N/A</v>
      </c>
      <c r="AI386" s="163" t="e">
        <f>IF(Data_Geotech[[#This Row],[RQD (%)]]&lt;=25,3,IF(Data_Geotech[[#This Row],[RQD (%)]]&lt;=50,8,IF(Data_Geotech[[#This Row],[RQD (%)]]&lt;=75,13,IF(Data_Geotech[[#This Row],[RQD (%)]]&lt;=90,17,20))))</f>
        <v>#DIV/0!</v>
      </c>
      <c r="AJ386" s="136">
        <f>IF(Data_Geotech[[#This Row],[Joint spacing (m)]]&lt;=0.05,5,IF(Data_Geotech[[#This Row],[Joint spacing (m)]]&lt;=0.3,10,IF(Data_Geotech[[#This Row],[Joint spacing (m)]]&lt;=1,20,IF(Data_Geotech[[#This Row],[Joint spacing (m)]]&lt;=3,25,30))))</f>
        <v>30</v>
      </c>
      <c r="AK38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6" s="6"/>
      <c r="AM386" s="137" t="str">
        <f>IF(Data_Geotech[[#This Row],[FIRS Code]]="R",IFERROR(SUM(Data_Geotech[[#This Row],[RMR76 - Strength rating]:[RMR76 - Ground water rating]]),""),"")</f>
        <v/>
      </c>
      <c r="AN386" s="164" t="str">
        <f>IF(Data_Geotech[[#This Row],[FIRS Code]]="R",(2*Data_Geotech[[#This Row],[RMR76 - Joint condition rating]])+(IF(Data_Geotech[[#This Row],[RQD (%)]]&gt;80,80/2,Data_Geotech[[#This Row],[RQD (%)]]/2)),"")</f>
        <v/>
      </c>
      <c r="AO386" s="136" t="e">
        <f>LEFT(Data_Geotech[[#This Row],[Joint Set Rating]],FIND("-",Data_Geotech[[#This Row],[Joint Set Rating]],1)-2)</f>
        <v>#VALUE!</v>
      </c>
      <c r="AP38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6" s="143">
        <f t="shared" si="8"/>
        <v>1</v>
      </c>
      <c r="AR386" s="165" t="str">
        <f>IF(Data_Geotech[[#This Row],[FIRS Code]]="R",IFERROR((IF(Data_Geotech[[#This Row],[RQD (%)]]&lt;10,10,Data_Geotech[[#This Row],[RQD (%)]])/Data_Geotech[[#This Row],[Jn rating]])*Data_Geotech[[#This Row],[Jr/Ja]],""),"")</f>
        <v/>
      </c>
      <c r="AS386" s="138" t="str">
        <f>IF(Data_Geotech[[#This Row],[FIRS Code]]="R",IFERROR((IF(Data_Geotech[[#This Row],[RQD (%)]]&lt;10,10,Data_Geotech[[#This Row],[RQD (%)]])/Data_Geotech[[#This Row],[Jn rating]])*Data_Geotech[[#This Row],[Jr/Ja]]*Data_Geotech[[#This Row],[Jw/SRF]],""),"")</f>
        <v/>
      </c>
      <c r="AT386" s="12"/>
      <c r="AU386" s="13" t="e">
        <f>100-Data_Geotech[[#This Row],[RQD (%)]]</f>
        <v>#DIV/0!</v>
      </c>
      <c r="AV386" s="13" t="e">
        <f>100-Data_Geotech[[#This Row],[TCR (%)]]</f>
        <v>#DIV/0!</v>
      </c>
      <c r="AW386" s="62" t="e">
        <f>(Data_Geotech[[#This Row],[Fracture per interval]]+Data_Geotech[[#This Row],[Added fractures 
(BC, FLT, LC)]])/Data_Geotech[[#This Row],[TCR (m)]]</f>
        <v>#DIV/0!</v>
      </c>
      <c r="AX386" s="62" t="str">
        <f>MID(Data_Geotech[[#This Row],[Field Intact Rock Strength]],2,1)</f>
        <v/>
      </c>
      <c r="AY386" s="63" t="e">
        <f>7-MID(Data_Geotech[[#This Row],[Field Intact Rock Strength]],2,1)</f>
        <v>#VALUE!</v>
      </c>
      <c r="AZ386" s="63" t="e">
        <f>VLOOKUP(Data_Geotech[[#This Row],[Field Intact Rock Strength]],Table_FieldStrength[],2,FALSE)</f>
        <v>#N/A</v>
      </c>
      <c r="BA386" s="63" t="e">
        <f>VLOOKUP(Data_Geotech[[#This Row],[Field Intact Rock Strength]],Table_FieldStrength[],3,FALSE)</f>
        <v>#N/A</v>
      </c>
      <c r="BB386" s="63" t="e">
        <f>VLOOKUP(Data_Geotech[[#This Row],[Field Intact Rock Strength]],Table_FieldStrength[],4,FALSE)</f>
        <v>#N/A</v>
      </c>
      <c r="BC386" s="63" t="e">
        <f>100-Data_Geotech[[#This Row],[RMR76]]</f>
        <v>#VALUE!</v>
      </c>
      <c r="BD386" s="63" t="e">
        <f>LEFT(Data_Geotech[[#This Row],[Weathering/Alteration]],FIND("-",Data_Geotech[[#This Row],[Weathering/Alteration]])-2)</f>
        <v>#VALUE!</v>
      </c>
    </row>
    <row r="387" spans="1:56" hidden="1" x14ac:dyDescent="0.25">
      <c r="A387" s="14"/>
      <c r="B387" s="166" t="e">
        <f>VLOOKUP(Data_Geotech[[#This Row],[Hole ID]],Data_Log[],2,FALSE)</f>
        <v>#N/A</v>
      </c>
      <c r="C387" s="5"/>
      <c r="D387" s="5"/>
      <c r="E387" s="5">
        <f>(Data_Geotech[[#This Row],[To (m)]]-Data_Geotech[[#This Row],[From (m)]])/2+Data_Geotech[[#This Row],[From (m)]]</f>
        <v>0</v>
      </c>
      <c r="F387" s="13">
        <f>Data_Geotech[[#This Row],[To (m)]]-Data_Geotech[[#This Row],[From (m)]]</f>
        <v>0</v>
      </c>
      <c r="G387" s="5"/>
      <c r="H387" s="13" t="e">
        <f>Data_Geotech[[#This Row],[TCR (m)]]/Data_Geotech[[#This Row],[Run (m)]]*100</f>
        <v>#DIV/0!</v>
      </c>
      <c r="I387" s="5"/>
      <c r="J387" s="5"/>
      <c r="K387" s="5"/>
      <c r="L387" s="13" t="e">
        <f>Data_Geotech[[#This Row],[RQD (m)]]/Data_Geotech[[#This Row],[Run Reel (m)]]*100</f>
        <v>#DIV/0!</v>
      </c>
      <c r="P387" s="115"/>
      <c r="Q387" s="5"/>
      <c r="R387" s="5"/>
      <c r="S387" s="5"/>
      <c r="T387" s="5"/>
      <c r="U387" s="5"/>
      <c r="V387" s="6"/>
      <c r="W387" s="92">
        <f>SUMIFS(Discontinuities!$D$4:$D$9664,Discontinuities!$A$4:$A$9664,A387,Discontinuities!$C$4:$C$9664,"&gt;="&amp;C387,Discontinuities!$C$4:$C$9664,"&lt;"&amp;D387)
-SUMIFS(Discontinuities!$D$4:$D$9664,Discontinuities!$A$4:$A$9664,A387,Discontinuities!$C$4:$C$9664,"&gt;="&amp;C387,Discontinuities!$C$4:$C$9664,"&lt;"&amp;D387,Discontinuities!$E$4:$E$9664,"=BC")
-SUMIFS(Discontinuities!$D$4:$D$9664,Discontinuities!$A$4:$A$9664,A387,Discontinuities!$C$4:$C$9664,"&gt;="&amp;C387,Discontinuities!$C$4:$C$9664,"&lt;"&amp;D387,Discontinuities!$E$4:$E$9664,"=LC")
-SUMIFS(Discontinuities!$D$4:$D$9664,Discontinuities!$A$4:$A$9664,A387,Discontinuities!$C$4:$C$9664,"&gt;="&amp;C387,Discontinuities!$C$4:$C$9664,"&lt;"&amp;D387,Discontinuities!$E$4:$E$9664,"=FLT")</f>
        <v>0</v>
      </c>
      <c r="AA387" s="132"/>
      <c r="AB387" s="159">
        <f>IFERROR(ROUND((Data_Geotech[[#This Row],[Fault (m)]]+Data_Geotech[[#This Row],[Broken Core (m)]]+Data_Geotech[[#This Row],[Lost Core (m)]])*30,0),0)</f>
        <v>0</v>
      </c>
      <c r="AC387" s="135">
        <f>IF(Data_Geotech[[#This Row],[Added fractures 
(BC, FLT, LC)]]+Data_Geotech[[#This Row],[Fracture per interval]]=0,99,1/((Data_Geotech[[#This Row],[Fracture per interval]]+Data_Geotech[[#This Row],[Added fractures 
(BC, FLT, LC)]])/Data_Geotech[[#This Row],[Run (m)]]))</f>
        <v>99</v>
      </c>
      <c r="AD387" s="160" t="str" cm="1">
        <f t="array" ref="AD387">IFERROR(_xlfn.XLOOKUP(1,(A387=PLT!$A$4:$A$8886)*(Geotech!C387&lt;=PLT!$F$4:$F$8886)*(Geotech!D387&gt;=PLT!$F$4:$F$8886)*("Valid"=PLT!$P$4:$P$8886),PLT!$V$4:$V$8886),"")</f>
        <v/>
      </c>
      <c r="AE387" s="161" t="str" cm="1">
        <f t="array" ref="AE387">IFERROR(_xlfn.XLOOKUP(1,(A387=PLT!$A$4:$A$8886)*(Geotech!C387&lt;=PLT!$F$4:$F$8886)*(Geotech!D387&gt;=PLT!$F$4:$F$8886)*(PLT!$V$4:$V$8886&lt;&gt;AD387)*("Valid"=PLT!$P$4:$P$7190),PLT!$V$4:$V$8886),"")</f>
        <v/>
      </c>
      <c r="AF387" s="161" t="str" cm="1">
        <f t="array" ref="AF387">IFERROR(_xlfn.XLOOKUP(1,(A387=PLT!$A$4:$A$8886)*(Geotech!C387&lt;=PLT!$F$4:$F$8886)*(Geotech!D387&gt;=PLT!$F$4:$F$8886)*(PLT!$V$4:$V$8886&lt;&gt;AD387)*(PLT!$V$4:$V$8886&lt;&gt;AE387)*("Valid"=PLT!$P$4:$P$7190),PLT!$V$4:$V$8886),"")</f>
        <v/>
      </c>
      <c r="AG387" s="162" t="str">
        <f>IFERROR(IF(AVERAGE(AD387:AF387)&gt;References!$BO$23,References!$BP$23,
IF(AVERAGE(AD387:AF387)&gt;References!$BO$22,References!$BP$22,
IF(AVERAGE(AD387:AF387)&gt;References!$BO$21,References!$BP$21,
IF(AVERAGE(AD387:AF387)&gt;References!$BO$20,References!$BP$20,
IF(AVERAGE(AD387:AF387)&gt;References!$BO$19,References!$BP$19,
IF(AVERAGE(AD387:AF387)&gt;References!$BO$18,References!$BP$18,
0)))))),"")</f>
        <v/>
      </c>
      <c r="AH387" s="163" t="e">
        <f>VLOOKUP(Data_Geotech[[#This Row],[Field Intact Rock Strength]],Table_RMR76_Strength[],2,FALSE)</f>
        <v>#N/A</v>
      </c>
      <c r="AI387" s="163" t="e">
        <f>IF(Data_Geotech[[#This Row],[RQD (%)]]&lt;=25,3,IF(Data_Geotech[[#This Row],[RQD (%)]]&lt;=50,8,IF(Data_Geotech[[#This Row],[RQD (%)]]&lt;=75,13,IF(Data_Geotech[[#This Row],[RQD (%)]]&lt;=90,17,20))))</f>
        <v>#DIV/0!</v>
      </c>
      <c r="AJ387" s="136">
        <f>IF(Data_Geotech[[#This Row],[Joint spacing (m)]]&lt;=0.05,5,IF(Data_Geotech[[#This Row],[Joint spacing (m)]]&lt;=0.3,10,IF(Data_Geotech[[#This Row],[Joint spacing (m)]]&lt;=1,20,IF(Data_Geotech[[#This Row],[Joint spacing (m)]]&lt;=3,25,30))))</f>
        <v>30</v>
      </c>
      <c r="AK38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7" s="6"/>
      <c r="AM387" s="137" t="str">
        <f>IF(Data_Geotech[[#This Row],[FIRS Code]]="R",IFERROR(SUM(Data_Geotech[[#This Row],[RMR76 - Strength rating]:[RMR76 - Ground water rating]]),""),"")</f>
        <v/>
      </c>
      <c r="AN387" s="164" t="str">
        <f>IF(Data_Geotech[[#This Row],[FIRS Code]]="R",(2*Data_Geotech[[#This Row],[RMR76 - Joint condition rating]])+(IF(Data_Geotech[[#This Row],[RQD (%)]]&gt;80,80/2,Data_Geotech[[#This Row],[RQD (%)]]/2)),"")</f>
        <v/>
      </c>
      <c r="AO387" s="136" t="e">
        <f>LEFT(Data_Geotech[[#This Row],[Joint Set Rating]],FIND("-",Data_Geotech[[#This Row],[Joint Set Rating]],1)-2)</f>
        <v>#VALUE!</v>
      </c>
      <c r="AP38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7" s="143">
        <f t="shared" si="8"/>
        <v>1</v>
      </c>
      <c r="AR387" s="165" t="str">
        <f>IF(Data_Geotech[[#This Row],[FIRS Code]]="R",IFERROR((IF(Data_Geotech[[#This Row],[RQD (%)]]&lt;10,10,Data_Geotech[[#This Row],[RQD (%)]])/Data_Geotech[[#This Row],[Jn rating]])*Data_Geotech[[#This Row],[Jr/Ja]],""),"")</f>
        <v/>
      </c>
      <c r="AS387" s="138" t="str">
        <f>IF(Data_Geotech[[#This Row],[FIRS Code]]="R",IFERROR((IF(Data_Geotech[[#This Row],[RQD (%)]]&lt;10,10,Data_Geotech[[#This Row],[RQD (%)]])/Data_Geotech[[#This Row],[Jn rating]])*Data_Geotech[[#This Row],[Jr/Ja]]*Data_Geotech[[#This Row],[Jw/SRF]],""),"")</f>
        <v/>
      </c>
      <c r="AT387" s="12"/>
      <c r="AU387" s="13" t="e">
        <f>100-Data_Geotech[[#This Row],[RQD (%)]]</f>
        <v>#DIV/0!</v>
      </c>
      <c r="AV387" s="13" t="e">
        <f>100-Data_Geotech[[#This Row],[TCR (%)]]</f>
        <v>#DIV/0!</v>
      </c>
      <c r="AW387" s="62" t="e">
        <f>(Data_Geotech[[#This Row],[Fracture per interval]]+Data_Geotech[[#This Row],[Added fractures 
(BC, FLT, LC)]])/Data_Geotech[[#This Row],[TCR (m)]]</f>
        <v>#DIV/0!</v>
      </c>
      <c r="AX387" s="62" t="str">
        <f>MID(Data_Geotech[[#This Row],[Field Intact Rock Strength]],2,1)</f>
        <v/>
      </c>
      <c r="AY387" s="63" t="e">
        <f>7-MID(Data_Geotech[[#This Row],[Field Intact Rock Strength]],2,1)</f>
        <v>#VALUE!</v>
      </c>
      <c r="AZ387" s="63" t="e">
        <f>VLOOKUP(Data_Geotech[[#This Row],[Field Intact Rock Strength]],Table_FieldStrength[],2,FALSE)</f>
        <v>#N/A</v>
      </c>
      <c r="BA387" s="63" t="e">
        <f>VLOOKUP(Data_Geotech[[#This Row],[Field Intact Rock Strength]],Table_FieldStrength[],3,FALSE)</f>
        <v>#N/A</v>
      </c>
      <c r="BB387" s="63" t="e">
        <f>VLOOKUP(Data_Geotech[[#This Row],[Field Intact Rock Strength]],Table_FieldStrength[],4,FALSE)</f>
        <v>#N/A</v>
      </c>
      <c r="BC387" s="63" t="e">
        <f>100-Data_Geotech[[#This Row],[RMR76]]</f>
        <v>#VALUE!</v>
      </c>
      <c r="BD387" s="63" t="e">
        <f>LEFT(Data_Geotech[[#This Row],[Weathering/Alteration]],FIND("-",Data_Geotech[[#This Row],[Weathering/Alteration]])-2)</f>
        <v>#VALUE!</v>
      </c>
    </row>
    <row r="388" spans="1:56" hidden="1" x14ac:dyDescent="0.25">
      <c r="A388" s="14"/>
      <c r="B388" s="166" t="e">
        <f>VLOOKUP(Data_Geotech[[#This Row],[Hole ID]],Data_Log[],2,FALSE)</f>
        <v>#N/A</v>
      </c>
      <c r="C388" s="5"/>
      <c r="D388" s="5"/>
      <c r="E388" s="5">
        <f>(Data_Geotech[[#This Row],[To (m)]]-Data_Geotech[[#This Row],[From (m)]])/2+Data_Geotech[[#This Row],[From (m)]]</f>
        <v>0</v>
      </c>
      <c r="F388" s="13">
        <f>Data_Geotech[[#This Row],[To (m)]]-Data_Geotech[[#This Row],[From (m)]]</f>
        <v>0</v>
      </c>
      <c r="G388" s="5"/>
      <c r="H388" s="13" t="e">
        <f>Data_Geotech[[#This Row],[TCR (m)]]/Data_Geotech[[#This Row],[Run (m)]]*100</f>
        <v>#DIV/0!</v>
      </c>
      <c r="I388" s="5"/>
      <c r="J388" s="5"/>
      <c r="K388" s="5"/>
      <c r="L388" s="13" t="e">
        <f>Data_Geotech[[#This Row],[RQD (m)]]/Data_Geotech[[#This Row],[Run Reel (m)]]*100</f>
        <v>#DIV/0!</v>
      </c>
      <c r="P388" s="115"/>
      <c r="Q388" s="5"/>
      <c r="R388" s="5"/>
      <c r="S388" s="5"/>
      <c r="T388" s="5"/>
      <c r="U388" s="5"/>
      <c r="V388" s="6"/>
      <c r="W388" s="92">
        <f>SUMIFS(Discontinuities!$D$4:$D$9664,Discontinuities!$A$4:$A$9664,A388,Discontinuities!$C$4:$C$9664,"&gt;="&amp;C388,Discontinuities!$C$4:$C$9664,"&lt;"&amp;D388)
-SUMIFS(Discontinuities!$D$4:$D$9664,Discontinuities!$A$4:$A$9664,A388,Discontinuities!$C$4:$C$9664,"&gt;="&amp;C388,Discontinuities!$C$4:$C$9664,"&lt;"&amp;D388,Discontinuities!$E$4:$E$9664,"=BC")
-SUMIFS(Discontinuities!$D$4:$D$9664,Discontinuities!$A$4:$A$9664,A388,Discontinuities!$C$4:$C$9664,"&gt;="&amp;C388,Discontinuities!$C$4:$C$9664,"&lt;"&amp;D388,Discontinuities!$E$4:$E$9664,"=LC")
-SUMIFS(Discontinuities!$D$4:$D$9664,Discontinuities!$A$4:$A$9664,A388,Discontinuities!$C$4:$C$9664,"&gt;="&amp;C388,Discontinuities!$C$4:$C$9664,"&lt;"&amp;D388,Discontinuities!$E$4:$E$9664,"=FLT")</f>
        <v>0</v>
      </c>
      <c r="AA388" s="132"/>
      <c r="AB388" s="159">
        <f>IFERROR(ROUND((Data_Geotech[[#This Row],[Fault (m)]]+Data_Geotech[[#This Row],[Broken Core (m)]]+Data_Geotech[[#This Row],[Lost Core (m)]])*30,0),0)</f>
        <v>0</v>
      </c>
      <c r="AC388" s="135">
        <f>IF(Data_Geotech[[#This Row],[Added fractures 
(BC, FLT, LC)]]+Data_Geotech[[#This Row],[Fracture per interval]]=0,99,1/((Data_Geotech[[#This Row],[Fracture per interval]]+Data_Geotech[[#This Row],[Added fractures 
(BC, FLT, LC)]])/Data_Geotech[[#This Row],[Run (m)]]))</f>
        <v>99</v>
      </c>
      <c r="AD388" s="160" t="str" cm="1">
        <f t="array" ref="AD388">IFERROR(_xlfn.XLOOKUP(1,(A388=PLT!$A$4:$A$8886)*(Geotech!C388&lt;=PLT!$F$4:$F$8886)*(Geotech!D388&gt;=PLT!$F$4:$F$8886)*("Valid"=PLT!$P$4:$P$8886),PLT!$V$4:$V$8886),"")</f>
        <v/>
      </c>
      <c r="AE388" s="161" t="str" cm="1">
        <f t="array" ref="AE388">IFERROR(_xlfn.XLOOKUP(1,(A388=PLT!$A$4:$A$8886)*(Geotech!C388&lt;=PLT!$F$4:$F$8886)*(Geotech!D388&gt;=PLT!$F$4:$F$8886)*(PLT!$V$4:$V$8886&lt;&gt;AD388)*("Valid"=PLT!$P$4:$P$7190),PLT!$V$4:$V$8886),"")</f>
        <v/>
      </c>
      <c r="AF388" s="161" t="str" cm="1">
        <f t="array" ref="AF388">IFERROR(_xlfn.XLOOKUP(1,(A388=PLT!$A$4:$A$8886)*(Geotech!C388&lt;=PLT!$F$4:$F$8886)*(Geotech!D388&gt;=PLT!$F$4:$F$8886)*(PLT!$V$4:$V$8886&lt;&gt;AD388)*(PLT!$V$4:$V$8886&lt;&gt;AE388)*("Valid"=PLT!$P$4:$P$7190),PLT!$V$4:$V$8886),"")</f>
        <v/>
      </c>
      <c r="AG388" s="162" t="str">
        <f>IFERROR(IF(AVERAGE(AD388:AF388)&gt;References!$BO$23,References!$BP$23,
IF(AVERAGE(AD388:AF388)&gt;References!$BO$22,References!$BP$22,
IF(AVERAGE(AD388:AF388)&gt;References!$BO$21,References!$BP$21,
IF(AVERAGE(AD388:AF388)&gt;References!$BO$20,References!$BP$20,
IF(AVERAGE(AD388:AF388)&gt;References!$BO$19,References!$BP$19,
IF(AVERAGE(AD388:AF388)&gt;References!$BO$18,References!$BP$18,
0)))))),"")</f>
        <v/>
      </c>
      <c r="AH388" s="163" t="e">
        <f>VLOOKUP(Data_Geotech[[#This Row],[Field Intact Rock Strength]],Table_RMR76_Strength[],2,FALSE)</f>
        <v>#N/A</v>
      </c>
      <c r="AI388" s="163" t="e">
        <f>IF(Data_Geotech[[#This Row],[RQD (%)]]&lt;=25,3,IF(Data_Geotech[[#This Row],[RQD (%)]]&lt;=50,8,IF(Data_Geotech[[#This Row],[RQD (%)]]&lt;=75,13,IF(Data_Geotech[[#This Row],[RQD (%)]]&lt;=90,17,20))))</f>
        <v>#DIV/0!</v>
      </c>
      <c r="AJ388" s="136">
        <f>IF(Data_Geotech[[#This Row],[Joint spacing (m)]]&lt;=0.05,5,IF(Data_Geotech[[#This Row],[Joint spacing (m)]]&lt;=0.3,10,IF(Data_Geotech[[#This Row],[Joint spacing (m)]]&lt;=1,20,IF(Data_Geotech[[#This Row],[Joint spacing (m)]]&lt;=3,25,30))))</f>
        <v>30</v>
      </c>
      <c r="AK38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8" s="6"/>
      <c r="AM388" s="137" t="str">
        <f>IF(Data_Geotech[[#This Row],[FIRS Code]]="R",IFERROR(SUM(Data_Geotech[[#This Row],[RMR76 - Strength rating]:[RMR76 - Ground water rating]]),""),"")</f>
        <v/>
      </c>
      <c r="AN388" s="164" t="str">
        <f>IF(Data_Geotech[[#This Row],[FIRS Code]]="R",(2*Data_Geotech[[#This Row],[RMR76 - Joint condition rating]])+(IF(Data_Geotech[[#This Row],[RQD (%)]]&gt;80,80/2,Data_Geotech[[#This Row],[RQD (%)]]/2)),"")</f>
        <v/>
      </c>
      <c r="AO388" s="136" t="e">
        <f>LEFT(Data_Geotech[[#This Row],[Joint Set Rating]],FIND("-",Data_Geotech[[#This Row],[Joint Set Rating]],1)-2)</f>
        <v>#VALUE!</v>
      </c>
      <c r="AP38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8" s="143">
        <f t="shared" si="8"/>
        <v>1</v>
      </c>
      <c r="AR388" s="165" t="str">
        <f>IF(Data_Geotech[[#This Row],[FIRS Code]]="R",IFERROR((IF(Data_Geotech[[#This Row],[RQD (%)]]&lt;10,10,Data_Geotech[[#This Row],[RQD (%)]])/Data_Geotech[[#This Row],[Jn rating]])*Data_Geotech[[#This Row],[Jr/Ja]],""),"")</f>
        <v/>
      </c>
      <c r="AS388" s="138" t="str">
        <f>IF(Data_Geotech[[#This Row],[FIRS Code]]="R",IFERROR((IF(Data_Geotech[[#This Row],[RQD (%)]]&lt;10,10,Data_Geotech[[#This Row],[RQD (%)]])/Data_Geotech[[#This Row],[Jn rating]])*Data_Geotech[[#This Row],[Jr/Ja]]*Data_Geotech[[#This Row],[Jw/SRF]],""),"")</f>
        <v/>
      </c>
      <c r="AT388" s="12"/>
      <c r="AU388" s="13" t="e">
        <f>100-Data_Geotech[[#This Row],[RQD (%)]]</f>
        <v>#DIV/0!</v>
      </c>
      <c r="AV388" s="13" t="e">
        <f>100-Data_Geotech[[#This Row],[TCR (%)]]</f>
        <v>#DIV/0!</v>
      </c>
      <c r="AW388" s="62" t="e">
        <f>(Data_Geotech[[#This Row],[Fracture per interval]]+Data_Geotech[[#This Row],[Added fractures 
(BC, FLT, LC)]])/Data_Geotech[[#This Row],[TCR (m)]]</f>
        <v>#DIV/0!</v>
      </c>
      <c r="AX388" s="62" t="str">
        <f>MID(Data_Geotech[[#This Row],[Field Intact Rock Strength]],2,1)</f>
        <v/>
      </c>
      <c r="AY388" s="63" t="e">
        <f>7-MID(Data_Geotech[[#This Row],[Field Intact Rock Strength]],2,1)</f>
        <v>#VALUE!</v>
      </c>
      <c r="AZ388" s="63" t="e">
        <f>VLOOKUP(Data_Geotech[[#This Row],[Field Intact Rock Strength]],Table_FieldStrength[],2,FALSE)</f>
        <v>#N/A</v>
      </c>
      <c r="BA388" s="63" t="e">
        <f>VLOOKUP(Data_Geotech[[#This Row],[Field Intact Rock Strength]],Table_FieldStrength[],3,FALSE)</f>
        <v>#N/A</v>
      </c>
      <c r="BB388" s="63" t="e">
        <f>VLOOKUP(Data_Geotech[[#This Row],[Field Intact Rock Strength]],Table_FieldStrength[],4,FALSE)</f>
        <v>#N/A</v>
      </c>
      <c r="BC388" s="63" t="e">
        <f>100-Data_Geotech[[#This Row],[RMR76]]</f>
        <v>#VALUE!</v>
      </c>
      <c r="BD388" s="63" t="e">
        <f>LEFT(Data_Geotech[[#This Row],[Weathering/Alteration]],FIND("-",Data_Geotech[[#This Row],[Weathering/Alteration]])-2)</f>
        <v>#VALUE!</v>
      </c>
    </row>
    <row r="389" spans="1:56" hidden="1" x14ac:dyDescent="0.25">
      <c r="A389" s="14"/>
      <c r="B389" s="166" t="e">
        <f>VLOOKUP(Data_Geotech[[#This Row],[Hole ID]],Data_Log[],2,FALSE)</f>
        <v>#N/A</v>
      </c>
      <c r="C389" s="5"/>
      <c r="D389" s="5"/>
      <c r="E389" s="5">
        <f>(Data_Geotech[[#This Row],[To (m)]]-Data_Geotech[[#This Row],[From (m)]])/2+Data_Geotech[[#This Row],[From (m)]]</f>
        <v>0</v>
      </c>
      <c r="F389" s="13">
        <f>Data_Geotech[[#This Row],[To (m)]]-Data_Geotech[[#This Row],[From (m)]]</f>
        <v>0</v>
      </c>
      <c r="G389" s="5"/>
      <c r="H389" s="13" t="e">
        <f>Data_Geotech[[#This Row],[TCR (m)]]/Data_Geotech[[#This Row],[Run (m)]]*100</f>
        <v>#DIV/0!</v>
      </c>
      <c r="I389" s="5"/>
      <c r="J389" s="5"/>
      <c r="K389" s="5"/>
      <c r="L389" s="13" t="e">
        <f>Data_Geotech[[#This Row],[RQD (m)]]/Data_Geotech[[#This Row],[Run Reel (m)]]*100</f>
        <v>#DIV/0!</v>
      </c>
      <c r="P389" s="115"/>
      <c r="Q389" s="5"/>
      <c r="R389" s="5"/>
      <c r="S389" s="5"/>
      <c r="T389" s="5"/>
      <c r="U389" s="5"/>
      <c r="V389" s="6"/>
      <c r="W389" s="92">
        <f>SUMIFS(Discontinuities!$D$4:$D$9664,Discontinuities!$A$4:$A$9664,A389,Discontinuities!$C$4:$C$9664,"&gt;="&amp;C389,Discontinuities!$C$4:$C$9664,"&lt;"&amp;D389)
-SUMIFS(Discontinuities!$D$4:$D$9664,Discontinuities!$A$4:$A$9664,A389,Discontinuities!$C$4:$C$9664,"&gt;="&amp;C389,Discontinuities!$C$4:$C$9664,"&lt;"&amp;D389,Discontinuities!$E$4:$E$9664,"=BC")
-SUMIFS(Discontinuities!$D$4:$D$9664,Discontinuities!$A$4:$A$9664,A389,Discontinuities!$C$4:$C$9664,"&gt;="&amp;C389,Discontinuities!$C$4:$C$9664,"&lt;"&amp;D389,Discontinuities!$E$4:$E$9664,"=LC")
-SUMIFS(Discontinuities!$D$4:$D$9664,Discontinuities!$A$4:$A$9664,A389,Discontinuities!$C$4:$C$9664,"&gt;="&amp;C389,Discontinuities!$C$4:$C$9664,"&lt;"&amp;D389,Discontinuities!$E$4:$E$9664,"=FLT")</f>
        <v>0</v>
      </c>
      <c r="AA389" s="132"/>
      <c r="AB389" s="159">
        <f>IFERROR(ROUND((Data_Geotech[[#This Row],[Fault (m)]]+Data_Geotech[[#This Row],[Broken Core (m)]]+Data_Geotech[[#This Row],[Lost Core (m)]])*30,0),0)</f>
        <v>0</v>
      </c>
      <c r="AC389" s="135">
        <f>IF(Data_Geotech[[#This Row],[Added fractures 
(BC, FLT, LC)]]+Data_Geotech[[#This Row],[Fracture per interval]]=0,99,1/((Data_Geotech[[#This Row],[Fracture per interval]]+Data_Geotech[[#This Row],[Added fractures 
(BC, FLT, LC)]])/Data_Geotech[[#This Row],[Run (m)]]))</f>
        <v>99</v>
      </c>
      <c r="AD389" s="160" t="str" cm="1">
        <f t="array" ref="AD389">IFERROR(_xlfn.XLOOKUP(1,(A389=PLT!$A$4:$A$8886)*(Geotech!C389&lt;=PLT!$F$4:$F$8886)*(Geotech!D389&gt;=PLT!$F$4:$F$8886)*("Valid"=PLT!$P$4:$P$8886),PLT!$V$4:$V$8886),"")</f>
        <v/>
      </c>
      <c r="AE389" s="161" t="str" cm="1">
        <f t="array" ref="AE389">IFERROR(_xlfn.XLOOKUP(1,(A389=PLT!$A$4:$A$8886)*(Geotech!C389&lt;=PLT!$F$4:$F$8886)*(Geotech!D389&gt;=PLT!$F$4:$F$8886)*(PLT!$V$4:$V$8886&lt;&gt;AD389)*("Valid"=PLT!$P$4:$P$7190),PLT!$V$4:$V$8886),"")</f>
        <v/>
      </c>
      <c r="AF389" s="161" t="str" cm="1">
        <f t="array" ref="AF389">IFERROR(_xlfn.XLOOKUP(1,(A389=PLT!$A$4:$A$8886)*(Geotech!C389&lt;=PLT!$F$4:$F$8886)*(Geotech!D389&gt;=PLT!$F$4:$F$8886)*(PLT!$V$4:$V$8886&lt;&gt;AD389)*(PLT!$V$4:$V$8886&lt;&gt;AE389)*("Valid"=PLT!$P$4:$P$7190),PLT!$V$4:$V$8886),"")</f>
        <v/>
      </c>
      <c r="AG389" s="162" t="str">
        <f>IFERROR(IF(AVERAGE(AD389:AF389)&gt;References!$BO$23,References!$BP$23,
IF(AVERAGE(AD389:AF389)&gt;References!$BO$22,References!$BP$22,
IF(AVERAGE(AD389:AF389)&gt;References!$BO$21,References!$BP$21,
IF(AVERAGE(AD389:AF389)&gt;References!$BO$20,References!$BP$20,
IF(AVERAGE(AD389:AF389)&gt;References!$BO$19,References!$BP$19,
IF(AVERAGE(AD389:AF389)&gt;References!$BO$18,References!$BP$18,
0)))))),"")</f>
        <v/>
      </c>
      <c r="AH389" s="163" t="e">
        <f>VLOOKUP(Data_Geotech[[#This Row],[Field Intact Rock Strength]],Table_RMR76_Strength[],2,FALSE)</f>
        <v>#N/A</v>
      </c>
      <c r="AI389" s="163" t="e">
        <f>IF(Data_Geotech[[#This Row],[RQD (%)]]&lt;=25,3,IF(Data_Geotech[[#This Row],[RQD (%)]]&lt;=50,8,IF(Data_Geotech[[#This Row],[RQD (%)]]&lt;=75,13,IF(Data_Geotech[[#This Row],[RQD (%)]]&lt;=90,17,20))))</f>
        <v>#DIV/0!</v>
      </c>
      <c r="AJ389" s="136">
        <f>IF(Data_Geotech[[#This Row],[Joint spacing (m)]]&lt;=0.05,5,IF(Data_Geotech[[#This Row],[Joint spacing (m)]]&lt;=0.3,10,IF(Data_Geotech[[#This Row],[Joint spacing (m)]]&lt;=1,20,IF(Data_Geotech[[#This Row],[Joint spacing (m)]]&lt;=3,25,30))))</f>
        <v>30</v>
      </c>
      <c r="AK38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89" s="6"/>
      <c r="AM389" s="137" t="str">
        <f>IF(Data_Geotech[[#This Row],[FIRS Code]]="R",IFERROR(SUM(Data_Geotech[[#This Row],[RMR76 - Strength rating]:[RMR76 - Ground water rating]]),""),"")</f>
        <v/>
      </c>
      <c r="AN389" s="164" t="str">
        <f>IF(Data_Geotech[[#This Row],[FIRS Code]]="R",(2*Data_Geotech[[#This Row],[RMR76 - Joint condition rating]])+(IF(Data_Geotech[[#This Row],[RQD (%)]]&gt;80,80/2,Data_Geotech[[#This Row],[RQD (%)]]/2)),"")</f>
        <v/>
      </c>
      <c r="AO389" s="136" t="e">
        <f>LEFT(Data_Geotech[[#This Row],[Joint Set Rating]],FIND("-",Data_Geotech[[#This Row],[Joint Set Rating]],1)-2)</f>
        <v>#VALUE!</v>
      </c>
      <c r="AP38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89" s="143">
        <f t="shared" si="8"/>
        <v>1</v>
      </c>
      <c r="AR389" s="165" t="str">
        <f>IF(Data_Geotech[[#This Row],[FIRS Code]]="R",IFERROR((IF(Data_Geotech[[#This Row],[RQD (%)]]&lt;10,10,Data_Geotech[[#This Row],[RQD (%)]])/Data_Geotech[[#This Row],[Jn rating]])*Data_Geotech[[#This Row],[Jr/Ja]],""),"")</f>
        <v/>
      </c>
      <c r="AS389" s="138" t="str">
        <f>IF(Data_Geotech[[#This Row],[FIRS Code]]="R",IFERROR((IF(Data_Geotech[[#This Row],[RQD (%)]]&lt;10,10,Data_Geotech[[#This Row],[RQD (%)]])/Data_Geotech[[#This Row],[Jn rating]])*Data_Geotech[[#This Row],[Jr/Ja]]*Data_Geotech[[#This Row],[Jw/SRF]],""),"")</f>
        <v/>
      </c>
      <c r="AT389" s="12"/>
      <c r="AU389" s="13" t="e">
        <f>100-Data_Geotech[[#This Row],[RQD (%)]]</f>
        <v>#DIV/0!</v>
      </c>
      <c r="AV389" s="13" t="e">
        <f>100-Data_Geotech[[#This Row],[TCR (%)]]</f>
        <v>#DIV/0!</v>
      </c>
      <c r="AW389" s="62" t="e">
        <f>(Data_Geotech[[#This Row],[Fracture per interval]]+Data_Geotech[[#This Row],[Added fractures 
(BC, FLT, LC)]])/Data_Geotech[[#This Row],[TCR (m)]]</f>
        <v>#DIV/0!</v>
      </c>
      <c r="AX389" s="62" t="str">
        <f>MID(Data_Geotech[[#This Row],[Field Intact Rock Strength]],2,1)</f>
        <v/>
      </c>
      <c r="AY389" s="63" t="e">
        <f>7-MID(Data_Geotech[[#This Row],[Field Intact Rock Strength]],2,1)</f>
        <v>#VALUE!</v>
      </c>
      <c r="AZ389" s="63" t="e">
        <f>VLOOKUP(Data_Geotech[[#This Row],[Field Intact Rock Strength]],Table_FieldStrength[],2,FALSE)</f>
        <v>#N/A</v>
      </c>
      <c r="BA389" s="63" t="e">
        <f>VLOOKUP(Data_Geotech[[#This Row],[Field Intact Rock Strength]],Table_FieldStrength[],3,FALSE)</f>
        <v>#N/A</v>
      </c>
      <c r="BB389" s="63" t="e">
        <f>VLOOKUP(Data_Geotech[[#This Row],[Field Intact Rock Strength]],Table_FieldStrength[],4,FALSE)</f>
        <v>#N/A</v>
      </c>
      <c r="BC389" s="63" t="e">
        <f>100-Data_Geotech[[#This Row],[RMR76]]</f>
        <v>#VALUE!</v>
      </c>
      <c r="BD389" s="63" t="e">
        <f>LEFT(Data_Geotech[[#This Row],[Weathering/Alteration]],FIND("-",Data_Geotech[[#This Row],[Weathering/Alteration]])-2)</f>
        <v>#VALUE!</v>
      </c>
    </row>
    <row r="390" spans="1:56" hidden="1" x14ac:dyDescent="0.25">
      <c r="A390" s="14"/>
      <c r="B390" s="166" t="e">
        <f>VLOOKUP(Data_Geotech[[#This Row],[Hole ID]],Data_Log[],2,FALSE)</f>
        <v>#N/A</v>
      </c>
      <c r="C390" s="5"/>
      <c r="D390" s="5"/>
      <c r="E390" s="5">
        <f>(Data_Geotech[[#This Row],[To (m)]]-Data_Geotech[[#This Row],[From (m)]])/2+Data_Geotech[[#This Row],[From (m)]]</f>
        <v>0</v>
      </c>
      <c r="F390" s="13">
        <f>Data_Geotech[[#This Row],[To (m)]]-Data_Geotech[[#This Row],[From (m)]]</f>
        <v>0</v>
      </c>
      <c r="G390" s="5"/>
      <c r="H390" s="13" t="e">
        <f>Data_Geotech[[#This Row],[TCR (m)]]/Data_Geotech[[#This Row],[Run (m)]]*100</f>
        <v>#DIV/0!</v>
      </c>
      <c r="I390" s="5"/>
      <c r="J390" s="5"/>
      <c r="K390" s="5"/>
      <c r="L390" s="13" t="e">
        <f>Data_Geotech[[#This Row],[RQD (m)]]/Data_Geotech[[#This Row],[Run Reel (m)]]*100</f>
        <v>#DIV/0!</v>
      </c>
      <c r="P390" s="115"/>
      <c r="Q390" s="5"/>
      <c r="R390" s="5"/>
      <c r="S390" s="5"/>
      <c r="T390" s="5"/>
      <c r="U390" s="5"/>
      <c r="V390" s="6"/>
      <c r="W390" s="92">
        <f>SUMIFS(Discontinuities!$D$4:$D$9664,Discontinuities!$A$4:$A$9664,A390,Discontinuities!$C$4:$C$9664,"&gt;="&amp;C390,Discontinuities!$C$4:$C$9664,"&lt;"&amp;D390)
-SUMIFS(Discontinuities!$D$4:$D$9664,Discontinuities!$A$4:$A$9664,A390,Discontinuities!$C$4:$C$9664,"&gt;="&amp;C390,Discontinuities!$C$4:$C$9664,"&lt;"&amp;D390,Discontinuities!$E$4:$E$9664,"=BC")
-SUMIFS(Discontinuities!$D$4:$D$9664,Discontinuities!$A$4:$A$9664,A390,Discontinuities!$C$4:$C$9664,"&gt;="&amp;C390,Discontinuities!$C$4:$C$9664,"&lt;"&amp;D390,Discontinuities!$E$4:$E$9664,"=LC")
-SUMIFS(Discontinuities!$D$4:$D$9664,Discontinuities!$A$4:$A$9664,A390,Discontinuities!$C$4:$C$9664,"&gt;="&amp;C390,Discontinuities!$C$4:$C$9664,"&lt;"&amp;D390,Discontinuities!$E$4:$E$9664,"=FLT")</f>
        <v>0</v>
      </c>
      <c r="AA390" s="132"/>
      <c r="AB390" s="159">
        <f>IFERROR(ROUND((Data_Geotech[[#This Row],[Fault (m)]]+Data_Geotech[[#This Row],[Broken Core (m)]]+Data_Geotech[[#This Row],[Lost Core (m)]])*30,0),0)</f>
        <v>0</v>
      </c>
      <c r="AC390" s="135">
        <f>IF(Data_Geotech[[#This Row],[Added fractures 
(BC, FLT, LC)]]+Data_Geotech[[#This Row],[Fracture per interval]]=0,99,1/((Data_Geotech[[#This Row],[Fracture per interval]]+Data_Geotech[[#This Row],[Added fractures 
(BC, FLT, LC)]])/Data_Geotech[[#This Row],[Run (m)]]))</f>
        <v>99</v>
      </c>
      <c r="AD390" s="160" t="str" cm="1">
        <f t="array" ref="AD390">IFERROR(_xlfn.XLOOKUP(1,(A390=PLT!$A$4:$A$8886)*(Geotech!C390&lt;=PLT!$F$4:$F$8886)*(Geotech!D390&gt;=PLT!$F$4:$F$8886)*("Valid"=PLT!$P$4:$P$8886),PLT!$V$4:$V$8886),"")</f>
        <v/>
      </c>
      <c r="AE390" s="161" t="str" cm="1">
        <f t="array" ref="AE390">IFERROR(_xlfn.XLOOKUP(1,(A390=PLT!$A$4:$A$8886)*(Geotech!C390&lt;=PLT!$F$4:$F$8886)*(Geotech!D390&gt;=PLT!$F$4:$F$8886)*(PLT!$V$4:$V$8886&lt;&gt;AD390)*("Valid"=PLT!$P$4:$P$7190),PLT!$V$4:$V$8886),"")</f>
        <v/>
      </c>
      <c r="AF390" s="161" t="str" cm="1">
        <f t="array" ref="AF390">IFERROR(_xlfn.XLOOKUP(1,(A390=PLT!$A$4:$A$8886)*(Geotech!C390&lt;=PLT!$F$4:$F$8886)*(Geotech!D390&gt;=PLT!$F$4:$F$8886)*(PLT!$V$4:$V$8886&lt;&gt;AD390)*(PLT!$V$4:$V$8886&lt;&gt;AE390)*("Valid"=PLT!$P$4:$P$7190),PLT!$V$4:$V$8886),"")</f>
        <v/>
      </c>
      <c r="AG390" s="162" t="str">
        <f>IFERROR(IF(AVERAGE(AD390:AF390)&gt;References!$BO$23,References!$BP$23,
IF(AVERAGE(AD390:AF390)&gt;References!$BO$22,References!$BP$22,
IF(AVERAGE(AD390:AF390)&gt;References!$BO$21,References!$BP$21,
IF(AVERAGE(AD390:AF390)&gt;References!$BO$20,References!$BP$20,
IF(AVERAGE(AD390:AF390)&gt;References!$BO$19,References!$BP$19,
IF(AVERAGE(AD390:AF390)&gt;References!$BO$18,References!$BP$18,
0)))))),"")</f>
        <v/>
      </c>
      <c r="AH390" s="163" t="e">
        <f>VLOOKUP(Data_Geotech[[#This Row],[Field Intact Rock Strength]],Table_RMR76_Strength[],2,FALSE)</f>
        <v>#N/A</v>
      </c>
      <c r="AI390" s="163" t="e">
        <f>IF(Data_Geotech[[#This Row],[RQD (%)]]&lt;=25,3,IF(Data_Geotech[[#This Row],[RQD (%)]]&lt;=50,8,IF(Data_Geotech[[#This Row],[RQD (%)]]&lt;=75,13,IF(Data_Geotech[[#This Row],[RQD (%)]]&lt;=90,17,20))))</f>
        <v>#DIV/0!</v>
      </c>
      <c r="AJ390" s="136">
        <f>IF(Data_Geotech[[#This Row],[Joint spacing (m)]]&lt;=0.05,5,IF(Data_Geotech[[#This Row],[Joint spacing (m)]]&lt;=0.3,10,IF(Data_Geotech[[#This Row],[Joint spacing (m)]]&lt;=1,20,IF(Data_Geotech[[#This Row],[Joint spacing (m)]]&lt;=3,25,30))))</f>
        <v>30</v>
      </c>
      <c r="AK39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0" s="6"/>
      <c r="AM390" s="137" t="str">
        <f>IF(Data_Geotech[[#This Row],[FIRS Code]]="R",IFERROR(SUM(Data_Geotech[[#This Row],[RMR76 - Strength rating]:[RMR76 - Ground water rating]]),""),"")</f>
        <v/>
      </c>
      <c r="AN390" s="164" t="str">
        <f>IF(Data_Geotech[[#This Row],[FIRS Code]]="R",(2*Data_Geotech[[#This Row],[RMR76 - Joint condition rating]])+(IF(Data_Geotech[[#This Row],[RQD (%)]]&gt;80,80/2,Data_Geotech[[#This Row],[RQD (%)]]/2)),"")</f>
        <v/>
      </c>
      <c r="AO390" s="136" t="e">
        <f>LEFT(Data_Geotech[[#This Row],[Joint Set Rating]],FIND("-",Data_Geotech[[#This Row],[Joint Set Rating]],1)-2)</f>
        <v>#VALUE!</v>
      </c>
      <c r="AP39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0" s="143">
        <f t="shared" si="8"/>
        <v>1</v>
      </c>
      <c r="AR390" s="165" t="str">
        <f>IF(Data_Geotech[[#This Row],[FIRS Code]]="R",IFERROR((IF(Data_Geotech[[#This Row],[RQD (%)]]&lt;10,10,Data_Geotech[[#This Row],[RQD (%)]])/Data_Geotech[[#This Row],[Jn rating]])*Data_Geotech[[#This Row],[Jr/Ja]],""),"")</f>
        <v/>
      </c>
      <c r="AS390" s="138" t="str">
        <f>IF(Data_Geotech[[#This Row],[FIRS Code]]="R",IFERROR((IF(Data_Geotech[[#This Row],[RQD (%)]]&lt;10,10,Data_Geotech[[#This Row],[RQD (%)]])/Data_Geotech[[#This Row],[Jn rating]])*Data_Geotech[[#This Row],[Jr/Ja]]*Data_Geotech[[#This Row],[Jw/SRF]],""),"")</f>
        <v/>
      </c>
      <c r="AT390" s="12"/>
      <c r="AU390" s="13" t="e">
        <f>100-Data_Geotech[[#This Row],[RQD (%)]]</f>
        <v>#DIV/0!</v>
      </c>
      <c r="AV390" s="13" t="e">
        <f>100-Data_Geotech[[#This Row],[TCR (%)]]</f>
        <v>#DIV/0!</v>
      </c>
      <c r="AW390" s="62" t="e">
        <f>(Data_Geotech[[#This Row],[Fracture per interval]]+Data_Geotech[[#This Row],[Added fractures 
(BC, FLT, LC)]])/Data_Geotech[[#This Row],[TCR (m)]]</f>
        <v>#DIV/0!</v>
      </c>
      <c r="AX390" s="62" t="str">
        <f>MID(Data_Geotech[[#This Row],[Field Intact Rock Strength]],2,1)</f>
        <v/>
      </c>
      <c r="AY390" s="63" t="e">
        <f>7-MID(Data_Geotech[[#This Row],[Field Intact Rock Strength]],2,1)</f>
        <v>#VALUE!</v>
      </c>
      <c r="AZ390" s="63" t="e">
        <f>VLOOKUP(Data_Geotech[[#This Row],[Field Intact Rock Strength]],Table_FieldStrength[],2,FALSE)</f>
        <v>#N/A</v>
      </c>
      <c r="BA390" s="63" t="e">
        <f>VLOOKUP(Data_Geotech[[#This Row],[Field Intact Rock Strength]],Table_FieldStrength[],3,FALSE)</f>
        <v>#N/A</v>
      </c>
      <c r="BB390" s="63" t="e">
        <f>VLOOKUP(Data_Geotech[[#This Row],[Field Intact Rock Strength]],Table_FieldStrength[],4,FALSE)</f>
        <v>#N/A</v>
      </c>
      <c r="BC390" s="63" t="e">
        <f>100-Data_Geotech[[#This Row],[RMR76]]</f>
        <v>#VALUE!</v>
      </c>
      <c r="BD390" s="63" t="e">
        <f>LEFT(Data_Geotech[[#This Row],[Weathering/Alteration]],FIND("-",Data_Geotech[[#This Row],[Weathering/Alteration]])-2)</f>
        <v>#VALUE!</v>
      </c>
    </row>
    <row r="391" spans="1:56" hidden="1" x14ac:dyDescent="0.25">
      <c r="A391" s="14"/>
      <c r="B391" s="166" t="e">
        <f>VLOOKUP(Data_Geotech[[#This Row],[Hole ID]],Data_Log[],2,FALSE)</f>
        <v>#N/A</v>
      </c>
      <c r="C391" s="5"/>
      <c r="D391" s="5"/>
      <c r="E391" s="5">
        <f>(Data_Geotech[[#This Row],[To (m)]]-Data_Geotech[[#This Row],[From (m)]])/2+Data_Geotech[[#This Row],[From (m)]]</f>
        <v>0</v>
      </c>
      <c r="F391" s="13">
        <f>Data_Geotech[[#This Row],[To (m)]]-Data_Geotech[[#This Row],[From (m)]]</f>
        <v>0</v>
      </c>
      <c r="G391" s="5"/>
      <c r="H391" s="13" t="e">
        <f>Data_Geotech[[#This Row],[TCR (m)]]/Data_Geotech[[#This Row],[Run (m)]]*100</f>
        <v>#DIV/0!</v>
      </c>
      <c r="I391" s="5"/>
      <c r="J391" s="5"/>
      <c r="K391" s="5"/>
      <c r="L391" s="13" t="e">
        <f>Data_Geotech[[#This Row],[RQD (m)]]/Data_Geotech[[#This Row],[Run Reel (m)]]*100</f>
        <v>#DIV/0!</v>
      </c>
      <c r="P391" s="115"/>
      <c r="Q391" s="5"/>
      <c r="R391" s="5"/>
      <c r="S391" s="5"/>
      <c r="T391" s="5"/>
      <c r="U391" s="5"/>
      <c r="V391" s="6"/>
      <c r="W391" s="92">
        <f>SUMIFS(Discontinuities!$D$4:$D$9664,Discontinuities!$A$4:$A$9664,A391,Discontinuities!$C$4:$C$9664,"&gt;="&amp;C391,Discontinuities!$C$4:$C$9664,"&lt;"&amp;D391)
-SUMIFS(Discontinuities!$D$4:$D$9664,Discontinuities!$A$4:$A$9664,A391,Discontinuities!$C$4:$C$9664,"&gt;="&amp;C391,Discontinuities!$C$4:$C$9664,"&lt;"&amp;D391,Discontinuities!$E$4:$E$9664,"=BC")
-SUMIFS(Discontinuities!$D$4:$D$9664,Discontinuities!$A$4:$A$9664,A391,Discontinuities!$C$4:$C$9664,"&gt;="&amp;C391,Discontinuities!$C$4:$C$9664,"&lt;"&amp;D391,Discontinuities!$E$4:$E$9664,"=LC")
-SUMIFS(Discontinuities!$D$4:$D$9664,Discontinuities!$A$4:$A$9664,A391,Discontinuities!$C$4:$C$9664,"&gt;="&amp;C391,Discontinuities!$C$4:$C$9664,"&lt;"&amp;D391,Discontinuities!$E$4:$E$9664,"=FLT")</f>
        <v>0</v>
      </c>
      <c r="AA391" s="132"/>
      <c r="AB391" s="159">
        <f>IFERROR(ROUND((Data_Geotech[[#This Row],[Fault (m)]]+Data_Geotech[[#This Row],[Broken Core (m)]]+Data_Geotech[[#This Row],[Lost Core (m)]])*30,0),0)</f>
        <v>0</v>
      </c>
      <c r="AC391" s="135">
        <f>IF(Data_Geotech[[#This Row],[Added fractures 
(BC, FLT, LC)]]+Data_Geotech[[#This Row],[Fracture per interval]]=0,99,1/((Data_Geotech[[#This Row],[Fracture per interval]]+Data_Geotech[[#This Row],[Added fractures 
(BC, FLT, LC)]])/Data_Geotech[[#This Row],[Run (m)]]))</f>
        <v>99</v>
      </c>
      <c r="AD391" s="160" t="str" cm="1">
        <f t="array" ref="AD391">IFERROR(_xlfn.XLOOKUP(1,(A391=PLT!$A$4:$A$8886)*(Geotech!C391&lt;=PLT!$F$4:$F$8886)*(Geotech!D391&gt;=PLT!$F$4:$F$8886)*("Valid"=PLT!$P$4:$P$8886),PLT!$V$4:$V$8886),"")</f>
        <v/>
      </c>
      <c r="AE391" s="161" t="str" cm="1">
        <f t="array" ref="AE391">IFERROR(_xlfn.XLOOKUP(1,(A391=PLT!$A$4:$A$8886)*(Geotech!C391&lt;=PLT!$F$4:$F$8886)*(Geotech!D391&gt;=PLT!$F$4:$F$8886)*(PLT!$V$4:$V$8886&lt;&gt;AD391)*("Valid"=PLT!$P$4:$P$7190),PLT!$V$4:$V$8886),"")</f>
        <v/>
      </c>
      <c r="AF391" s="161" t="str" cm="1">
        <f t="array" ref="AF391">IFERROR(_xlfn.XLOOKUP(1,(A391=PLT!$A$4:$A$8886)*(Geotech!C391&lt;=PLT!$F$4:$F$8886)*(Geotech!D391&gt;=PLT!$F$4:$F$8886)*(PLT!$V$4:$V$8886&lt;&gt;AD391)*(PLT!$V$4:$V$8886&lt;&gt;AE391)*("Valid"=PLT!$P$4:$P$7190),PLT!$V$4:$V$8886),"")</f>
        <v/>
      </c>
      <c r="AG391" s="162" t="str">
        <f>IFERROR(IF(AVERAGE(AD391:AF391)&gt;References!$BO$23,References!$BP$23,
IF(AVERAGE(AD391:AF391)&gt;References!$BO$22,References!$BP$22,
IF(AVERAGE(AD391:AF391)&gt;References!$BO$21,References!$BP$21,
IF(AVERAGE(AD391:AF391)&gt;References!$BO$20,References!$BP$20,
IF(AVERAGE(AD391:AF391)&gt;References!$BO$19,References!$BP$19,
IF(AVERAGE(AD391:AF391)&gt;References!$BO$18,References!$BP$18,
0)))))),"")</f>
        <v/>
      </c>
      <c r="AH391" s="163" t="e">
        <f>VLOOKUP(Data_Geotech[[#This Row],[Field Intact Rock Strength]],Table_RMR76_Strength[],2,FALSE)</f>
        <v>#N/A</v>
      </c>
      <c r="AI391" s="163" t="e">
        <f>IF(Data_Geotech[[#This Row],[RQD (%)]]&lt;=25,3,IF(Data_Geotech[[#This Row],[RQD (%)]]&lt;=50,8,IF(Data_Geotech[[#This Row],[RQD (%)]]&lt;=75,13,IF(Data_Geotech[[#This Row],[RQD (%)]]&lt;=90,17,20))))</f>
        <v>#DIV/0!</v>
      </c>
      <c r="AJ391" s="136">
        <f>IF(Data_Geotech[[#This Row],[Joint spacing (m)]]&lt;=0.05,5,IF(Data_Geotech[[#This Row],[Joint spacing (m)]]&lt;=0.3,10,IF(Data_Geotech[[#This Row],[Joint spacing (m)]]&lt;=1,20,IF(Data_Geotech[[#This Row],[Joint spacing (m)]]&lt;=3,25,30))))</f>
        <v>30</v>
      </c>
      <c r="AK39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1" s="6"/>
      <c r="AM391" s="137" t="str">
        <f>IF(Data_Geotech[[#This Row],[FIRS Code]]="R",IFERROR(SUM(Data_Geotech[[#This Row],[RMR76 - Strength rating]:[RMR76 - Ground water rating]]),""),"")</f>
        <v/>
      </c>
      <c r="AN391" s="164" t="str">
        <f>IF(Data_Geotech[[#This Row],[FIRS Code]]="R",(2*Data_Geotech[[#This Row],[RMR76 - Joint condition rating]])+(IF(Data_Geotech[[#This Row],[RQD (%)]]&gt;80,80/2,Data_Geotech[[#This Row],[RQD (%)]]/2)),"")</f>
        <v/>
      </c>
      <c r="AO391" s="136" t="e">
        <f>LEFT(Data_Geotech[[#This Row],[Joint Set Rating]],FIND("-",Data_Geotech[[#This Row],[Joint Set Rating]],1)-2)</f>
        <v>#VALUE!</v>
      </c>
      <c r="AP39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1" s="143">
        <f t="shared" si="8"/>
        <v>1</v>
      </c>
      <c r="AR391" s="165" t="str">
        <f>IF(Data_Geotech[[#This Row],[FIRS Code]]="R",IFERROR((IF(Data_Geotech[[#This Row],[RQD (%)]]&lt;10,10,Data_Geotech[[#This Row],[RQD (%)]])/Data_Geotech[[#This Row],[Jn rating]])*Data_Geotech[[#This Row],[Jr/Ja]],""),"")</f>
        <v/>
      </c>
      <c r="AS391" s="138" t="str">
        <f>IF(Data_Geotech[[#This Row],[FIRS Code]]="R",IFERROR((IF(Data_Geotech[[#This Row],[RQD (%)]]&lt;10,10,Data_Geotech[[#This Row],[RQD (%)]])/Data_Geotech[[#This Row],[Jn rating]])*Data_Geotech[[#This Row],[Jr/Ja]]*Data_Geotech[[#This Row],[Jw/SRF]],""),"")</f>
        <v/>
      </c>
      <c r="AT391" s="12"/>
      <c r="AU391" s="13" t="e">
        <f>100-Data_Geotech[[#This Row],[RQD (%)]]</f>
        <v>#DIV/0!</v>
      </c>
      <c r="AV391" s="13" t="e">
        <f>100-Data_Geotech[[#This Row],[TCR (%)]]</f>
        <v>#DIV/0!</v>
      </c>
      <c r="AW391" s="62" t="e">
        <f>(Data_Geotech[[#This Row],[Fracture per interval]]+Data_Geotech[[#This Row],[Added fractures 
(BC, FLT, LC)]])/Data_Geotech[[#This Row],[TCR (m)]]</f>
        <v>#DIV/0!</v>
      </c>
      <c r="AX391" s="62" t="str">
        <f>MID(Data_Geotech[[#This Row],[Field Intact Rock Strength]],2,1)</f>
        <v/>
      </c>
      <c r="AY391" s="63" t="e">
        <f>7-MID(Data_Geotech[[#This Row],[Field Intact Rock Strength]],2,1)</f>
        <v>#VALUE!</v>
      </c>
      <c r="AZ391" s="63" t="e">
        <f>VLOOKUP(Data_Geotech[[#This Row],[Field Intact Rock Strength]],Table_FieldStrength[],2,FALSE)</f>
        <v>#N/A</v>
      </c>
      <c r="BA391" s="63" t="e">
        <f>VLOOKUP(Data_Geotech[[#This Row],[Field Intact Rock Strength]],Table_FieldStrength[],3,FALSE)</f>
        <v>#N/A</v>
      </c>
      <c r="BB391" s="63" t="e">
        <f>VLOOKUP(Data_Geotech[[#This Row],[Field Intact Rock Strength]],Table_FieldStrength[],4,FALSE)</f>
        <v>#N/A</v>
      </c>
      <c r="BC391" s="63" t="e">
        <f>100-Data_Geotech[[#This Row],[RMR76]]</f>
        <v>#VALUE!</v>
      </c>
      <c r="BD391" s="63" t="e">
        <f>LEFT(Data_Geotech[[#This Row],[Weathering/Alteration]],FIND("-",Data_Geotech[[#This Row],[Weathering/Alteration]])-2)</f>
        <v>#VALUE!</v>
      </c>
    </row>
    <row r="392" spans="1:56" hidden="1" x14ac:dyDescent="0.25">
      <c r="A392" s="14"/>
      <c r="B392" s="166" t="e">
        <f>VLOOKUP(Data_Geotech[[#This Row],[Hole ID]],Data_Log[],2,FALSE)</f>
        <v>#N/A</v>
      </c>
      <c r="C392" s="5"/>
      <c r="D392" s="5"/>
      <c r="E392" s="5">
        <f>(Data_Geotech[[#This Row],[To (m)]]-Data_Geotech[[#This Row],[From (m)]])/2+Data_Geotech[[#This Row],[From (m)]]</f>
        <v>0</v>
      </c>
      <c r="F392" s="13">
        <f>Data_Geotech[[#This Row],[To (m)]]-Data_Geotech[[#This Row],[From (m)]]</f>
        <v>0</v>
      </c>
      <c r="G392" s="5"/>
      <c r="H392" s="13" t="e">
        <f>Data_Geotech[[#This Row],[TCR (m)]]/Data_Geotech[[#This Row],[Run (m)]]*100</f>
        <v>#DIV/0!</v>
      </c>
      <c r="I392" s="5"/>
      <c r="J392" s="5"/>
      <c r="K392" s="5"/>
      <c r="L392" s="13" t="e">
        <f>Data_Geotech[[#This Row],[RQD (m)]]/Data_Geotech[[#This Row],[Run Reel (m)]]*100</f>
        <v>#DIV/0!</v>
      </c>
      <c r="P392" s="115"/>
      <c r="Q392" s="5"/>
      <c r="R392" s="5"/>
      <c r="S392" s="5"/>
      <c r="T392" s="5"/>
      <c r="U392" s="5"/>
      <c r="V392" s="6"/>
      <c r="W392" s="92">
        <f>SUMIFS(Discontinuities!$D$4:$D$9664,Discontinuities!$A$4:$A$9664,A392,Discontinuities!$C$4:$C$9664,"&gt;="&amp;C392,Discontinuities!$C$4:$C$9664,"&lt;"&amp;D392)
-SUMIFS(Discontinuities!$D$4:$D$9664,Discontinuities!$A$4:$A$9664,A392,Discontinuities!$C$4:$C$9664,"&gt;="&amp;C392,Discontinuities!$C$4:$C$9664,"&lt;"&amp;D392,Discontinuities!$E$4:$E$9664,"=BC")
-SUMIFS(Discontinuities!$D$4:$D$9664,Discontinuities!$A$4:$A$9664,A392,Discontinuities!$C$4:$C$9664,"&gt;="&amp;C392,Discontinuities!$C$4:$C$9664,"&lt;"&amp;D392,Discontinuities!$E$4:$E$9664,"=LC")
-SUMIFS(Discontinuities!$D$4:$D$9664,Discontinuities!$A$4:$A$9664,A392,Discontinuities!$C$4:$C$9664,"&gt;="&amp;C392,Discontinuities!$C$4:$C$9664,"&lt;"&amp;D392,Discontinuities!$E$4:$E$9664,"=FLT")</f>
        <v>0</v>
      </c>
      <c r="AA392" s="132"/>
      <c r="AB392" s="159">
        <f>IFERROR(ROUND((Data_Geotech[[#This Row],[Fault (m)]]+Data_Geotech[[#This Row],[Broken Core (m)]]+Data_Geotech[[#This Row],[Lost Core (m)]])*30,0),0)</f>
        <v>0</v>
      </c>
      <c r="AC392" s="135">
        <f>IF(Data_Geotech[[#This Row],[Added fractures 
(BC, FLT, LC)]]+Data_Geotech[[#This Row],[Fracture per interval]]=0,99,1/((Data_Geotech[[#This Row],[Fracture per interval]]+Data_Geotech[[#This Row],[Added fractures 
(BC, FLT, LC)]])/Data_Geotech[[#This Row],[Run (m)]]))</f>
        <v>99</v>
      </c>
      <c r="AD392" s="160" t="str" cm="1">
        <f t="array" ref="AD392">IFERROR(_xlfn.XLOOKUP(1,(A392=PLT!$A$4:$A$8886)*(Geotech!C392&lt;=PLT!$F$4:$F$8886)*(Geotech!D392&gt;=PLT!$F$4:$F$8886)*("Valid"=PLT!$P$4:$P$8886),PLT!$V$4:$V$8886),"")</f>
        <v/>
      </c>
      <c r="AE392" s="161" t="str" cm="1">
        <f t="array" ref="AE392">IFERROR(_xlfn.XLOOKUP(1,(A392=PLT!$A$4:$A$8886)*(Geotech!C392&lt;=PLT!$F$4:$F$8886)*(Geotech!D392&gt;=PLT!$F$4:$F$8886)*(PLT!$V$4:$V$8886&lt;&gt;AD392)*("Valid"=PLT!$P$4:$P$7190),PLT!$V$4:$V$8886),"")</f>
        <v/>
      </c>
      <c r="AF392" s="161" t="str" cm="1">
        <f t="array" ref="AF392">IFERROR(_xlfn.XLOOKUP(1,(A392=PLT!$A$4:$A$8886)*(Geotech!C392&lt;=PLT!$F$4:$F$8886)*(Geotech!D392&gt;=PLT!$F$4:$F$8886)*(PLT!$V$4:$V$8886&lt;&gt;AD392)*(PLT!$V$4:$V$8886&lt;&gt;AE392)*("Valid"=PLT!$P$4:$P$7190),PLT!$V$4:$V$8886),"")</f>
        <v/>
      </c>
      <c r="AG392" s="162" t="str">
        <f>IFERROR(IF(AVERAGE(AD392:AF392)&gt;References!$BO$23,References!$BP$23,
IF(AVERAGE(AD392:AF392)&gt;References!$BO$22,References!$BP$22,
IF(AVERAGE(AD392:AF392)&gt;References!$BO$21,References!$BP$21,
IF(AVERAGE(AD392:AF392)&gt;References!$BO$20,References!$BP$20,
IF(AVERAGE(AD392:AF392)&gt;References!$BO$19,References!$BP$19,
IF(AVERAGE(AD392:AF392)&gt;References!$BO$18,References!$BP$18,
0)))))),"")</f>
        <v/>
      </c>
      <c r="AH392" s="163" t="e">
        <f>VLOOKUP(Data_Geotech[[#This Row],[Field Intact Rock Strength]],Table_RMR76_Strength[],2,FALSE)</f>
        <v>#N/A</v>
      </c>
      <c r="AI392" s="163" t="e">
        <f>IF(Data_Geotech[[#This Row],[RQD (%)]]&lt;=25,3,IF(Data_Geotech[[#This Row],[RQD (%)]]&lt;=50,8,IF(Data_Geotech[[#This Row],[RQD (%)]]&lt;=75,13,IF(Data_Geotech[[#This Row],[RQD (%)]]&lt;=90,17,20))))</f>
        <v>#DIV/0!</v>
      </c>
      <c r="AJ392" s="136">
        <f>IF(Data_Geotech[[#This Row],[Joint spacing (m)]]&lt;=0.05,5,IF(Data_Geotech[[#This Row],[Joint spacing (m)]]&lt;=0.3,10,IF(Data_Geotech[[#This Row],[Joint spacing (m)]]&lt;=1,20,IF(Data_Geotech[[#This Row],[Joint spacing (m)]]&lt;=3,25,30))))</f>
        <v>30</v>
      </c>
      <c r="AK39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2" s="6"/>
      <c r="AM392" s="137" t="str">
        <f>IF(Data_Geotech[[#This Row],[FIRS Code]]="R",IFERROR(SUM(Data_Geotech[[#This Row],[RMR76 - Strength rating]:[RMR76 - Ground water rating]]),""),"")</f>
        <v/>
      </c>
      <c r="AN392" s="164" t="str">
        <f>IF(Data_Geotech[[#This Row],[FIRS Code]]="R",(2*Data_Geotech[[#This Row],[RMR76 - Joint condition rating]])+(IF(Data_Geotech[[#This Row],[RQD (%)]]&gt;80,80/2,Data_Geotech[[#This Row],[RQD (%)]]/2)),"")</f>
        <v/>
      </c>
      <c r="AO392" s="136" t="e">
        <f>LEFT(Data_Geotech[[#This Row],[Joint Set Rating]],FIND("-",Data_Geotech[[#This Row],[Joint Set Rating]],1)-2)</f>
        <v>#VALUE!</v>
      </c>
      <c r="AP39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2" s="143">
        <f t="shared" si="8"/>
        <v>1</v>
      </c>
      <c r="AR392" s="165" t="str">
        <f>IF(Data_Geotech[[#This Row],[FIRS Code]]="R",IFERROR((IF(Data_Geotech[[#This Row],[RQD (%)]]&lt;10,10,Data_Geotech[[#This Row],[RQD (%)]])/Data_Geotech[[#This Row],[Jn rating]])*Data_Geotech[[#This Row],[Jr/Ja]],""),"")</f>
        <v/>
      </c>
      <c r="AS392" s="138" t="str">
        <f>IF(Data_Geotech[[#This Row],[FIRS Code]]="R",IFERROR((IF(Data_Geotech[[#This Row],[RQD (%)]]&lt;10,10,Data_Geotech[[#This Row],[RQD (%)]])/Data_Geotech[[#This Row],[Jn rating]])*Data_Geotech[[#This Row],[Jr/Ja]]*Data_Geotech[[#This Row],[Jw/SRF]],""),"")</f>
        <v/>
      </c>
      <c r="AT392" s="12"/>
      <c r="AU392" s="13" t="e">
        <f>100-Data_Geotech[[#This Row],[RQD (%)]]</f>
        <v>#DIV/0!</v>
      </c>
      <c r="AV392" s="13" t="e">
        <f>100-Data_Geotech[[#This Row],[TCR (%)]]</f>
        <v>#DIV/0!</v>
      </c>
      <c r="AW392" s="62" t="e">
        <f>(Data_Geotech[[#This Row],[Fracture per interval]]+Data_Geotech[[#This Row],[Added fractures 
(BC, FLT, LC)]])/Data_Geotech[[#This Row],[TCR (m)]]</f>
        <v>#DIV/0!</v>
      </c>
      <c r="AX392" s="62" t="str">
        <f>MID(Data_Geotech[[#This Row],[Field Intact Rock Strength]],2,1)</f>
        <v/>
      </c>
      <c r="AY392" s="63" t="e">
        <f>7-MID(Data_Geotech[[#This Row],[Field Intact Rock Strength]],2,1)</f>
        <v>#VALUE!</v>
      </c>
      <c r="AZ392" s="63" t="e">
        <f>VLOOKUP(Data_Geotech[[#This Row],[Field Intact Rock Strength]],Table_FieldStrength[],2,FALSE)</f>
        <v>#N/A</v>
      </c>
      <c r="BA392" s="63" t="e">
        <f>VLOOKUP(Data_Geotech[[#This Row],[Field Intact Rock Strength]],Table_FieldStrength[],3,FALSE)</f>
        <v>#N/A</v>
      </c>
      <c r="BB392" s="63" t="e">
        <f>VLOOKUP(Data_Geotech[[#This Row],[Field Intact Rock Strength]],Table_FieldStrength[],4,FALSE)</f>
        <v>#N/A</v>
      </c>
      <c r="BC392" s="63" t="e">
        <f>100-Data_Geotech[[#This Row],[RMR76]]</f>
        <v>#VALUE!</v>
      </c>
      <c r="BD392" s="63" t="e">
        <f>LEFT(Data_Geotech[[#This Row],[Weathering/Alteration]],FIND("-",Data_Geotech[[#This Row],[Weathering/Alteration]])-2)</f>
        <v>#VALUE!</v>
      </c>
    </row>
    <row r="393" spans="1:56" hidden="1" x14ac:dyDescent="0.25">
      <c r="A393" s="14"/>
      <c r="B393" s="166" t="e">
        <f>VLOOKUP(Data_Geotech[[#This Row],[Hole ID]],Data_Log[],2,FALSE)</f>
        <v>#N/A</v>
      </c>
      <c r="C393" s="5"/>
      <c r="D393" s="5"/>
      <c r="E393" s="5">
        <f>(Data_Geotech[[#This Row],[To (m)]]-Data_Geotech[[#This Row],[From (m)]])/2+Data_Geotech[[#This Row],[From (m)]]</f>
        <v>0</v>
      </c>
      <c r="F393" s="13">
        <f>Data_Geotech[[#This Row],[To (m)]]-Data_Geotech[[#This Row],[From (m)]]</f>
        <v>0</v>
      </c>
      <c r="G393" s="5"/>
      <c r="H393" s="13" t="e">
        <f>Data_Geotech[[#This Row],[TCR (m)]]/Data_Geotech[[#This Row],[Run (m)]]*100</f>
        <v>#DIV/0!</v>
      </c>
      <c r="I393" s="5"/>
      <c r="J393" s="5"/>
      <c r="K393" s="5"/>
      <c r="L393" s="13" t="e">
        <f>Data_Geotech[[#This Row],[RQD (m)]]/Data_Geotech[[#This Row],[Run Reel (m)]]*100</f>
        <v>#DIV/0!</v>
      </c>
      <c r="P393" s="115"/>
      <c r="Q393" s="5"/>
      <c r="R393" s="5"/>
      <c r="S393" s="5"/>
      <c r="T393" s="5"/>
      <c r="U393" s="5"/>
      <c r="V393" s="6"/>
      <c r="W393" s="92">
        <f>SUMIFS(Discontinuities!$D$4:$D$9664,Discontinuities!$A$4:$A$9664,A393,Discontinuities!$C$4:$C$9664,"&gt;="&amp;C393,Discontinuities!$C$4:$C$9664,"&lt;"&amp;D393)
-SUMIFS(Discontinuities!$D$4:$D$9664,Discontinuities!$A$4:$A$9664,A393,Discontinuities!$C$4:$C$9664,"&gt;="&amp;C393,Discontinuities!$C$4:$C$9664,"&lt;"&amp;D393,Discontinuities!$E$4:$E$9664,"=BC")
-SUMIFS(Discontinuities!$D$4:$D$9664,Discontinuities!$A$4:$A$9664,A393,Discontinuities!$C$4:$C$9664,"&gt;="&amp;C393,Discontinuities!$C$4:$C$9664,"&lt;"&amp;D393,Discontinuities!$E$4:$E$9664,"=LC")
-SUMIFS(Discontinuities!$D$4:$D$9664,Discontinuities!$A$4:$A$9664,A393,Discontinuities!$C$4:$C$9664,"&gt;="&amp;C393,Discontinuities!$C$4:$C$9664,"&lt;"&amp;D393,Discontinuities!$E$4:$E$9664,"=FLT")</f>
        <v>0</v>
      </c>
      <c r="AA393" s="132"/>
      <c r="AB393" s="159">
        <f>IFERROR(ROUND((Data_Geotech[[#This Row],[Fault (m)]]+Data_Geotech[[#This Row],[Broken Core (m)]]+Data_Geotech[[#This Row],[Lost Core (m)]])*30,0),0)</f>
        <v>0</v>
      </c>
      <c r="AC393" s="135">
        <f>IF(Data_Geotech[[#This Row],[Added fractures 
(BC, FLT, LC)]]+Data_Geotech[[#This Row],[Fracture per interval]]=0,99,1/((Data_Geotech[[#This Row],[Fracture per interval]]+Data_Geotech[[#This Row],[Added fractures 
(BC, FLT, LC)]])/Data_Geotech[[#This Row],[Run (m)]]))</f>
        <v>99</v>
      </c>
      <c r="AD393" s="160" t="str" cm="1">
        <f t="array" ref="AD393">IFERROR(_xlfn.XLOOKUP(1,(A393=PLT!$A$4:$A$8886)*(Geotech!C393&lt;=PLT!$F$4:$F$8886)*(Geotech!D393&gt;=PLT!$F$4:$F$8886)*("Valid"=PLT!$P$4:$P$8886),PLT!$V$4:$V$8886),"")</f>
        <v/>
      </c>
      <c r="AE393" s="161" t="str" cm="1">
        <f t="array" ref="AE393">IFERROR(_xlfn.XLOOKUP(1,(A393=PLT!$A$4:$A$8886)*(Geotech!C393&lt;=PLT!$F$4:$F$8886)*(Geotech!D393&gt;=PLT!$F$4:$F$8886)*(PLT!$V$4:$V$8886&lt;&gt;AD393)*("Valid"=PLT!$P$4:$P$7190),PLT!$V$4:$V$8886),"")</f>
        <v/>
      </c>
      <c r="AF393" s="161" t="str" cm="1">
        <f t="array" ref="AF393">IFERROR(_xlfn.XLOOKUP(1,(A393=PLT!$A$4:$A$8886)*(Geotech!C393&lt;=PLT!$F$4:$F$8886)*(Geotech!D393&gt;=PLT!$F$4:$F$8886)*(PLT!$V$4:$V$8886&lt;&gt;AD393)*(PLT!$V$4:$V$8886&lt;&gt;AE393)*("Valid"=PLT!$P$4:$P$7190),PLT!$V$4:$V$8886),"")</f>
        <v/>
      </c>
      <c r="AG393" s="162" t="str">
        <f>IFERROR(IF(AVERAGE(AD393:AF393)&gt;References!$BO$23,References!$BP$23,
IF(AVERAGE(AD393:AF393)&gt;References!$BO$22,References!$BP$22,
IF(AVERAGE(AD393:AF393)&gt;References!$BO$21,References!$BP$21,
IF(AVERAGE(AD393:AF393)&gt;References!$BO$20,References!$BP$20,
IF(AVERAGE(AD393:AF393)&gt;References!$BO$19,References!$BP$19,
IF(AVERAGE(AD393:AF393)&gt;References!$BO$18,References!$BP$18,
0)))))),"")</f>
        <v/>
      </c>
      <c r="AH393" s="163" t="e">
        <f>VLOOKUP(Data_Geotech[[#This Row],[Field Intact Rock Strength]],Table_RMR76_Strength[],2,FALSE)</f>
        <v>#N/A</v>
      </c>
      <c r="AI393" s="163" t="e">
        <f>IF(Data_Geotech[[#This Row],[RQD (%)]]&lt;=25,3,IF(Data_Geotech[[#This Row],[RQD (%)]]&lt;=50,8,IF(Data_Geotech[[#This Row],[RQD (%)]]&lt;=75,13,IF(Data_Geotech[[#This Row],[RQD (%)]]&lt;=90,17,20))))</f>
        <v>#DIV/0!</v>
      </c>
      <c r="AJ393" s="136">
        <f>IF(Data_Geotech[[#This Row],[Joint spacing (m)]]&lt;=0.05,5,IF(Data_Geotech[[#This Row],[Joint spacing (m)]]&lt;=0.3,10,IF(Data_Geotech[[#This Row],[Joint spacing (m)]]&lt;=1,20,IF(Data_Geotech[[#This Row],[Joint spacing (m)]]&lt;=3,25,30))))</f>
        <v>30</v>
      </c>
      <c r="AK39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3" s="6"/>
      <c r="AM393" s="137" t="str">
        <f>IF(Data_Geotech[[#This Row],[FIRS Code]]="R",IFERROR(SUM(Data_Geotech[[#This Row],[RMR76 - Strength rating]:[RMR76 - Ground water rating]]),""),"")</f>
        <v/>
      </c>
      <c r="AN393" s="164" t="str">
        <f>IF(Data_Geotech[[#This Row],[FIRS Code]]="R",(2*Data_Geotech[[#This Row],[RMR76 - Joint condition rating]])+(IF(Data_Geotech[[#This Row],[RQD (%)]]&gt;80,80/2,Data_Geotech[[#This Row],[RQD (%)]]/2)),"")</f>
        <v/>
      </c>
      <c r="AO393" s="136" t="e">
        <f>LEFT(Data_Geotech[[#This Row],[Joint Set Rating]],FIND("-",Data_Geotech[[#This Row],[Joint Set Rating]],1)-2)</f>
        <v>#VALUE!</v>
      </c>
      <c r="AP39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3" s="143">
        <f t="shared" si="8"/>
        <v>1</v>
      </c>
      <c r="AR393" s="165" t="str">
        <f>IF(Data_Geotech[[#This Row],[FIRS Code]]="R",IFERROR((IF(Data_Geotech[[#This Row],[RQD (%)]]&lt;10,10,Data_Geotech[[#This Row],[RQD (%)]])/Data_Geotech[[#This Row],[Jn rating]])*Data_Geotech[[#This Row],[Jr/Ja]],""),"")</f>
        <v/>
      </c>
      <c r="AS393" s="138" t="str">
        <f>IF(Data_Geotech[[#This Row],[FIRS Code]]="R",IFERROR((IF(Data_Geotech[[#This Row],[RQD (%)]]&lt;10,10,Data_Geotech[[#This Row],[RQD (%)]])/Data_Geotech[[#This Row],[Jn rating]])*Data_Geotech[[#This Row],[Jr/Ja]]*Data_Geotech[[#This Row],[Jw/SRF]],""),"")</f>
        <v/>
      </c>
      <c r="AT393" s="12"/>
      <c r="AU393" s="13" t="e">
        <f>100-Data_Geotech[[#This Row],[RQD (%)]]</f>
        <v>#DIV/0!</v>
      </c>
      <c r="AV393" s="13" t="e">
        <f>100-Data_Geotech[[#This Row],[TCR (%)]]</f>
        <v>#DIV/0!</v>
      </c>
      <c r="AW393" s="62" t="e">
        <f>(Data_Geotech[[#This Row],[Fracture per interval]]+Data_Geotech[[#This Row],[Added fractures 
(BC, FLT, LC)]])/Data_Geotech[[#This Row],[TCR (m)]]</f>
        <v>#DIV/0!</v>
      </c>
      <c r="AX393" s="62" t="str">
        <f>MID(Data_Geotech[[#This Row],[Field Intact Rock Strength]],2,1)</f>
        <v/>
      </c>
      <c r="AY393" s="63" t="e">
        <f>7-MID(Data_Geotech[[#This Row],[Field Intact Rock Strength]],2,1)</f>
        <v>#VALUE!</v>
      </c>
      <c r="AZ393" s="63" t="e">
        <f>VLOOKUP(Data_Geotech[[#This Row],[Field Intact Rock Strength]],Table_FieldStrength[],2,FALSE)</f>
        <v>#N/A</v>
      </c>
      <c r="BA393" s="63" t="e">
        <f>VLOOKUP(Data_Geotech[[#This Row],[Field Intact Rock Strength]],Table_FieldStrength[],3,FALSE)</f>
        <v>#N/A</v>
      </c>
      <c r="BB393" s="63" t="e">
        <f>VLOOKUP(Data_Geotech[[#This Row],[Field Intact Rock Strength]],Table_FieldStrength[],4,FALSE)</f>
        <v>#N/A</v>
      </c>
      <c r="BC393" s="63" t="e">
        <f>100-Data_Geotech[[#This Row],[RMR76]]</f>
        <v>#VALUE!</v>
      </c>
      <c r="BD393" s="63" t="e">
        <f>LEFT(Data_Geotech[[#This Row],[Weathering/Alteration]],FIND("-",Data_Geotech[[#This Row],[Weathering/Alteration]])-2)</f>
        <v>#VALUE!</v>
      </c>
    </row>
    <row r="394" spans="1:56" hidden="1" x14ac:dyDescent="0.25">
      <c r="A394" s="14"/>
      <c r="B394" s="166" t="e">
        <f>VLOOKUP(Data_Geotech[[#This Row],[Hole ID]],Data_Log[],2,FALSE)</f>
        <v>#N/A</v>
      </c>
      <c r="C394" s="5"/>
      <c r="D394" s="5"/>
      <c r="E394" s="5">
        <f>(Data_Geotech[[#This Row],[To (m)]]-Data_Geotech[[#This Row],[From (m)]])/2+Data_Geotech[[#This Row],[From (m)]]</f>
        <v>0</v>
      </c>
      <c r="F394" s="13">
        <f>Data_Geotech[[#This Row],[To (m)]]-Data_Geotech[[#This Row],[From (m)]]</f>
        <v>0</v>
      </c>
      <c r="G394" s="5"/>
      <c r="H394" s="13" t="e">
        <f>Data_Geotech[[#This Row],[TCR (m)]]/Data_Geotech[[#This Row],[Run (m)]]*100</f>
        <v>#DIV/0!</v>
      </c>
      <c r="I394" s="5"/>
      <c r="J394" s="5"/>
      <c r="K394" s="5"/>
      <c r="L394" s="13" t="e">
        <f>Data_Geotech[[#This Row],[RQD (m)]]/Data_Geotech[[#This Row],[Run Reel (m)]]*100</f>
        <v>#DIV/0!</v>
      </c>
      <c r="P394" s="115"/>
      <c r="Q394" s="5"/>
      <c r="R394" s="5"/>
      <c r="S394" s="5"/>
      <c r="T394" s="5"/>
      <c r="U394" s="5"/>
      <c r="V394" s="6"/>
      <c r="W394" s="92">
        <f>SUMIFS(Discontinuities!$D$4:$D$9664,Discontinuities!$A$4:$A$9664,A394,Discontinuities!$C$4:$C$9664,"&gt;="&amp;C394,Discontinuities!$C$4:$C$9664,"&lt;"&amp;D394)
-SUMIFS(Discontinuities!$D$4:$D$9664,Discontinuities!$A$4:$A$9664,A394,Discontinuities!$C$4:$C$9664,"&gt;="&amp;C394,Discontinuities!$C$4:$C$9664,"&lt;"&amp;D394,Discontinuities!$E$4:$E$9664,"=BC")
-SUMIFS(Discontinuities!$D$4:$D$9664,Discontinuities!$A$4:$A$9664,A394,Discontinuities!$C$4:$C$9664,"&gt;="&amp;C394,Discontinuities!$C$4:$C$9664,"&lt;"&amp;D394,Discontinuities!$E$4:$E$9664,"=LC")
-SUMIFS(Discontinuities!$D$4:$D$9664,Discontinuities!$A$4:$A$9664,A394,Discontinuities!$C$4:$C$9664,"&gt;="&amp;C394,Discontinuities!$C$4:$C$9664,"&lt;"&amp;D394,Discontinuities!$E$4:$E$9664,"=FLT")</f>
        <v>0</v>
      </c>
      <c r="AA394" s="132"/>
      <c r="AB394" s="159">
        <f>IFERROR(ROUND((Data_Geotech[[#This Row],[Fault (m)]]+Data_Geotech[[#This Row],[Broken Core (m)]]+Data_Geotech[[#This Row],[Lost Core (m)]])*30,0),0)</f>
        <v>0</v>
      </c>
      <c r="AC394" s="135">
        <f>IF(Data_Geotech[[#This Row],[Added fractures 
(BC, FLT, LC)]]+Data_Geotech[[#This Row],[Fracture per interval]]=0,99,1/((Data_Geotech[[#This Row],[Fracture per interval]]+Data_Geotech[[#This Row],[Added fractures 
(BC, FLT, LC)]])/Data_Geotech[[#This Row],[Run (m)]]))</f>
        <v>99</v>
      </c>
      <c r="AD394" s="160" t="str" cm="1">
        <f t="array" ref="AD394">IFERROR(_xlfn.XLOOKUP(1,(A394=PLT!$A$4:$A$8886)*(Geotech!C394&lt;=PLT!$F$4:$F$8886)*(Geotech!D394&gt;=PLT!$F$4:$F$8886)*("Valid"=PLT!$P$4:$P$8886),PLT!$V$4:$V$8886),"")</f>
        <v/>
      </c>
      <c r="AE394" s="161" t="str" cm="1">
        <f t="array" ref="AE394">IFERROR(_xlfn.XLOOKUP(1,(A394=PLT!$A$4:$A$8886)*(Geotech!C394&lt;=PLT!$F$4:$F$8886)*(Geotech!D394&gt;=PLT!$F$4:$F$8886)*(PLT!$V$4:$V$8886&lt;&gt;AD394)*("Valid"=PLT!$P$4:$P$7190),PLT!$V$4:$V$8886),"")</f>
        <v/>
      </c>
      <c r="AF394" s="161" t="str" cm="1">
        <f t="array" ref="AF394">IFERROR(_xlfn.XLOOKUP(1,(A394=PLT!$A$4:$A$8886)*(Geotech!C394&lt;=PLT!$F$4:$F$8886)*(Geotech!D394&gt;=PLT!$F$4:$F$8886)*(PLT!$V$4:$V$8886&lt;&gt;AD394)*(PLT!$V$4:$V$8886&lt;&gt;AE394)*("Valid"=PLT!$P$4:$P$7190),PLT!$V$4:$V$8886),"")</f>
        <v/>
      </c>
      <c r="AG394" s="162" t="str">
        <f>IFERROR(IF(AVERAGE(AD394:AF394)&gt;References!$BO$23,References!$BP$23,
IF(AVERAGE(AD394:AF394)&gt;References!$BO$22,References!$BP$22,
IF(AVERAGE(AD394:AF394)&gt;References!$BO$21,References!$BP$21,
IF(AVERAGE(AD394:AF394)&gt;References!$BO$20,References!$BP$20,
IF(AVERAGE(AD394:AF394)&gt;References!$BO$19,References!$BP$19,
IF(AVERAGE(AD394:AF394)&gt;References!$BO$18,References!$BP$18,
0)))))),"")</f>
        <v/>
      </c>
      <c r="AH394" s="163" t="e">
        <f>VLOOKUP(Data_Geotech[[#This Row],[Field Intact Rock Strength]],Table_RMR76_Strength[],2,FALSE)</f>
        <v>#N/A</v>
      </c>
      <c r="AI394" s="163" t="e">
        <f>IF(Data_Geotech[[#This Row],[RQD (%)]]&lt;=25,3,IF(Data_Geotech[[#This Row],[RQD (%)]]&lt;=50,8,IF(Data_Geotech[[#This Row],[RQD (%)]]&lt;=75,13,IF(Data_Geotech[[#This Row],[RQD (%)]]&lt;=90,17,20))))</f>
        <v>#DIV/0!</v>
      </c>
      <c r="AJ394" s="136">
        <f>IF(Data_Geotech[[#This Row],[Joint spacing (m)]]&lt;=0.05,5,IF(Data_Geotech[[#This Row],[Joint spacing (m)]]&lt;=0.3,10,IF(Data_Geotech[[#This Row],[Joint spacing (m)]]&lt;=1,20,IF(Data_Geotech[[#This Row],[Joint spacing (m)]]&lt;=3,25,30))))</f>
        <v>30</v>
      </c>
      <c r="AK39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4" s="6"/>
      <c r="AM394" s="137" t="str">
        <f>IF(Data_Geotech[[#This Row],[FIRS Code]]="R",IFERROR(SUM(Data_Geotech[[#This Row],[RMR76 - Strength rating]:[RMR76 - Ground water rating]]),""),"")</f>
        <v/>
      </c>
      <c r="AN394" s="164" t="str">
        <f>IF(Data_Geotech[[#This Row],[FIRS Code]]="R",(2*Data_Geotech[[#This Row],[RMR76 - Joint condition rating]])+(IF(Data_Geotech[[#This Row],[RQD (%)]]&gt;80,80/2,Data_Geotech[[#This Row],[RQD (%)]]/2)),"")</f>
        <v/>
      </c>
      <c r="AO394" s="136" t="e">
        <f>LEFT(Data_Geotech[[#This Row],[Joint Set Rating]],FIND("-",Data_Geotech[[#This Row],[Joint Set Rating]],1)-2)</f>
        <v>#VALUE!</v>
      </c>
      <c r="AP39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4" s="143">
        <f t="shared" si="8"/>
        <v>1</v>
      </c>
      <c r="AR394" s="165" t="str">
        <f>IF(Data_Geotech[[#This Row],[FIRS Code]]="R",IFERROR((IF(Data_Geotech[[#This Row],[RQD (%)]]&lt;10,10,Data_Geotech[[#This Row],[RQD (%)]])/Data_Geotech[[#This Row],[Jn rating]])*Data_Geotech[[#This Row],[Jr/Ja]],""),"")</f>
        <v/>
      </c>
      <c r="AS394" s="138" t="str">
        <f>IF(Data_Geotech[[#This Row],[FIRS Code]]="R",IFERROR((IF(Data_Geotech[[#This Row],[RQD (%)]]&lt;10,10,Data_Geotech[[#This Row],[RQD (%)]])/Data_Geotech[[#This Row],[Jn rating]])*Data_Geotech[[#This Row],[Jr/Ja]]*Data_Geotech[[#This Row],[Jw/SRF]],""),"")</f>
        <v/>
      </c>
      <c r="AT394" s="12"/>
      <c r="AU394" s="13" t="e">
        <f>100-Data_Geotech[[#This Row],[RQD (%)]]</f>
        <v>#DIV/0!</v>
      </c>
      <c r="AV394" s="13" t="e">
        <f>100-Data_Geotech[[#This Row],[TCR (%)]]</f>
        <v>#DIV/0!</v>
      </c>
      <c r="AW394" s="62" t="e">
        <f>(Data_Geotech[[#This Row],[Fracture per interval]]+Data_Geotech[[#This Row],[Added fractures 
(BC, FLT, LC)]])/Data_Geotech[[#This Row],[TCR (m)]]</f>
        <v>#DIV/0!</v>
      </c>
      <c r="AX394" s="62" t="str">
        <f>MID(Data_Geotech[[#This Row],[Field Intact Rock Strength]],2,1)</f>
        <v/>
      </c>
      <c r="AY394" s="63" t="e">
        <f>7-MID(Data_Geotech[[#This Row],[Field Intact Rock Strength]],2,1)</f>
        <v>#VALUE!</v>
      </c>
      <c r="AZ394" s="63" t="e">
        <f>VLOOKUP(Data_Geotech[[#This Row],[Field Intact Rock Strength]],Table_FieldStrength[],2,FALSE)</f>
        <v>#N/A</v>
      </c>
      <c r="BA394" s="63" t="e">
        <f>VLOOKUP(Data_Geotech[[#This Row],[Field Intact Rock Strength]],Table_FieldStrength[],3,FALSE)</f>
        <v>#N/A</v>
      </c>
      <c r="BB394" s="63" t="e">
        <f>VLOOKUP(Data_Geotech[[#This Row],[Field Intact Rock Strength]],Table_FieldStrength[],4,FALSE)</f>
        <v>#N/A</v>
      </c>
      <c r="BC394" s="63" t="e">
        <f>100-Data_Geotech[[#This Row],[RMR76]]</f>
        <v>#VALUE!</v>
      </c>
      <c r="BD394" s="63" t="e">
        <f>LEFT(Data_Geotech[[#This Row],[Weathering/Alteration]],FIND("-",Data_Geotech[[#This Row],[Weathering/Alteration]])-2)</f>
        <v>#VALUE!</v>
      </c>
    </row>
    <row r="395" spans="1:56" hidden="1" x14ac:dyDescent="0.25">
      <c r="A395" s="14"/>
      <c r="B395" s="166" t="e">
        <f>VLOOKUP(Data_Geotech[[#This Row],[Hole ID]],Data_Log[],2,FALSE)</f>
        <v>#N/A</v>
      </c>
      <c r="C395" s="5"/>
      <c r="D395" s="5"/>
      <c r="E395" s="5">
        <f>(Data_Geotech[[#This Row],[To (m)]]-Data_Geotech[[#This Row],[From (m)]])/2+Data_Geotech[[#This Row],[From (m)]]</f>
        <v>0</v>
      </c>
      <c r="F395" s="13">
        <f>Data_Geotech[[#This Row],[To (m)]]-Data_Geotech[[#This Row],[From (m)]]</f>
        <v>0</v>
      </c>
      <c r="G395" s="5"/>
      <c r="H395" s="13" t="e">
        <f>Data_Geotech[[#This Row],[TCR (m)]]/Data_Geotech[[#This Row],[Run (m)]]*100</f>
        <v>#DIV/0!</v>
      </c>
      <c r="I395" s="5"/>
      <c r="J395" s="5"/>
      <c r="K395" s="5"/>
      <c r="L395" s="13" t="e">
        <f>Data_Geotech[[#This Row],[RQD (m)]]/Data_Geotech[[#This Row],[Run Reel (m)]]*100</f>
        <v>#DIV/0!</v>
      </c>
      <c r="P395" s="115"/>
      <c r="Q395" s="5"/>
      <c r="R395" s="5"/>
      <c r="S395" s="5"/>
      <c r="T395" s="5"/>
      <c r="U395" s="5"/>
      <c r="V395" s="6"/>
      <c r="W395" s="92">
        <f>SUMIFS(Discontinuities!$D$4:$D$9664,Discontinuities!$A$4:$A$9664,A395,Discontinuities!$C$4:$C$9664,"&gt;="&amp;C395,Discontinuities!$C$4:$C$9664,"&lt;"&amp;D395)
-SUMIFS(Discontinuities!$D$4:$D$9664,Discontinuities!$A$4:$A$9664,A395,Discontinuities!$C$4:$C$9664,"&gt;="&amp;C395,Discontinuities!$C$4:$C$9664,"&lt;"&amp;D395,Discontinuities!$E$4:$E$9664,"=BC")
-SUMIFS(Discontinuities!$D$4:$D$9664,Discontinuities!$A$4:$A$9664,A395,Discontinuities!$C$4:$C$9664,"&gt;="&amp;C395,Discontinuities!$C$4:$C$9664,"&lt;"&amp;D395,Discontinuities!$E$4:$E$9664,"=LC")
-SUMIFS(Discontinuities!$D$4:$D$9664,Discontinuities!$A$4:$A$9664,A395,Discontinuities!$C$4:$C$9664,"&gt;="&amp;C395,Discontinuities!$C$4:$C$9664,"&lt;"&amp;D395,Discontinuities!$E$4:$E$9664,"=FLT")</f>
        <v>0</v>
      </c>
      <c r="AA395" s="132"/>
      <c r="AB395" s="133">
        <f>IFERROR(ROUND((Data_Geotech[[#This Row],[Fault (m)]]+Data_Geotech[[#This Row],[Broken Core (m)]]+Data_Geotech[[#This Row],[Lost Core (m)]])*30,0),0)</f>
        <v>0</v>
      </c>
      <c r="AC395" s="134">
        <f>IF(Data_Geotech[[#This Row],[Added fractures 
(BC, FLT, LC)]]+Data_Geotech[[#This Row],[Fracture per interval]]=0,99,1/((Data_Geotech[[#This Row],[Fracture per interval]]+Data_Geotech[[#This Row],[Added fractures 
(BC, FLT, LC)]])/Data_Geotech[[#This Row],[Run (m)]]))</f>
        <v>99</v>
      </c>
      <c r="AD395" s="160" t="str" cm="1">
        <f t="array" ref="AD395">IFERROR(_xlfn.XLOOKUP(1,(A395=PLT!$A$4:$A$8886)*(Geotech!C395&lt;=PLT!$F$4:$F$8886)*(Geotech!D395&gt;=PLT!$F$4:$F$8886)*("Valid"=PLT!$P$4:$P$8886),PLT!$V$4:$V$8886),"")</f>
        <v/>
      </c>
      <c r="AE395" s="161" t="str" cm="1">
        <f t="array" ref="AE395">IFERROR(_xlfn.XLOOKUP(1,(A395=PLT!$A$4:$A$8886)*(Geotech!C395&lt;=PLT!$F$4:$F$8886)*(Geotech!D395&gt;=PLT!$F$4:$F$8886)*(PLT!$V$4:$V$8886&lt;&gt;AD395)*("Valid"=PLT!$P$4:$P$7190),PLT!$V$4:$V$8886),"")</f>
        <v/>
      </c>
      <c r="AF395" s="161" t="str" cm="1">
        <f t="array" ref="AF395">IFERROR(_xlfn.XLOOKUP(1,(A395=PLT!$A$4:$A$8886)*(Geotech!C395&lt;=PLT!$F$4:$F$8886)*(Geotech!D395&gt;=PLT!$F$4:$F$8886)*(PLT!$V$4:$V$8886&lt;&gt;AD395)*(PLT!$V$4:$V$8886&lt;&gt;AE395)*("Valid"=PLT!$P$4:$P$7190),PLT!$V$4:$V$8886),"")</f>
        <v/>
      </c>
      <c r="AG395" s="162" t="str">
        <f>IFERROR(IF(AVERAGE(AD395:AF395)&gt;References!$BO$23,References!$BP$23,
IF(AVERAGE(AD395:AF395)&gt;References!$BO$22,References!$BP$22,
IF(AVERAGE(AD395:AF395)&gt;References!$BO$21,References!$BP$21,
IF(AVERAGE(AD395:AF395)&gt;References!$BO$20,References!$BP$20,
IF(AVERAGE(AD395:AF395)&gt;References!$BO$19,References!$BP$19,
IF(AVERAGE(AD395:AF395)&gt;References!$BO$18,References!$BP$18,
0)))))),"")</f>
        <v/>
      </c>
      <c r="AH395" s="136" t="e">
        <f>VLOOKUP(Data_Geotech[[#This Row],[Field Intact Rock Strength]],Table_RMR76_Strength[],2,FALSE)</f>
        <v>#N/A</v>
      </c>
      <c r="AI395" s="136" t="e">
        <f>IF(Data_Geotech[[#This Row],[RQD (%)]]&lt;=25,3,IF(Data_Geotech[[#This Row],[RQD (%)]]&lt;=50,8,IF(Data_Geotech[[#This Row],[RQD (%)]]&lt;=75,13,IF(Data_Geotech[[#This Row],[RQD (%)]]&lt;=90,17,20))))</f>
        <v>#DIV/0!</v>
      </c>
      <c r="AJ395" s="136">
        <f>IF(Data_Geotech[[#This Row],[Joint spacing (m)]]&lt;=0.05,5,IF(Data_Geotech[[#This Row],[Joint spacing (m)]]&lt;=0.3,10,IF(Data_Geotech[[#This Row],[Joint spacing (m)]]&lt;=1,20,IF(Data_Geotech[[#This Row],[Joint spacing (m)]]&lt;=3,25,30))))</f>
        <v>30</v>
      </c>
      <c r="AK39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5" s="6"/>
      <c r="AM395" s="137" t="str">
        <f>IF(Data_Geotech[[#This Row],[FIRS Code]]="R",IFERROR(SUM(Data_Geotech[[#This Row],[RMR76 - Strength rating]:[RMR76 - Ground water rating]]),""),"")</f>
        <v/>
      </c>
      <c r="AN395" s="137" t="str">
        <f>IF(Data_Geotech[[#This Row],[FIRS Code]]="R",(2*Data_Geotech[[#This Row],[RMR76 - Joint condition rating]])+(IF(Data_Geotech[[#This Row],[RQD (%)]]&gt;80,80/2,Data_Geotech[[#This Row],[RQD (%)]]/2)),"")</f>
        <v/>
      </c>
      <c r="AO395" s="136" t="e">
        <f>LEFT(Data_Geotech[[#This Row],[Joint Set Rating]],FIND("-",Data_Geotech[[#This Row],[Joint Set Rating]],1)-2)</f>
        <v>#VALUE!</v>
      </c>
      <c r="AP39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5" s="143">
        <f t="shared" ref="AQ395:AQ426" si="9">1/1</f>
        <v>1</v>
      </c>
      <c r="AR395" s="138" t="str">
        <f>IF(Data_Geotech[[#This Row],[FIRS Code]]="R",IFERROR((IF(Data_Geotech[[#This Row],[RQD (%)]]&lt;10,10,Data_Geotech[[#This Row],[RQD (%)]])/Data_Geotech[[#This Row],[Jn rating]])*Data_Geotech[[#This Row],[Jr/Ja]],""),"")</f>
        <v/>
      </c>
      <c r="AS395" s="138" t="str">
        <f>IF(Data_Geotech[[#This Row],[FIRS Code]]="R",IFERROR((IF(Data_Geotech[[#This Row],[RQD (%)]]&lt;10,10,Data_Geotech[[#This Row],[RQD (%)]])/Data_Geotech[[#This Row],[Jn rating]])*Data_Geotech[[#This Row],[Jr/Ja]]*Data_Geotech[[#This Row],[Jw/SRF]],""),"")</f>
        <v/>
      </c>
      <c r="AT395" s="12"/>
      <c r="AU395" s="13" t="e">
        <f>100-Data_Geotech[[#This Row],[RQD (%)]]</f>
        <v>#DIV/0!</v>
      </c>
      <c r="AV395" s="13" t="e">
        <f>100-Data_Geotech[[#This Row],[TCR (%)]]</f>
        <v>#DIV/0!</v>
      </c>
      <c r="AW395" s="62" t="e">
        <f>(Data_Geotech[[#This Row],[Fracture per interval]]+Data_Geotech[[#This Row],[Added fractures 
(BC, FLT, LC)]])/Data_Geotech[[#This Row],[TCR (m)]]</f>
        <v>#DIV/0!</v>
      </c>
      <c r="AX395" s="62" t="str">
        <f>MID(Data_Geotech[[#This Row],[Field Intact Rock Strength]],2,1)</f>
        <v/>
      </c>
      <c r="AY395" s="63" t="e">
        <f>7-MID(Data_Geotech[[#This Row],[Field Intact Rock Strength]],2,1)</f>
        <v>#VALUE!</v>
      </c>
      <c r="AZ395" s="63" t="e">
        <f>VLOOKUP(Data_Geotech[[#This Row],[Field Intact Rock Strength]],Table_FieldStrength[],2,FALSE)</f>
        <v>#N/A</v>
      </c>
      <c r="BA395" s="63" t="e">
        <f>VLOOKUP(Data_Geotech[[#This Row],[Field Intact Rock Strength]],Table_FieldStrength[],3,FALSE)</f>
        <v>#N/A</v>
      </c>
      <c r="BB395" s="63" t="e">
        <f>VLOOKUP(Data_Geotech[[#This Row],[Field Intact Rock Strength]],Table_FieldStrength[],4,FALSE)</f>
        <v>#N/A</v>
      </c>
      <c r="BC395" s="63" t="e">
        <f>100-Data_Geotech[[#This Row],[RMR76]]</f>
        <v>#VALUE!</v>
      </c>
      <c r="BD395" s="63" t="e">
        <f>LEFT(Data_Geotech[[#This Row],[Weathering/Alteration]],FIND("-",Data_Geotech[[#This Row],[Weathering/Alteration]])-2)</f>
        <v>#VALUE!</v>
      </c>
    </row>
    <row r="396" spans="1:56" hidden="1" x14ac:dyDescent="0.25">
      <c r="A396" s="14"/>
      <c r="B396" s="166" t="e">
        <f>VLOOKUP(Data_Geotech[[#This Row],[Hole ID]],Data_Log[],2,FALSE)</f>
        <v>#N/A</v>
      </c>
      <c r="C396" s="5"/>
      <c r="D396" s="5"/>
      <c r="E396" s="5">
        <f>(Data_Geotech[[#This Row],[To (m)]]-Data_Geotech[[#This Row],[From (m)]])/2+Data_Geotech[[#This Row],[From (m)]]</f>
        <v>0</v>
      </c>
      <c r="F396" s="13">
        <f>Data_Geotech[[#This Row],[To (m)]]-Data_Geotech[[#This Row],[From (m)]]</f>
        <v>0</v>
      </c>
      <c r="G396" s="5"/>
      <c r="H396" s="13" t="e">
        <f>Data_Geotech[[#This Row],[TCR (m)]]/Data_Geotech[[#This Row],[Run (m)]]*100</f>
        <v>#DIV/0!</v>
      </c>
      <c r="I396" s="5"/>
      <c r="J396" s="5"/>
      <c r="K396" s="5"/>
      <c r="L396" s="13" t="e">
        <f>Data_Geotech[[#This Row],[RQD (m)]]/Data_Geotech[[#This Row],[Run Reel (m)]]*100</f>
        <v>#DIV/0!</v>
      </c>
      <c r="P396" s="115"/>
      <c r="Q396" s="5"/>
      <c r="R396" s="5"/>
      <c r="S396" s="5"/>
      <c r="T396" s="5"/>
      <c r="U396" s="5"/>
      <c r="V396" s="6"/>
      <c r="W396" s="92">
        <f>SUMIFS(Discontinuities!$D$4:$D$9664,Discontinuities!$A$4:$A$9664,A396,Discontinuities!$C$4:$C$9664,"&gt;="&amp;C396,Discontinuities!$C$4:$C$9664,"&lt;"&amp;D396)
-SUMIFS(Discontinuities!$D$4:$D$9664,Discontinuities!$A$4:$A$9664,A396,Discontinuities!$C$4:$C$9664,"&gt;="&amp;C396,Discontinuities!$C$4:$C$9664,"&lt;"&amp;D396,Discontinuities!$E$4:$E$9664,"=BC")
-SUMIFS(Discontinuities!$D$4:$D$9664,Discontinuities!$A$4:$A$9664,A396,Discontinuities!$C$4:$C$9664,"&gt;="&amp;C396,Discontinuities!$C$4:$C$9664,"&lt;"&amp;D396,Discontinuities!$E$4:$E$9664,"=LC")
-SUMIFS(Discontinuities!$D$4:$D$9664,Discontinuities!$A$4:$A$9664,A396,Discontinuities!$C$4:$C$9664,"&gt;="&amp;C396,Discontinuities!$C$4:$C$9664,"&lt;"&amp;D396,Discontinuities!$E$4:$E$9664,"=FLT")</f>
        <v>0</v>
      </c>
      <c r="AA396" s="132"/>
      <c r="AB396" s="159">
        <f>IFERROR(ROUND((Data_Geotech[[#This Row],[Fault (m)]]+Data_Geotech[[#This Row],[Broken Core (m)]]+Data_Geotech[[#This Row],[Lost Core (m)]])*30,0),0)</f>
        <v>0</v>
      </c>
      <c r="AC396" s="135">
        <f>IF(Data_Geotech[[#This Row],[Added fractures 
(BC, FLT, LC)]]+Data_Geotech[[#This Row],[Fracture per interval]]=0,99,1/((Data_Geotech[[#This Row],[Fracture per interval]]+Data_Geotech[[#This Row],[Added fractures 
(BC, FLT, LC)]])/Data_Geotech[[#This Row],[Run (m)]]))</f>
        <v>99</v>
      </c>
      <c r="AD396" s="160" t="str" cm="1">
        <f t="array" ref="AD396">IFERROR(_xlfn.XLOOKUP(1,(A396=PLT!$A$4:$A$8886)*(Geotech!C396&lt;=PLT!$F$4:$F$8886)*(Geotech!D396&gt;=PLT!$F$4:$F$8886)*("Valid"=PLT!$P$4:$P$8886),PLT!$V$4:$V$8886),"")</f>
        <v/>
      </c>
      <c r="AE396" s="161" t="str" cm="1">
        <f t="array" ref="AE396">IFERROR(_xlfn.XLOOKUP(1,(A396=PLT!$A$4:$A$8886)*(Geotech!C396&lt;=PLT!$F$4:$F$8886)*(Geotech!D396&gt;=PLT!$F$4:$F$8886)*(PLT!$V$4:$V$8886&lt;&gt;AD396)*("Valid"=PLT!$P$4:$P$7190),PLT!$V$4:$V$8886),"")</f>
        <v/>
      </c>
      <c r="AF396" s="161" t="str" cm="1">
        <f t="array" ref="AF396">IFERROR(_xlfn.XLOOKUP(1,(A396=PLT!$A$4:$A$8886)*(Geotech!C396&lt;=PLT!$F$4:$F$8886)*(Geotech!D396&gt;=PLT!$F$4:$F$8886)*(PLT!$V$4:$V$8886&lt;&gt;AD396)*(PLT!$V$4:$V$8886&lt;&gt;AE396)*("Valid"=PLT!$P$4:$P$7190),PLT!$V$4:$V$8886),"")</f>
        <v/>
      </c>
      <c r="AG396" s="162" t="str">
        <f>IFERROR(IF(AVERAGE(AD396:AF396)&gt;References!$BO$23,References!$BP$23,
IF(AVERAGE(AD396:AF396)&gt;References!$BO$22,References!$BP$22,
IF(AVERAGE(AD396:AF396)&gt;References!$BO$21,References!$BP$21,
IF(AVERAGE(AD396:AF396)&gt;References!$BO$20,References!$BP$20,
IF(AVERAGE(AD396:AF396)&gt;References!$BO$19,References!$BP$19,
IF(AVERAGE(AD396:AF396)&gt;References!$BO$18,References!$BP$18,
0)))))),"")</f>
        <v/>
      </c>
      <c r="AH396" s="163" t="e">
        <f>VLOOKUP(Data_Geotech[[#This Row],[Field Intact Rock Strength]],Table_RMR76_Strength[],2,FALSE)</f>
        <v>#N/A</v>
      </c>
      <c r="AI396" s="163" t="e">
        <f>IF(Data_Geotech[[#This Row],[RQD (%)]]&lt;=25,3,IF(Data_Geotech[[#This Row],[RQD (%)]]&lt;=50,8,IF(Data_Geotech[[#This Row],[RQD (%)]]&lt;=75,13,IF(Data_Geotech[[#This Row],[RQD (%)]]&lt;=90,17,20))))</f>
        <v>#DIV/0!</v>
      </c>
      <c r="AJ396" s="136">
        <f>IF(Data_Geotech[[#This Row],[Joint spacing (m)]]&lt;=0.05,5,IF(Data_Geotech[[#This Row],[Joint spacing (m)]]&lt;=0.3,10,IF(Data_Geotech[[#This Row],[Joint spacing (m)]]&lt;=1,20,IF(Data_Geotech[[#This Row],[Joint spacing (m)]]&lt;=3,25,30))))</f>
        <v>30</v>
      </c>
      <c r="AK39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6" s="6"/>
      <c r="AM396" s="137" t="str">
        <f>IF(Data_Geotech[[#This Row],[FIRS Code]]="R",IFERROR(SUM(Data_Geotech[[#This Row],[RMR76 - Strength rating]:[RMR76 - Ground water rating]]),""),"")</f>
        <v/>
      </c>
      <c r="AN396" s="164" t="str">
        <f>IF(Data_Geotech[[#This Row],[FIRS Code]]="R",(2*Data_Geotech[[#This Row],[RMR76 - Joint condition rating]])+(IF(Data_Geotech[[#This Row],[RQD (%)]]&gt;80,80/2,Data_Geotech[[#This Row],[RQD (%)]]/2)),"")</f>
        <v/>
      </c>
      <c r="AO396" s="136" t="e">
        <f>LEFT(Data_Geotech[[#This Row],[Joint Set Rating]],FIND("-",Data_Geotech[[#This Row],[Joint Set Rating]],1)-2)</f>
        <v>#VALUE!</v>
      </c>
      <c r="AP39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6" s="143">
        <f t="shared" si="9"/>
        <v>1</v>
      </c>
      <c r="AR396" s="165" t="str">
        <f>IF(Data_Geotech[[#This Row],[FIRS Code]]="R",IFERROR((IF(Data_Geotech[[#This Row],[RQD (%)]]&lt;10,10,Data_Geotech[[#This Row],[RQD (%)]])/Data_Geotech[[#This Row],[Jn rating]])*Data_Geotech[[#This Row],[Jr/Ja]],""),"")</f>
        <v/>
      </c>
      <c r="AS396" s="138" t="str">
        <f>IF(Data_Geotech[[#This Row],[FIRS Code]]="R",IFERROR((IF(Data_Geotech[[#This Row],[RQD (%)]]&lt;10,10,Data_Geotech[[#This Row],[RQD (%)]])/Data_Geotech[[#This Row],[Jn rating]])*Data_Geotech[[#This Row],[Jr/Ja]]*Data_Geotech[[#This Row],[Jw/SRF]],""),"")</f>
        <v/>
      </c>
      <c r="AT396" s="12"/>
      <c r="AU396" s="13" t="e">
        <f>100-Data_Geotech[[#This Row],[RQD (%)]]</f>
        <v>#DIV/0!</v>
      </c>
      <c r="AV396" s="13" t="e">
        <f>100-Data_Geotech[[#This Row],[TCR (%)]]</f>
        <v>#DIV/0!</v>
      </c>
      <c r="AW396" s="62" t="e">
        <f>(Data_Geotech[[#This Row],[Fracture per interval]]+Data_Geotech[[#This Row],[Added fractures 
(BC, FLT, LC)]])/Data_Geotech[[#This Row],[TCR (m)]]</f>
        <v>#DIV/0!</v>
      </c>
      <c r="AX396" s="62" t="str">
        <f>MID(Data_Geotech[[#This Row],[Field Intact Rock Strength]],2,1)</f>
        <v/>
      </c>
      <c r="AY396" s="63" t="e">
        <f>7-MID(Data_Geotech[[#This Row],[Field Intact Rock Strength]],2,1)</f>
        <v>#VALUE!</v>
      </c>
      <c r="AZ396" s="63" t="e">
        <f>VLOOKUP(Data_Geotech[[#This Row],[Field Intact Rock Strength]],Table_FieldStrength[],2,FALSE)</f>
        <v>#N/A</v>
      </c>
      <c r="BA396" s="63" t="e">
        <f>VLOOKUP(Data_Geotech[[#This Row],[Field Intact Rock Strength]],Table_FieldStrength[],3,FALSE)</f>
        <v>#N/A</v>
      </c>
      <c r="BB396" s="63" t="e">
        <f>VLOOKUP(Data_Geotech[[#This Row],[Field Intact Rock Strength]],Table_FieldStrength[],4,FALSE)</f>
        <v>#N/A</v>
      </c>
      <c r="BC396" s="63" t="e">
        <f>100-Data_Geotech[[#This Row],[RMR76]]</f>
        <v>#VALUE!</v>
      </c>
      <c r="BD396" s="63" t="e">
        <f>LEFT(Data_Geotech[[#This Row],[Weathering/Alteration]],FIND("-",Data_Geotech[[#This Row],[Weathering/Alteration]])-2)</f>
        <v>#VALUE!</v>
      </c>
    </row>
    <row r="397" spans="1:56" hidden="1" x14ac:dyDescent="0.25">
      <c r="A397" s="14"/>
      <c r="B397" s="166" t="e">
        <f>VLOOKUP(Data_Geotech[[#This Row],[Hole ID]],Data_Log[],2,FALSE)</f>
        <v>#N/A</v>
      </c>
      <c r="C397" s="5"/>
      <c r="D397" s="5"/>
      <c r="E397" s="5">
        <f>(Data_Geotech[[#This Row],[To (m)]]-Data_Geotech[[#This Row],[From (m)]])/2+Data_Geotech[[#This Row],[From (m)]]</f>
        <v>0</v>
      </c>
      <c r="F397" s="13">
        <f>Data_Geotech[[#This Row],[To (m)]]-Data_Geotech[[#This Row],[From (m)]]</f>
        <v>0</v>
      </c>
      <c r="G397" s="5"/>
      <c r="H397" s="13" t="e">
        <f>Data_Geotech[[#This Row],[TCR (m)]]/Data_Geotech[[#This Row],[Run (m)]]*100</f>
        <v>#DIV/0!</v>
      </c>
      <c r="I397" s="5"/>
      <c r="J397" s="5"/>
      <c r="K397" s="5"/>
      <c r="L397" s="13" t="e">
        <f>Data_Geotech[[#This Row],[RQD (m)]]/Data_Geotech[[#This Row],[Run Reel (m)]]*100</f>
        <v>#DIV/0!</v>
      </c>
      <c r="P397" s="115"/>
      <c r="Q397" s="5"/>
      <c r="R397" s="5"/>
      <c r="S397" s="5"/>
      <c r="T397" s="5"/>
      <c r="U397" s="5"/>
      <c r="V397" s="6"/>
      <c r="W397" s="92">
        <f>SUMIFS(Discontinuities!$D$4:$D$9664,Discontinuities!$A$4:$A$9664,A397,Discontinuities!$C$4:$C$9664,"&gt;="&amp;C397,Discontinuities!$C$4:$C$9664,"&lt;"&amp;D397)
-SUMIFS(Discontinuities!$D$4:$D$9664,Discontinuities!$A$4:$A$9664,A397,Discontinuities!$C$4:$C$9664,"&gt;="&amp;C397,Discontinuities!$C$4:$C$9664,"&lt;"&amp;D397,Discontinuities!$E$4:$E$9664,"=BC")
-SUMIFS(Discontinuities!$D$4:$D$9664,Discontinuities!$A$4:$A$9664,A397,Discontinuities!$C$4:$C$9664,"&gt;="&amp;C397,Discontinuities!$C$4:$C$9664,"&lt;"&amp;D397,Discontinuities!$E$4:$E$9664,"=LC")
-SUMIFS(Discontinuities!$D$4:$D$9664,Discontinuities!$A$4:$A$9664,A397,Discontinuities!$C$4:$C$9664,"&gt;="&amp;C397,Discontinuities!$C$4:$C$9664,"&lt;"&amp;D397,Discontinuities!$E$4:$E$9664,"=FLT")</f>
        <v>0</v>
      </c>
      <c r="AA397" s="132"/>
      <c r="AB397" s="159">
        <f>IFERROR(ROUND((Data_Geotech[[#This Row],[Fault (m)]]+Data_Geotech[[#This Row],[Broken Core (m)]]+Data_Geotech[[#This Row],[Lost Core (m)]])*30,0),0)</f>
        <v>0</v>
      </c>
      <c r="AC397" s="135">
        <f>IF(Data_Geotech[[#This Row],[Added fractures 
(BC, FLT, LC)]]+Data_Geotech[[#This Row],[Fracture per interval]]=0,99,1/((Data_Geotech[[#This Row],[Fracture per interval]]+Data_Geotech[[#This Row],[Added fractures 
(BC, FLT, LC)]])/Data_Geotech[[#This Row],[Run (m)]]))</f>
        <v>99</v>
      </c>
      <c r="AD397" s="160" t="str" cm="1">
        <f t="array" ref="AD397">IFERROR(_xlfn.XLOOKUP(1,(A397=PLT!$A$4:$A$8886)*(Geotech!C397&lt;=PLT!$F$4:$F$8886)*(Geotech!D397&gt;=PLT!$F$4:$F$8886)*("Valid"=PLT!$P$4:$P$8886),PLT!$V$4:$V$8886),"")</f>
        <v/>
      </c>
      <c r="AE397" s="161" t="str" cm="1">
        <f t="array" ref="AE397">IFERROR(_xlfn.XLOOKUP(1,(A397=PLT!$A$4:$A$8886)*(Geotech!C397&lt;=PLT!$F$4:$F$8886)*(Geotech!D397&gt;=PLT!$F$4:$F$8886)*(PLT!$V$4:$V$8886&lt;&gt;AD397)*("Valid"=PLT!$P$4:$P$7190),PLT!$V$4:$V$8886),"")</f>
        <v/>
      </c>
      <c r="AF397" s="161" t="str" cm="1">
        <f t="array" ref="AF397">IFERROR(_xlfn.XLOOKUP(1,(A397=PLT!$A$4:$A$8886)*(Geotech!C397&lt;=PLT!$F$4:$F$8886)*(Geotech!D397&gt;=PLT!$F$4:$F$8886)*(PLT!$V$4:$V$8886&lt;&gt;AD397)*(PLT!$V$4:$V$8886&lt;&gt;AE397)*("Valid"=PLT!$P$4:$P$7190),PLT!$V$4:$V$8886),"")</f>
        <v/>
      </c>
      <c r="AG397" s="162" t="str">
        <f>IFERROR(IF(AVERAGE(AD397:AF397)&gt;References!$BO$23,References!$BP$23,
IF(AVERAGE(AD397:AF397)&gt;References!$BO$22,References!$BP$22,
IF(AVERAGE(AD397:AF397)&gt;References!$BO$21,References!$BP$21,
IF(AVERAGE(AD397:AF397)&gt;References!$BO$20,References!$BP$20,
IF(AVERAGE(AD397:AF397)&gt;References!$BO$19,References!$BP$19,
IF(AVERAGE(AD397:AF397)&gt;References!$BO$18,References!$BP$18,
0)))))),"")</f>
        <v/>
      </c>
      <c r="AH397" s="163" t="e">
        <f>VLOOKUP(Data_Geotech[[#This Row],[Field Intact Rock Strength]],Table_RMR76_Strength[],2,FALSE)</f>
        <v>#N/A</v>
      </c>
      <c r="AI397" s="163" t="e">
        <f>IF(Data_Geotech[[#This Row],[RQD (%)]]&lt;=25,3,IF(Data_Geotech[[#This Row],[RQD (%)]]&lt;=50,8,IF(Data_Geotech[[#This Row],[RQD (%)]]&lt;=75,13,IF(Data_Geotech[[#This Row],[RQD (%)]]&lt;=90,17,20))))</f>
        <v>#DIV/0!</v>
      </c>
      <c r="AJ397" s="136">
        <f>IF(Data_Geotech[[#This Row],[Joint spacing (m)]]&lt;=0.05,5,IF(Data_Geotech[[#This Row],[Joint spacing (m)]]&lt;=0.3,10,IF(Data_Geotech[[#This Row],[Joint spacing (m)]]&lt;=1,20,IF(Data_Geotech[[#This Row],[Joint spacing (m)]]&lt;=3,25,30))))</f>
        <v>30</v>
      </c>
      <c r="AK39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7" s="6"/>
      <c r="AM397" s="137" t="str">
        <f>IF(Data_Geotech[[#This Row],[FIRS Code]]="R",IFERROR(SUM(Data_Geotech[[#This Row],[RMR76 - Strength rating]:[RMR76 - Ground water rating]]),""),"")</f>
        <v/>
      </c>
      <c r="AN397" s="164" t="str">
        <f>IF(Data_Geotech[[#This Row],[FIRS Code]]="R",(2*Data_Geotech[[#This Row],[RMR76 - Joint condition rating]])+(IF(Data_Geotech[[#This Row],[RQD (%)]]&gt;80,80/2,Data_Geotech[[#This Row],[RQD (%)]]/2)),"")</f>
        <v/>
      </c>
      <c r="AO397" s="136" t="e">
        <f>LEFT(Data_Geotech[[#This Row],[Joint Set Rating]],FIND("-",Data_Geotech[[#This Row],[Joint Set Rating]],1)-2)</f>
        <v>#VALUE!</v>
      </c>
      <c r="AP39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7" s="143">
        <f t="shared" si="9"/>
        <v>1</v>
      </c>
      <c r="AR397" s="165" t="str">
        <f>IF(Data_Geotech[[#This Row],[FIRS Code]]="R",IFERROR((IF(Data_Geotech[[#This Row],[RQD (%)]]&lt;10,10,Data_Geotech[[#This Row],[RQD (%)]])/Data_Geotech[[#This Row],[Jn rating]])*Data_Geotech[[#This Row],[Jr/Ja]],""),"")</f>
        <v/>
      </c>
      <c r="AS397" s="138" t="str">
        <f>IF(Data_Geotech[[#This Row],[FIRS Code]]="R",IFERROR((IF(Data_Geotech[[#This Row],[RQD (%)]]&lt;10,10,Data_Geotech[[#This Row],[RQD (%)]])/Data_Geotech[[#This Row],[Jn rating]])*Data_Geotech[[#This Row],[Jr/Ja]]*Data_Geotech[[#This Row],[Jw/SRF]],""),"")</f>
        <v/>
      </c>
      <c r="AT397" s="12"/>
      <c r="AU397" s="13" t="e">
        <f>100-Data_Geotech[[#This Row],[RQD (%)]]</f>
        <v>#DIV/0!</v>
      </c>
      <c r="AV397" s="13" t="e">
        <f>100-Data_Geotech[[#This Row],[TCR (%)]]</f>
        <v>#DIV/0!</v>
      </c>
      <c r="AW397" s="62" t="e">
        <f>(Data_Geotech[[#This Row],[Fracture per interval]]+Data_Geotech[[#This Row],[Added fractures 
(BC, FLT, LC)]])/Data_Geotech[[#This Row],[TCR (m)]]</f>
        <v>#DIV/0!</v>
      </c>
      <c r="AX397" s="62" t="str">
        <f>MID(Data_Geotech[[#This Row],[Field Intact Rock Strength]],2,1)</f>
        <v/>
      </c>
      <c r="AY397" s="63" t="e">
        <f>7-MID(Data_Geotech[[#This Row],[Field Intact Rock Strength]],2,1)</f>
        <v>#VALUE!</v>
      </c>
      <c r="AZ397" s="63" t="e">
        <f>VLOOKUP(Data_Geotech[[#This Row],[Field Intact Rock Strength]],Table_FieldStrength[],2,FALSE)</f>
        <v>#N/A</v>
      </c>
      <c r="BA397" s="63" t="e">
        <f>VLOOKUP(Data_Geotech[[#This Row],[Field Intact Rock Strength]],Table_FieldStrength[],3,FALSE)</f>
        <v>#N/A</v>
      </c>
      <c r="BB397" s="63" t="e">
        <f>VLOOKUP(Data_Geotech[[#This Row],[Field Intact Rock Strength]],Table_FieldStrength[],4,FALSE)</f>
        <v>#N/A</v>
      </c>
      <c r="BC397" s="63" t="e">
        <f>100-Data_Geotech[[#This Row],[RMR76]]</f>
        <v>#VALUE!</v>
      </c>
      <c r="BD397" s="63" t="e">
        <f>LEFT(Data_Geotech[[#This Row],[Weathering/Alteration]],FIND("-",Data_Geotech[[#This Row],[Weathering/Alteration]])-2)</f>
        <v>#VALUE!</v>
      </c>
    </row>
    <row r="398" spans="1:56" hidden="1" x14ac:dyDescent="0.25">
      <c r="A398" s="14"/>
      <c r="B398" s="166" t="e">
        <f>VLOOKUP(Data_Geotech[[#This Row],[Hole ID]],Data_Log[],2,FALSE)</f>
        <v>#N/A</v>
      </c>
      <c r="C398" s="5"/>
      <c r="D398" s="5"/>
      <c r="E398" s="5">
        <f>(Data_Geotech[[#This Row],[To (m)]]-Data_Geotech[[#This Row],[From (m)]])/2+Data_Geotech[[#This Row],[From (m)]]</f>
        <v>0</v>
      </c>
      <c r="F398" s="13">
        <f>Data_Geotech[[#This Row],[To (m)]]-Data_Geotech[[#This Row],[From (m)]]</f>
        <v>0</v>
      </c>
      <c r="G398" s="5"/>
      <c r="H398" s="13" t="e">
        <f>Data_Geotech[[#This Row],[TCR (m)]]/Data_Geotech[[#This Row],[Run (m)]]*100</f>
        <v>#DIV/0!</v>
      </c>
      <c r="I398" s="5"/>
      <c r="J398" s="5"/>
      <c r="K398" s="5"/>
      <c r="L398" s="13" t="e">
        <f>Data_Geotech[[#This Row],[RQD (m)]]/Data_Geotech[[#This Row],[Run Reel (m)]]*100</f>
        <v>#DIV/0!</v>
      </c>
      <c r="P398" s="115"/>
      <c r="Q398" s="5"/>
      <c r="R398" s="5"/>
      <c r="S398" s="5"/>
      <c r="T398" s="5"/>
      <c r="U398" s="5"/>
      <c r="V398" s="6"/>
      <c r="W398" s="92">
        <f>SUMIFS(Discontinuities!$D$4:$D$9664,Discontinuities!$A$4:$A$9664,A398,Discontinuities!$C$4:$C$9664,"&gt;="&amp;C398,Discontinuities!$C$4:$C$9664,"&lt;"&amp;D398)
-SUMIFS(Discontinuities!$D$4:$D$9664,Discontinuities!$A$4:$A$9664,A398,Discontinuities!$C$4:$C$9664,"&gt;="&amp;C398,Discontinuities!$C$4:$C$9664,"&lt;"&amp;D398,Discontinuities!$E$4:$E$9664,"=BC")
-SUMIFS(Discontinuities!$D$4:$D$9664,Discontinuities!$A$4:$A$9664,A398,Discontinuities!$C$4:$C$9664,"&gt;="&amp;C398,Discontinuities!$C$4:$C$9664,"&lt;"&amp;D398,Discontinuities!$E$4:$E$9664,"=LC")
-SUMIFS(Discontinuities!$D$4:$D$9664,Discontinuities!$A$4:$A$9664,A398,Discontinuities!$C$4:$C$9664,"&gt;="&amp;C398,Discontinuities!$C$4:$C$9664,"&lt;"&amp;D398,Discontinuities!$E$4:$E$9664,"=FLT")</f>
        <v>0</v>
      </c>
      <c r="AA398" s="132"/>
      <c r="AB398" s="159">
        <f>IFERROR(ROUND((Data_Geotech[[#This Row],[Fault (m)]]+Data_Geotech[[#This Row],[Broken Core (m)]]+Data_Geotech[[#This Row],[Lost Core (m)]])*30,0),0)</f>
        <v>0</v>
      </c>
      <c r="AC398" s="135">
        <f>IF(Data_Geotech[[#This Row],[Added fractures 
(BC, FLT, LC)]]+Data_Geotech[[#This Row],[Fracture per interval]]=0,99,1/((Data_Geotech[[#This Row],[Fracture per interval]]+Data_Geotech[[#This Row],[Added fractures 
(BC, FLT, LC)]])/Data_Geotech[[#This Row],[Run (m)]]))</f>
        <v>99</v>
      </c>
      <c r="AD398" s="160" t="str" cm="1">
        <f t="array" ref="AD398">IFERROR(_xlfn.XLOOKUP(1,(A398=PLT!$A$4:$A$8886)*(Geotech!C398&lt;=PLT!$F$4:$F$8886)*(Geotech!D398&gt;=PLT!$F$4:$F$8886)*("Valid"=PLT!$P$4:$P$8886),PLT!$V$4:$V$8886),"")</f>
        <v/>
      </c>
      <c r="AE398" s="161" t="str" cm="1">
        <f t="array" ref="AE398">IFERROR(_xlfn.XLOOKUP(1,(A398=PLT!$A$4:$A$8886)*(Geotech!C398&lt;=PLT!$F$4:$F$8886)*(Geotech!D398&gt;=PLT!$F$4:$F$8886)*(PLT!$V$4:$V$8886&lt;&gt;AD398)*("Valid"=PLT!$P$4:$P$7190),PLT!$V$4:$V$8886),"")</f>
        <v/>
      </c>
      <c r="AF398" s="161" t="str" cm="1">
        <f t="array" ref="AF398">IFERROR(_xlfn.XLOOKUP(1,(A398=PLT!$A$4:$A$8886)*(Geotech!C398&lt;=PLT!$F$4:$F$8886)*(Geotech!D398&gt;=PLT!$F$4:$F$8886)*(PLT!$V$4:$V$8886&lt;&gt;AD398)*(PLT!$V$4:$V$8886&lt;&gt;AE398)*("Valid"=PLT!$P$4:$P$7190),PLT!$V$4:$V$8886),"")</f>
        <v/>
      </c>
      <c r="AG398" s="162" t="str">
        <f>IFERROR(IF(AVERAGE(AD398:AF398)&gt;References!$BO$23,References!$BP$23,
IF(AVERAGE(AD398:AF398)&gt;References!$BO$22,References!$BP$22,
IF(AVERAGE(AD398:AF398)&gt;References!$BO$21,References!$BP$21,
IF(AVERAGE(AD398:AF398)&gt;References!$BO$20,References!$BP$20,
IF(AVERAGE(AD398:AF398)&gt;References!$BO$19,References!$BP$19,
IF(AVERAGE(AD398:AF398)&gt;References!$BO$18,References!$BP$18,
0)))))),"")</f>
        <v/>
      </c>
      <c r="AH398" s="163" t="e">
        <f>VLOOKUP(Data_Geotech[[#This Row],[Field Intact Rock Strength]],Table_RMR76_Strength[],2,FALSE)</f>
        <v>#N/A</v>
      </c>
      <c r="AI398" s="163" t="e">
        <f>IF(Data_Geotech[[#This Row],[RQD (%)]]&lt;=25,3,IF(Data_Geotech[[#This Row],[RQD (%)]]&lt;=50,8,IF(Data_Geotech[[#This Row],[RQD (%)]]&lt;=75,13,IF(Data_Geotech[[#This Row],[RQD (%)]]&lt;=90,17,20))))</f>
        <v>#DIV/0!</v>
      </c>
      <c r="AJ398" s="136">
        <f>IF(Data_Geotech[[#This Row],[Joint spacing (m)]]&lt;=0.05,5,IF(Data_Geotech[[#This Row],[Joint spacing (m)]]&lt;=0.3,10,IF(Data_Geotech[[#This Row],[Joint spacing (m)]]&lt;=1,20,IF(Data_Geotech[[#This Row],[Joint spacing (m)]]&lt;=3,25,30))))</f>
        <v>30</v>
      </c>
      <c r="AK39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8" s="6"/>
      <c r="AM398" s="137" t="str">
        <f>IF(Data_Geotech[[#This Row],[FIRS Code]]="R",IFERROR(SUM(Data_Geotech[[#This Row],[RMR76 - Strength rating]:[RMR76 - Ground water rating]]),""),"")</f>
        <v/>
      </c>
      <c r="AN398" s="164" t="str">
        <f>IF(Data_Geotech[[#This Row],[FIRS Code]]="R",(2*Data_Geotech[[#This Row],[RMR76 - Joint condition rating]])+(IF(Data_Geotech[[#This Row],[RQD (%)]]&gt;80,80/2,Data_Geotech[[#This Row],[RQD (%)]]/2)),"")</f>
        <v/>
      </c>
      <c r="AO398" s="136" t="e">
        <f>LEFT(Data_Geotech[[#This Row],[Joint Set Rating]],FIND("-",Data_Geotech[[#This Row],[Joint Set Rating]],1)-2)</f>
        <v>#VALUE!</v>
      </c>
      <c r="AP39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8" s="143">
        <f t="shared" si="9"/>
        <v>1</v>
      </c>
      <c r="AR398" s="165" t="str">
        <f>IF(Data_Geotech[[#This Row],[FIRS Code]]="R",IFERROR((IF(Data_Geotech[[#This Row],[RQD (%)]]&lt;10,10,Data_Geotech[[#This Row],[RQD (%)]])/Data_Geotech[[#This Row],[Jn rating]])*Data_Geotech[[#This Row],[Jr/Ja]],""),"")</f>
        <v/>
      </c>
      <c r="AS398" s="138" t="str">
        <f>IF(Data_Geotech[[#This Row],[FIRS Code]]="R",IFERROR((IF(Data_Geotech[[#This Row],[RQD (%)]]&lt;10,10,Data_Geotech[[#This Row],[RQD (%)]])/Data_Geotech[[#This Row],[Jn rating]])*Data_Geotech[[#This Row],[Jr/Ja]]*Data_Geotech[[#This Row],[Jw/SRF]],""),"")</f>
        <v/>
      </c>
      <c r="AT398" s="12"/>
      <c r="AU398" s="13" t="e">
        <f>100-Data_Geotech[[#This Row],[RQD (%)]]</f>
        <v>#DIV/0!</v>
      </c>
      <c r="AV398" s="13" t="e">
        <f>100-Data_Geotech[[#This Row],[TCR (%)]]</f>
        <v>#DIV/0!</v>
      </c>
      <c r="AW398" s="62" t="e">
        <f>(Data_Geotech[[#This Row],[Fracture per interval]]+Data_Geotech[[#This Row],[Added fractures 
(BC, FLT, LC)]])/Data_Geotech[[#This Row],[TCR (m)]]</f>
        <v>#DIV/0!</v>
      </c>
      <c r="AX398" s="62" t="str">
        <f>MID(Data_Geotech[[#This Row],[Field Intact Rock Strength]],2,1)</f>
        <v/>
      </c>
      <c r="AY398" s="63" t="e">
        <f>7-MID(Data_Geotech[[#This Row],[Field Intact Rock Strength]],2,1)</f>
        <v>#VALUE!</v>
      </c>
      <c r="AZ398" s="63" t="e">
        <f>VLOOKUP(Data_Geotech[[#This Row],[Field Intact Rock Strength]],Table_FieldStrength[],2,FALSE)</f>
        <v>#N/A</v>
      </c>
      <c r="BA398" s="63" t="e">
        <f>VLOOKUP(Data_Geotech[[#This Row],[Field Intact Rock Strength]],Table_FieldStrength[],3,FALSE)</f>
        <v>#N/A</v>
      </c>
      <c r="BB398" s="63" t="e">
        <f>VLOOKUP(Data_Geotech[[#This Row],[Field Intact Rock Strength]],Table_FieldStrength[],4,FALSE)</f>
        <v>#N/A</v>
      </c>
      <c r="BC398" s="63" t="e">
        <f>100-Data_Geotech[[#This Row],[RMR76]]</f>
        <v>#VALUE!</v>
      </c>
      <c r="BD398" s="63" t="e">
        <f>LEFT(Data_Geotech[[#This Row],[Weathering/Alteration]],FIND("-",Data_Geotech[[#This Row],[Weathering/Alteration]])-2)</f>
        <v>#VALUE!</v>
      </c>
    </row>
    <row r="399" spans="1:56" hidden="1" x14ac:dyDescent="0.25">
      <c r="A399" s="14"/>
      <c r="B399" s="166" t="e">
        <f>VLOOKUP(Data_Geotech[[#This Row],[Hole ID]],Data_Log[],2,FALSE)</f>
        <v>#N/A</v>
      </c>
      <c r="C399" s="5"/>
      <c r="D399" s="5"/>
      <c r="E399" s="5">
        <f>(Data_Geotech[[#This Row],[To (m)]]-Data_Geotech[[#This Row],[From (m)]])/2+Data_Geotech[[#This Row],[From (m)]]</f>
        <v>0</v>
      </c>
      <c r="F399" s="13">
        <f>Data_Geotech[[#This Row],[To (m)]]-Data_Geotech[[#This Row],[From (m)]]</f>
        <v>0</v>
      </c>
      <c r="G399" s="5"/>
      <c r="H399" s="13" t="e">
        <f>Data_Geotech[[#This Row],[TCR (m)]]/Data_Geotech[[#This Row],[Run (m)]]*100</f>
        <v>#DIV/0!</v>
      </c>
      <c r="I399" s="5"/>
      <c r="J399" s="5"/>
      <c r="K399" s="5"/>
      <c r="L399" s="13" t="e">
        <f>Data_Geotech[[#This Row],[RQD (m)]]/Data_Geotech[[#This Row],[Run Reel (m)]]*100</f>
        <v>#DIV/0!</v>
      </c>
      <c r="P399" s="115"/>
      <c r="Q399" s="5"/>
      <c r="R399" s="5"/>
      <c r="S399" s="5"/>
      <c r="T399" s="5"/>
      <c r="U399" s="5"/>
      <c r="V399" s="6"/>
      <c r="W399" s="92">
        <f>SUMIFS(Discontinuities!$D$4:$D$9664,Discontinuities!$A$4:$A$9664,A399,Discontinuities!$C$4:$C$9664,"&gt;="&amp;C399,Discontinuities!$C$4:$C$9664,"&lt;"&amp;D399)
-SUMIFS(Discontinuities!$D$4:$D$9664,Discontinuities!$A$4:$A$9664,A399,Discontinuities!$C$4:$C$9664,"&gt;="&amp;C399,Discontinuities!$C$4:$C$9664,"&lt;"&amp;D399,Discontinuities!$E$4:$E$9664,"=BC")
-SUMIFS(Discontinuities!$D$4:$D$9664,Discontinuities!$A$4:$A$9664,A399,Discontinuities!$C$4:$C$9664,"&gt;="&amp;C399,Discontinuities!$C$4:$C$9664,"&lt;"&amp;D399,Discontinuities!$E$4:$E$9664,"=LC")
-SUMIFS(Discontinuities!$D$4:$D$9664,Discontinuities!$A$4:$A$9664,A399,Discontinuities!$C$4:$C$9664,"&gt;="&amp;C399,Discontinuities!$C$4:$C$9664,"&lt;"&amp;D399,Discontinuities!$E$4:$E$9664,"=FLT")</f>
        <v>0</v>
      </c>
      <c r="AA399" s="132"/>
      <c r="AB399" s="159">
        <f>IFERROR(ROUND((Data_Geotech[[#This Row],[Fault (m)]]+Data_Geotech[[#This Row],[Broken Core (m)]]+Data_Geotech[[#This Row],[Lost Core (m)]])*30,0),0)</f>
        <v>0</v>
      </c>
      <c r="AC399" s="135">
        <f>IF(Data_Geotech[[#This Row],[Added fractures 
(BC, FLT, LC)]]+Data_Geotech[[#This Row],[Fracture per interval]]=0,99,1/((Data_Geotech[[#This Row],[Fracture per interval]]+Data_Geotech[[#This Row],[Added fractures 
(BC, FLT, LC)]])/Data_Geotech[[#This Row],[Run (m)]]))</f>
        <v>99</v>
      </c>
      <c r="AD399" s="160" t="str" cm="1">
        <f t="array" ref="AD399">IFERROR(_xlfn.XLOOKUP(1,(A399=PLT!$A$4:$A$8886)*(Geotech!C399&lt;=PLT!$F$4:$F$8886)*(Geotech!D399&gt;=PLT!$F$4:$F$8886)*("Valid"=PLT!$P$4:$P$8886),PLT!$V$4:$V$8886),"")</f>
        <v/>
      </c>
      <c r="AE399" s="161" t="str" cm="1">
        <f t="array" ref="AE399">IFERROR(_xlfn.XLOOKUP(1,(A399=PLT!$A$4:$A$8886)*(Geotech!C399&lt;=PLT!$F$4:$F$8886)*(Geotech!D399&gt;=PLT!$F$4:$F$8886)*(PLT!$V$4:$V$8886&lt;&gt;AD399)*("Valid"=PLT!$P$4:$P$7190),PLT!$V$4:$V$8886),"")</f>
        <v/>
      </c>
      <c r="AF399" s="161" t="str" cm="1">
        <f t="array" ref="AF399">IFERROR(_xlfn.XLOOKUP(1,(A399=PLT!$A$4:$A$8886)*(Geotech!C399&lt;=PLT!$F$4:$F$8886)*(Geotech!D399&gt;=PLT!$F$4:$F$8886)*(PLT!$V$4:$V$8886&lt;&gt;AD399)*(PLT!$V$4:$V$8886&lt;&gt;AE399)*("Valid"=PLT!$P$4:$P$7190),PLT!$V$4:$V$8886),"")</f>
        <v/>
      </c>
      <c r="AG399" s="162" t="str">
        <f>IFERROR(IF(AVERAGE(AD399:AF399)&gt;References!$BO$23,References!$BP$23,
IF(AVERAGE(AD399:AF399)&gt;References!$BO$22,References!$BP$22,
IF(AVERAGE(AD399:AF399)&gt;References!$BO$21,References!$BP$21,
IF(AVERAGE(AD399:AF399)&gt;References!$BO$20,References!$BP$20,
IF(AVERAGE(AD399:AF399)&gt;References!$BO$19,References!$BP$19,
IF(AVERAGE(AD399:AF399)&gt;References!$BO$18,References!$BP$18,
0)))))),"")</f>
        <v/>
      </c>
      <c r="AH399" s="163" t="e">
        <f>VLOOKUP(Data_Geotech[[#This Row],[Field Intact Rock Strength]],Table_RMR76_Strength[],2,FALSE)</f>
        <v>#N/A</v>
      </c>
      <c r="AI399" s="163" t="e">
        <f>IF(Data_Geotech[[#This Row],[RQD (%)]]&lt;=25,3,IF(Data_Geotech[[#This Row],[RQD (%)]]&lt;=50,8,IF(Data_Geotech[[#This Row],[RQD (%)]]&lt;=75,13,IF(Data_Geotech[[#This Row],[RQD (%)]]&lt;=90,17,20))))</f>
        <v>#DIV/0!</v>
      </c>
      <c r="AJ399" s="136">
        <f>IF(Data_Geotech[[#This Row],[Joint spacing (m)]]&lt;=0.05,5,IF(Data_Geotech[[#This Row],[Joint spacing (m)]]&lt;=0.3,10,IF(Data_Geotech[[#This Row],[Joint spacing (m)]]&lt;=1,20,IF(Data_Geotech[[#This Row],[Joint spacing (m)]]&lt;=3,25,30))))</f>
        <v>30</v>
      </c>
      <c r="AK39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399" s="6"/>
      <c r="AM399" s="137" t="str">
        <f>IF(Data_Geotech[[#This Row],[FIRS Code]]="R",IFERROR(SUM(Data_Geotech[[#This Row],[RMR76 - Strength rating]:[RMR76 - Ground water rating]]),""),"")</f>
        <v/>
      </c>
      <c r="AN399" s="164" t="str">
        <f>IF(Data_Geotech[[#This Row],[FIRS Code]]="R",(2*Data_Geotech[[#This Row],[RMR76 - Joint condition rating]])+(IF(Data_Geotech[[#This Row],[RQD (%)]]&gt;80,80/2,Data_Geotech[[#This Row],[RQD (%)]]/2)),"")</f>
        <v/>
      </c>
      <c r="AO399" s="136" t="e">
        <f>LEFT(Data_Geotech[[#This Row],[Joint Set Rating]],FIND("-",Data_Geotech[[#This Row],[Joint Set Rating]],1)-2)</f>
        <v>#VALUE!</v>
      </c>
      <c r="AP39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399" s="143">
        <f t="shared" si="9"/>
        <v>1</v>
      </c>
      <c r="AR399" s="165" t="str">
        <f>IF(Data_Geotech[[#This Row],[FIRS Code]]="R",IFERROR((IF(Data_Geotech[[#This Row],[RQD (%)]]&lt;10,10,Data_Geotech[[#This Row],[RQD (%)]])/Data_Geotech[[#This Row],[Jn rating]])*Data_Geotech[[#This Row],[Jr/Ja]],""),"")</f>
        <v/>
      </c>
      <c r="AS399" s="138" t="str">
        <f>IF(Data_Geotech[[#This Row],[FIRS Code]]="R",IFERROR((IF(Data_Geotech[[#This Row],[RQD (%)]]&lt;10,10,Data_Geotech[[#This Row],[RQD (%)]])/Data_Geotech[[#This Row],[Jn rating]])*Data_Geotech[[#This Row],[Jr/Ja]]*Data_Geotech[[#This Row],[Jw/SRF]],""),"")</f>
        <v/>
      </c>
      <c r="AT399" s="12"/>
      <c r="AU399" s="13" t="e">
        <f>100-Data_Geotech[[#This Row],[RQD (%)]]</f>
        <v>#DIV/0!</v>
      </c>
      <c r="AV399" s="13" t="e">
        <f>100-Data_Geotech[[#This Row],[TCR (%)]]</f>
        <v>#DIV/0!</v>
      </c>
      <c r="AW399" s="62" t="e">
        <f>(Data_Geotech[[#This Row],[Fracture per interval]]+Data_Geotech[[#This Row],[Added fractures 
(BC, FLT, LC)]])/Data_Geotech[[#This Row],[TCR (m)]]</f>
        <v>#DIV/0!</v>
      </c>
      <c r="AX399" s="62" t="str">
        <f>MID(Data_Geotech[[#This Row],[Field Intact Rock Strength]],2,1)</f>
        <v/>
      </c>
      <c r="AY399" s="63" t="e">
        <f>7-MID(Data_Geotech[[#This Row],[Field Intact Rock Strength]],2,1)</f>
        <v>#VALUE!</v>
      </c>
      <c r="AZ399" s="63" t="e">
        <f>VLOOKUP(Data_Geotech[[#This Row],[Field Intact Rock Strength]],Table_FieldStrength[],2,FALSE)</f>
        <v>#N/A</v>
      </c>
      <c r="BA399" s="63" t="e">
        <f>VLOOKUP(Data_Geotech[[#This Row],[Field Intact Rock Strength]],Table_FieldStrength[],3,FALSE)</f>
        <v>#N/A</v>
      </c>
      <c r="BB399" s="63" t="e">
        <f>VLOOKUP(Data_Geotech[[#This Row],[Field Intact Rock Strength]],Table_FieldStrength[],4,FALSE)</f>
        <v>#N/A</v>
      </c>
      <c r="BC399" s="63" t="e">
        <f>100-Data_Geotech[[#This Row],[RMR76]]</f>
        <v>#VALUE!</v>
      </c>
      <c r="BD399" s="63" t="e">
        <f>LEFT(Data_Geotech[[#This Row],[Weathering/Alteration]],FIND("-",Data_Geotech[[#This Row],[Weathering/Alteration]])-2)</f>
        <v>#VALUE!</v>
      </c>
    </row>
    <row r="400" spans="1:56" hidden="1" x14ac:dyDescent="0.25">
      <c r="A400" s="14"/>
      <c r="B400" s="166" t="e">
        <f>VLOOKUP(Data_Geotech[[#This Row],[Hole ID]],Data_Log[],2,FALSE)</f>
        <v>#N/A</v>
      </c>
      <c r="C400" s="5"/>
      <c r="D400" s="5"/>
      <c r="E400" s="5">
        <f>(Data_Geotech[[#This Row],[To (m)]]-Data_Geotech[[#This Row],[From (m)]])/2+Data_Geotech[[#This Row],[From (m)]]</f>
        <v>0</v>
      </c>
      <c r="F400" s="13">
        <f>Data_Geotech[[#This Row],[To (m)]]-Data_Geotech[[#This Row],[From (m)]]</f>
        <v>0</v>
      </c>
      <c r="G400" s="5"/>
      <c r="H400" s="13" t="e">
        <f>Data_Geotech[[#This Row],[TCR (m)]]/Data_Geotech[[#This Row],[Run (m)]]*100</f>
        <v>#DIV/0!</v>
      </c>
      <c r="I400" s="5"/>
      <c r="J400" s="5"/>
      <c r="K400" s="5"/>
      <c r="L400" s="13" t="e">
        <f>Data_Geotech[[#This Row],[RQD (m)]]/Data_Geotech[[#This Row],[Run Reel (m)]]*100</f>
        <v>#DIV/0!</v>
      </c>
      <c r="P400" s="115"/>
      <c r="Q400" s="5"/>
      <c r="R400" s="5"/>
      <c r="S400" s="5"/>
      <c r="T400" s="5"/>
      <c r="U400" s="5"/>
      <c r="V400" s="6"/>
      <c r="W400" s="92">
        <f>SUMIFS(Discontinuities!$D$4:$D$9664,Discontinuities!$A$4:$A$9664,A400,Discontinuities!$C$4:$C$9664,"&gt;="&amp;C400,Discontinuities!$C$4:$C$9664,"&lt;"&amp;D400)
-SUMIFS(Discontinuities!$D$4:$D$9664,Discontinuities!$A$4:$A$9664,A400,Discontinuities!$C$4:$C$9664,"&gt;="&amp;C400,Discontinuities!$C$4:$C$9664,"&lt;"&amp;D400,Discontinuities!$E$4:$E$9664,"=BC")
-SUMIFS(Discontinuities!$D$4:$D$9664,Discontinuities!$A$4:$A$9664,A400,Discontinuities!$C$4:$C$9664,"&gt;="&amp;C400,Discontinuities!$C$4:$C$9664,"&lt;"&amp;D400,Discontinuities!$E$4:$E$9664,"=LC")
-SUMIFS(Discontinuities!$D$4:$D$9664,Discontinuities!$A$4:$A$9664,A400,Discontinuities!$C$4:$C$9664,"&gt;="&amp;C400,Discontinuities!$C$4:$C$9664,"&lt;"&amp;D400,Discontinuities!$E$4:$E$9664,"=FLT")</f>
        <v>0</v>
      </c>
      <c r="AA400" s="132"/>
      <c r="AB400" s="159">
        <f>IFERROR(ROUND((Data_Geotech[[#This Row],[Fault (m)]]+Data_Geotech[[#This Row],[Broken Core (m)]]+Data_Geotech[[#This Row],[Lost Core (m)]])*30,0),0)</f>
        <v>0</v>
      </c>
      <c r="AC400" s="135">
        <f>IF(Data_Geotech[[#This Row],[Added fractures 
(BC, FLT, LC)]]+Data_Geotech[[#This Row],[Fracture per interval]]=0,99,1/((Data_Geotech[[#This Row],[Fracture per interval]]+Data_Geotech[[#This Row],[Added fractures 
(BC, FLT, LC)]])/Data_Geotech[[#This Row],[Run (m)]]))</f>
        <v>99</v>
      </c>
      <c r="AD400" s="160" t="str" cm="1">
        <f t="array" ref="AD400">IFERROR(_xlfn.XLOOKUP(1,(A400=PLT!$A$4:$A$8886)*(Geotech!C400&lt;=PLT!$F$4:$F$8886)*(Geotech!D400&gt;=PLT!$F$4:$F$8886)*("Valid"=PLT!$P$4:$P$8886),PLT!$V$4:$V$8886),"")</f>
        <v/>
      </c>
      <c r="AE400" s="161" t="str" cm="1">
        <f t="array" ref="AE400">IFERROR(_xlfn.XLOOKUP(1,(A400=PLT!$A$4:$A$8886)*(Geotech!C400&lt;=PLT!$F$4:$F$8886)*(Geotech!D400&gt;=PLT!$F$4:$F$8886)*(PLT!$V$4:$V$8886&lt;&gt;AD400)*("Valid"=PLT!$P$4:$P$7190),PLT!$V$4:$V$8886),"")</f>
        <v/>
      </c>
      <c r="AF400" s="161" t="str" cm="1">
        <f t="array" ref="AF400">IFERROR(_xlfn.XLOOKUP(1,(A400=PLT!$A$4:$A$8886)*(Geotech!C400&lt;=PLT!$F$4:$F$8886)*(Geotech!D400&gt;=PLT!$F$4:$F$8886)*(PLT!$V$4:$V$8886&lt;&gt;AD400)*(PLT!$V$4:$V$8886&lt;&gt;AE400)*("Valid"=PLT!$P$4:$P$7190),PLT!$V$4:$V$8886),"")</f>
        <v/>
      </c>
      <c r="AG400" s="162" t="str">
        <f>IFERROR(IF(AVERAGE(AD400:AF400)&gt;References!$BO$23,References!$BP$23,
IF(AVERAGE(AD400:AF400)&gt;References!$BO$22,References!$BP$22,
IF(AVERAGE(AD400:AF400)&gt;References!$BO$21,References!$BP$21,
IF(AVERAGE(AD400:AF400)&gt;References!$BO$20,References!$BP$20,
IF(AVERAGE(AD400:AF400)&gt;References!$BO$19,References!$BP$19,
IF(AVERAGE(AD400:AF400)&gt;References!$BO$18,References!$BP$18,
0)))))),"")</f>
        <v/>
      </c>
      <c r="AH400" s="163" t="e">
        <f>VLOOKUP(Data_Geotech[[#This Row],[Field Intact Rock Strength]],Table_RMR76_Strength[],2,FALSE)</f>
        <v>#N/A</v>
      </c>
      <c r="AI400" s="163" t="e">
        <f>IF(Data_Geotech[[#This Row],[RQD (%)]]&lt;=25,3,IF(Data_Geotech[[#This Row],[RQD (%)]]&lt;=50,8,IF(Data_Geotech[[#This Row],[RQD (%)]]&lt;=75,13,IF(Data_Geotech[[#This Row],[RQD (%)]]&lt;=90,17,20))))</f>
        <v>#DIV/0!</v>
      </c>
      <c r="AJ400" s="136">
        <f>IF(Data_Geotech[[#This Row],[Joint spacing (m)]]&lt;=0.05,5,IF(Data_Geotech[[#This Row],[Joint spacing (m)]]&lt;=0.3,10,IF(Data_Geotech[[#This Row],[Joint spacing (m)]]&lt;=1,20,IF(Data_Geotech[[#This Row],[Joint spacing (m)]]&lt;=3,25,30))))</f>
        <v>30</v>
      </c>
      <c r="AK40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0" s="6"/>
      <c r="AM400" s="137" t="str">
        <f>IF(Data_Geotech[[#This Row],[FIRS Code]]="R",IFERROR(SUM(Data_Geotech[[#This Row],[RMR76 - Strength rating]:[RMR76 - Ground water rating]]),""),"")</f>
        <v/>
      </c>
      <c r="AN400" s="164" t="str">
        <f>IF(Data_Geotech[[#This Row],[FIRS Code]]="R",(2*Data_Geotech[[#This Row],[RMR76 - Joint condition rating]])+(IF(Data_Geotech[[#This Row],[RQD (%)]]&gt;80,80/2,Data_Geotech[[#This Row],[RQD (%)]]/2)),"")</f>
        <v/>
      </c>
      <c r="AO400" s="136" t="e">
        <f>LEFT(Data_Geotech[[#This Row],[Joint Set Rating]],FIND("-",Data_Geotech[[#This Row],[Joint Set Rating]],1)-2)</f>
        <v>#VALUE!</v>
      </c>
      <c r="AP40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0" s="143">
        <f t="shared" si="9"/>
        <v>1</v>
      </c>
      <c r="AR400" s="165" t="str">
        <f>IF(Data_Geotech[[#This Row],[FIRS Code]]="R",IFERROR((IF(Data_Geotech[[#This Row],[RQD (%)]]&lt;10,10,Data_Geotech[[#This Row],[RQD (%)]])/Data_Geotech[[#This Row],[Jn rating]])*Data_Geotech[[#This Row],[Jr/Ja]],""),"")</f>
        <v/>
      </c>
      <c r="AS400" s="138" t="str">
        <f>IF(Data_Geotech[[#This Row],[FIRS Code]]="R",IFERROR((IF(Data_Geotech[[#This Row],[RQD (%)]]&lt;10,10,Data_Geotech[[#This Row],[RQD (%)]])/Data_Geotech[[#This Row],[Jn rating]])*Data_Geotech[[#This Row],[Jr/Ja]]*Data_Geotech[[#This Row],[Jw/SRF]],""),"")</f>
        <v/>
      </c>
      <c r="AT400" s="12"/>
      <c r="AU400" s="13" t="e">
        <f>100-Data_Geotech[[#This Row],[RQD (%)]]</f>
        <v>#DIV/0!</v>
      </c>
      <c r="AV400" s="13" t="e">
        <f>100-Data_Geotech[[#This Row],[TCR (%)]]</f>
        <v>#DIV/0!</v>
      </c>
      <c r="AW400" s="62" t="e">
        <f>(Data_Geotech[[#This Row],[Fracture per interval]]+Data_Geotech[[#This Row],[Added fractures 
(BC, FLT, LC)]])/Data_Geotech[[#This Row],[TCR (m)]]</f>
        <v>#DIV/0!</v>
      </c>
      <c r="AX400" s="62" t="str">
        <f>MID(Data_Geotech[[#This Row],[Field Intact Rock Strength]],2,1)</f>
        <v/>
      </c>
      <c r="AY400" s="63" t="e">
        <f>7-MID(Data_Geotech[[#This Row],[Field Intact Rock Strength]],2,1)</f>
        <v>#VALUE!</v>
      </c>
      <c r="AZ400" s="63" t="e">
        <f>VLOOKUP(Data_Geotech[[#This Row],[Field Intact Rock Strength]],Table_FieldStrength[],2,FALSE)</f>
        <v>#N/A</v>
      </c>
      <c r="BA400" s="63" t="e">
        <f>VLOOKUP(Data_Geotech[[#This Row],[Field Intact Rock Strength]],Table_FieldStrength[],3,FALSE)</f>
        <v>#N/A</v>
      </c>
      <c r="BB400" s="63" t="e">
        <f>VLOOKUP(Data_Geotech[[#This Row],[Field Intact Rock Strength]],Table_FieldStrength[],4,FALSE)</f>
        <v>#N/A</v>
      </c>
      <c r="BC400" s="63" t="e">
        <f>100-Data_Geotech[[#This Row],[RMR76]]</f>
        <v>#VALUE!</v>
      </c>
      <c r="BD400" s="63" t="e">
        <f>LEFT(Data_Geotech[[#This Row],[Weathering/Alteration]],FIND("-",Data_Geotech[[#This Row],[Weathering/Alteration]])-2)</f>
        <v>#VALUE!</v>
      </c>
    </row>
    <row r="401" spans="1:56" hidden="1" x14ac:dyDescent="0.25">
      <c r="A401" s="14"/>
      <c r="B401" s="166" t="e">
        <f>VLOOKUP(Data_Geotech[[#This Row],[Hole ID]],Data_Log[],2,FALSE)</f>
        <v>#N/A</v>
      </c>
      <c r="C401" s="5"/>
      <c r="D401" s="5"/>
      <c r="E401" s="5">
        <f>(Data_Geotech[[#This Row],[To (m)]]-Data_Geotech[[#This Row],[From (m)]])/2+Data_Geotech[[#This Row],[From (m)]]</f>
        <v>0</v>
      </c>
      <c r="F401" s="13">
        <f>Data_Geotech[[#This Row],[To (m)]]-Data_Geotech[[#This Row],[From (m)]]</f>
        <v>0</v>
      </c>
      <c r="G401" s="5"/>
      <c r="H401" s="13" t="e">
        <f>Data_Geotech[[#This Row],[TCR (m)]]/Data_Geotech[[#This Row],[Run (m)]]*100</f>
        <v>#DIV/0!</v>
      </c>
      <c r="I401" s="5"/>
      <c r="J401" s="5"/>
      <c r="K401" s="5"/>
      <c r="L401" s="13" t="e">
        <f>Data_Geotech[[#This Row],[RQD (m)]]/Data_Geotech[[#This Row],[Run Reel (m)]]*100</f>
        <v>#DIV/0!</v>
      </c>
      <c r="P401" s="115"/>
      <c r="Q401" s="5"/>
      <c r="R401" s="5"/>
      <c r="S401" s="5"/>
      <c r="T401" s="5"/>
      <c r="U401" s="5"/>
      <c r="V401" s="6"/>
      <c r="W401" s="92">
        <f>SUMIFS(Discontinuities!$D$4:$D$9664,Discontinuities!$A$4:$A$9664,A401,Discontinuities!$C$4:$C$9664,"&gt;="&amp;C401,Discontinuities!$C$4:$C$9664,"&lt;"&amp;D401)
-SUMIFS(Discontinuities!$D$4:$D$9664,Discontinuities!$A$4:$A$9664,A401,Discontinuities!$C$4:$C$9664,"&gt;="&amp;C401,Discontinuities!$C$4:$C$9664,"&lt;"&amp;D401,Discontinuities!$E$4:$E$9664,"=BC")
-SUMIFS(Discontinuities!$D$4:$D$9664,Discontinuities!$A$4:$A$9664,A401,Discontinuities!$C$4:$C$9664,"&gt;="&amp;C401,Discontinuities!$C$4:$C$9664,"&lt;"&amp;D401,Discontinuities!$E$4:$E$9664,"=LC")
-SUMIFS(Discontinuities!$D$4:$D$9664,Discontinuities!$A$4:$A$9664,A401,Discontinuities!$C$4:$C$9664,"&gt;="&amp;C401,Discontinuities!$C$4:$C$9664,"&lt;"&amp;D401,Discontinuities!$E$4:$E$9664,"=FLT")</f>
        <v>0</v>
      </c>
      <c r="AA401" s="132"/>
      <c r="AB401" s="159">
        <f>IFERROR(ROUND((Data_Geotech[[#This Row],[Fault (m)]]+Data_Geotech[[#This Row],[Broken Core (m)]]+Data_Geotech[[#This Row],[Lost Core (m)]])*30,0),0)</f>
        <v>0</v>
      </c>
      <c r="AC401" s="135">
        <f>IF(Data_Geotech[[#This Row],[Added fractures 
(BC, FLT, LC)]]+Data_Geotech[[#This Row],[Fracture per interval]]=0,99,1/((Data_Geotech[[#This Row],[Fracture per interval]]+Data_Geotech[[#This Row],[Added fractures 
(BC, FLT, LC)]])/Data_Geotech[[#This Row],[Run (m)]]))</f>
        <v>99</v>
      </c>
      <c r="AD401" s="160" t="str" cm="1">
        <f t="array" ref="AD401">IFERROR(_xlfn.XLOOKUP(1,(A401=PLT!$A$4:$A$8886)*(Geotech!C401&lt;=PLT!$F$4:$F$8886)*(Geotech!D401&gt;=PLT!$F$4:$F$8886)*("Valid"=PLT!$P$4:$P$8886),PLT!$V$4:$V$8886),"")</f>
        <v/>
      </c>
      <c r="AE401" s="161" t="str" cm="1">
        <f t="array" ref="AE401">IFERROR(_xlfn.XLOOKUP(1,(A401=PLT!$A$4:$A$8886)*(Geotech!C401&lt;=PLT!$F$4:$F$8886)*(Geotech!D401&gt;=PLT!$F$4:$F$8886)*(PLT!$V$4:$V$8886&lt;&gt;AD401)*("Valid"=PLT!$P$4:$P$7190),PLT!$V$4:$V$8886),"")</f>
        <v/>
      </c>
      <c r="AF401" s="161" t="str" cm="1">
        <f t="array" ref="AF401">IFERROR(_xlfn.XLOOKUP(1,(A401=PLT!$A$4:$A$8886)*(Geotech!C401&lt;=PLT!$F$4:$F$8886)*(Geotech!D401&gt;=PLT!$F$4:$F$8886)*(PLT!$V$4:$V$8886&lt;&gt;AD401)*(PLT!$V$4:$V$8886&lt;&gt;AE401)*("Valid"=PLT!$P$4:$P$7190),PLT!$V$4:$V$8886),"")</f>
        <v/>
      </c>
      <c r="AG401" s="162" t="str">
        <f>IFERROR(IF(AVERAGE(AD401:AF401)&gt;References!$BO$23,References!$BP$23,
IF(AVERAGE(AD401:AF401)&gt;References!$BO$22,References!$BP$22,
IF(AVERAGE(AD401:AF401)&gt;References!$BO$21,References!$BP$21,
IF(AVERAGE(AD401:AF401)&gt;References!$BO$20,References!$BP$20,
IF(AVERAGE(AD401:AF401)&gt;References!$BO$19,References!$BP$19,
IF(AVERAGE(AD401:AF401)&gt;References!$BO$18,References!$BP$18,
0)))))),"")</f>
        <v/>
      </c>
      <c r="AH401" s="163" t="e">
        <f>VLOOKUP(Data_Geotech[[#This Row],[Field Intact Rock Strength]],Table_RMR76_Strength[],2,FALSE)</f>
        <v>#N/A</v>
      </c>
      <c r="AI401" s="163" t="e">
        <f>IF(Data_Geotech[[#This Row],[RQD (%)]]&lt;=25,3,IF(Data_Geotech[[#This Row],[RQD (%)]]&lt;=50,8,IF(Data_Geotech[[#This Row],[RQD (%)]]&lt;=75,13,IF(Data_Geotech[[#This Row],[RQD (%)]]&lt;=90,17,20))))</f>
        <v>#DIV/0!</v>
      </c>
      <c r="AJ401" s="136">
        <f>IF(Data_Geotech[[#This Row],[Joint spacing (m)]]&lt;=0.05,5,IF(Data_Geotech[[#This Row],[Joint spacing (m)]]&lt;=0.3,10,IF(Data_Geotech[[#This Row],[Joint spacing (m)]]&lt;=1,20,IF(Data_Geotech[[#This Row],[Joint spacing (m)]]&lt;=3,25,30))))</f>
        <v>30</v>
      </c>
      <c r="AK40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1" s="6"/>
      <c r="AM401" s="137" t="str">
        <f>IF(Data_Geotech[[#This Row],[FIRS Code]]="R",IFERROR(SUM(Data_Geotech[[#This Row],[RMR76 - Strength rating]:[RMR76 - Ground water rating]]),""),"")</f>
        <v/>
      </c>
      <c r="AN401" s="164" t="str">
        <f>IF(Data_Geotech[[#This Row],[FIRS Code]]="R",(2*Data_Geotech[[#This Row],[RMR76 - Joint condition rating]])+(IF(Data_Geotech[[#This Row],[RQD (%)]]&gt;80,80/2,Data_Geotech[[#This Row],[RQD (%)]]/2)),"")</f>
        <v/>
      </c>
      <c r="AO401" s="136" t="e">
        <f>LEFT(Data_Geotech[[#This Row],[Joint Set Rating]],FIND("-",Data_Geotech[[#This Row],[Joint Set Rating]],1)-2)</f>
        <v>#VALUE!</v>
      </c>
      <c r="AP40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1" s="143">
        <f t="shared" si="9"/>
        <v>1</v>
      </c>
      <c r="AR401" s="165" t="str">
        <f>IF(Data_Geotech[[#This Row],[FIRS Code]]="R",IFERROR((IF(Data_Geotech[[#This Row],[RQD (%)]]&lt;10,10,Data_Geotech[[#This Row],[RQD (%)]])/Data_Geotech[[#This Row],[Jn rating]])*Data_Geotech[[#This Row],[Jr/Ja]],""),"")</f>
        <v/>
      </c>
      <c r="AS401" s="138" t="str">
        <f>IF(Data_Geotech[[#This Row],[FIRS Code]]="R",IFERROR((IF(Data_Geotech[[#This Row],[RQD (%)]]&lt;10,10,Data_Geotech[[#This Row],[RQD (%)]])/Data_Geotech[[#This Row],[Jn rating]])*Data_Geotech[[#This Row],[Jr/Ja]]*Data_Geotech[[#This Row],[Jw/SRF]],""),"")</f>
        <v/>
      </c>
      <c r="AT401" s="12"/>
      <c r="AU401" s="13" t="e">
        <f>100-Data_Geotech[[#This Row],[RQD (%)]]</f>
        <v>#DIV/0!</v>
      </c>
      <c r="AV401" s="13" t="e">
        <f>100-Data_Geotech[[#This Row],[TCR (%)]]</f>
        <v>#DIV/0!</v>
      </c>
      <c r="AW401" s="62" t="e">
        <f>(Data_Geotech[[#This Row],[Fracture per interval]]+Data_Geotech[[#This Row],[Added fractures 
(BC, FLT, LC)]])/Data_Geotech[[#This Row],[TCR (m)]]</f>
        <v>#DIV/0!</v>
      </c>
      <c r="AX401" s="62" t="str">
        <f>MID(Data_Geotech[[#This Row],[Field Intact Rock Strength]],2,1)</f>
        <v/>
      </c>
      <c r="AY401" s="63" t="e">
        <f>7-MID(Data_Geotech[[#This Row],[Field Intact Rock Strength]],2,1)</f>
        <v>#VALUE!</v>
      </c>
      <c r="AZ401" s="63" t="e">
        <f>VLOOKUP(Data_Geotech[[#This Row],[Field Intact Rock Strength]],Table_FieldStrength[],2,FALSE)</f>
        <v>#N/A</v>
      </c>
      <c r="BA401" s="63" t="e">
        <f>VLOOKUP(Data_Geotech[[#This Row],[Field Intact Rock Strength]],Table_FieldStrength[],3,FALSE)</f>
        <v>#N/A</v>
      </c>
      <c r="BB401" s="63" t="e">
        <f>VLOOKUP(Data_Geotech[[#This Row],[Field Intact Rock Strength]],Table_FieldStrength[],4,FALSE)</f>
        <v>#N/A</v>
      </c>
      <c r="BC401" s="63" t="e">
        <f>100-Data_Geotech[[#This Row],[RMR76]]</f>
        <v>#VALUE!</v>
      </c>
      <c r="BD401" s="63" t="e">
        <f>LEFT(Data_Geotech[[#This Row],[Weathering/Alteration]],FIND("-",Data_Geotech[[#This Row],[Weathering/Alteration]])-2)</f>
        <v>#VALUE!</v>
      </c>
    </row>
    <row r="402" spans="1:56" hidden="1" x14ac:dyDescent="0.25">
      <c r="A402" s="14"/>
      <c r="B402" s="166" t="e">
        <f>VLOOKUP(Data_Geotech[[#This Row],[Hole ID]],Data_Log[],2,FALSE)</f>
        <v>#N/A</v>
      </c>
      <c r="C402" s="5"/>
      <c r="D402" s="5"/>
      <c r="E402" s="5">
        <f>(Data_Geotech[[#This Row],[To (m)]]-Data_Geotech[[#This Row],[From (m)]])/2+Data_Geotech[[#This Row],[From (m)]]</f>
        <v>0</v>
      </c>
      <c r="F402" s="13">
        <f>Data_Geotech[[#This Row],[To (m)]]-Data_Geotech[[#This Row],[From (m)]]</f>
        <v>0</v>
      </c>
      <c r="G402" s="5"/>
      <c r="H402" s="13" t="e">
        <f>Data_Geotech[[#This Row],[TCR (m)]]/Data_Geotech[[#This Row],[Run (m)]]*100</f>
        <v>#DIV/0!</v>
      </c>
      <c r="I402" s="5"/>
      <c r="J402" s="5"/>
      <c r="K402" s="5"/>
      <c r="L402" s="13" t="e">
        <f>Data_Geotech[[#This Row],[RQD (m)]]/Data_Geotech[[#This Row],[Run Reel (m)]]*100</f>
        <v>#DIV/0!</v>
      </c>
      <c r="P402" s="115"/>
      <c r="Q402" s="5"/>
      <c r="R402" s="5"/>
      <c r="S402" s="5"/>
      <c r="T402" s="5"/>
      <c r="U402" s="5"/>
      <c r="V402" s="6"/>
      <c r="W402" s="92">
        <f>SUMIFS(Discontinuities!$D$4:$D$9664,Discontinuities!$A$4:$A$9664,A402,Discontinuities!$C$4:$C$9664,"&gt;="&amp;C402,Discontinuities!$C$4:$C$9664,"&lt;"&amp;D402)
-SUMIFS(Discontinuities!$D$4:$D$9664,Discontinuities!$A$4:$A$9664,A402,Discontinuities!$C$4:$C$9664,"&gt;="&amp;C402,Discontinuities!$C$4:$C$9664,"&lt;"&amp;D402,Discontinuities!$E$4:$E$9664,"=BC")
-SUMIFS(Discontinuities!$D$4:$D$9664,Discontinuities!$A$4:$A$9664,A402,Discontinuities!$C$4:$C$9664,"&gt;="&amp;C402,Discontinuities!$C$4:$C$9664,"&lt;"&amp;D402,Discontinuities!$E$4:$E$9664,"=LC")
-SUMIFS(Discontinuities!$D$4:$D$9664,Discontinuities!$A$4:$A$9664,A402,Discontinuities!$C$4:$C$9664,"&gt;="&amp;C402,Discontinuities!$C$4:$C$9664,"&lt;"&amp;D402,Discontinuities!$E$4:$E$9664,"=FLT")</f>
        <v>0</v>
      </c>
      <c r="AA402" s="132"/>
      <c r="AB402" s="159">
        <f>IFERROR(ROUND((Data_Geotech[[#This Row],[Fault (m)]]+Data_Geotech[[#This Row],[Broken Core (m)]]+Data_Geotech[[#This Row],[Lost Core (m)]])*30,0),0)</f>
        <v>0</v>
      </c>
      <c r="AC402" s="135">
        <f>IF(Data_Geotech[[#This Row],[Added fractures 
(BC, FLT, LC)]]+Data_Geotech[[#This Row],[Fracture per interval]]=0,99,1/((Data_Geotech[[#This Row],[Fracture per interval]]+Data_Geotech[[#This Row],[Added fractures 
(BC, FLT, LC)]])/Data_Geotech[[#This Row],[Run (m)]]))</f>
        <v>99</v>
      </c>
      <c r="AD402" s="160" t="str" cm="1">
        <f t="array" ref="AD402">IFERROR(_xlfn.XLOOKUP(1,(A402=PLT!$A$4:$A$8886)*(Geotech!C402&lt;=PLT!$F$4:$F$8886)*(Geotech!D402&gt;=PLT!$F$4:$F$8886)*("Valid"=PLT!$P$4:$P$8886),PLT!$V$4:$V$8886),"")</f>
        <v/>
      </c>
      <c r="AE402" s="161" t="str" cm="1">
        <f t="array" ref="AE402">IFERROR(_xlfn.XLOOKUP(1,(A402=PLT!$A$4:$A$8886)*(Geotech!C402&lt;=PLT!$F$4:$F$8886)*(Geotech!D402&gt;=PLT!$F$4:$F$8886)*(PLT!$V$4:$V$8886&lt;&gt;AD402)*("Valid"=PLT!$P$4:$P$7190),PLT!$V$4:$V$8886),"")</f>
        <v/>
      </c>
      <c r="AF402" s="161" t="str" cm="1">
        <f t="array" ref="AF402">IFERROR(_xlfn.XLOOKUP(1,(A402=PLT!$A$4:$A$8886)*(Geotech!C402&lt;=PLT!$F$4:$F$8886)*(Geotech!D402&gt;=PLT!$F$4:$F$8886)*(PLT!$V$4:$V$8886&lt;&gt;AD402)*(PLT!$V$4:$V$8886&lt;&gt;AE402)*("Valid"=PLT!$P$4:$P$7190),PLT!$V$4:$V$8886),"")</f>
        <v/>
      </c>
      <c r="AG402" s="162" t="str">
        <f>IFERROR(IF(AVERAGE(AD402:AF402)&gt;References!$BO$23,References!$BP$23,
IF(AVERAGE(AD402:AF402)&gt;References!$BO$22,References!$BP$22,
IF(AVERAGE(AD402:AF402)&gt;References!$BO$21,References!$BP$21,
IF(AVERAGE(AD402:AF402)&gt;References!$BO$20,References!$BP$20,
IF(AVERAGE(AD402:AF402)&gt;References!$BO$19,References!$BP$19,
IF(AVERAGE(AD402:AF402)&gt;References!$BO$18,References!$BP$18,
0)))))),"")</f>
        <v/>
      </c>
      <c r="AH402" s="163" t="e">
        <f>VLOOKUP(Data_Geotech[[#This Row],[Field Intact Rock Strength]],Table_RMR76_Strength[],2,FALSE)</f>
        <v>#N/A</v>
      </c>
      <c r="AI402" s="163" t="e">
        <f>IF(Data_Geotech[[#This Row],[RQD (%)]]&lt;=25,3,IF(Data_Geotech[[#This Row],[RQD (%)]]&lt;=50,8,IF(Data_Geotech[[#This Row],[RQD (%)]]&lt;=75,13,IF(Data_Geotech[[#This Row],[RQD (%)]]&lt;=90,17,20))))</f>
        <v>#DIV/0!</v>
      </c>
      <c r="AJ402" s="136">
        <f>IF(Data_Geotech[[#This Row],[Joint spacing (m)]]&lt;=0.05,5,IF(Data_Geotech[[#This Row],[Joint spacing (m)]]&lt;=0.3,10,IF(Data_Geotech[[#This Row],[Joint spacing (m)]]&lt;=1,20,IF(Data_Geotech[[#This Row],[Joint spacing (m)]]&lt;=3,25,30))))</f>
        <v>30</v>
      </c>
      <c r="AK40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2" s="6"/>
      <c r="AM402" s="137" t="str">
        <f>IF(Data_Geotech[[#This Row],[FIRS Code]]="R",IFERROR(SUM(Data_Geotech[[#This Row],[RMR76 - Strength rating]:[RMR76 - Ground water rating]]),""),"")</f>
        <v/>
      </c>
      <c r="AN402" s="164" t="str">
        <f>IF(Data_Geotech[[#This Row],[FIRS Code]]="R",(2*Data_Geotech[[#This Row],[RMR76 - Joint condition rating]])+(IF(Data_Geotech[[#This Row],[RQD (%)]]&gt;80,80/2,Data_Geotech[[#This Row],[RQD (%)]]/2)),"")</f>
        <v/>
      </c>
      <c r="AO402" s="136" t="e">
        <f>LEFT(Data_Geotech[[#This Row],[Joint Set Rating]],FIND("-",Data_Geotech[[#This Row],[Joint Set Rating]],1)-2)</f>
        <v>#VALUE!</v>
      </c>
      <c r="AP40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2" s="143">
        <f t="shared" si="9"/>
        <v>1</v>
      </c>
      <c r="AR402" s="165" t="str">
        <f>IF(Data_Geotech[[#This Row],[FIRS Code]]="R",IFERROR((IF(Data_Geotech[[#This Row],[RQD (%)]]&lt;10,10,Data_Geotech[[#This Row],[RQD (%)]])/Data_Geotech[[#This Row],[Jn rating]])*Data_Geotech[[#This Row],[Jr/Ja]],""),"")</f>
        <v/>
      </c>
      <c r="AS402" s="138" t="str">
        <f>IF(Data_Geotech[[#This Row],[FIRS Code]]="R",IFERROR((IF(Data_Geotech[[#This Row],[RQD (%)]]&lt;10,10,Data_Geotech[[#This Row],[RQD (%)]])/Data_Geotech[[#This Row],[Jn rating]])*Data_Geotech[[#This Row],[Jr/Ja]]*Data_Geotech[[#This Row],[Jw/SRF]],""),"")</f>
        <v/>
      </c>
      <c r="AT402" s="12"/>
      <c r="AU402" s="13" t="e">
        <f>100-Data_Geotech[[#This Row],[RQD (%)]]</f>
        <v>#DIV/0!</v>
      </c>
      <c r="AV402" s="13" t="e">
        <f>100-Data_Geotech[[#This Row],[TCR (%)]]</f>
        <v>#DIV/0!</v>
      </c>
      <c r="AW402" s="62" t="e">
        <f>(Data_Geotech[[#This Row],[Fracture per interval]]+Data_Geotech[[#This Row],[Added fractures 
(BC, FLT, LC)]])/Data_Geotech[[#This Row],[TCR (m)]]</f>
        <v>#DIV/0!</v>
      </c>
      <c r="AX402" s="62" t="str">
        <f>MID(Data_Geotech[[#This Row],[Field Intact Rock Strength]],2,1)</f>
        <v/>
      </c>
      <c r="AY402" s="63" t="e">
        <f>7-MID(Data_Geotech[[#This Row],[Field Intact Rock Strength]],2,1)</f>
        <v>#VALUE!</v>
      </c>
      <c r="AZ402" s="63" t="e">
        <f>VLOOKUP(Data_Geotech[[#This Row],[Field Intact Rock Strength]],Table_FieldStrength[],2,FALSE)</f>
        <v>#N/A</v>
      </c>
      <c r="BA402" s="63" t="e">
        <f>VLOOKUP(Data_Geotech[[#This Row],[Field Intact Rock Strength]],Table_FieldStrength[],3,FALSE)</f>
        <v>#N/A</v>
      </c>
      <c r="BB402" s="63" t="e">
        <f>VLOOKUP(Data_Geotech[[#This Row],[Field Intact Rock Strength]],Table_FieldStrength[],4,FALSE)</f>
        <v>#N/A</v>
      </c>
      <c r="BC402" s="63" t="e">
        <f>100-Data_Geotech[[#This Row],[RMR76]]</f>
        <v>#VALUE!</v>
      </c>
      <c r="BD402" s="63" t="e">
        <f>LEFT(Data_Geotech[[#This Row],[Weathering/Alteration]],FIND("-",Data_Geotech[[#This Row],[Weathering/Alteration]])-2)</f>
        <v>#VALUE!</v>
      </c>
    </row>
    <row r="403" spans="1:56" hidden="1" x14ac:dyDescent="0.25">
      <c r="A403" s="14"/>
      <c r="B403" s="166" t="e">
        <f>VLOOKUP(Data_Geotech[[#This Row],[Hole ID]],Data_Log[],2,FALSE)</f>
        <v>#N/A</v>
      </c>
      <c r="C403" s="5"/>
      <c r="D403" s="5"/>
      <c r="E403" s="5">
        <f>(Data_Geotech[[#This Row],[To (m)]]-Data_Geotech[[#This Row],[From (m)]])/2+Data_Geotech[[#This Row],[From (m)]]</f>
        <v>0</v>
      </c>
      <c r="F403" s="13">
        <f>Data_Geotech[[#This Row],[To (m)]]-Data_Geotech[[#This Row],[From (m)]]</f>
        <v>0</v>
      </c>
      <c r="G403" s="5"/>
      <c r="H403" s="13" t="e">
        <f>Data_Geotech[[#This Row],[TCR (m)]]/Data_Geotech[[#This Row],[Run (m)]]*100</f>
        <v>#DIV/0!</v>
      </c>
      <c r="I403" s="5"/>
      <c r="J403" s="5"/>
      <c r="K403" s="5"/>
      <c r="L403" s="13" t="e">
        <f>Data_Geotech[[#This Row],[RQD (m)]]/Data_Geotech[[#This Row],[Run Reel (m)]]*100</f>
        <v>#DIV/0!</v>
      </c>
      <c r="P403" s="115"/>
      <c r="Q403" s="5"/>
      <c r="R403" s="5"/>
      <c r="S403" s="5"/>
      <c r="T403" s="5"/>
      <c r="U403" s="5"/>
      <c r="V403" s="6"/>
      <c r="W403" s="92">
        <f>SUMIFS(Discontinuities!$D$4:$D$9664,Discontinuities!$A$4:$A$9664,A403,Discontinuities!$C$4:$C$9664,"&gt;="&amp;C403,Discontinuities!$C$4:$C$9664,"&lt;"&amp;D403)
-SUMIFS(Discontinuities!$D$4:$D$9664,Discontinuities!$A$4:$A$9664,A403,Discontinuities!$C$4:$C$9664,"&gt;="&amp;C403,Discontinuities!$C$4:$C$9664,"&lt;"&amp;D403,Discontinuities!$E$4:$E$9664,"=BC")
-SUMIFS(Discontinuities!$D$4:$D$9664,Discontinuities!$A$4:$A$9664,A403,Discontinuities!$C$4:$C$9664,"&gt;="&amp;C403,Discontinuities!$C$4:$C$9664,"&lt;"&amp;D403,Discontinuities!$E$4:$E$9664,"=LC")
-SUMIFS(Discontinuities!$D$4:$D$9664,Discontinuities!$A$4:$A$9664,A403,Discontinuities!$C$4:$C$9664,"&gt;="&amp;C403,Discontinuities!$C$4:$C$9664,"&lt;"&amp;D403,Discontinuities!$E$4:$E$9664,"=FLT")</f>
        <v>0</v>
      </c>
      <c r="AA403" s="132"/>
      <c r="AB403" s="159">
        <f>IFERROR(ROUND((Data_Geotech[[#This Row],[Fault (m)]]+Data_Geotech[[#This Row],[Broken Core (m)]]+Data_Geotech[[#This Row],[Lost Core (m)]])*30,0),0)</f>
        <v>0</v>
      </c>
      <c r="AC403" s="135">
        <f>IF(Data_Geotech[[#This Row],[Added fractures 
(BC, FLT, LC)]]+Data_Geotech[[#This Row],[Fracture per interval]]=0,99,1/((Data_Geotech[[#This Row],[Fracture per interval]]+Data_Geotech[[#This Row],[Added fractures 
(BC, FLT, LC)]])/Data_Geotech[[#This Row],[Run (m)]]))</f>
        <v>99</v>
      </c>
      <c r="AD403" s="160" t="str" cm="1">
        <f t="array" ref="AD403">IFERROR(_xlfn.XLOOKUP(1,(A403=PLT!$A$4:$A$8886)*(Geotech!C403&lt;=PLT!$F$4:$F$8886)*(Geotech!D403&gt;=PLT!$F$4:$F$8886)*("Valid"=PLT!$P$4:$P$8886),PLT!$V$4:$V$8886),"")</f>
        <v/>
      </c>
      <c r="AE403" s="161" t="str" cm="1">
        <f t="array" ref="AE403">IFERROR(_xlfn.XLOOKUP(1,(A403=PLT!$A$4:$A$8886)*(Geotech!C403&lt;=PLT!$F$4:$F$8886)*(Geotech!D403&gt;=PLT!$F$4:$F$8886)*(PLT!$V$4:$V$8886&lt;&gt;AD403)*("Valid"=PLT!$P$4:$P$7190),PLT!$V$4:$V$8886),"")</f>
        <v/>
      </c>
      <c r="AF403" s="161" t="str" cm="1">
        <f t="array" ref="AF403">IFERROR(_xlfn.XLOOKUP(1,(A403=PLT!$A$4:$A$8886)*(Geotech!C403&lt;=PLT!$F$4:$F$8886)*(Geotech!D403&gt;=PLT!$F$4:$F$8886)*(PLT!$V$4:$V$8886&lt;&gt;AD403)*(PLT!$V$4:$V$8886&lt;&gt;AE403)*("Valid"=PLT!$P$4:$P$7190),PLT!$V$4:$V$8886),"")</f>
        <v/>
      </c>
      <c r="AG403" s="162" t="str">
        <f>IFERROR(IF(AVERAGE(AD403:AF403)&gt;References!$BO$23,References!$BP$23,
IF(AVERAGE(AD403:AF403)&gt;References!$BO$22,References!$BP$22,
IF(AVERAGE(AD403:AF403)&gt;References!$BO$21,References!$BP$21,
IF(AVERAGE(AD403:AF403)&gt;References!$BO$20,References!$BP$20,
IF(AVERAGE(AD403:AF403)&gt;References!$BO$19,References!$BP$19,
IF(AVERAGE(AD403:AF403)&gt;References!$BO$18,References!$BP$18,
0)))))),"")</f>
        <v/>
      </c>
      <c r="AH403" s="163" t="e">
        <f>VLOOKUP(Data_Geotech[[#This Row],[Field Intact Rock Strength]],Table_RMR76_Strength[],2,FALSE)</f>
        <v>#N/A</v>
      </c>
      <c r="AI403" s="163" t="e">
        <f>IF(Data_Geotech[[#This Row],[RQD (%)]]&lt;=25,3,IF(Data_Geotech[[#This Row],[RQD (%)]]&lt;=50,8,IF(Data_Geotech[[#This Row],[RQD (%)]]&lt;=75,13,IF(Data_Geotech[[#This Row],[RQD (%)]]&lt;=90,17,20))))</f>
        <v>#DIV/0!</v>
      </c>
      <c r="AJ403" s="136">
        <f>IF(Data_Geotech[[#This Row],[Joint spacing (m)]]&lt;=0.05,5,IF(Data_Geotech[[#This Row],[Joint spacing (m)]]&lt;=0.3,10,IF(Data_Geotech[[#This Row],[Joint spacing (m)]]&lt;=1,20,IF(Data_Geotech[[#This Row],[Joint spacing (m)]]&lt;=3,25,30))))</f>
        <v>30</v>
      </c>
      <c r="AK40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3" s="6"/>
      <c r="AM403" s="137" t="str">
        <f>IF(Data_Geotech[[#This Row],[FIRS Code]]="R",IFERROR(SUM(Data_Geotech[[#This Row],[RMR76 - Strength rating]:[RMR76 - Ground water rating]]),""),"")</f>
        <v/>
      </c>
      <c r="AN403" s="164" t="str">
        <f>IF(Data_Geotech[[#This Row],[FIRS Code]]="R",(2*Data_Geotech[[#This Row],[RMR76 - Joint condition rating]])+(IF(Data_Geotech[[#This Row],[RQD (%)]]&gt;80,80/2,Data_Geotech[[#This Row],[RQD (%)]]/2)),"")</f>
        <v/>
      </c>
      <c r="AO403" s="136" t="e">
        <f>LEFT(Data_Geotech[[#This Row],[Joint Set Rating]],FIND("-",Data_Geotech[[#This Row],[Joint Set Rating]],1)-2)</f>
        <v>#VALUE!</v>
      </c>
      <c r="AP40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3" s="143">
        <f t="shared" si="9"/>
        <v>1</v>
      </c>
      <c r="AR403" s="165" t="str">
        <f>IF(Data_Geotech[[#This Row],[FIRS Code]]="R",IFERROR((IF(Data_Geotech[[#This Row],[RQD (%)]]&lt;10,10,Data_Geotech[[#This Row],[RQD (%)]])/Data_Geotech[[#This Row],[Jn rating]])*Data_Geotech[[#This Row],[Jr/Ja]],""),"")</f>
        <v/>
      </c>
      <c r="AS403" s="138" t="str">
        <f>IF(Data_Geotech[[#This Row],[FIRS Code]]="R",IFERROR((IF(Data_Geotech[[#This Row],[RQD (%)]]&lt;10,10,Data_Geotech[[#This Row],[RQD (%)]])/Data_Geotech[[#This Row],[Jn rating]])*Data_Geotech[[#This Row],[Jr/Ja]]*Data_Geotech[[#This Row],[Jw/SRF]],""),"")</f>
        <v/>
      </c>
      <c r="AT403" s="12"/>
      <c r="AU403" s="13" t="e">
        <f>100-Data_Geotech[[#This Row],[RQD (%)]]</f>
        <v>#DIV/0!</v>
      </c>
      <c r="AV403" s="13" t="e">
        <f>100-Data_Geotech[[#This Row],[TCR (%)]]</f>
        <v>#DIV/0!</v>
      </c>
      <c r="AW403" s="62" t="e">
        <f>(Data_Geotech[[#This Row],[Fracture per interval]]+Data_Geotech[[#This Row],[Added fractures 
(BC, FLT, LC)]])/Data_Geotech[[#This Row],[TCR (m)]]</f>
        <v>#DIV/0!</v>
      </c>
      <c r="AX403" s="62" t="str">
        <f>MID(Data_Geotech[[#This Row],[Field Intact Rock Strength]],2,1)</f>
        <v/>
      </c>
      <c r="AY403" s="63" t="e">
        <f>7-MID(Data_Geotech[[#This Row],[Field Intact Rock Strength]],2,1)</f>
        <v>#VALUE!</v>
      </c>
      <c r="AZ403" s="63" t="e">
        <f>VLOOKUP(Data_Geotech[[#This Row],[Field Intact Rock Strength]],Table_FieldStrength[],2,FALSE)</f>
        <v>#N/A</v>
      </c>
      <c r="BA403" s="63" t="e">
        <f>VLOOKUP(Data_Geotech[[#This Row],[Field Intact Rock Strength]],Table_FieldStrength[],3,FALSE)</f>
        <v>#N/A</v>
      </c>
      <c r="BB403" s="63" t="e">
        <f>VLOOKUP(Data_Geotech[[#This Row],[Field Intact Rock Strength]],Table_FieldStrength[],4,FALSE)</f>
        <v>#N/A</v>
      </c>
      <c r="BC403" s="63" t="e">
        <f>100-Data_Geotech[[#This Row],[RMR76]]</f>
        <v>#VALUE!</v>
      </c>
      <c r="BD403" s="63" t="e">
        <f>LEFT(Data_Geotech[[#This Row],[Weathering/Alteration]],FIND("-",Data_Geotech[[#This Row],[Weathering/Alteration]])-2)</f>
        <v>#VALUE!</v>
      </c>
    </row>
    <row r="404" spans="1:56" hidden="1" x14ac:dyDescent="0.25">
      <c r="A404" s="14"/>
      <c r="B404" s="166" t="e">
        <f>VLOOKUP(Data_Geotech[[#This Row],[Hole ID]],Data_Log[],2,FALSE)</f>
        <v>#N/A</v>
      </c>
      <c r="C404" s="5"/>
      <c r="D404" s="5"/>
      <c r="E404" s="5">
        <f>(Data_Geotech[[#This Row],[To (m)]]-Data_Geotech[[#This Row],[From (m)]])/2+Data_Geotech[[#This Row],[From (m)]]</f>
        <v>0</v>
      </c>
      <c r="F404" s="13">
        <f>Data_Geotech[[#This Row],[To (m)]]-Data_Geotech[[#This Row],[From (m)]]</f>
        <v>0</v>
      </c>
      <c r="G404" s="5"/>
      <c r="H404" s="13" t="e">
        <f>Data_Geotech[[#This Row],[TCR (m)]]/Data_Geotech[[#This Row],[Run (m)]]*100</f>
        <v>#DIV/0!</v>
      </c>
      <c r="I404" s="5"/>
      <c r="J404" s="5"/>
      <c r="K404" s="5"/>
      <c r="L404" s="13" t="e">
        <f>Data_Geotech[[#This Row],[RQD (m)]]/Data_Geotech[[#This Row],[Run Reel (m)]]*100</f>
        <v>#DIV/0!</v>
      </c>
      <c r="P404" s="115"/>
      <c r="Q404" s="5"/>
      <c r="R404" s="5"/>
      <c r="S404" s="5"/>
      <c r="T404" s="5"/>
      <c r="U404" s="5"/>
      <c r="V404" s="6"/>
      <c r="W404" s="92">
        <f>SUMIFS(Discontinuities!$D$4:$D$9664,Discontinuities!$A$4:$A$9664,A404,Discontinuities!$C$4:$C$9664,"&gt;="&amp;C404,Discontinuities!$C$4:$C$9664,"&lt;"&amp;D404)
-SUMIFS(Discontinuities!$D$4:$D$9664,Discontinuities!$A$4:$A$9664,A404,Discontinuities!$C$4:$C$9664,"&gt;="&amp;C404,Discontinuities!$C$4:$C$9664,"&lt;"&amp;D404,Discontinuities!$E$4:$E$9664,"=BC")
-SUMIFS(Discontinuities!$D$4:$D$9664,Discontinuities!$A$4:$A$9664,A404,Discontinuities!$C$4:$C$9664,"&gt;="&amp;C404,Discontinuities!$C$4:$C$9664,"&lt;"&amp;D404,Discontinuities!$E$4:$E$9664,"=LC")
-SUMIFS(Discontinuities!$D$4:$D$9664,Discontinuities!$A$4:$A$9664,A404,Discontinuities!$C$4:$C$9664,"&gt;="&amp;C404,Discontinuities!$C$4:$C$9664,"&lt;"&amp;D404,Discontinuities!$E$4:$E$9664,"=FLT")</f>
        <v>0</v>
      </c>
      <c r="AA404" s="132"/>
      <c r="AB404" s="159">
        <f>IFERROR(ROUND((Data_Geotech[[#This Row],[Fault (m)]]+Data_Geotech[[#This Row],[Broken Core (m)]]+Data_Geotech[[#This Row],[Lost Core (m)]])*30,0),0)</f>
        <v>0</v>
      </c>
      <c r="AC404" s="135">
        <f>IF(Data_Geotech[[#This Row],[Added fractures 
(BC, FLT, LC)]]+Data_Geotech[[#This Row],[Fracture per interval]]=0,99,1/((Data_Geotech[[#This Row],[Fracture per interval]]+Data_Geotech[[#This Row],[Added fractures 
(BC, FLT, LC)]])/Data_Geotech[[#This Row],[Run (m)]]))</f>
        <v>99</v>
      </c>
      <c r="AD404" s="160" t="str" cm="1">
        <f t="array" ref="AD404">IFERROR(_xlfn.XLOOKUP(1,(A404=PLT!$A$4:$A$8886)*(Geotech!C404&lt;=PLT!$F$4:$F$8886)*(Geotech!D404&gt;=PLT!$F$4:$F$8886)*("Valid"=PLT!$P$4:$P$8886),PLT!$V$4:$V$8886),"")</f>
        <v/>
      </c>
      <c r="AE404" s="161" t="str" cm="1">
        <f t="array" ref="AE404">IFERROR(_xlfn.XLOOKUP(1,(A404=PLT!$A$4:$A$8886)*(Geotech!C404&lt;=PLT!$F$4:$F$8886)*(Geotech!D404&gt;=PLT!$F$4:$F$8886)*(PLT!$V$4:$V$8886&lt;&gt;AD404)*("Valid"=PLT!$P$4:$P$7190),PLT!$V$4:$V$8886),"")</f>
        <v/>
      </c>
      <c r="AF404" s="161" t="str" cm="1">
        <f t="array" ref="AF404">IFERROR(_xlfn.XLOOKUP(1,(A404=PLT!$A$4:$A$8886)*(Geotech!C404&lt;=PLT!$F$4:$F$8886)*(Geotech!D404&gt;=PLT!$F$4:$F$8886)*(PLT!$V$4:$V$8886&lt;&gt;AD404)*(PLT!$V$4:$V$8886&lt;&gt;AE404)*("Valid"=PLT!$P$4:$P$7190),PLT!$V$4:$V$8886),"")</f>
        <v/>
      </c>
      <c r="AG404" s="162" t="str">
        <f>IFERROR(IF(AVERAGE(AD404:AF404)&gt;References!$BO$23,References!$BP$23,
IF(AVERAGE(AD404:AF404)&gt;References!$BO$22,References!$BP$22,
IF(AVERAGE(AD404:AF404)&gt;References!$BO$21,References!$BP$21,
IF(AVERAGE(AD404:AF404)&gt;References!$BO$20,References!$BP$20,
IF(AVERAGE(AD404:AF404)&gt;References!$BO$19,References!$BP$19,
IF(AVERAGE(AD404:AF404)&gt;References!$BO$18,References!$BP$18,
0)))))),"")</f>
        <v/>
      </c>
      <c r="AH404" s="163" t="e">
        <f>VLOOKUP(Data_Geotech[[#This Row],[Field Intact Rock Strength]],Table_RMR76_Strength[],2,FALSE)</f>
        <v>#N/A</v>
      </c>
      <c r="AI404" s="163" t="e">
        <f>IF(Data_Geotech[[#This Row],[RQD (%)]]&lt;=25,3,IF(Data_Geotech[[#This Row],[RQD (%)]]&lt;=50,8,IF(Data_Geotech[[#This Row],[RQD (%)]]&lt;=75,13,IF(Data_Geotech[[#This Row],[RQD (%)]]&lt;=90,17,20))))</f>
        <v>#DIV/0!</v>
      </c>
      <c r="AJ404" s="136">
        <f>IF(Data_Geotech[[#This Row],[Joint spacing (m)]]&lt;=0.05,5,IF(Data_Geotech[[#This Row],[Joint spacing (m)]]&lt;=0.3,10,IF(Data_Geotech[[#This Row],[Joint spacing (m)]]&lt;=1,20,IF(Data_Geotech[[#This Row],[Joint spacing (m)]]&lt;=3,25,30))))</f>
        <v>30</v>
      </c>
      <c r="AK40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4" s="6"/>
      <c r="AM404" s="137" t="str">
        <f>IF(Data_Geotech[[#This Row],[FIRS Code]]="R",IFERROR(SUM(Data_Geotech[[#This Row],[RMR76 - Strength rating]:[RMR76 - Ground water rating]]),""),"")</f>
        <v/>
      </c>
      <c r="AN404" s="164" t="str">
        <f>IF(Data_Geotech[[#This Row],[FIRS Code]]="R",(2*Data_Geotech[[#This Row],[RMR76 - Joint condition rating]])+(IF(Data_Geotech[[#This Row],[RQD (%)]]&gt;80,80/2,Data_Geotech[[#This Row],[RQD (%)]]/2)),"")</f>
        <v/>
      </c>
      <c r="AO404" s="136" t="e">
        <f>LEFT(Data_Geotech[[#This Row],[Joint Set Rating]],FIND("-",Data_Geotech[[#This Row],[Joint Set Rating]],1)-2)</f>
        <v>#VALUE!</v>
      </c>
      <c r="AP40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4" s="143">
        <f t="shared" si="9"/>
        <v>1</v>
      </c>
      <c r="AR404" s="165" t="str">
        <f>IF(Data_Geotech[[#This Row],[FIRS Code]]="R",IFERROR((IF(Data_Geotech[[#This Row],[RQD (%)]]&lt;10,10,Data_Geotech[[#This Row],[RQD (%)]])/Data_Geotech[[#This Row],[Jn rating]])*Data_Geotech[[#This Row],[Jr/Ja]],""),"")</f>
        <v/>
      </c>
      <c r="AS404" s="138" t="str">
        <f>IF(Data_Geotech[[#This Row],[FIRS Code]]="R",IFERROR((IF(Data_Geotech[[#This Row],[RQD (%)]]&lt;10,10,Data_Geotech[[#This Row],[RQD (%)]])/Data_Geotech[[#This Row],[Jn rating]])*Data_Geotech[[#This Row],[Jr/Ja]]*Data_Geotech[[#This Row],[Jw/SRF]],""),"")</f>
        <v/>
      </c>
      <c r="AT404" s="12"/>
      <c r="AU404" s="13" t="e">
        <f>100-Data_Geotech[[#This Row],[RQD (%)]]</f>
        <v>#DIV/0!</v>
      </c>
      <c r="AV404" s="13" t="e">
        <f>100-Data_Geotech[[#This Row],[TCR (%)]]</f>
        <v>#DIV/0!</v>
      </c>
      <c r="AW404" s="62" t="e">
        <f>(Data_Geotech[[#This Row],[Fracture per interval]]+Data_Geotech[[#This Row],[Added fractures 
(BC, FLT, LC)]])/Data_Geotech[[#This Row],[TCR (m)]]</f>
        <v>#DIV/0!</v>
      </c>
      <c r="AX404" s="62" t="str">
        <f>MID(Data_Geotech[[#This Row],[Field Intact Rock Strength]],2,1)</f>
        <v/>
      </c>
      <c r="AY404" s="63" t="e">
        <f>7-MID(Data_Geotech[[#This Row],[Field Intact Rock Strength]],2,1)</f>
        <v>#VALUE!</v>
      </c>
      <c r="AZ404" s="63" t="e">
        <f>VLOOKUP(Data_Geotech[[#This Row],[Field Intact Rock Strength]],Table_FieldStrength[],2,FALSE)</f>
        <v>#N/A</v>
      </c>
      <c r="BA404" s="63" t="e">
        <f>VLOOKUP(Data_Geotech[[#This Row],[Field Intact Rock Strength]],Table_FieldStrength[],3,FALSE)</f>
        <v>#N/A</v>
      </c>
      <c r="BB404" s="63" t="e">
        <f>VLOOKUP(Data_Geotech[[#This Row],[Field Intact Rock Strength]],Table_FieldStrength[],4,FALSE)</f>
        <v>#N/A</v>
      </c>
      <c r="BC404" s="63" t="e">
        <f>100-Data_Geotech[[#This Row],[RMR76]]</f>
        <v>#VALUE!</v>
      </c>
      <c r="BD404" s="63" t="e">
        <f>LEFT(Data_Geotech[[#This Row],[Weathering/Alteration]],FIND("-",Data_Geotech[[#This Row],[Weathering/Alteration]])-2)</f>
        <v>#VALUE!</v>
      </c>
    </row>
    <row r="405" spans="1:56" hidden="1" x14ac:dyDescent="0.25">
      <c r="A405" s="14"/>
      <c r="B405" s="166" t="e">
        <f>VLOOKUP(Data_Geotech[[#This Row],[Hole ID]],Data_Log[],2,FALSE)</f>
        <v>#N/A</v>
      </c>
      <c r="C405" s="5"/>
      <c r="D405" s="5"/>
      <c r="E405" s="5">
        <f>(Data_Geotech[[#This Row],[To (m)]]-Data_Geotech[[#This Row],[From (m)]])/2+Data_Geotech[[#This Row],[From (m)]]</f>
        <v>0</v>
      </c>
      <c r="F405" s="13">
        <f>Data_Geotech[[#This Row],[To (m)]]-Data_Geotech[[#This Row],[From (m)]]</f>
        <v>0</v>
      </c>
      <c r="G405" s="5"/>
      <c r="H405" s="13" t="e">
        <f>Data_Geotech[[#This Row],[TCR (m)]]/Data_Geotech[[#This Row],[Run (m)]]*100</f>
        <v>#DIV/0!</v>
      </c>
      <c r="I405" s="5"/>
      <c r="J405" s="5"/>
      <c r="K405" s="5"/>
      <c r="L405" s="13" t="e">
        <f>Data_Geotech[[#This Row],[RQD (m)]]/Data_Geotech[[#This Row],[Run Reel (m)]]*100</f>
        <v>#DIV/0!</v>
      </c>
      <c r="P405" s="115"/>
      <c r="Q405" s="5"/>
      <c r="R405" s="5"/>
      <c r="S405" s="5"/>
      <c r="T405" s="5"/>
      <c r="U405" s="5"/>
      <c r="V405" s="6"/>
      <c r="W405" s="92">
        <f>SUMIFS(Discontinuities!$D$4:$D$9664,Discontinuities!$A$4:$A$9664,A405,Discontinuities!$C$4:$C$9664,"&gt;="&amp;C405,Discontinuities!$C$4:$C$9664,"&lt;"&amp;D405)
-SUMIFS(Discontinuities!$D$4:$D$9664,Discontinuities!$A$4:$A$9664,A405,Discontinuities!$C$4:$C$9664,"&gt;="&amp;C405,Discontinuities!$C$4:$C$9664,"&lt;"&amp;D405,Discontinuities!$E$4:$E$9664,"=BC")
-SUMIFS(Discontinuities!$D$4:$D$9664,Discontinuities!$A$4:$A$9664,A405,Discontinuities!$C$4:$C$9664,"&gt;="&amp;C405,Discontinuities!$C$4:$C$9664,"&lt;"&amp;D405,Discontinuities!$E$4:$E$9664,"=LC")
-SUMIFS(Discontinuities!$D$4:$D$9664,Discontinuities!$A$4:$A$9664,A405,Discontinuities!$C$4:$C$9664,"&gt;="&amp;C405,Discontinuities!$C$4:$C$9664,"&lt;"&amp;D405,Discontinuities!$E$4:$E$9664,"=FLT")</f>
        <v>0</v>
      </c>
      <c r="AA405" s="132"/>
      <c r="AB405" s="159">
        <f>IFERROR(ROUND((Data_Geotech[[#This Row],[Fault (m)]]+Data_Geotech[[#This Row],[Broken Core (m)]]+Data_Geotech[[#This Row],[Lost Core (m)]])*30,0),0)</f>
        <v>0</v>
      </c>
      <c r="AC405" s="135">
        <f>IF(Data_Geotech[[#This Row],[Added fractures 
(BC, FLT, LC)]]+Data_Geotech[[#This Row],[Fracture per interval]]=0,99,1/((Data_Geotech[[#This Row],[Fracture per interval]]+Data_Geotech[[#This Row],[Added fractures 
(BC, FLT, LC)]])/Data_Geotech[[#This Row],[Run (m)]]))</f>
        <v>99</v>
      </c>
      <c r="AD405" s="160" t="str" cm="1">
        <f t="array" ref="AD405">IFERROR(_xlfn.XLOOKUP(1,(A405=PLT!$A$4:$A$8886)*(Geotech!C405&lt;=PLT!$F$4:$F$8886)*(Geotech!D405&gt;=PLT!$F$4:$F$8886)*("Valid"=PLT!$P$4:$P$8886),PLT!$V$4:$V$8886),"")</f>
        <v/>
      </c>
      <c r="AE405" s="161" t="str" cm="1">
        <f t="array" ref="AE405">IFERROR(_xlfn.XLOOKUP(1,(A405=PLT!$A$4:$A$8886)*(Geotech!C405&lt;=PLT!$F$4:$F$8886)*(Geotech!D405&gt;=PLT!$F$4:$F$8886)*(PLT!$V$4:$V$8886&lt;&gt;AD405)*("Valid"=PLT!$P$4:$P$7190),PLT!$V$4:$V$8886),"")</f>
        <v/>
      </c>
      <c r="AF405" s="161" t="str" cm="1">
        <f t="array" ref="AF405">IFERROR(_xlfn.XLOOKUP(1,(A405=PLT!$A$4:$A$8886)*(Geotech!C405&lt;=PLT!$F$4:$F$8886)*(Geotech!D405&gt;=PLT!$F$4:$F$8886)*(PLT!$V$4:$V$8886&lt;&gt;AD405)*(PLT!$V$4:$V$8886&lt;&gt;AE405)*("Valid"=PLT!$P$4:$P$7190),PLT!$V$4:$V$8886),"")</f>
        <v/>
      </c>
      <c r="AG405" s="162" t="str">
        <f>IFERROR(IF(AVERAGE(AD405:AF405)&gt;References!$BO$23,References!$BP$23,
IF(AVERAGE(AD405:AF405)&gt;References!$BO$22,References!$BP$22,
IF(AVERAGE(AD405:AF405)&gt;References!$BO$21,References!$BP$21,
IF(AVERAGE(AD405:AF405)&gt;References!$BO$20,References!$BP$20,
IF(AVERAGE(AD405:AF405)&gt;References!$BO$19,References!$BP$19,
IF(AVERAGE(AD405:AF405)&gt;References!$BO$18,References!$BP$18,
0)))))),"")</f>
        <v/>
      </c>
      <c r="AH405" s="163" t="e">
        <f>VLOOKUP(Data_Geotech[[#This Row],[Field Intact Rock Strength]],Table_RMR76_Strength[],2,FALSE)</f>
        <v>#N/A</v>
      </c>
      <c r="AI405" s="163" t="e">
        <f>IF(Data_Geotech[[#This Row],[RQD (%)]]&lt;=25,3,IF(Data_Geotech[[#This Row],[RQD (%)]]&lt;=50,8,IF(Data_Geotech[[#This Row],[RQD (%)]]&lt;=75,13,IF(Data_Geotech[[#This Row],[RQD (%)]]&lt;=90,17,20))))</f>
        <v>#DIV/0!</v>
      </c>
      <c r="AJ405" s="136">
        <f>IF(Data_Geotech[[#This Row],[Joint spacing (m)]]&lt;=0.05,5,IF(Data_Geotech[[#This Row],[Joint spacing (m)]]&lt;=0.3,10,IF(Data_Geotech[[#This Row],[Joint spacing (m)]]&lt;=1,20,IF(Data_Geotech[[#This Row],[Joint spacing (m)]]&lt;=3,25,30))))</f>
        <v>30</v>
      </c>
      <c r="AK40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5" s="6"/>
      <c r="AM405" s="137" t="str">
        <f>IF(Data_Geotech[[#This Row],[FIRS Code]]="R",IFERROR(SUM(Data_Geotech[[#This Row],[RMR76 - Strength rating]:[RMR76 - Ground water rating]]),""),"")</f>
        <v/>
      </c>
      <c r="AN405" s="164" t="str">
        <f>IF(Data_Geotech[[#This Row],[FIRS Code]]="R",(2*Data_Geotech[[#This Row],[RMR76 - Joint condition rating]])+(IF(Data_Geotech[[#This Row],[RQD (%)]]&gt;80,80/2,Data_Geotech[[#This Row],[RQD (%)]]/2)),"")</f>
        <v/>
      </c>
      <c r="AO405" s="136" t="e">
        <f>LEFT(Data_Geotech[[#This Row],[Joint Set Rating]],FIND("-",Data_Geotech[[#This Row],[Joint Set Rating]],1)-2)</f>
        <v>#VALUE!</v>
      </c>
      <c r="AP40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5" s="143">
        <f t="shared" si="9"/>
        <v>1</v>
      </c>
      <c r="AR405" s="165" t="str">
        <f>IF(Data_Geotech[[#This Row],[FIRS Code]]="R",IFERROR((IF(Data_Geotech[[#This Row],[RQD (%)]]&lt;10,10,Data_Geotech[[#This Row],[RQD (%)]])/Data_Geotech[[#This Row],[Jn rating]])*Data_Geotech[[#This Row],[Jr/Ja]],""),"")</f>
        <v/>
      </c>
      <c r="AS405" s="138" t="str">
        <f>IF(Data_Geotech[[#This Row],[FIRS Code]]="R",IFERROR((IF(Data_Geotech[[#This Row],[RQD (%)]]&lt;10,10,Data_Geotech[[#This Row],[RQD (%)]])/Data_Geotech[[#This Row],[Jn rating]])*Data_Geotech[[#This Row],[Jr/Ja]]*Data_Geotech[[#This Row],[Jw/SRF]],""),"")</f>
        <v/>
      </c>
      <c r="AT405" s="12"/>
      <c r="AU405" s="13" t="e">
        <f>100-Data_Geotech[[#This Row],[RQD (%)]]</f>
        <v>#DIV/0!</v>
      </c>
      <c r="AV405" s="13" t="e">
        <f>100-Data_Geotech[[#This Row],[TCR (%)]]</f>
        <v>#DIV/0!</v>
      </c>
      <c r="AW405" s="62" t="e">
        <f>(Data_Geotech[[#This Row],[Fracture per interval]]+Data_Geotech[[#This Row],[Added fractures 
(BC, FLT, LC)]])/Data_Geotech[[#This Row],[TCR (m)]]</f>
        <v>#DIV/0!</v>
      </c>
      <c r="AX405" s="62" t="str">
        <f>MID(Data_Geotech[[#This Row],[Field Intact Rock Strength]],2,1)</f>
        <v/>
      </c>
      <c r="AY405" s="63" t="e">
        <f>7-MID(Data_Geotech[[#This Row],[Field Intact Rock Strength]],2,1)</f>
        <v>#VALUE!</v>
      </c>
      <c r="AZ405" s="63" t="e">
        <f>VLOOKUP(Data_Geotech[[#This Row],[Field Intact Rock Strength]],Table_FieldStrength[],2,FALSE)</f>
        <v>#N/A</v>
      </c>
      <c r="BA405" s="63" t="e">
        <f>VLOOKUP(Data_Geotech[[#This Row],[Field Intact Rock Strength]],Table_FieldStrength[],3,FALSE)</f>
        <v>#N/A</v>
      </c>
      <c r="BB405" s="63" t="e">
        <f>VLOOKUP(Data_Geotech[[#This Row],[Field Intact Rock Strength]],Table_FieldStrength[],4,FALSE)</f>
        <v>#N/A</v>
      </c>
      <c r="BC405" s="63" t="e">
        <f>100-Data_Geotech[[#This Row],[RMR76]]</f>
        <v>#VALUE!</v>
      </c>
      <c r="BD405" s="63" t="e">
        <f>LEFT(Data_Geotech[[#This Row],[Weathering/Alteration]],FIND("-",Data_Geotech[[#This Row],[Weathering/Alteration]])-2)</f>
        <v>#VALUE!</v>
      </c>
    </row>
    <row r="406" spans="1:56" hidden="1" x14ac:dyDescent="0.25">
      <c r="A406" s="14"/>
      <c r="B406" s="166" t="e">
        <f>VLOOKUP(Data_Geotech[[#This Row],[Hole ID]],Data_Log[],2,FALSE)</f>
        <v>#N/A</v>
      </c>
      <c r="C406" s="5"/>
      <c r="D406" s="5"/>
      <c r="E406" s="5">
        <f>(Data_Geotech[[#This Row],[To (m)]]-Data_Geotech[[#This Row],[From (m)]])/2+Data_Geotech[[#This Row],[From (m)]]</f>
        <v>0</v>
      </c>
      <c r="F406" s="13">
        <f>Data_Geotech[[#This Row],[To (m)]]-Data_Geotech[[#This Row],[From (m)]]</f>
        <v>0</v>
      </c>
      <c r="G406" s="5"/>
      <c r="H406" s="13" t="e">
        <f>Data_Geotech[[#This Row],[TCR (m)]]/Data_Geotech[[#This Row],[Run (m)]]*100</f>
        <v>#DIV/0!</v>
      </c>
      <c r="I406" s="5"/>
      <c r="J406" s="5"/>
      <c r="K406" s="5"/>
      <c r="L406" s="13" t="e">
        <f>Data_Geotech[[#This Row],[RQD (m)]]/Data_Geotech[[#This Row],[Run Reel (m)]]*100</f>
        <v>#DIV/0!</v>
      </c>
      <c r="P406" s="115"/>
      <c r="Q406" s="5"/>
      <c r="R406" s="5"/>
      <c r="S406" s="5"/>
      <c r="T406" s="5"/>
      <c r="U406" s="5"/>
      <c r="V406" s="6"/>
      <c r="W406" s="92">
        <f>SUMIFS(Discontinuities!$D$4:$D$9664,Discontinuities!$A$4:$A$9664,A406,Discontinuities!$C$4:$C$9664,"&gt;="&amp;C406,Discontinuities!$C$4:$C$9664,"&lt;"&amp;D406)
-SUMIFS(Discontinuities!$D$4:$D$9664,Discontinuities!$A$4:$A$9664,A406,Discontinuities!$C$4:$C$9664,"&gt;="&amp;C406,Discontinuities!$C$4:$C$9664,"&lt;"&amp;D406,Discontinuities!$E$4:$E$9664,"=BC")
-SUMIFS(Discontinuities!$D$4:$D$9664,Discontinuities!$A$4:$A$9664,A406,Discontinuities!$C$4:$C$9664,"&gt;="&amp;C406,Discontinuities!$C$4:$C$9664,"&lt;"&amp;D406,Discontinuities!$E$4:$E$9664,"=LC")
-SUMIFS(Discontinuities!$D$4:$D$9664,Discontinuities!$A$4:$A$9664,A406,Discontinuities!$C$4:$C$9664,"&gt;="&amp;C406,Discontinuities!$C$4:$C$9664,"&lt;"&amp;D406,Discontinuities!$E$4:$E$9664,"=FLT")</f>
        <v>0</v>
      </c>
      <c r="AA406" s="132"/>
      <c r="AB406" s="159">
        <f>IFERROR(ROUND((Data_Geotech[[#This Row],[Fault (m)]]+Data_Geotech[[#This Row],[Broken Core (m)]]+Data_Geotech[[#This Row],[Lost Core (m)]])*30,0),0)</f>
        <v>0</v>
      </c>
      <c r="AC406" s="135">
        <f>IF(Data_Geotech[[#This Row],[Added fractures 
(BC, FLT, LC)]]+Data_Geotech[[#This Row],[Fracture per interval]]=0,99,1/((Data_Geotech[[#This Row],[Fracture per interval]]+Data_Geotech[[#This Row],[Added fractures 
(BC, FLT, LC)]])/Data_Geotech[[#This Row],[Run (m)]]))</f>
        <v>99</v>
      </c>
      <c r="AD406" s="160" t="str" cm="1">
        <f t="array" ref="AD406">IFERROR(_xlfn.XLOOKUP(1,(A406=PLT!$A$4:$A$8886)*(Geotech!C406&lt;=PLT!$F$4:$F$8886)*(Geotech!D406&gt;=PLT!$F$4:$F$8886)*("Valid"=PLT!$P$4:$P$8886),PLT!$V$4:$V$8886),"")</f>
        <v/>
      </c>
      <c r="AE406" s="161" t="str" cm="1">
        <f t="array" ref="AE406">IFERROR(_xlfn.XLOOKUP(1,(A406=PLT!$A$4:$A$8886)*(Geotech!C406&lt;=PLT!$F$4:$F$8886)*(Geotech!D406&gt;=PLT!$F$4:$F$8886)*(PLT!$V$4:$V$8886&lt;&gt;AD406)*("Valid"=PLT!$P$4:$P$7190),PLT!$V$4:$V$8886),"")</f>
        <v/>
      </c>
      <c r="AF406" s="161" t="str" cm="1">
        <f t="array" ref="AF406">IFERROR(_xlfn.XLOOKUP(1,(A406=PLT!$A$4:$A$8886)*(Geotech!C406&lt;=PLT!$F$4:$F$8886)*(Geotech!D406&gt;=PLT!$F$4:$F$8886)*(PLT!$V$4:$V$8886&lt;&gt;AD406)*(PLT!$V$4:$V$8886&lt;&gt;AE406)*("Valid"=PLT!$P$4:$P$7190),PLT!$V$4:$V$8886),"")</f>
        <v/>
      </c>
      <c r="AG406" s="162" t="str">
        <f>IFERROR(IF(AVERAGE(AD406:AF406)&gt;References!$BO$23,References!$BP$23,
IF(AVERAGE(AD406:AF406)&gt;References!$BO$22,References!$BP$22,
IF(AVERAGE(AD406:AF406)&gt;References!$BO$21,References!$BP$21,
IF(AVERAGE(AD406:AF406)&gt;References!$BO$20,References!$BP$20,
IF(AVERAGE(AD406:AF406)&gt;References!$BO$19,References!$BP$19,
IF(AVERAGE(AD406:AF406)&gt;References!$BO$18,References!$BP$18,
0)))))),"")</f>
        <v/>
      </c>
      <c r="AH406" s="163" t="e">
        <f>VLOOKUP(Data_Geotech[[#This Row],[Field Intact Rock Strength]],Table_RMR76_Strength[],2,FALSE)</f>
        <v>#N/A</v>
      </c>
      <c r="AI406" s="163" t="e">
        <f>IF(Data_Geotech[[#This Row],[RQD (%)]]&lt;=25,3,IF(Data_Geotech[[#This Row],[RQD (%)]]&lt;=50,8,IF(Data_Geotech[[#This Row],[RQD (%)]]&lt;=75,13,IF(Data_Geotech[[#This Row],[RQD (%)]]&lt;=90,17,20))))</f>
        <v>#DIV/0!</v>
      </c>
      <c r="AJ406" s="136">
        <f>IF(Data_Geotech[[#This Row],[Joint spacing (m)]]&lt;=0.05,5,IF(Data_Geotech[[#This Row],[Joint spacing (m)]]&lt;=0.3,10,IF(Data_Geotech[[#This Row],[Joint spacing (m)]]&lt;=1,20,IF(Data_Geotech[[#This Row],[Joint spacing (m)]]&lt;=3,25,30))))</f>
        <v>30</v>
      </c>
      <c r="AK40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6" s="6"/>
      <c r="AM406" s="137" t="str">
        <f>IF(Data_Geotech[[#This Row],[FIRS Code]]="R",IFERROR(SUM(Data_Geotech[[#This Row],[RMR76 - Strength rating]:[RMR76 - Ground water rating]]),""),"")</f>
        <v/>
      </c>
      <c r="AN406" s="164" t="str">
        <f>IF(Data_Geotech[[#This Row],[FIRS Code]]="R",(2*Data_Geotech[[#This Row],[RMR76 - Joint condition rating]])+(IF(Data_Geotech[[#This Row],[RQD (%)]]&gt;80,80/2,Data_Geotech[[#This Row],[RQD (%)]]/2)),"")</f>
        <v/>
      </c>
      <c r="AO406" s="136" t="e">
        <f>LEFT(Data_Geotech[[#This Row],[Joint Set Rating]],FIND("-",Data_Geotech[[#This Row],[Joint Set Rating]],1)-2)</f>
        <v>#VALUE!</v>
      </c>
      <c r="AP40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6" s="143">
        <f t="shared" si="9"/>
        <v>1</v>
      </c>
      <c r="AR406" s="165" t="str">
        <f>IF(Data_Geotech[[#This Row],[FIRS Code]]="R",IFERROR((IF(Data_Geotech[[#This Row],[RQD (%)]]&lt;10,10,Data_Geotech[[#This Row],[RQD (%)]])/Data_Geotech[[#This Row],[Jn rating]])*Data_Geotech[[#This Row],[Jr/Ja]],""),"")</f>
        <v/>
      </c>
      <c r="AS406" s="138" t="str">
        <f>IF(Data_Geotech[[#This Row],[FIRS Code]]="R",IFERROR((IF(Data_Geotech[[#This Row],[RQD (%)]]&lt;10,10,Data_Geotech[[#This Row],[RQD (%)]])/Data_Geotech[[#This Row],[Jn rating]])*Data_Geotech[[#This Row],[Jr/Ja]]*Data_Geotech[[#This Row],[Jw/SRF]],""),"")</f>
        <v/>
      </c>
      <c r="AT406" s="12"/>
      <c r="AU406" s="13" t="e">
        <f>100-Data_Geotech[[#This Row],[RQD (%)]]</f>
        <v>#DIV/0!</v>
      </c>
      <c r="AV406" s="13" t="e">
        <f>100-Data_Geotech[[#This Row],[TCR (%)]]</f>
        <v>#DIV/0!</v>
      </c>
      <c r="AW406" s="62" t="e">
        <f>(Data_Geotech[[#This Row],[Fracture per interval]]+Data_Geotech[[#This Row],[Added fractures 
(BC, FLT, LC)]])/Data_Geotech[[#This Row],[TCR (m)]]</f>
        <v>#DIV/0!</v>
      </c>
      <c r="AX406" s="62" t="str">
        <f>MID(Data_Geotech[[#This Row],[Field Intact Rock Strength]],2,1)</f>
        <v/>
      </c>
      <c r="AY406" s="63" t="e">
        <f>7-MID(Data_Geotech[[#This Row],[Field Intact Rock Strength]],2,1)</f>
        <v>#VALUE!</v>
      </c>
      <c r="AZ406" s="63" t="e">
        <f>VLOOKUP(Data_Geotech[[#This Row],[Field Intact Rock Strength]],Table_FieldStrength[],2,FALSE)</f>
        <v>#N/A</v>
      </c>
      <c r="BA406" s="63" t="e">
        <f>VLOOKUP(Data_Geotech[[#This Row],[Field Intact Rock Strength]],Table_FieldStrength[],3,FALSE)</f>
        <v>#N/A</v>
      </c>
      <c r="BB406" s="63" t="e">
        <f>VLOOKUP(Data_Geotech[[#This Row],[Field Intact Rock Strength]],Table_FieldStrength[],4,FALSE)</f>
        <v>#N/A</v>
      </c>
      <c r="BC406" s="63" t="e">
        <f>100-Data_Geotech[[#This Row],[RMR76]]</f>
        <v>#VALUE!</v>
      </c>
      <c r="BD406" s="63" t="e">
        <f>LEFT(Data_Geotech[[#This Row],[Weathering/Alteration]],FIND("-",Data_Geotech[[#This Row],[Weathering/Alteration]])-2)</f>
        <v>#VALUE!</v>
      </c>
    </row>
    <row r="407" spans="1:56" hidden="1" x14ac:dyDescent="0.25">
      <c r="A407" s="14"/>
      <c r="B407" s="166" t="e">
        <f>VLOOKUP(Data_Geotech[[#This Row],[Hole ID]],Data_Log[],2,FALSE)</f>
        <v>#N/A</v>
      </c>
      <c r="C407" s="5"/>
      <c r="D407" s="5"/>
      <c r="E407" s="5">
        <f>(Data_Geotech[[#This Row],[To (m)]]-Data_Geotech[[#This Row],[From (m)]])/2+Data_Geotech[[#This Row],[From (m)]]</f>
        <v>0</v>
      </c>
      <c r="F407" s="13">
        <f>Data_Geotech[[#This Row],[To (m)]]-Data_Geotech[[#This Row],[From (m)]]</f>
        <v>0</v>
      </c>
      <c r="G407" s="5"/>
      <c r="H407" s="13" t="e">
        <f>Data_Geotech[[#This Row],[TCR (m)]]/Data_Geotech[[#This Row],[Run (m)]]*100</f>
        <v>#DIV/0!</v>
      </c>
      <c r="I407" s="5"/>
      <c r="J407" s="5"/>
      <c r="K407" s="5"/>
      <c r="L407" s="13" t="e">
        <f>Data_Geotech[[#This Row],[RQD (m)]]/Data_Geotech[[#This Row],[Run Reel (m)]]*100</f>
        <v>#DIV/0!</v>
      </c>
      <c r="P407" s="115"/>
      <c r="Q407" s="5"/>
      <c r="R407" s="5"/>
      <c r="S407" s="5"/>
      <c r="T407" s="5"/>
      <c r="U407" s="5"/>
      <c r="V407" s="6"/>
      <c r="W407" s="92">
        <f>SUMIFS(Discontinuities!$D$4:$D$9664,Discontinuities!$A$4:$A$9664,A407,Discontinuities!$C$4:$C$9664,"&gt;="&amp;C407,Discontinuities!$C$4:$C$9664,"&lt;"&amp;D407)
-SUMIFS(Discontinuities!$D$4:$D$9664,Discontinuities!$A$4:$A$9664,A407,Discontinuities!$C$4:$C$9664,"&gt;="&amp;C407,Discontinuities!$C$4:$C$9664,"&lt;"&amp;D407,Discontinuities!$E$4:$E$9664,"=BC")
-SUMIFS(Discontinuities!$D$4:$D$9664,Discontinuities!$A$4:$A$9664,A407,Discontinuities!$C$4:$C$9664,"&gt;="&amp;C407,Discontinuities!$C$4:$C$9664,"&lt;"&amp;D407,Discontinuities!$E$4:$E$9664,"=LC")
-SUMIFS(Discontinuities!$D$4:$D$9664,Discontinuities!$A$4:$A$9664,A407,Discontinuities!$C$4:$C$9664,"&gt;="&amp;C407,Discontinuities!$C$4:$C$9664,"&lt;"&amp;D407,Discontinuities!$E$4:$E$9664,"=FLT")</f>
        <v>0</v>
      </c>
      <c r="AA407" s="132"/>
      <c r="AB407" s="159">
        <f>IFERROR(ROUND((Data_Geotech[[#This Row],[Fault (m)]]+Data_Geotech[[#This Row],[Broken Core (m)]]+Data_Geotech[[#This Row],[Lost Core (m)]])*30,0),0)</f>
        <v>0</v>
      </c>
      <c r="AC407" s="135">
        <f>IF(Data_Geotech[[#This Row],[Added fractures 
(BC, FLT, LC)]]+Data_Geotech[[#This Row],[Fracture per interval]]=0,99,1/((Data_Geotech[[#This Row],[Fracture per interval]]+Data_Geotech[[#This Row],[Added fractures 
(BC, FLT, LC)]])/Data_Geotech[[#This Row],[Run (m)]]))</f>
        <v>99</v>
      </c>
      <c r="AD407" s="160" t="str" cm="1">
        <f t="array" ref="AD407">IFERROR(_xlfn.XLOOKUP(1,(A407=PLT!$A$4:$A$8886)*(Geotech!C407&lt;=PLT!$F$4:$F$8886)*(Geotech!D407&gt;=PLT!$F$4:$F$8886)*("Valid"=PLT!$P$4:$P$8886),PLT!$V$4:$V$8886),"")</f>
        <v/>
      </c>
      <c r="AE407" s="161" t="str" cm="1">
        <f t="array" ref="AE407">IFERROR(_xlfn.XLOOKUP(1,(A407=PLT!$A$4:$A$8886)*(Geotech!C407&lt;=PLT!$F$4:$F$8886)*(Geotech!D407&gt;=PLT!$F$4:$F$8886)*(PLT!$V$4:$V$8886&lt;&gt;AD407)*("Valid"=PLT!$P$4:$P$7190),PLT!$V$4:$V$8886),"")</f>
        <v/>
      </c>
      <c r="AF407" s="161" t="str" cm="1">
        <f t="array" ref="AF407">IFERROR(_xlfn.XLOOKUP(1,(A407=PLT!$A$4:$A$8886)*(Geotech!C407&lt;=PLT!$F$4:$F$8886)*(Geotech!D407&gt;=PLT!$F$4:$F$8886)*(PLT!$V$4:$V$8886&lt;&gt;AD407)*(PLT!$V$4:$V$8886&lt;&gt;AE407)*("Valid"=PLT!$P$4:$P$7190),PLT!$V$4:$V$8886),"")</f>
        <v/>
      </c>
      <c r="AG407" s="162" t="str">
        <f>IFERROR(IF(AVERAGE(AD407:AF407)&gt;References!$BO$23,References!$BP$23,
IF(AVERAGE(AD407:AF407)&gt;References!$BO$22,References!$BP$22,
IF(AVERAGE(AD407:AF407)&gt;References!$BO$21,References!$BP$21,
IF(AVERAGE(AD407:AF407)&gt;References!$BO$20,References!$BP$20,
IF(AVERAGE(AD407:AF407)&gt;References!$BO$19,References!$BP$19,
IF(AVERAGE(AD407:AF407)&gt;References!$BO$18,References!$BP$18,
0)))))),"")</f>
        <v/>
      </c>
      <c r="AH407" s="163" t="e">
        <f>VLOOKUP(Data_Geotech[[#This Row],[Field Intact Rock Strength]],Table_RMR76_Strength[],2,FALSE)</f>
        <v>#N/A</v>
      </c>
      <c r="AI407" s="163" t="e">
        <f>IF(Data_Geotech[[#This Row],[RQD (%)]]&lt;=25,3,IF(Data_Geotech[[#This Row],[RQD (%)]]&lt;=50,8,IF(Data_Geotech[[#This Row],[RQD (%)]]&lt;=75,13,IF(Data_Geotech[[#This Row],[RQD (%)]]&lt;=90,17,20))))</f>
        <v>#DIV/0!</v>
      </c>
      <c r="AJ407" s="136">
        <f>IF(Data_Geotech[[#This Row],[Joint spacing (m)]]&lt;=0.05,5,IF(Data_Geotech[[#This Row],[Joint spacing (m)]]&lt;=0.3,10,IF(Data_Geotech[[#This Row],[Joint spacing (m)]]&lt;=1,20,IF(Data_Geotech[[#This Row],[Joint spacing (m)]]&lt;=3,25,30))))</f>
        <v>30</v>
      </c>
      <c r="AK40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7" s="6"/>
      <c r="AM407" s="137" t="str">
        <f>IF(Data_Geotech[[#This Row],[FIRS Code]]="R",IFERROR(SUM(Data_Geotech[[#This Row],[RMR76 - Strength rating]:[RMR76 - Ground water rating]]),""),"")</f>
        <v/>
      </c>
      <c r="AN407" s="164" t="str">
        <f>IF(Data_Geotech[[#This Row],[FIRS Code]]="R",(2*Data_Geotech[[#This Row],[RMR76 - Joint condition rating]])+(IF(Data_Geotech[[#This Row],[RQD (%)]]&gt;80,80/2,Data_Geotech[[#This Row],[RQD (%)]]/2)),"")</f>
        <v/>
      </c>
      <c r="AO407" s="136" t="e">
        <f>LEFT(Data_Geotech[[#This Row],[Joint Set Rating]],FIND("-",Data_Geotech[[#This Row],[Joint Set Rating]],1)-2)</f>
        <v>#VALUE!</v>
      </c>
      <c r="AP40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7" s="143">
        <f t="shared" si="9"/>
        <v>1</v>
      </c>
      <c r="AR407" s="165" t="str">
        <f>IF(Data_Geotech[[#This Row],[FIRS Code]]="R",IFERROR((IF(Data_Geotech[[#This Row],[RQD (%)]]&lt;10,10,Data_Geotech[[#This Row],[RQD (%)]])/Data_Geotech[[#This Row],[Jn rating]])*Data_Geotech[[#This Row],[Jr/Ja]],""),"")</f>
        <v/>
      </c>
      <c r="AS407" s="138" t="str">
        <f>IF(Data_Geotech[[#This Row],[FIRS Code]]="R",IFERROR((IF(Data_Geotech[[#This Row],[RQD (%)]]&lt;10,10,Data_Geotech[[#This Row],[RQD (%)]])/Data_Geotech[[#This Row],[Jn rating]])*Data_Geotech[[#This Row],[Jr/Ja]]*Data_Geotech[[#This Row],[Jw/SRF]],""),"")</f>
        <v/>
      </c>
      <c r="AT407" s="12"/>
      <c r="AU407" s="13" t="e">
        <f>100-Data_Geotech[[#This Row],[RQD (%)]]</f>
        <v>#DIV/0!</v>
      </c>
      <c r="AV407" s="13" t="e">
        <f>100-Data_Geotech[[#This Row],[TCR (%)]]</f>
        <v>#DIV/0!</v>
      </c>
      <c r="AW407" s="62" t="e">
        <f>(Data_Geotech[[#This Row],[Fracture per interval]]+Data_Geotech[[#This Row],[Added fractures 
(BC, FLT, LC)]])/Data_Geotech[[#This Row],[TCR (m)]]</f>
        <v>#DIV/0!</v>
      </c>
      <c r="AX407" s="62" t="str">
        <f>MID(Data_Geotech[[#This Row],[Field Intact Rock Strength]],2,1)</f>
        <v/>
      </c>
      <c r="AY407" s="63" t="e">
        <f>7-MID(Data_Geotech[[#This Row],[Field Intact Rock Strength]],2,1)</f>
        <v>#VALUE!</v>
      </c>
      <c r="AZ407" s="63" t="e">
        <f>VLOOKUP(Data_Geotech[[#This Row],[Field Intact Rock Strength]],Table_FieldStrength[],2,FALSE)</f>
        <v>#N/A</v>
      </c>
      <c r="BA407" s="63" t="e">
        <f>VLOOKUP(Data_Geotech[[#This Row],[Field Intact Rock Strength]],Table_FieldStrength[],3,FALSE)</f>
        <v>#N/A</v>
      </c>
      <c r="BB407" s="63" t="e">
        <f>VLOOKUP(Data_Geotech[[#This Row],[Field Intact Rock Strength]],Table_FieldStrength[],4,FALSE)</f>
        <v>#N/A</v>
      </c>
      <c r="BC407" s="63" t="e">
        <f>100-Data_Geotech[[#This Row],[RMR76]]</f>
        <v>#VALUE!</v>
      </c>
      <c r="BD407" s="63" t="e">
        <f>LEFT(Data_Geotech[[#This Row],[Weathering/Alteration]],FIND("-",Data_Geotech[[#This Row],[Weathering/Alteration]])-2)</f>
        <v>#VALUE!</v>
      </c>
    </row>
    <row r="408" spans="1:56" hidden="1" x14ac:dyDescent="0.25">
      <c r="A408" s="14"/>
      <c r="B408" s="166" t="e">
        <f>VLOOKUP(Data_Geotech[[#This Row],[Hole ID]],Data_Log[],2,FALSE)</f>
        <v>#N/A</v>
      </c>
      <c r="C408" s="5"/>
      <c r="D408" s="5"/>
      <c r="E408" s="5">
        <f>(Data_Geotech[[#This Row],[To (m)]]-Data_Geotech[[#This Row],[From (m)]])/2+Data_Geotech[[#This Row],[From (m)]]</f>
        <v>0</v>
      </c>
      <c r="F408" s="13">
        <f>Data_Geotech[[#This Row],[To (m)]]-Data_Geotech[[#This Row],[From (m)]]</f>
        <v>0</v>
      </c>
      <c r="G408" s="5"/>
      <c r="H408" s="13" t="e">
        <f>Data_Geotech[[#This Row],[TCR (m)]]/Data_Geotech[[#This Row],[Run (m)]]*100</f>
        <v>#DIV/0!</v>
      </c>
      <c r="I408" s="5"/>
      <c r="J408" s="5"/>
      <c r="K408" s="5"/>
      <c r="L408" s="13" t="e">
        <f>Data_Geotech[[#This Row],[RQD (m)]]/Data_Geotech[[#This Row],[Run Reel (m)]]*100</f>
        <v>#DIV/0!</v>
      </c>
      <c r="P408" s="115"/>
      <c r="Q408" s="5"/>
      <c r="R408" s="5"/>
      <c r="S408" s="5"/>
      <c r="T408" s="5"/>
      <c r="U408" s="5"/>
      <c r="V408" s="6"/>
      <c r="W408" s="92">
        <f>SUMIFS(Discontinuities!$D$4:$D$9664,Discontinuities!$A$4:$A$9664,A408,Discontinuities!$C$4:$C$9664,"&gt;="&amp;C408,Discontinuities!$C$4:$C$9664,"&lt;"&amp;D408)
-SUMIFS(Discontinuities!$D$4:$D$9664,Discontinuities!$A$4:$A$9664,A408,Discontinuities!$C$4:$C$9664,"&gt;="&amp;C408,Discontinuities!$C$4:$C$9664,"&lt;"&amp;D408,Discontinuities!$E$4:$E$9664,"=BC")
-SUMIFS(Discontinuities!$D$4:$D$9664,Discontinuities!$A$4:$A$9664,A408,Discontinuities!$C$4:$C$9664,"&gt;="&amp;C408,Discontinuities!$C$4:$C$9664,"&lt;"&amp;D408,Discontinuities!$E$4:$E$9664,"=LC")
-SUMIFS(Discontinuities!$D$4:$D$9664,Discontinuities!$A$4:$A$9664,A408,Discontinuities!$C$4:$C$9664,"&gt;="&amp;C408,Discontinuities!$C$4:$C$9664,"&lt;"&amp;D408,Discontinuities!$E$4:$E$9664,"=FLT")</f>
        <v>0</v>
      </c>
      <c r="AA408" s="132"/>
      <c r="AB408" s="159">
        <f>IFERROR(ROUND((Data_Geotech[[#This Row],[Fault (m)]]+Data_Geotech[[#This Row],[Broken Core (m)]]+Data_Geotech[[#This Row],[Lost Core (m)]])*30,0),0)</f>
        <v>0</v>
      </c>
      <c r="AC408" s="135">
        <f>IF(Data_Geotech[[#This Row],[Added fractures 
(BC, FLT, LC)]]+Data_Geotech[[#This Row],[Fracture per interval]]=0,99,1/((Data_Geotech[[#This Row],[Fracture per interval]]+Data_Geotech[[#This Row],[Added fractures 
(BC, FLT, LC)]])/Data_Geotech[[#This Row],[Run (m)]]))</f>
        <v>99</v>
      </c>
      <c r="AD408" s="160" t="str" cm="1">
        <f t="array" ref="AD408">IFERROR(_xlfn.XLOOKUP(1,(A408=PLT!$A$4:$A$8886)*(Geotech!C408&lt;=PLT!$F$4:$F$8886)*(Geotech!D408&gt;=PLT!$F$4:$F$8886)*("Valid"=PLT!$P$4:$P$8886),PLT!$V$4:$V$8886),"")</f>
        <v/>
      </c>
      <c r="AE408" s="161" t="str" cm="1">
        <f t="array" ref="AE408">IFERROR(_xlfn.XLOOKUP(1,(A408=PLT!$A$4:$A$8886)*(Geotech!C408&lt;=PLT!$F$4:$F$8886)*(Geotech!D408&gt;=PLT!$F$4:$F$8886)*(PLT!$V$4:$V$8886&lt;&gt;AD408)*("Valid"=PLT!$P$4:$P$7190),PLT!$V$4:$V$8886),"")</f>
        <v/>
      </c>
      <c r="AF408" s="161" t="str" cm="1">
        <f t="array" ref="AF408">IFERROR(_xlfn.XLOOKUP(1,(A408=PLT!$A$4:$A$8886)*(Geotech!C408&lt;=PLT!$F$4:$F$8886)*(Geotech!D408&gt;=PLT!$F$4:$F$8886)*(PLT!$V$4:$V$8886&lt;&gt;AD408)*(PLT!$V$4:$V$8886&lt;&gt;AE408)*("Valid"=PLT!$P$4:$P$7190),PLT!$V$4:$V$8886),"")</f>
        <v/>
      </c>
      <c r="AG408" s="162" t="str">
        <f>IFERROR(IF(AVERAGE(AD408:AF408)&gt;References!$BO$23,References!$BP$23,
IF(AVERAGE(AD408:AF408)&gt;References!$BO$22,References!$BP$22,
IF(AVERAGE(AD408:AF408)&gt;References!$BO$21,References!$BP$21,
IF(AVERAGE(AD408:AF408)&gt;References!$BO$20,References!$BP$20,
IF(AVERAGE(AD408:AF408)&gt;References!$BO$19,References!$BP$19,
IF(AVERAGE(AD408:AF408)&gt;References!$BO$18,References!$BP$18,
0)))))),"")</f>
        <v/>
      </c>
      <c r="AH408" s="163" t="e">
        <f>VLOOKUP(Data_Geotech[[#This Row],[Field Intact Rock Strength]],Table_RMR76_Strength[],2,FALSE)</f>
        <v>#N/A</v>
      </c>
      <c r="AI408" s="163" t="e">
        <f>IF(Data_Geotech[[#This Row],[RQD (%)]]&lt;=25,3,IF(Data_Geotech[[#This Row],[RQD (%)]]&lt;=50,8,IF(Data_Geotech[[#This Row],[RQD (%)]]&lt;=75,13,IF(Data_Geotech[[#This Row],[RQD (%)]]&lt;=90,17,20))))</f>
        <v>#DIV/0!</v>
      </c>
      <c r="AJ408" s="136">
        <f>IF(Data_Geotech[[#This Row],[Joint spacing (m)]]&lt;=0.05,5,IF(Data_Geotech[[#This Row],[Joint spacing (m)]]&lt;=0.3,10,IF(Data_Geotech[[#This Row],[Joint spacing (m)]]&lt;=1,20,IF(Data_Geotech[[#This Row],[Joint spacing (m)]]&lt;=3,25,30))))</f>
        <v>30</v>
      </c>
      <c r="AK40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8" s="6"/>
      <c r="AM408" s="137" t="str">
        <f>IF(Data_Geotech[[#This Row],[FIRS Code]]="R",IFERROR(SUM(Data_Geotech[[#This Row],[RMR76 - Strength rating]:[RMR76 - Ground water rating]]),""),"")</f>
        <v/>
      </c>
      <c r="AN408" s="164" t="str">
        <f>IF(Data_Geotech[[#This Row],[FIRS Code]]="R",(2*Data_Geotech[[#This Row],[RMR76 - Joint condition rating]])+(IF(Data_Geotech[[#This Row],[RQD (%)]]&gt;80,80/2,Data_Geotech[[#This Row],[RQD (%)]]/2)),"")</f>
        <v/>
      </c>
      <c r="AO408" s="136" t="e">
        <f>LEFT(Data_Geotech[[#This Row],[Joint Set Rating]],FIND("-",Data_Geotech[[#This Row],[Joint Set Rating]],1)-2)</f>
        <v>#VALUE!</v>
      </c>
      <c r="AP40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8" s="143">
        <f t="shared" si="9"/>
        <v>1</v>
      </c>
      <c r="AR408" s="165" t="str">
        <f>IF(Data_Geotech[[#This Row],[FIRS Code]]="R",IFERROR((IF(Data_Geotech[[#This Row],[RQD (%)]]&lt;10,10,Data_Geotech[[#This Row],[RQD (%)]])/Data_Geotech[[#This Row],[Jn rating]])*Data_Geotech[[#This Row],[Jr/Ja]],""),"")</f>
        <v/>
      </c>
      <c r="AS408" s="138" t="str">
        <f>IF(Data_Geotech[[#This Row],[FIRS Code]]="R",IFERROR((IF(Data_Geotech[[#This Row],[RQD (%)]]&lt;10,10,Data_Geotech[[#This Row],[RQD (%)]])/Data_Geotech[[#This Row],[Jn rating]])*Data_Geotech[[#This Row],[Jr/Ja]]*Data_Geotech[[#This Row],[Jw/SRF]],""),"")</f>
        <v/>
      </c>
      <c r="AT408" s="12"/>
      <c r="AU408" s="13" t="e">
        <f>100-Data_Geotech[[#This Row],[RQD (%)]]</f>
        <v>#DIV/0!</v>
      </c>
      <c r="AV408" s="13" t="e">
        <f>100-Data_Geotech[[#This Row],[TCR (%)]]</f>
        <v>#DIV/0!</v>
      </c>
      <c r="AW408" s="62" t="e">
        <f>(Data_Geotech[[#This Row],[Fracture per interval]]+Data_Geotech[[#This Row],[Added fractures 
(BC, FLT, LC)]])/Data_Geotech[[#This Row],[TCR (m)]]</f>
        <v>#DIV/0!</v>
      </c>
      <c r="AX408" s="62" t="str">
        <f>MID(Data_Geotech[[#This Row],[Field Intact Rock Strength]],2,1)</f>
        <v/>
      </c>
      <c r="AY408" s="63" t="e">
        <f>7-MID(Data_Geotech[[#This Row],[Field Intact Rock Strength]],2,1)</f>
        <v>#VALUE!</v>
      </c>
      <c r="AZ408" s="63" t="e">
        <f>VLOOKUP(Data_Geotech[[#This Row],[Field Intact Rock Strength]],Table_FieldStrength[],2,FALSE)</f>
        <v>#N/A</v>
      </c>
      <c r="BA408" s="63" t="e">
        <f>VLOOKUP(Data_Geotech[[#This Row],[Field Intact Rock Strength]],Table_FieldStrength[],3,FALSE)</f>
        <v>#N/A</v>
      </c>
      <c r="BB408" s="63" t="e">
        <f>VLOOKUP(Data_Geotech[[#This Row],[Field Intact Rock Strength]],Table_FieldStrength[],4,FALSE)</f>
        <v>#N/A</v>
      </c>
      <c r="BC408" s="63" t="e">
        <f>100-Data_Geotech[[#This Row],[RMR76]]</f>
        <v>#VALUE!</v>
      </c>
      <c r="BD408" s="63" t="e">
        <f>LEFT(Data_Geotech[[#This Row],[Weathering/Alteration]],FIND("-",Data_Geotech[[#This Row],[Weathering/Alteration]])-2)</f>
        <v>#VALUE!</v>
      </c>
    </row>
    <row r="409" spans="1:56" hidden="1" x14ac:dyDescent="0.25">
      <c r="A409" s="14"/>
      <c r="B409" s="166" t="e">
        <f>VLOOKUP(Data_Geotech[[#This Row],[Hole ID]],Data_Log[],2,FALSE)</f>
        <v>#N/A</v>
      </c>
      <c r="C409" s="5"/>
      <c r="D409" s="5"/>
      <c r="E409" s="5">
        <f>(Data_Geotech[[#This Row],[To (m)]]-Data_Geotech[[#This Row],[From (m)]])/2+Data_Geotech[[#This Row],[From (m)]]</f>
        <v>0</v>
      </c>
      <c r="F409" s="13">
        <f>Data_Geotech[[#This Row],[To (m)]]-Data_Geotech[[#This Row],[From (m)]]</f>
        <v>0</v>
      </c>
      <c r="G409" s="5"/>
      <c r="H409" s="13" t="e">
        <f>Data_Geotech[[#This Row],[TCR (m)]]/Data_Geotech[[#This Row],[Run (m)]]*100</f>
        <v>#DIV/0!</v>
      </c>
      <c r="I409" s="5"/>
      <c r="J409" s="5"/>
      <c r="K409" s="5"/>
      <c r="L409" s="13" t="e">
        <f>Data_Geotech[[#This Row],[RQD (m)]]/Data_Geotech[[#This Row],[Run Reel (m)]]*100</f>
        <v>#DIV/0!</v>
      </c>
      <c r="P409" s="115"/>
      <c r="Q409" s="5"/>
      <c r="R409" s="5"/>
      <c r="S409" s="5"/>
      <c r="T409" s="5"/>
      <c r="U409" s="5"/>
      <c r="V409" s="6"/>
      <c r="W409" s="92">
        <f>SUMIFS(Discontinuities!$D$4:$D$9664,Discontinuities!$A$4:$A$9664,A409,Discontinuities!$C$4:$C$9664,"&gt;="&amp;C409,Discontinuities!$C$4:$C$9664,"&lt;"&amp;D409)
-SUMIFS(Discontinuities!$D$4:$D$9664,Discontinuities!$A$4:$A$9664,A409,Discontinuities!$C$4:$C$9664,"&gt;="&amp;C409,Discontinuities!$C$4:$C$9664,"&lt;"&amp;D409,Discontinuities!$E$4:$E$9664,"=BC")
-SUMIFS(Discontinuities!$D$4:$D$9664,Discontinuities!$A$4:$A$9664,A409,Discontinuities!$C$4:$C$9664,"&gt;="&amp;C409,Discontinuities!$C$4:$C$9664,"&lt;"&amp;D409,Discontinuities!$E$4:$E$9664,"=LC")
-SUMIFS(Discontinuities!$D$4:$D$9664,Discontinuities!$A$4:$A$9664,A409,Discontinuities!$C$4:$C$9664,"&gt;="&amp;C409,Discontinuities!$C$4:$C$9664,"&lt;"&amp;D409,Discontinuities!$E$4:$E$9664,"=FLT")</f>
        <v>0</v>
      </c>
      <c r="AA409" s="132"/>
      <c r="AB409" s="159">
        <f>IFERROR(ROUND((Data_Geotech[[#This Row],[Fault (m)]]+Data_Geotech[[#This Row],[Broken Core (m)]]+Data_Geotech[[#This Row],[Lost Core (m)]])*30,0),0)</f>
        <v>0</v>
      </c>
      <c r="AC409" s="135">
        <f>IF(Data_Geotech[[#This Row],[Added fractures 
(BC, FLT, LC)]]+Data_Geotech[[#This Row],[Fracture per interval]]=0,99,1/((Data_Geotech[[#This Row],[Fracture per interval]]+Data_Geotech[[#This Row],[Added fractures 
(BC, FLT, LC)]])/Data_Geotech[[#This Row],[Run (m)]]))</f>
        <v>99</v>
      </c>
      <c r="AD409" s="160" t="str" cm="1">
        <f t="array" ref="AD409">IFERROR(_xlfn.XLOOKUP(1,(A409=PLT!$A$4:$A$8886)*(Geotech!C409&lt;=PLT!$F$4:$F$8886)*(Geotech!D409&gt;=PLT!$F$4:$F$8886)*("Valid"=PLT!$P$4:$P$8886),PLT!$V$4:$V$8886),"")</f>
        <v/>
      </c>
      <c r="AE409" s="161" t="str" cm="1">
        <f t="array" ref="AE409">IFERROR(_xlfn.XLOOKUP(1,(A409=PLT!$A$4:$A$8886)*(Geotech!C409&lt;=PLT!$F$4:$F$8886)*(Geotech!D409&gt;=PLT!$F$4:$F$8886)*(PLT!$V$4:$V$8886&lt;&gt;AD409)*("Valid"=PLT!$P$4:$P$7190),PLT!$V$4:$V$8886),"")</f>
        <v/>
      </c>
      <c r="AF409" s="161" t="str" cm="1">
        <f t="array" ref="AF409">IFERROR(_xlfn.XLOOKUP(1,(A409=PLT!$A$4:$A$8886)*(Geotech!C409&lt;=PLT!$F$4:$F$8886)*(Geotech!D409&gt;=PLT!$F$4:$F$8886)*(PLT!$V$4:$V$8886&lt;&gt;AD409)*(PLT!$V$4:$V$8886&lt;&gt;AE409)*("Valid"=PLT!$P$4:$P$7190),PLT!$V$4:$V$8886),"")</f>
        <v/>
      </c>
      <c r="AG409" s="162" t="str">
        <f>IFERROR(IF(AVERAGE(AD409:AF409)&gt;References!$BO$23,References!$BP$23,
IF(AVERAGE(AD409:AF409)&gt;References!$BO$22,References!$BP$22,
IF(AVERAGE(AD409:AF409)&gt;References!$BO$21,References!$BP$21,
IF(AVERAGE(AD409:AF409)&gt;References!$BO$20,References!$BP$20,
IF(AVERAGE(AD409:AF409)&gt;References!$BO$19,References!$BP$19,
IF(AVERAGE(AD409:AF409)&gt;References!$BO$18,References!$BP$18,
0)))))),"")</f>
        <v/>
      </c>
      <c r="AH409" s="163" t="e">
        <f>VLOOKUP(Data_Geotech[[#This Row],[Field Intact Rock Strength]],Table_RMR76_Strength[],2,FALSE)</f>
        <v>#N/A</v>
      </c>
      <c r="AI409" s="163" t="e">
        <f>IF(Data_Geotech[[#This Row],[RQD (%)]]&lt;=25,3,IF(Data_Geotech[[#This Row],[RQD (%)]]&lt;=50,8,IF(Data_Geotech[[#This Row],[RQD (%)]]&lt;=75,13,IF(Data_Geotech[[#This Row],[RQD (%)]]&lt;=90,17,20))))</f>
        <v>#DIV/0!</v>
      </c>
      <c r="AJ409" s="136">
        <f>IF(Data_Geotech[[#This Row],[Joint spacing (m)]]&lt;=0.05,5,IF(Data_Geotech[[#This Row],[Joint spacing (m)]]&lt;=0.3,10,IF(Data_Geotech[[#This Row],[Joint spacing (m)]]&lt;=1,20,IF(Data_Geotech[[#This Row],[Joint spacing (m)]]&lt;=3,25,30))))</f>
        <v>30</v>
      </c>
      <c r="AK40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09" s="6"/>
      <c r="AM409" s="137" t="str">
        <f>IF(Data_Geotech[[#This Row],[FIRS Code]]="R",IFERROR(SUM(Data_Geotech[[#This Row],[RMR76 - Strength rating]:[RMR76 - Ground water rating]]),""),"")</f>
        <v/>
      </c>
      <c r="AN409" s="164" t="str">
        <f>IF(Data_Geotech[[#This Row],[FIRS Code]]="R",(2*Data_Geotech[[#This Row],[RMR76 - Joint condition rating]])+(IF(Data_Geotech[[#This Row],[RQD (%)]]&gt;80,80/2,Data_Geotech[[#This Row],[RQD (%)]]/2)),"")</f>
        <v/>
      </c>
      <c r="AO409" s="136" t="e">
        <f>LEFT(Data_Geotech[[#This Row],[Joint Set Rating]],FIND("-",Data_Geotech[[#This Row],[Joint Set Rating]],1)-2)</f>
        <v>#VALUE!</v>
      </c>
      <c r="AP40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09" s="143">
        <f t="shared" si="9"/>
        <v>1</v>
      </c>
      <c r="AR409" s="165" t="str">
        <f>IF(Data_Geotech[[#This Row],[FIRS Code]]="R",IFERROR((IF(Data_Geotech[[#This Row],[RQD (%)]]&lt;10,10,Data_Geotech[[#This Row],[RQD (%)]])/Data_Geotech[[#This Row],[Jn rating]])*Data_Geotech[[#This Row],[Jr/Ja]],""),"")</f>
        <v/>
      </c>
      <c r="AS409" s="138" t="str">
        <f>IF(Data_Geotech[[#This Row],[FIRS Code]]="R",IFERROR((IF(Data_Geotech[[#This Row],[RQD (%)]]&lt;10,10,Data_Geotech[[#This Row],[RQD (%)]])/Data_Geotech[[#This Row],[Jn rating]])*Data_Geotech[[#This Row],[Jr/Ja]]*Data_Geotech[[#This Row],[Jw/SRF]],""),"")</f>
        <v/>
      </c>
      <c r="AT409" s="12"/>
      <c r="AU409" s="13" t="e">
        <f>100-Data_Geotech[[#This Row],[RQD (%)]]</f>
        <v>#DIV/0!</v>
      </c>
      <c r="AV409" s="13" t="e">
        <f>100-Data_Geotech[[#This Row],[TCR (%)]]</f>
        <v>#DIV/0!</v>
      </c>
      <c r="AW409" s="62" t="e">
        <f>(Data_Geotech[[#This Row],[Fracture per interval]]+Data_Geotech[[#This Row],[Added fractures 
(BC, FLT, LC)]])/Data_Geotech[[#This Row],[TCR (m)]]</f>
        <v>#DIV/0!</v>
      </c>
      <c r="AX409" s="62" t="str">
        <f>MID(Data_Geotech[[#This Row],[Field Intact Rock Strength]],2,1)</f>
        <v/>
      </c>
      <c r="AY409" s="63" t="e">
        <f>7-MID(Data_Geotech[[#This Row],[Field Intact Rock Strength]],2,1)</f>
        <v>#VALUE!</v>
      </c>
      <c r="AZ409" s="63" t="e">
        <f>VLOOKUP(Data_Geotech[[#This Row],[Field Intact Rock Strength]],Table_FieldStrength[],2,FALSE)</f>
        <v>#N/A</v>
      </c>
      <c r="BA409" s="63" t="e">
        <f>VLOOKUP(Data_Geotech[[#This Row],[Field Intact Rock Strength]],Table_FieldStrength[],3,FALSE)</f>
        <v>#N/A</v>
      </c>
      <c r="BB409" s="63" t="e">
        <f>VLOOKUP(Data_Geotech[[#This Row],[Field Intact Rock Strength]],Table_FieldStrength[],4,FALSE)</f>
        <v>#N/A</v>
      </c>
      <c r="BC409" s="63" t="e">
        <f>100-Data_Geotech[[#This Row],[RMR76]]</f>
        <v>#VALUE!</v>
      </c>
      <c r="BD409" s="63" t="e">
        <f>LEFT(Data_Geotech[[#This Row],[Weathering/Alteration]],FIND("-",Data_Geotech[[#This Row],[Weathering/Alteration]])-2)</f>
        <v>#VALUE!</v>
      </c>
    </row>
    <row r="410" spans="1:56" hidden="1" x14ac:dyDescent="0.25">
      <c r="A410" s="14"/>
      <c r="B410" s="166" t="e">
        <f>VLOOKUP(Data_Geotech[[#This Row],[Hole ID]],Data_Log[],2,FALSE)</f>
        <v>#N/A</v>
      </c>
      <c r="C410" s="5"/>
      <c r="D410" s="5"/>
      <c r="E410" s="5">
        <f>(Data_Geotech[[#This Row],[To (m)]]-Data_Geotech[[#This Row],[From (m)]])/2+Data_Geotech[[#This Row],[From (m)]]</f>
        <v>0</v>
      </c>
      <c r="F410" s="13">
        <f>Data_Geotech[[#This Row],[To (m)]]-Data_Geotech[[#This Row],[From (m)]]</f>
        <v>0</v>
      </c>
      <c r="G410" s="5"/>
      <c r="H410" s="13" t="e">
        <f>Data_Geotech[[#This Row],[TCR (m)]]/Data_Geotech[[#This Row],[Run (m)]]*100</f>
        <v>#DIV/0!</v>
      </c>
      <c r="I410" s="5"/>
      <c r="J410" s="5"/>
      <c r="K410" s="5"/>
      <c r="L410" s="13" t="e">
        <f>Data_Geotech[[#This Row],[RQD (m)]]/Data_Geotech[[#This Row],[Run Reel (m)]]*100</f>
        <v>#DIV/0!</v>
      </c>
      <c r="P410" s="115"/>
      <c r="Q410" s="5"/>
      <c r="R410" s="5"/>
      <c r="S410" s="5"/>
      <c r="T410" s="5"/>
      <c r="U410" s="5"/>
      <c r="V410" s="6"/>
      <c r="W410" s="92">
        <f>SUMIFS(Discontinuities!$D$4:$D$9664,Discontinuities!$A$4:$A$9664,A410,Discontinuities!$C$4:$C$9664,"&gt;="&amp;C410,Discontinuities!$C$4:$C$9664,"&lt;"&amp;D410)
-SUMIFS(Discontinuities!$D$4:$D$9664,Discontinuities!$A$4:$A$9664,A410,Discontinuities!$C$4:$C$9664,"&gt;="&amp;C410,Discontinuities!$C$4:$C$9664,"&lt;"&amp;D410,Discontinuities!$E$4:$E$9664,"=BC")
-SUMIFS(Discontinuities!$D$4:$D$9664,Discontinuities!$A$4:$A$9664,A410,Discontinuities!$C$4:$C$9664,"&gt;="&amp;C410,Discontinuities!$C$4:$C$9664,"&lt;"&amp;D410,Discontinuities!$E$4:$E$9664,"=LC")
-SUMIFS(Discontinuities!$D$4:$D$9664,Discontinuities!$A$4:$A$9664,A410,Discontinuities!$C$4:$C$9664,"&gt;="&amp;C410,Discontinuities!$C$4:$C$9664,"&lt;"&amp;D410,Discontinuities!$E$4:$E$9664,"=FLT")</f>
        <v>0</v>
      </c>
      <c r="AA410" s="132"/>
      <c r="AB410" s="159">
        <f>IFERROR(ROUND((Data_Geotech[[#This Row],[Fault (m)]]+Data_Geotech[[#This Row],[Broken Core (m)]]+Data_Geotech[[#This Row],[Lost Core (m)]])*30,0),0)</f>
        <v>0</v>
      </c>
      <c r="AC410" s="135">
        <f>IF(Data_Geotech[[#This Row],[Added fractures 
(BC, FLT, LC)]]+Data_Geotech[[#This Row],[Fracture per interval]]=0,99,1/((Data_Geotech[[#This Row],[Fracture per interval]]+Data_Geotech[[#This Row],[Added fractures 
(BC, FLT, LC)]])/Data_Geotech[[#This Row],[Run (m)]]))</f>
        <v>99</v>
      </c>
      <c r="AD410" s="160" t="str" cm="1">
        <f t="array" ref="AD410">IFERROR(_xlfn.XLOOKUP(1,(A410=PLT!$A$4:$A$8886)*(Geotech!C410&lt;=PLT!$F$4:$F$8886)*(Geotech!D410&gt;=PLT!$F$4:$F$8886)*("Valid"=PLT!$P$4:$P$8886),PLT!$V$4:$V$8886),"")</f>
        <v/>
      </c>
      <c r="AE410" s="161" t="str" cm="1">
        <f t="array" ref="AE410">IFERROR(_xlfn.XLOOKUP(1,(A410=PLT!$A$4:$A$8886)*(Geotech!C410&lt;=PLT!$F$4:$F$8886)*(Geotech!D410&gt;=PLT!$F$4:$F$8886)*(PLT!$V$4:$V$8886&lt;&gt;AD410)*("Valid"=PLT!$P$4:$P$7190),PLT!$V$4:$V$8886),"")</f>
        <v/>
      </c>
      <c r="AF410" s="161" t="str" cm="1">
        <f t="array" ref="AF410">IFERROR(_xlfn.XLOOKUP(1,(A410=PLT!$A$4:$A$8886)*(Geotech!C410&lt;=PLT!$F$4:$F$8886)*(Geotech!D410&gt;=PLT!$F$4:$F$8886)*(PLT!$V$4:$V$8886&lt;&gt;AD410)*(PLT!$V$4:$V$8886&lt;&gt;AE410)*("Valid"=PLT!$P$4:$P$7190),PLT!$V$4:$V$8886),"")</f>
        <v/>
      </c>
      <c r="AG410" s="162" t="str">
        <f>IFERROR(IF(AVERAGE(AD410:AF410)&gt;References!$BO$23,References!$BP$23,
IF(AVERAGE(AD410:AF410)&gt;References!$BO$22,References!$BP$22,
IF(AVERAGE(AD410:AF410)&gt;References!$BO$21,References!$BP$21,
IF(AVERAGE(AD410:AF410)&gt;References!$BO$20,References!$BP$20,
IF(AVERAGE(AD410:AF410)&gt;References!$BO$19,References!$BP$19,
IF(AVERAGE(AD410:AF410)&gt;References!$BO$18,References!$BP$18,
0)))))),"")</f>
        <v/>
      </c>
      <c r="AH410" s="163" t="e">
        <f>VLOOKUP(Data_Geotech[[#This Row],[Field Intact Rock Strength]],Table_RMR76_Strength[],2,FALSE)</f>
        <v>#N/A</v>
      </c>
      <c r="AI410" s="163" t="e">
        <f>IF(Data_Geotech[[#This Row],[RQD (%)]]&lt;=25,3,IF(Data_Geotech[[#This Row],[RQD (%)]]&lt;=50,8,IF(Data_Geotech[[#This Row],[RQD (%)]]&lt;=75,13,IF(Data_Geotech[[#This Row],[RQD (%)]]&lt;=90,17,20))))</f>
        <v>#DIV/0!</v>
      </c>
      <c r="AJ410" s="136">
        <f>IF(Data_Geotech[[#This Row],[Joint spacing (m)]]&lt;=0.05,5,IF(Data_Geotech[[#This Row],[Joint spacing (m)]]&lt;=0.3,10,IF(Data_Geotech[[#This Row],[Joint spacing (m)]]&lt;=1,20,IF(Data_Geotech[[#This Row],[Joint spacing (m)]]&lt;=3,25,30))))</f>
        <v>30</v>
      </c>
      <c r="AK4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0" s="6"/>
      <c r="AM410" s="137" t="str">
        <f>IF(Data_Geotech[[#This Row],[FIRS Code]]="R",IFERROR(SUM(Data_Geotech[[#This Row],[RMR76 - Strength rating]:[RMR76 - Ground water rating]]),""),"")</f>
        <v/>
      </c>
      <c r="AN410" s="164" t="str">
        <f>IF(Data_Geotech[[#This Row],[FIRS Code]]="R",(2*Data_Geotech[[#This Row],[RMR76 - Joint condition rating]])+(IF(Data_Geotech[[#This Row],[RQD (%)]]&gt;80,80/2,Data_Geotech[[#This Row],[RQD (%)]]/2)),"")</f>
        <v/>
      </c>
      <c r="AO410" s="136" t="e">
        <f>LEFT(Data_Geotech[[#This Row],[Joint Set Rating]],FIND("-",Data_Geotech[[#This Row],[Joint Set Rating]],1)-2)</f>
        <v>#VALUE!</v>
      </c>
      <c r="AP4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0" s="143">
        <f t="shared" si="9"/>
        <v>1</v>
      </c>
      <c r="AR410" s="165" t="str">
        <f>IF(Data_Geotech[[#This Row],[FIRS Code]]="R",IFERROR((IF(Data_Geotech[[#This Row],[RQD (%)]]&lt;10,10,Data_Geotech[[#This Row],[RQD (%)]])/Data_Geotech[[#This Row],[Jn rating]])*Data_Geotech[[#This Row],[Jr/Ja]],""),"")</f>
        <v/>
      </c>
      <c r="AS410" s="138" t="str">
        <f>IF(Data_Geotech[[#This Row],[FIRS Code]]="R",IFERROR((IF(Data_Geotech[[#This Row],[RQD (%)]]&lt;10,10,Data_Geotech[[#This Row],[RQD (%)]])/Data_Geotech[[#This Row],[Jn rating]])*Data_Geotech[[#This Row],[Jr/Ja]]*Data_Geotech[[#This Row],[Jw/SRF]],""),"")</f>
        <v/>
      </c>
      <c r="AT410" s="12"/>
      <c r="AU410" s="13" t="e">
        <f>100-Data_Geotech[[#This Row],[RQD (%)]]</f>
        <v>#DIV/0!</v>
      </c>
      <c r="AV410" s="13" t="e">
        <f>100-Data_Geotech[[#This Row],[TCR (%)]]</f>
        <v>#DIV/0!</v>
      </c>
      <c r="AW410" s="62" t="e">
        <f>(Data_Geotech[[#This Row],[Fracture per interval]]+Data_Geotech[[#This Row],[Added fractures 
(BC, FLT, LC)]])/Data_Geotech[[#This Row],[TCR (m)]]</f>
        <v>#DIV/0!</v>
      </c>
      <c r="AX410" s="62" t="str">
        <f>MID(Data_Geotech[[#This Row],[Field Intact Rock Strength]],2,1)</f>
        <v/>
      </c>
      <c r="AY410" s="63" t="e">
        <f>7-MID(Data_Geotech[[#This Row],[Field Intact Rock Strength]],2,1)</f>
        <v>#VALUE!</v>
      </c>
      <c r="AZ410" s="63" t="e">
        <f>VLOOKUP(Data_Geotech[[#This Row],[Field Intact Rock Strength]],Table_FieldStrength[],2,FALSE)</f>
        <v>#N/A</v>
      </c>
      <c r="BA410" s="63" t="e">
        <f>VLOOKUP(Data_Geotech[[#This Row],[Field Intact Rock Strength]],Table_FieldStrength[],3,FALSE)</f>
        <v>#N/A</v>
      </c>
      <c r="BB410" s="63" t="e">
        <f>VLOOKUP(Data_Geotech[[#This Row],[Field Intact Rock Strength]],Table_FieldStrength[],4,FALSE)</f>
        <v>#N/A</v>
      </c>
      <c r="BC410" s="63" t="e">
        <f>100-Data_Geotech[[#This Row],[RMR76]]</f>
        <v>#VALUE!</v>
      </c>
      <c r="BD410" s="63" t="e">
        <f>LEFT(Data_Geotech[[#This Row],[Weathering/Alteration]],FIND("-",Data_Geotech[[#This Row],[Weathering/Alteration]])-2)</f>
        <v>#VALUE!</v>
      </c>
    </row>
    <row r="411" spans="1:56" hidden="1" x14ac:dyDescent="0.25">
      <c r="A411" s="14"/>
      <c r="B411" s="166" t="e">
        <f>VLOOKUP(Data_Geotech[[#This Row],[Hole ID]],Data_Log[],2,FALSE)</f>
        <v>#N/A</v>
      </c>
      <c r="C411" s="5"/>
      <c r="D411" s="5"/>
      <c r="E411" s="5">
        <f>(Data_Geotech[[#This Row],[To (m)]]-Data_Geotech[[#This Row],[From (m)]])/2+Data_Geotech[[#This Row],[From (m)]]</f>
        <v>0</v>
      </c>
      <c r="F411" s="13">
        <f>Data_Geotech[[#This Row],[To (m)]]-Data_Geotech[[#This Row],[From (m)]]</f>
        <v>0</v>
      </c>
      <c r="G411" s="5"/>
      <c r="H411" s="13" t="e">
        <f>Data_Geotech[[#This Row],[TCR (m)]]/Data_Geotech[[#This Row],[Run (m)]]*100</f>
        <v>#DIV/0!</v>
      </c>
      <c r="I411" s="5"/>
      <c r="J411" s="5"/>
      <c r="K411" s="5"/>
      <c r="L411" s="13" t="e">
        <f>Data_Geotech[[#This Row],[RQD (m)]]/Data_Geotech[[#This Row],[Run Reel (m)]]*100</f>
        <v>#DIV/0!</v>
      </c>
      <c r="P411" s="115"/>
      <c r="Q411" s="5"/>
      <c r="R411" s="5"/>
      <c r="S411" s="5"/>
      <c r="T411" s="5"/>
      <c r="U411" s="5"/>
      <c r="V411" s="6"/>
      <c r="W411" s="92">
        <f>SUMIFS(Discontinuities!$D$4:$D$9664,Discontinuities!$A$4:$A$9664,A411,Discontinuities!$C$4:$C$9664,"&gt;="&amp;C411,Discontinuities!$C$4:$C$9664,"&lt;"&amp;D411)
-SUMIFS(Discontinuities!$D$4:$D$9664,Discontinuities!$A$4:$A$9664,A411,Discontinuities!$C$4:$C$9664,"&gt;="&amp;C411,Discontinuities!$C$4:$C$9664,"&lt;"&amp;D411,Discontinuities!$E$4:$E$9664,"=BC")
-SUMIFS(Discontinuities!$D$4:$D$9664,Discontinuities!$A$4:$A$9664,A411,Discontinuities!$C$4:$C$9664,"&gt;="&amp;C411,Discontinuities!$C$4:$C$9664,"&lt;"&amp;D411,Discontinuities!$E$4:$E$9664,"=LC")
-SUMIFS(Discontinuities!$D$4:$D$9664,Discontinuities!$A$4:$A$9664,A411,Discontinuities!$C$4:$C$9664,"&gt;="&amp;C411,Discontinuities!$C$4:$C$9664,"&lt;"&amp;D411,Discontinuities!$E$4:$E$9664,"=FLT")</f>
        <v>0</v>
      </c>
      <c r="AA411" s="132"/>
      <c r="AB411" s="159">
        <f>IFERROR(ROUND((Data_Geotech[[#This Row],[Fault (m)]]+Data_Geotech[[#This Row],[Broken Core (m)]]+Data_Geotech[[#This Row],[Lost Core (m)]])*30,0),0)</f>
        <v>0</v>
      </c>
      <c r="AC411" s="135">
        <f>IF(Data_Geotech[[#This Row],[Added fractures 
(BC, FLT, LC)]]+Data_Geotech[[#This Row],[Fracture per interval]]=0,99,1/((Data_Geotech[[#This Row],[Fracture per interval]]+Data_Geotech[[#This Row],[Added fractures 
(BC, FLT, LC)]])/Data_Geotech[[#This Row],[Run (m)]]))</f>
        <v>99</v>
      </c>
      <c r="AD411" s="160" t="str" cm="1">
        <f t="array" ref="AD411">IFERROR(_xlfn.XLOOKUP(1,(A411=PLT!$A$4:$A$8886)*(Geotech!C411&lt;=PLT!$F$4:$F$8886)*(Geotech!D411&gt;=PLT!$F$4:$F$8886)*("Valid"=PLT!$P$4:$P$8886),PLT!$V$4:$V$8886),"")</f>
        <v/>
      </c>
      <c r="AE411" s="161" t="str" cm="1">
        <f t="array" ref="AE411">IFERROR(_xlfn.XLOOKUP(1,(A411=PLT!$A$4:$A$8886)*(Geotech!C411&lt;=PLT!$F$4:$F$8886)*(Geotech!D411&gt;=PLT!$F$4:$F$8886)*(PLT!$V$4:$V$8886&lt;&gt;AD411)*("Valid"=PLT!$P$4:$P$7190),PLT!$V$4:$V$8886),"")</f>
        <v/>
      </c>
      <c r="AF411" s="161" t="str" cm="1">
        <f t="array" ref="AF411">IFERROR(_xlfn.XLOOKUP(1,(A411=PLT!$A$4:$A$8886)*(Geotech!C411&lt;=PLT!$F$4:$F$8886)*(Geotech!D411&gt;=PLT!$F$4:$F$8886)*(PLT!$V$4:$V$8886&lt;&gt;AD411)*(PLT!$V$4:$V$8886&lt;&gt;AE411)*("Valid"=PLT!$P$4:$P$7190),PLT!$V$4:$V$8886),"")</f>
        <v/>
      </c>
      <c r="AG411" s="162" t="str">
        <f>IFERROR(IF(AVERAGE(AD411:AF411)&gt;References!$BO$23,References!$BP$23,
IF(AVERAGE(AD411:AF411)&gt;References!$BO$22,References!$BP$22,
IF(AVERAGE(AD411:AF411)&gt;References!$BO$21,References!$BP$21,
IF(AVERAGE(AD411:AF411)&gt;References!$BO$20,References!$BP$20,
IF(AVERAGE(AD411:AF411)&gt;References!$BO$19,References!$BP$19,
IF(AVERAGE(AD411:AF411)&gt;References!$BO$18,References!$BP$18,
0)))))),"")</f>
        <v/>
      </c>
      <c r="AH411" s="163" t="e">
        <f>VLOOKUP(Data_Geotech[[#This Row],[Field Intact Rock Strength]],Table_RMR76_Strength[],2,FALSE)</f>
        <v>#N/A</v>
      </c>
      <c r="AI411" s="163" t="e">
        <f>IF(Data_Geotech[[#This Row],[RQD (%)]]&lt;=25,3,IF(Data_Geotech[[#This Row],[RQD (%)]]&lt;=50,8,IF(Data_Geotech[[#This Row],[RQD (%)]]&lt;=75,13,IF(Data_Geotech[[#This Row],[RQD (%)]]&lt;=90,17,20))))</f>
        <v>#DIV/0!</v>
      </c>
      <c r="AJ411" s="136">
        <f>IF(Data_Geotech[[#This Row],[Joint spacing (m)]]&lt;=0.05,5,IF(Data_Geotech[[#This Row],[Joint spacing (m)]]&lt;=0.3,10,IF(Data_Geotech[[#This Row],[Joint spacing (m)]]&lt;=1,20,IF(Data_Geotech[[#This Row],[Joint spacing (m)]]&lt;=3,25,30))))</f>
        <v>30</v>
      </c>
      <c r="AK4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1" s="6"/>
      <c r="AM411" s="137" t="str">
        <f>IF(Data_Geotech[[#This Row],[FIRS Code]]="R",IFERROR(SUM(Data_Geotech[[#This Row],[RMR76 - Strength rating]:[RMR76 - Ground water rating]]),""),"")</f>
        <v/>
      </c>
      <c r="AN411" s="164" t="str">
        <f>IF(Data_Geotech[[#This Row],[FIRS Code]]="R",(2*Data_Geotech[[#This Row],[RMR76 - Joint condition rating]])+(IF(Data_Geotech[[#This Row],[RQD (%)]]&gt;80,80/2,Data_Geotech[[#This Row],[RQD (%)]]/2)),"")</f>
        <v/>
      </c>
      <c r="AO411" s="136" t="e">
        <f>LEFT(Data_Geotech[[#This Row],[Joint Set Rating]],FIND("-",Data_Geotech[[#This Row],[Joint Set Rating]],1)-2)</f>
        <v>#VALUE!</v>
      </c>
      <c r="AP4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1" s="143">
        <f t="shared" si="9"/>
        <v>1</v>
      </c>
      <c r="AR411" s="165" t="str">
        <f>IF(Data_Geotech[[#This Row],[FIRS Code]]="R",IFERROR((IF(Data_Geotech[[#This Row],[RQD (%)]]&lt;10,10,Data_Geotech[[#This Row],[RQD (%)]])/Data_Geotech[[#This Row],[Jn rating]])*Data_Geotech[[#This Row],[Jr/Ja]],""),"")</f>
        <v/>
      </c>
      <c r="AS411" s="138" t="str">
        <f>IF(Data_Geotech[[#This Row],[FIRS Code]]="R",IFERROR((IF(Data_Geotech[[#This Row],[RQD (%)]]&lt;10,10,Data_Geotech[[#This Row],[RQD (%)]])/Data_Geotech[[#This Row],[Jn rating]])*Data_Geotech[[#This Row],[Jr/Ja]]*Data_Geotech[[#This Row],[Jw/SRF]],""),"")</f>
        <v/>
      </c>
      <c r="AT411" s="12"/>
      <c r="AU411" s="13" t="e">
        <f>100-Data_Geotech[[#This Row],[RQD (%)]]</f>
        <v>#DIV/0!</v>
      </c>
      <c r="AV411" s="13" t="e">
        <f>100-Data_Geotech[[#This Row],[TCR (%)]]</f>
        <v>#DIV/0!</v>
      </c>
      <c r="AW411" s="62" t="e">
        <f>(Data_Geotech[[#This Row],[Fracture per interval]]+Data_Geotech[[#This Row],[Added fractures 
(BC, FLT, LC)]])/Data_Geotech[[#This Row],[TCR (m)]]</f>
        <v>#DIV/0!</v>
      </c>
      <c r="AX411" s="62" t="str">
        <f>MID(Data_Geotech[[#This Row],[Field Intact Rock Strength]],2,1)</f>
        <v/>
      </c>
      <c r="AY411" s="63" t="e">
        <f>7-MID(Data_Geotech[[#This Row],[Field Intact Rock Strength]],2,1)</f>
        <v>#VALUE!</v>
      </c>
      <c r="AZ411" s="63" t="e">
        <f>VLOOKUP(Data_Geotech[[#This Row],[Field Intact Rock Strength]],Table_FieldStrength[],2,FALSE)</f>
        <v>#N/A</v>
      </c>
      <c r="BA411" s="63" t="e">
        <f>VLOOKUP(Data_Geotech[[#This Row],[Field Intact Rock Strength]],Table_FieldStrength[],3,FALSE)</f>
        <v>#N/A</v>
      </c>
      <c r="BB411" s="63" t="e">
        <f>VLOOKUP(Data_Geotech[[#This Row],[Field Intact Rock Strength]],Table_FieldStrength[],4,FALSE)</f>
        <v>#N/A</v>
      </c>
      <c r="BC411" s="63" t="e">
        <f>100-Data_Geotech[[#This Row],[RMR76]]</f>
        <v>#VALUE!</v>
      </c>
      <c r="BD411" s="63" t="e">
        <f>LEFT(Data_Geotech[[#This Row],[Weathering/Alteration]],FIND("-",Data_Geotech[[#This Row],[Weathering/Alteration]])-2)</f>
        <v>#VALUE!</v>
      </c>
    </row>
    <row r="412" spans="1:56" hidden="1" x14ac:dyDescent="0.25">
      <c r="A412" s="14"/>
      <c r="B412" s="166" t="e">
        <f>VLOOKUP(Data_Geotech[[#This Row],[Hole ID]],Data_Log[],2,FALSE)</f>
        <v>#N/A</v>
      </c>
      <c r="C412" s="5"/>
      <c r="D412" s="5"/>
      <c r="E412" s="5">
        <f>(Data_Geotech[[#This Row],[To (m)]]-Data_Geotech[[#This Row],[From (m)]])/2+Data_Geotech[[#This Row],[From (m)]]</f>
        <v>0</v>
      </c>
      <c r="F412" s="13">
        <f>Data_Geotech[[#This Row],[To (m)]]-Data_Geotech[[#This Row],[From (m)]]</f>
        <v>0</v>
      </c>
      <c r="G412" s="5"/>
      <c r="H412" s="13" t="e">
        <f>Data_Geotech[[#This Row],[TCR (m)]]/Data_Geotech[[#This Row],[Run (m)]]*100</f>
        <v>#DIV/0!</v>
      </c>
      <c r="I412" s="5"/>
      <c r="J412" s="5"/>
      <c r="K412" s="5"/>
      <c r="L412" s="13" t="e">
        <f>Data_Geotech[[#This Row],[RQD (m)]]/Data_Geotech[[#This Row],[Run Reel (m)]]*100</f>
        <v>#DIV/0!</v>
      </c>
      <c r="P412" s="115"/>
      <c r="Q412" s="5"/>
      <c r="R412" s="5"/>
      <c r="S412" s="5"/>
      <c r="T412" s="5"/>
      <c r="U412" s="5"/>
      <c r="V412" s="6"/>
      <c r="W412" s="92">
        <f>SUMIFS(Discontinuities!$D$4:$D$9664,Discontinuities!$A$4:$A$9664,A412,Discontinuities!$C$4:$C$9664,"&gt;="&amp;C412,Discontinuities!$C$4:$C$9664,"&lt;"&amp;D412)
-SUMIFS(Discontinuities!$D$4:$D$9664,Discontinuities!$A$4:$A$9664,A412,Discontinuities!$C$4:$C$9664,"&gt;="&amp;C412,Discontinuities!$C$4:$C$9664,"&lt;"&amp;D412,Discontinuities!$E$4:$E$9664,"=BC")
-SUMIFS(Discontinuities!$D$4:$D$9664,Discontinuities!$A$4:$A$9664,A412,Discontinuities!$C$4:$C$9664,"&gt;="&amp;C412,Discontinuities!$C$4:$C$9664,"&lt;"&amp;D412,Discontinuities!$E$4:$E$9664,"=LC")
-SUMIFS(Discontinuities!$D$4:$D$9664,Discontinuities!$A$4:$A$9664,A412,Discontinuities!$C$4:$C$9664,"&gt;="&amp;C412,Discontinuities!$C$4:$C$9664,"&lt;"&amp;D412,Discontinuities!$E$4:$E$9664,"=FLT")</f>
        <v>0</v>
      </c>
      <c r="AA412" s="132"/>
      <c r="AB412" s="159">
        <f>IFERROR(ROUND((Data_Geotech[[#This Row],[Fault (m)]]+Data_Geotech[[#This Row],[Broken Core (m)]]+Data_Geotech[[#This Row],[Lost Core (m)]])*30,0),0)</f>
        <v>0</v>
      </c>
      <c r="AC412" s="135">
        <f>IF(Data_Geotech[[#This Row],[Added fractures 
(BC, FLT, LC)]]+Data_Geotech[[#This Row],[Fracture per interval]]=0,99,1/((Data_Geotech[[#This Row],[Fracture per interval]]+Data_Geotech[[#This Row],[Added fractures 
(BC, FLT, LC)]])/Data_Geotech[[#This Row],[Run (m)]]))</f>
        <v>99</v>
      </c>
      <c r="AD412" s="160" t="str" cm="1">
        <f t="array" ref="AD412">IFERROR(_xlfn.XLOOKUP(1,(A412=PLT!$A$4:$A$8886)*(Geotech!C412&lt;=PLT!$F$4:$F$8886)*(Geotech!D412&gt;=PLT!$F$4:$F$8886)*("Valid"=PLT!$P$4:$P$8886),PLT!$V$4:$V$8886),"")</f>
        <v/>
      </c>
      <c r="AE412" s="161" t="str" cm="1">
        <f t="array" ref="AE412">IFERROR(_xlfn.XLOOKUP(1,(A412=PLT!$A$4:$A$8886)*(Geotech!C412&lt;=PLT!$F$4:$F$8886)*(Geotech!D412&gt;=PLT!$F$4:$F$8886)*(PLT!$V$4:$V$8886&lt;&gt;AD412)*("Valid"=PLT!$P$4:$P$7190),PLT!$V$4:$V$8886),"")</f>
        <v/>
      </c>
      <c r="AF412" s="161" t="str" cm="1">
        <f t="array" ref="AF412">IFERROR(_xlfn.XLOOKUP(1,(A412=PLT!$A$4:$A$8886)*(Geotech!C412&lt;=PLT!$F$4:$F$8886)*(Geotech!D412&gt;=PLT!$F$4:$F$8886)*(PLT!$V$4:$V$8886&lt;&gt;AD412)*(PLT!$V$4:$V$8886&lt;&gt;AE412)*("Valid"=PLT!$P$4:$P$7190),PLT!$V$4:$V$8886),"")</f>
        <v/>
      </c>
      <c r="AG412" s="162" t="str">
        <f>IFERROR(IF(AVERAGE(AD412:AF412)&gt;References!$BO$23,References!$BP$23,
IF(AVERAGE(AD412:AF412)&gt;References!$BO$22,References!$BP$22,
IF(AVERAGE(AD412:AF412)&gt;References!$BO$21,References!$BP$21,
IF(AVERAGE(AD412:AF412)&gt;References!$BO$20,References!$BP$20,
IF(AVERAGE(AD412:AF412)&gt;References!$BO$19,References!$BP$19,
IF(AVERAGE(AD412:AF412)&gt;References!$BO$18,References!$BP$18,
0)))))),"")</f>
        <v/>
      </c>
      <c r="AH412" s="163" t="e">
        <f>VLOOKUP(Data_Geotech[[#This Row],[Field Intact Rock Strength]],Table_RMR76_Strength[],2,FALSE)</f>
        <v>#N/A</v>
      </c>
      <c r="AI412" s="163" t="e">
        <f>IF(Data_Geotech[[#This Row],[RQD (%)]]&lt;=25,3,IF(Data_Geotech[[#This Row],[RQD (%)]]&lt;=50,8,IF(Data_Geotech[[#This Row],[RQD (%)]]&lt;=75,13,IF(Data_Geotech[[#This Row],[RQD (%)]]&lt;=90,17,20))))</f>
        <v>#DIV/0!</v>
      </c>
      <c r="AJ412" s="136">
        <f>IF(Data_Geotech[[#This Row],[Joint spacing (m)]]&lt;=0.05,5,IF(Data_Geotech[[#This Row],[Joint spacing (m)]]&lt;=0.3,10,IF(Data_Geotech[[#This Row],[Joint spacing (m)]]&lt;=1,20,IF(Data_Geotech[[#This Row],[Joint spacing (m)]]&lt;=3,25,30))))</f>
        <v>30</v>
      </c>
      <c r="AK4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2" s="6"/>
      <c r="AM412" s="137" t="str">
        <f>IF(Data_Geotech[[#This Row],[FIRS Code]]="R",IFERROR(SUM(Data_Geotech[[#This Row],[RMR76 - Strength rating]:[RMR76 - Ground water rating]]),""),"")</f>
        <v/>
      </c>
      <c r="AN412" s="164" t="str">
        <f>IF(Data_Geotech[[#This Row],[FIRS Code]]="R",(2*Data_Geotech[[#This Row],[RMR76 - Joint condition rating]])+(IF(Data_Geotech[[#This Row],[RQD (%)]]&gt;80,80/2,Data_Geotech[[#This Row],[RQD (%)]]/2)),"")</f>
        <v/>
      </c>
      <c r="AO412" s="136" t="e">
        <f>LEFT(Data_Geotech[[#This Row],[Joint Set Rating]],FIND("-",Data_Geotech[[#This Row],[Joint Set Rating]],1)-2)</f>
        <v>#VALUE!</v>
      </c>
      <c r="AP4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2" s="143">
        <f t="shared" si="9"/>
        <v>1</v>
      </c>
      <c r="AR412" s="165" t="str">
        <f>IF(Data_Geotech[[#This Row],[FIRS Code]]="R",IFERROR((IF(Data_Geotech[[#This Row],[RQD (%)]]&lt;10,10,Data_Geotech[[#This Row],[RQD (%)]])/Data_Geotech[[#This Row],[Jn rating]])*Data_Geotech[[#This Row],[Jr/Ja]],""),"")</f>
        <v/>
      </c>
      <c r="AS412" s="138" t="str">
        <f>IF(Data_Geotech[[#This Row],[FIRS Code]]="R",IFERROR((IF(Data_Geotech[[#This Row],[RQD (%)]]&lt;10,10,Data_Geotech[[#This Row],[RQD (%)]])/Data_Geotech[[#This Row],[Jn rating]])*Data_Geotech[[#This Row],[Jr/Ja]]*Data_Geotech[[#This Row],[Jw/SRF]],""),"")</f>
        <v/>
      </c>
      <c r="AT412" s="12"/>
      <c r="AU412" s="13" t="e">
        <f>100-Data_Geotech[[#This Row],[RQD (%)]]</f>
        <v>#DIV/0!</v>
      </c>
      <c r="AV412" s="13" t="e">
        <f>100-Data_Geotech[[#This Row],[TCR (%)]]</f>
        <v>#DIV/0!</v>
      </c>
      <c r="AW412" s="62" t="e">
        <f>(Data_Geotech[[#This Row],[Fracture per interval]]+Data_Geotech[[#This Row],[Added fractures 
(BC, FLT, LC)]])/Data_Geotech[[#This Row],[TCR (m)]]</f>
        <v>#DIV/0!</v>
      </c>
      <c r="AX412" s="62" t="str">
        <f>MID(Data_Geotech[[#This Row],[Field Intact Rock Strength]],2,1)</f>
        <v/>
      </c>
      <c r="AY412" s="63" t="e">
        <f>7-MID(Data_Geotech[[#This Row],[Field Intact Rock Strength]],2,1)</f>
        <v>#VALUE!</v>
      </c>
      <c r="AZ412" s="63" t="e">
        <f>VLOOKUP(Data_Geotech[[#This Row],[Field Intact Rock Strength]],Table_FieldStrength[],2,FALSE)</f>
        <v>#N/A</v>
      </c>
      <c r="BA412" s="63" t="e">
        <f>VLOOKUP(Data_Geotech[[#This Row],[Field Intact Rock Strength]],Table_FieldStrength[],3,FALSE)</f>
        <v>#N/A</v>
      </c>
      <c r="BB412" s="63" t="e">
        <f>VLOOKUP(Data_Geotech[[#This Row],[Field Intact Rock Strength]],Table_FieldStrength[],4,FALSE)</f>
        <v>#N/A</v>
      </c>
      <c r="BC412" s="63" t="e">
        <f>100-Data_Geotech[[#This Row],[RMR76]]</f>
        <v>#VALUE!</v>
      </c>
      <c r="BD412" s="63" t="e">
        <f>LEFT(Data_Geotech[[#This Row],[Weathering/Alteration]],FIND("-",Data_Geotech[[#This Row],[Weathering/Alteration]])-2)</f>
        <v>#VALUE!</v>
      </c>
    </row>
    <row r="413" spans="1:56" hidden="1" x14ac:dyDescent="0.25">
      <c r="A413" s="14"/>
      <c r="B413" s="166" t="e">
        <f>VLOOKUP(Data_Geotech[[#This Row],[Hole ID]],Data_Log[],2,FALSE)</f>
        <v>#N/A</v>
      </c>
      <c r="C413" s="5"/>
      <c r="D413" s="5"/>
      <c r="E413" s="5">
        <f>(Data_Geotech[[#This Row],[To (m)]]-Data_Geotech[[#This Row],[From (m)]])/2+Data_Geotech[[#This Row],[From (m)]]</f>
        <v>0</v>
      </c>
      <c r="F413" s="13">
        <f>Data_Geotech[[#This Row],[To (m)]]-Data_Geotech[[#This Row],[From (m)]]</f>
        <v>0</v>
      </c>
      <c r="G413" s="5"/>
      <c r="H413" s="13" t="e">
        <f>Data_Geotech[[#This Row],[TCR (m)]]/Data_Geotech[[#This Row],[Run (m)]]*100</f>
        <v>#DIV/0!</v>
      </c>
      <c r="I413" s="5"/>
      <c r="J413" s="5"/>
      <c r="K413" s="5"/>
      <c r="L413" s="13" t="e">
        <f>Data_Geotech[[#This Row],[RQD (m)]]/Data_Geotech[[#This Row],[Run Reel (m)]]*100</f>
        <v>#DIV/0!</v>
      </c>
      <c r="P413" s="115"/>
      <c r="Q413" s="5"/>
      <c r="R413" s="5"/>
      <c r="S413" s="5"/>
      <c r="T413" s="5"/>
      <c r="U413" s="5"/>
      <c r="V413" s="6"/>
      <c r="W413" s="92">
        <f>SUMIFS(Discontinuities!$D$4:$D$9664,Discontinuities!$A$4:$A$9664,A413,Discontinuities!$C$4:$C$9664,"&gt;="&amp;C413,Discontinuities!$C$4:$C$9664,"&lt;"&amp;D413)
-SUMIFS(Discontinuities!$D$4:$D$9664,Discontinuities!$A$4:$A$9664,A413,Discontinuities!$C$4:$C$9664,"&gt;="&amp;C413,Discontinuities!$C$4:$C$9664,"&lt;"&amp;D413,Discontinuities!$E$4:$E$9664,"=BC")
-SUMIFS(Discontinuities!$D$4:$D$9664,Discontinuities!$A$4:$A$9664,A413,Discontinuities!$C$4:$C$9664,"&gt;="&amp;C413,Discontinuities!$C$4:$C$9664,"&lt;"&amp;D413,Discontinuities!$E$4:$E$9664,"=LC")
-SUMIFS(Discontinuities!$D$4:$D$9664,Discontinuities!$A$4:$A$9664,A413,Discontinuities!$C$4:$C$9664,"&gt;="&amp;C413,Discontinuities!$C$4:$C$9664,"&lt;"&amp;D413,Discontinuities!$E$4:$E$9664,"=FLT")</f>
        <v>0</v>
      </c>
      <c r="AA413" s="132"/>
      <c r="AB413" s="159">
        <f>IFERROR(ROUND((Data_Geotech[[#This Row],[Fault (m)]]+Data_Geotech[[#This Row],[Broken Core (m)]]+Data_Geotech[[#This Row],[Lost Core (m)]])*30,0),0)</f>
        <v>0</v>
      </c>
      <c r="AC413" s="135">
        <f>IF(Data_Geotech[[#This Row],[Added fractures 
(BC, FLT, LC)]]+Data_Geotech[[#This Row],[Fracture per interval]]=0,99,1/((Data_Geotech[[#This Row],[Fracture per interval]]+Data_Geotech[[#This Row],[Added fractures 
(BC, FLT, LC)]])/Data_Geotech[[#This Row],[Run (m)]]))</f>
        <v>99</v>
      </c>
      <c r="AD413" s="160" t="str" cm="1">
        <f t="array" ref="AD413">IFERROR(_xlfn.XLOOKUP(1,(A413=PLT!$A$4:$A$8886)*(Geotech!C413&lt;=PLT!$F$4:$F$8886)*(Geotech!D413&gt;=PLT!$F$4:$F$8886)*("Valid"=PLT!$P$4:$P$8886),PLT!$V$4:$V$8886),"")</f>
        <v/>
      </c>
      <c r="AE413" s="161" t="str" cm="1">
        <f t="array" ref="AE413">IFERROR(_xlfn.XLOOKUP(1,(A413=PLT!$A$4:$A$8886)*(Geotech!C413&lt;=PLT!$F$4:$F$8886)*(Geotech!D413&gt;=PLT!$F$4:$F$8886)*(PLT!$V$4:$V$8886&lt;&gt;AD413)*("Valid"=PLT!$P$4:$P$7190),PLT!$V$4:$V$8886),"")</f>
        <v/>
      </c>
      <c r="AF413" s="161" t="str" cm="1">
        <f t="array" ref="AF413">IFERROR(_xlfn.XLOOKUP(1,(A413=PLT!$A$4:$A$8886)*(Geotech!C413&lt;=PLT!$F$4:$F$8886)*(Geotech!D413&gt;=PLT!$F$4:$F$8886)*(PLT!$V$4:$V$8886&lt;&gt;AD413)*(PLT!$V$4:$V$8886&lt;&gt;AE413)*("Valid"=PLT!$P$4:$P$7190),PLT!$V$4:$V$8886),"")</f>
        <v/>
      </c>
      <c r="AG413" s="162" t="str">
        <f>IFERROR(IF(AVERAGE(AD413:AF413)&gt;References!$BO$23,References!$BP$23,
IF(AVERAGE(AD413:AF413)&gt;References!$BO$22,References!$BP$22,
IF(AVERAGE(AD413:AF413)&gt;References!$BO$21,References!$BP$21,
IF(AVERAGE(AD413:AF413)&gt;References!$BO$20,References!$BP$20,
IF(AVERAGE(AD413:AF413)&gt;References!$BO$19,References!$BP$19,
IF(AVERAGE(AD413:AF413)&gt;References!$BO$18,References!$BP$18,
0)))))),"")</f>
        <v/>
      </c>
      <c r="AH413" s="163" t="e">
        <f>VLOOKUP(Data_Geotech[[#This Row],[Field Intact Rock Strength]],Table_RMR76_Strength[],2,FALSE)</f>
        <v>#N/A</v>
      </c>
      <c r="AI413" s="163" t="e">
        <f>IF(Data_Geotech[[#This Row],[RQD (%)]]&lt;=25,3,IF(Data_Geotech[[#This Row],[RQD (%)]]&lt;=50,8,IF(Data_Geotech[[#This Row],[RQD (%)]]&lt;=75,13,IF(Data_Geotech[[#This Row],[RQD (%)]]&lt;=90,17,20))))</f>
        <v>#DIV/0!</v>
      </c>
      <c r="AJ413" s="136">
        <f>IF(Data_Geotech[[#This Row],[Joint spacing (m)]]&lt;=0.05,5,IF(Data_Geotech[[#This Row],[Joint spacing (m)]]&lt;=0.3,10,IF(Data_Geotech[[#This Row],[Joint spacing (m)]]&lt;=1,20,IF(Data_Geotech[[#This Row],[Joint spacing (m)]]&lt;=3,25,30))))</f>
        <v>30</v>
      </c>
      <c r="AK41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3" s="6"/>
      <c r="AM413" s="137" t="str">
        <f>IF(Data_Geotech[[#This Row],[FIRS Code]]="R",IFERROR(SUM(Data_Geotech[[#This Row],[RMR76 - Strength rating]:[RMR76 - Ground water rating]]),""),"")</f>
        <v/>
      </c>
      <c r="AN413" s="164" t="str">
        <f>IF(Data_Geotech[[#This Row],[FIRS Code]]="R",(2*Data_Geotech[[#This Row],[RMR76 - Joint condition rating]])+(IF(Data_Geotech[[#This Row],[RQD (%)]]&gt;80,80/2,Data_Geotech[[#This Row],[RQD (%)]]/2)),"")</f>
        <v/>
      </c>
      <c r="AO413" s="136" t="e">
        <f>LEFT(Data_Geotech[[#This Row],[Joint Set Rating]],FIND("-",Data_Geotech[[#This Row],[Joint Set Rating]],1)-2)</f>
        <v>#VALUE!</v>
      </c>
      <c r="AP41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3" s="143">
        <f t="shared" si="9"/>
        <v>1</v>
      </c>
      <c r="AR413" s="165" t="str">
        <f>IF(Data_Geotech[[#This Row],[FIRS Code]]="R",IFERROR((IF(Data_Geotech[[#This Row],[RQD (%)]]&lt;10,10,Data_Geotech[[#This Row],[RQD (%)]])/Data_Geotech[[#This Row],[Jn rating]])*Data_Geotech[[#This Row],[Jr/Ja]],""),"")</f>
        <v/>
      </c>
      <c r="AS413" s="138" t="str">
        <f>IF(Data_Geotech[[#This Row],[FIRS Code]]="R",IFERROR((IF(Data_Geotech[[#This Row],[RQD (%)]]&lt;10,10,Data_Geotech[[#This Row],[RQD (%)]])/Data_Geotech[[#This Row],[Jn rating]])*Data_Geotech[[#This Row],[Jr/Ja]]*Data_Geotech[[#This Row],[Jw/SRF]],""),"")</f>
        <v/>
      </c>
      <c r="AT413" s="12"/>
      <c r="AU413" s="13" t="e">
        <f>100-Data_Geotech[[#This Row],[RQD (%)]]</f>
        <v>#DIV/0!</v>
      </c>
      <c r="AV413" s="13" t="e">
        <f>100-Data_Geotech[[#This Row],[TCR (%)]]</f>
        <v>#DIV/0!</v>
      </c>
      <c r="AW413" s="62" t="e">
        <f>(Data_Geotech[[#This Row],[Fracture per interval]]+Data_Geotech[[#This Row],[Added fractures 
(BC, FLT, LC)]])/Data_Geotech[[#This Row],[TCR (m)]]</f>
        <v>#DIV/0!</v>
      </c>
      <c r="AX413" s="62" t="str">
        <f>MID(Data_Geotech[[#This Row],[Field Intact Rock Strength]],2,1)</f>
        <v/>
      </c>
      <c r="AY413" s="63" t="e">
        <f>7-MID(Data_Geotech[[#This Row],[Field Intact Rock Strength]],2,1)</f>
        <v>#VALUE!</v>
      </c>
      <c r="AZ413" s="63" t="e">
        <f>VLOOKUP(Data_Geotech[[#This Row],[Field Intact Rock Strength]],Table_FieldStrength[],2,FALSE)</f>
        <v>#N/A</v>
      </c>
      <c r="BA413" s="63" t="e">
        <f>VLOOKUP(Data_Geotech[[#This Row],[Field Intact Rock Strength]],Table_FieldStrength[],3,FALSE)</f>
        <v>#N/A</v>
      </c>
      <c r="BB413" s="63" t="e">
        <f>VLOOKUP(Data_Geotech[[#This Row],[Field Intact Rock Strength]],Table_FieldStrength[],4,FALSE)</f>
        <v>#N/A</v>
      </c>
      <c r="BC413" s="63" t="e">
        <f>100-Data_Geotech[[#This Row],[RMR76]]</f>
        <v>#VALUE!</v>
      </c>
      <c r="BD413" s="63" t="e">
        <f>LEFT(Data_Geotech[[#This Row],[Weathering/Alteration]],FIND("-",Data_Geotech[[#This Row],[Weathering/Alteration]])-2)</f>
        <v>#VALUE!</v>
      </c>
    </row>
    <row r="414" spans="1:56" hidden="1" x14ac:dyDescent="0.25">
      <c r="A414" s="14"/>
      <c r="B414" s="166" t="e">
        <f>VLOOKUP(Data_Geotech[[#This Row],[Hole ID]],Data_Log[],2,FALSE)</f>
        <v>#N/A</v>
      </c>
      <c r="C414" s="5"/>
      <c r="D414" s="5"/>
      <c r="E414" s="5">
        <f>(Data_Geotech[[#This Row],[To (m)]]-Data_Geotech[[#This Row],[From (m)]])/2+Data_Geotech[[#This Row],[From (m)]]</f>
        <v>0</v>
      </c>
      <c r="F414" s="13">
        <f>Data_Geotech[[#This Row],[To (m)]]-Data_Geotech[[#This Row],[From (m)]]</f>
        <v>0</v>
      </c>
      <c r="G414" s="5"/>
      <c r="H414" s="13" t="e">
        <f>Data_Geotech[[#This Row],[TCR (m)]]/Data_Geotech[[#This Row],[Run (m)]]*100</f>
        <v>#DIV/0!</v>
      </c>
      <c r="I414" s="5"/>
      <c r="J414" s="5"/>
      <c r="K414" s="5"/>
      <c r="L414" s="13" t="e">
        <f>Data_Geotech[[#This Row],[RQD (m)]]/Data_Geotech[[#This Row],[Run Reel (m)]]*100</f>
        <v>#DIV/0!</v>
      </c>
      <c r="P414" s="115"/>
      <c r="Q414" s="5"/>
      <c r="R414" s="5"/>
      <c r="S414" s="5"/>
      <c r="T414" s="5"/>
      <c r="U414" s="5"/>
      <c r="V414" s="6"/>
      <c r="W414" s="92">
        <f>SUMIFS(Discontinuities!$D$4:$D$9664,Discontinuities!$A$4:$A$9664,A414,Discontinuities!$C$4:$C$9664,"&gt;="&amp;C414,Discontinuities!$C$4:$C$9664,"&lt;"&amp;D414)
-SUMIFS(Discontinuities!$D$4:$D$9664,Discontinuities!$A$4:$A$9664,A414,Discontinuities!$C$4:$C$9664,"&gt;="&amp;C414,Discontinuities!$C$4:$C$9664,"&lt;"&amp;D414,Discontinuities!$E$4:$E$9664,"=BC")
-SUMIFS(Discontinuities!$D$4:$D$9664,Discontinuities!$A$4:$A$9664,A414,Discontinuities!$C$4:$C$9664,"&gt;="&amp;C414,Discontinuities!$C$4:$C$9664,"&lt;"&amp;D414,Discontinuities!$E$4:$E$9664,"=LC")
-SUMIFS(Discontinuities!$D$4:$D$9664,Discontinuities!$A$4:$A$9664,A414,Discontinuities!$C$4:$C$9664,"&gt;="&amp;C414,Discontinuities!$C$4:$C$9664,"&lt;"&amp;D414,Discontinuities!$E$4:$E$9664,"=FLT")</f>
        <v>0</v>
      </c>
      <c r="AA414" s="132"/>
      <c r="AB414" s="159">
        <f>IFERROR(ROUND((Data_Geotech[[#This Row],[Fault (m)]]+Data_Geotech[[#This Row],[Broken Core (m)]]+Data_Geotech[[#This Row],[Lost Core (m)]])*30,0),0)</f>
        <v>0</v>
      </c>
      <c r="AC414" s="135">
        <f>IF(Data_Geotech[[#This Row],[Added fractures 
(BC, FLT, LC)]]+Data_Geotech[[#This Row],[Fracture per interval]]=0,99,1/((Data_Geotech[[#This Row],[Fracture per interval]]+Data_Geotech[[#This Row],[Added fractures 
(BC, FLT, LC)]])/Data_Geotech[[#This Row],[Run (m)]]))</f>
        <v>99</v>
      </c>
      <c r="AD414" s="160" t="str" cm="1">
        <f t="array" ref="AD414">IFERROR(_xlfn.XLOOKUP(1,(A414=PLT!$A$4:$A$8886)*(Geotech!C414&lt;=PLT!$F$4:$F$8886)*(Geotech!D414&gt;=PLT!$F$4:$F$8886)*("Valid"=PLT!$P$4:$P$8886),PLT!$V$4:$V$8886),"")</f>
        <v/>
      </c>
      <c r="AE414" s="161" t="str" cm="1">
        <f t="array" ref="AE414">IFERROR(_xlfn.XLOOKUP(1,(A414=PLT!$A$4:$A$8886)*(Geotech!C414&lt;=PLT!$F$4:$F$8886)*(Geotech!D414&gt;=PLT!$F$4:$F$8886)*(PLT!$V$4:$V$8886&lt;&gt;AD414)*("Valid"=PLT!$P$4:$P$7190),PLT!$V$4:$V$8886),"")</f>
        <v/>
      </c>
      <c r="AF414" s="161" t="str" cm="1">
        <f t="array" ref="AF414">IFERROR(_xlfn.XLOOKUP(1,(A414=PLT!$A$4:$A$8886)*(Geotech!C414&lt;=PLT!$F$4:$F$8886)*(Geotech!D414&gt;=PLT!$F$4:$F$8886)*(PLT!$V$4:$V$8886&lt;&gt;AD414)*(PLT!$V$4:$V$8886&lt;&gt;AE414)*("Valid"=PLT!$P$4:$P$7190),PLT!$V$4:$V$8886),"")</f>
        <v/>
      </c>
      <c r="AG414" s="162" t="str">
        <f>IFERROR(IF(AVERAGE(AD414:AF414)&gt;References!$BO$23,References!$BP$23,
IF(AVERAGE(AD414:AF414)&gt;References!$BO$22,References!$BP$22,
IF(AVERAGE(AD414:AF414)&gt;References!$BO$21,References!$BP$21,
IF(AVERAGE(AD414:AF414)&gt;References!$BO$20,References!$BP$20,
IF(AVERAGE(AD414:AF414)&gt;References!$BO$19,References!$BP$19,
IF(AVERAGE(AD414:AF414)&gt;References!$BO$18,References!$BP$18,
0)))))),"")</f>
        <v/>
      </c>
      <c r="AH414" s="163" t="e">
        <f>VLOOKUP(Data_Geotech[[#This Row],[Field Intact Rock Strength]],Table_RMR76_Strength[],2,FALSE)</f>
        <v>#N/A</v>
      </c>
      <c r="AI414" s="163" t="e">
        <f>IF(Data_Geotech[[#This Row],[RQD (%)]]&lt;=25,3,IF(Data_Geotech[[#This Row],[RQD (%)]]&lt;=50,8,IF(Data_Geotech[[#This Row],[RQD (%)]]&lt;=75,13,IF(Data_Geotech[[#This Row],[RQD (%)]]&lt;=90,17,20))))</f>
        <v>#DIV/0!</v>
      </c>
      <c r="AJ414" s="136">
        <f>IF(Data_Geotech[[#This Row],[Joint spacing (m)]]&lt;=0.05,5,IF(Data_Geotech[[#This Row],[Joint spacing (m)]]&lt;=0.3,10,IF(Data_Geotech[[#This Row],[Joint spacing (m)]]&lt;=1,20,IF(Data_Geotech[[#This Row],[Joint spacing (m)]]&lt;=3,25,30))))</f>
        <v>30</v>
      </c>
      <c r="AK4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4" s="6"/>
      <c r="AM414" s="137" t="str">
        <f>IF(Data_Geotech[[#This Row],[FIRS Code]]="R",IFERROR(SUM(Data_Geotech[[#This Row],[RMR76 - Strength rating]:[RMR76 - Ground water rating]]),""),"")</f>
        <v/>
      </c>
      <c r="AN414" s="164" t="str">
        <f>IF(Data_Geotech[[#This Row],[FIRS Code]]="R",(2*Data_Geotech[[#This Row],[RMR76 - Joint condition rating]])+(IF(Data_Geotech[[#This Row],[RQD (%)]]&gt;80,80/2,Data_Geotech[[#This Row],[RQD (%)]]/2)),"")</f>
        <v/>
      </c>
      <c r="AO414" s="136" t="e">
        <f>LEFT(Data_Geotech[[#This Row],[Joint Set Rating]],FIND("-",Data_Geotech[[#This Row],[Joint Set Rating]],1)-2)</f>
        <v>#VALUE!</v>
      </c>
      <c r="AP4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4" s="143">
        <f t="shared" si="9"/>
        <v>1</v>
      </c>
      <c r="AR414" s="165" t="str">
        <f>IF(Data_Geotech[[#This Row],[FIRS Code]]="R",IFERROR((IF(Data_Geotech[[#This Row],[RQD (%)]]&lt;10,10,Data_Geotech[[#This Row],[RQD (%)]])/Data_Geotech[[#This Row],[Jn rating]])*Data_Geotech[[#This Row],[Jr/Ja]],""),"")</f>
        <v/>
      </c>
      <c r="AS414" s="138" t="str">
        <f>IF(Data_Geotech[[#This Row],[FIRS Code]]="R",IFERROR((IF(Data_Geotech[[#This Row],[RQD (%)]]&lt;10,10,Data_Geotech[[#This Row],[RQD (%)]])/Data_Geotech[[#This Row],[Jn rating]])*Data_Geotech[[#This Row],[Jr/Ja]]*Data_Geotech[[#This Row],[Jw/SRF]],""),"")</f>
        <v/>
      </c>
      <c r="AT414" s="12"/>
      <c r="AU414" s="13" t="e">
        <f>100-Data_Geotech[[#This Row],[RQD (%)]]</f>
        <v>#DIV/0!</v>
      </c>
      <c r="AV414" s="13" t="e">
        <f>100-Data_Geotech[[#This Row],[TCR (%)]]</f>
        <v>#DIV/0!</v>
      </c>
      <c r="AW414" s="62" t="e">
        <f>(Data_Geotech[[#This Row],[Fracture per interval]]+Data_Geotech[[#This Row],[Added fractures 
(BC, FLT, LC)]])/Data_Geotech[[#This Row],[TCR (m)]]</f>
        <v>#DIV/0!</v>
      </c>
      <c r="AX414" s="62" t="str">
        <f>MID(Data_Geotech[[#This Row],[Field Intact Rock Strength]],2,1)</f>
        <v/>
      </c>
      <c r="AY414" s="63" t="e">
        <f>7-MID(Data_Geotech[[#This Row],[Field Intact Rock Strength]],2,1)</f>
        <v>#VALUE!</v>
      </c>
      <c r="AZ414" s="63" t="e">
        <f>VLOOKUP(Data_Geotech[[#This Row],[Field Intact Rock Strength]],Table_FieldStrength[],2,FALSE)</f>
        <v>#N/A</v>
      </c>
      <c r="BA414" s="63" t="e">
        <f>VLOOKUP(Data_Geotech[[#This Row],[Field Intact Rock Strength]],Table_FieldStrength[],3,FALSE)</f>
        <v>#N/A</v>
      </c>
      <c r="BB414" s="63" t="e">
        <f>VLOOKUP(Data_Geotech[[#This Row],[Field Intact Rock Strength]],Table_FieldStrength[],4,FALSE)</f>
        <v>#N/A</v>
      </c>
      <c r="BC414" s="63" t="e">
        <f>100-Data_Geotech[[#This Row],[RMR76]]</f>
        <v>#VALUE!</v>
      </c>
      <c r="BD414" s="63" t="e">
        <f>LEFT(Data_Geotech[[#This Row],[Weathering/Alteration]],FIND("-",Data_Geotech[[#This Row],[Weathering/Alteration]])-2)</f>
        <v>#VALUE!</v>
      </c>
    </row>
    <row r="415" spans="1:56" hidden="1" x14ac:dyDescent="0.25">
      <c r="A415" s="14"/>
      <c r="B415" s="166" t="e">
        <f>VLOOKUP(Data_Geotech[[#This Row],[Hole ID]],Data_Log[],2,FALSE)</f>
        <v>#N/A</v>
      </c>
      <c r="C415" s="5"/>
      <c r="D415" s="5"/>
      <c r="E415" s="5">
        <f>(Data_Geotech[[#This Row],[To (m)]]-Data_Geotech[[#This Row],[From (m)]])/2+Data_Geotech[[#This Row],[From (m)]]</f>
        <v>0</v>
      </c>
      <c r="F415" s="13">
        <f>Data_Geotech[[#This Row],[To (m)]]-Data_Geotech[[#This Row],[From (m)]]</f>
        <v>0</v>
      </c>
      <c r="G415" s="5"/>
      <c r="H415" s="13" t="e">
        <f>Data_Geotech[[#This Row],[TCR (m)]]/Data_Geotech[[#This Row],[Run (m)]]*100</f>
        <v>#DIV/0!</v>
      </c>
      <c r="I415" s="5"/>
      <c r="J415" s="5"/>
      <c r="K415" s="5"/>
      <c r="L415" s="13" t="e">
        <f>Data_Geotech[[#This Row],[RQD (m)]]/Data_Geotech[[#This Row],[Run Reel (m)]]*100</f>
        <v>#DIV/0!</v>
      </c>
      <c r="P415" s="115"/>
      <c r="Q415" s="5"/>
      <c r="R415" s="5"/>
      <c r="S415" s="5"/>
      <c r="T415" s="5"/>
      <c r="U415" s="5"/>
      <c r="V415" s="6"/>
      <c r="W415" s="92">
        <f>SUMIFS(Discontinuities!$D$4:$D$9664,Discontinuities!$A$4:$A$9664,A415,Discontinuities!$C$4:$C$9664,"&gt;="&amp;C415,Discontinuities!$C$4:$C$9664,"&lt;"&amp;D415)
-SUMIFS(Discontinuities!$D$4:$D$9664,Discontinuities!$A$4:$A$9664,A415,Discontinuities!$C$4:$C$9664,"&gt;="&amp;C415,Discontinuities!$C$4:$C$9664,"&lt;"&amp;D415,Discontinuities!$E$4:$E$9664,"=BC")
-SUMIFS(Discontinuities!$D$4:$D$9664,Discontinuities!$A$4:$A$9664,A415,Discontinuities!$C$4:$C$9664,"&gt;="&amp;C415,Discontinuities!$C$4:$C$9664,"&lt;"&amp;D415,Discontinuities!$E$4:$E$9664,"=LC")
-SUMIFS(Discontinuities!$D$4:$D$9664,Discontinuities!$A$4:$A$9664,A415,Discontinuities!$C$4:$C$9664,"&gt;="&amp;C415,Discontinuities!$C$4:$C$9664,"&lt;"&amp;D415,Discontinuities!$E$4:$E$9664,"=FLT")</f>
        <v>0</v>
      </c>
      <c r="AA415" s="132"/>
      <c r="AB415" s="159">
        <f>IFERROR(ROUND((Data_Geotech[[#This Row],[Fault (m)]]+Data_Geotech[[#This Row],[Broken Core (m)]]+Data_Geotech[[#This Row],[Lost Core (m)]])*30,0),0)</f>
        <v>0</v>
      </c>
      <c r="AC415" s="135">
        <f>IF(Data_Geotech[[#This Row],[Added fractures 
(BC, FLT, LC)]]+Data_Geotech[[#This Row],[Fracture per interval]]=0,99,1/((Data_Geotech[[#This Row],[Fracture per interval]]+Data_Geotech[[#This Row],[Added fractures 
(BC, FLT, LC)]])/Data_Geotech[[#This Row],[Run (m)]]))</f>
        <v>99</v>
      </c>
      <c r="AD415" s="160" t="str" cm="1">
        <f t="array" ref="AD415">IFERROR(_xlfn.XLOOKUP(1,(A415=PLT!$A$4:$A$8886)*(Geotech!C415&lt;=PLT!$F$4:$F$8886)*(Geotech!D415&gt;=PLT!$F$4:$F$8886)*("Valid"=PLT!$P$4:$P$8886),PLT!$V$4:$V$8886),"")</f>
        <v/>
      </c>
      <c r="AE415" s="161" t="str" cm="1">
        <f t="array" ref="AE415">IFERROR(_xlfn.XLOOKUP(1,(A415=PLT!$A$4:$A$8886)*(Geotech!C415&lt;=PLT!$F$4:$F$8886)*(Geotech!D415&gt;=PLT!$F$4:$F$8886)*(PLT!$V$4:$V$8886&lt;&gt;AD415)*("Valid"=PLT!$P$4:$P$7190),PLT!$V$4:$V$8886),"")</f>
        <v/>
      </c>
      <c r="AF415" s="161" t="str" cm="1">
        <f t="array" ref="AF415">IFERROR(_xlfn.XLOOKUP(1,(A415=PLT!$A$4:$A$8886)*(Geotech!C415&lt;=PLT!$F$4:$F$8886)*(Geotech!D415&gt;=PLT!$F$4:$F$8886)*(PLT!$V$4:$V$8886&lt;&gt;AD415)*(PLT!$V$4:$V$8886&lt;&gt;AE415)*("Valid"=PLT!$P$4:$P$7190),PLT!$V$4:$V$8886),"")</f>
        <v/>
      </c>
      <c r="AG415" s="162" t="str">
        <f>IFERROR(IF(AVERAGE(AD415:AF415)&gt;References!$BO$23,References!$BP$23,
IF(AVERAGE(AD415:AF415)&gt;References!$BO$22,References!$BP$22,
IF(AVERAGE(AD415:AF415)&gt;References!$BO$21,References!$BP$21,
IF(AVERAGE(AD415:AF415)&gt;References!$BO$20,References!$BP$20,
IF(AVERAGE(AD415:AF415)&gt;References!$BO$19,References!$BP$19,
IF(AVERAGE(AD415:AF415)&gt;References!$BO$18,References!$BP$18,
0)))))),"")</f>
        <v/>
      </c>
      <c r="AH415" s="163" t="e">
        <f>VLOOKUP(Data_Geotech[[#This Row],[Field Intact Rock Strength]],Table_RMR76_Strength[],2,FALSE)</f>
        <v>#N/A</v>
      </c>
      <c r="AI415" s="163" t="e">
        <f>IF(Data_Geotech[[#This Row],[RQD (%)]]&lt;=25,3,IF(Data_Geotech[[#This Row],[RQD (%)]]&lt;=50,8,IF(Data_Geotech[[#This Row],[RQD (%)]]&lt;=75,13,IF(Data_Geotech[[#This Row],[RQD (%)]]&lt;=90,17,20))))</f>
        <v>#DIV/0!</v>
      </c>
      <c r="AJ415" s="136">
        <f>IF(Data_Geotech[[#This Row],[Joint spacing (m)]]&lt;=0.05,5,IF(Data_Geotech[[#This Row],[Joint spacing (m)]]&lt;=0.3,10,IF(Data_Geotech[[#This Row],[Joint spacing (m)]]&lt;=1,20,IF(Data_Geotech[[#This Row],[Joint spacing (m)]]&lt;=3,25,30))))</f>
        <v>30</v>
      </c>
      <c r="AK4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5" s="6"/>
      <c r="AM415" s="137" t="str">
        <f>IF(Data_Geotech[[#This Row],[FIRS Code]]="R",IFERROR(SUM(Data_Geotech[[#This Row],[RMR76 - Strength rating]:[RMR76 - Ground water rating]]),""),"")</f>
        <v/>
      </c>
      <c r="AN415" s="164" t="str">
        <f>IF(Data_Geotech[[#This Row],[FIRS Code]]="R",(2*Data_Geotech[[#This Row],[RMR76 - Joint condition rating]])+(IF(Data_Geotech[[#This Row],[RQD (%)]]&gt;80,80/2,Data_Geotech[[#This Row],[RQD (%)]]/2)),"")</f>
        <v/>
      </c>
      <c r="AO415" s="136" t="e">
        <f>LEFT(Data_Geotech[[#This Row],[Joint Set Rating]],FIND("-",Data_Geotech[[#This Row],[Joint Set Rating]],1)-2)</f>
        <v>#VALUE!</v>
      </c>
      <c r="AP4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5" s="143">
        <f t="shared" si="9"/>
        <v>1</v>
      </c>
      <c r="AR415" s="165" t="str">
        <f>IF(Data_Geotech[[#This Row],[FIRS Code]]="R",IFERROR((IF(Data_Geotech[[#This Row],[RQD (%)]]&lt;10,10,Data_Geotech[[#This Row],[RQD (%)]])/Data_Geotech[[#This Row],[Jn rating]])*Data_Geotech[[#This Row],[Jr/Ja]],""),"")</f>
        <v/>
      </c>
      <c r="AS415" s="138" t="str">
        <f>IF(Data_Geotech[[#This Row],[FIRS Code]]="R",IFERROR((IF(Data_Geotech[[#This Row],[RQD (%)]]&lt;10,10,Data_Geotech[[#This Row],[RQD (%)]])/Data_Geotech[[#This Row],[Jn rating]])*Data_Geotech[[#This Row],[Jr/Ja]]*Data_Geotech[[#This Row],[Jw/SRF]],""),"")</f>
        <v/>
      </c>
      <c r="AT415" s="12"/>
      <c r="AU415" s="13" t="e">
        <f>100-Data_Geotech[[#This Row],[RQD (%)]]</f>
        <v>#DIV/0!</v>
      </c>
      <c r="AV415" s="13" t="e">
        <f>100-Data_Geotech[[#This Row],[TCR (%)]]</f>
        <v>#DIV/0!</v>
      </c>
      <c r="AW415" s="62" t="e">
        <f>(Data_Geotech[[#This Row],[Fracture per interval]]+Data_Geotech[[#This Row],[Added fractures 
(BC, FLT, LC)]])/Data_Geotech[[#This Row],[TCR (m)]]</f>
        <v>#DIV/0!</v>
      </c>
      <c r="AX415" s="62" t="str">
        <f>MID(Data_Geotech[[#This Row],[Field Intact Rock Strength]],2,1)</f>
        <v/>
      </c>
      <c r="AY415" s="63" t="e">
        <f>7-MID(Data_Geotech[[#This Row],[Field Intact Rock Strength]],2,1)</f>
        <v>#VALUE!</v>
      </c>
      <c r="AZ415" s="63" t="e">
        <f>VLOOKUP(Data_Geotech[[#This Row],[Field Intact Rock Strength]],Table_FieldStrength[],2,FALSE)</f>
        <v>#N/A</v>
      </c>
      <c r="BA415" s="63" t="e">
        <f>VLOOKUP(Data_Geotech[[#This Row],[Field Intact Rock Strength]],Table_FieldStrength[],3,FALSE)</f>
        <v>#N/A</v>
      </c>
      <c r="BB415" s="63" t="e">
        <f>VLOOKUP(Data_Geotech[[#This Row],[Field Intact Rock Strength]],Table_FieldStrength[],4,FALSE)</f>
        <v>#N/A</v>
      </c>
      <c r="BC415" s="63" t="e">
        <f>100-Data_Geotech[[#This Row],[RMR76]]</f>
        <v>#VALUE!</v>
      </c>
      <c r="BD415" s="63" t="e">
        <f>LEFT(Data_Geotech[[#This Row],[Weathering/Alteration]],FIND("-",Data_Geotech[[#This Row],[Weathering/Alteration]])-2)</f>
        <v>#VALUE!</v>
      </c>
    </row>
    <row r="416" spans="1:56" hidden="1" x14ac:dyDescent="0.25">
      <c r="A416" s="14"/>
      <c r="B416" s="166" t="e">
        <f>VLOOKUP(Data_Geotech[[#This Row],[Hole ID]],Data_Log[],2,FALSE)</f>
        <v>#N/A</v>
      </c>
      <c r="C416" s="5"/>
      <c r="D416" s="5"/>
      <c r="E416" s="5">
        <f>(Data_Geotech[[#This Row],[To (m)]]-Data_Geotech[[#This Row],[From (m)]])/2+Data_Geotech[[#This Row],[From (m)]]</f>
        <v>0</v>
      </c>
      <c r="F416" s="13">
        <f>Data_Geotech[[#This Row],[To (m)]]-Data_Geotech[[#This Row],[From (m)]]</f>
        <v>0</v>
      </c>
      <c r="G416" s="5"/>
      <c r="H416" s="13" t="e">
        <f>Data_Geotech[[#This Row],[TCR (m)]]/Data_Geotech[[#This Row],[Run (m)]]*100</f>
        <v>#DIV/0!</v>
      </c>
      <c r="I416" s="5"/>
      <c r="J416" s="5"/>
      <c r="K416" s="5"/>
      <c r="L416" s="13" t="e">
        <f>Data_Geotech[[#This Row],[RQD (m)]]/Data_Geotech[[#This Row],[Run Reel (m)]]*100</f>
        <v>#DIV/0!</v>
      </c>
      <c r="P416" s="115"/>
      <c r="Q416" s="5"/>
      <c r="R416" s="5"/>
      <c r="S416" s="5"/>
      <c r="T416" s="5"/>
      <c r="U416" s="5"/>
      <c r="V416" s="6"/>
      <c r="W416" s="92">
        <f>SUMIFS(Discontinuities!$D$4:$D$9664,Discontinuities!$A$4:$A$9664,A416,Discontinuities!$C$4:$C$9664,"&gt;="&amp;C416,Discontinuities!$C$4:$C$9664,"&lt;"&amp;D416)
-SUMIFS(Discontinuities!$D$4:$D$9664,Discontinuities!$A$4:$A$9664,A416,Discontinuities!$C$4:$C$9664,"&gt;="&amp;C416,Discontinuities!$C$4:$C$9664,"&lt;"&amp;D416,Discontinuities!$E$4:$E$9664,"=BC")
-SUMIFS(Discontinuities!$D$4:$D$9664,Discontinuities!$A$4:$A$9664,A416,Discontinuities!$C$4:$C$9664,"&gt;="&amp;C416,Discontinuities!$C$4:$C$9664,"&lt;"&amp;D416,Discontinuities!$E$4:$E$9664,"=LC")
-SUMIFS(Discontinuities!$D$4:$D$9664,Discontinuities!$A$4:$A$9664,A416,Discontinuities!$C$4:$C$9664,"&gt;="&amp;C416,Discontinuities!$C$4:$C$9664,"&lt;"&amp;D416,Discontinuities!$E$4:$E$9664,"=FLT")</f>
        <v>0</v>
      </c>
      <c r="AA416" s="132"/>
      <c r="AB416" s="159">
        <f>IFERROR(ROUND((Data_Geotech[[#This Row],[Fault (m)]]+Data_Geotech[[#This Row],[Broken Core (m)]]+Data_Geotech[[#This Row],[Lost Core (m)]])*30,0),0)</f>
        <v>0</v>
      </c>
      <c r="AC416" s="135">
        <f>IF(Data_Geotech[[#This Row],[Added fractures 
(BC, FLT, LC)]]+Data_Geotech[[#This Row],[Fracture per interval]]=0,99,1/((Data_Geotech[[#This Row],[Fracture per interval]]+Data_Geotech[[#This Row],[Added fractures 
(BC, FLT, LC)]])/Data_Geotech[[#This Row],[Run (m)]]))</f>
        <v>99</v>
      </c>
      <c r="AD416" s="160" t="str" cm="1">
        <f t="array" ref="AD416">IFERROR(_xlfn.XLOOKUP(1,(A416=PLT!$A$4:$A$8886)*(Geotech!C416&lt;=PLT!$F$4:$F$8886)*(Geotech!D416&gt;=PLT!$F$4:$F$8886)*("Valid"=PLT!$P$4:$P$8886),PLT!$V$4:$V$8886),"")</f>
        <v/>
      </c>
      <c r="AE416" s="161" t="str" cm="1">
        <f t="array" ref="AE416">IFERROR(_xlfn.XLOOKUP(1,(A416=PLT!$A$4:$A$8886)*(Geotech!C416&lt;=PLT!$F$4:$F$8886)*(Geotech!D416&gt;=PLT!$F$4:$F$8886)*(PLT!$V$4:$V$8886&lt;&gt;AD416)*("Valid"=PLT!$P$4:$P$7190),PLT!$V$4:$V$8886),"")</f>
        <v/>
      </c>
      <c r="AF416" s="161" t="str" cm="1">
        <f t="array" ref="AF416">IFERROR(_xlfn.XLOOKUP(1,(A416=PLT!$A$4:$A$8886)*(Geotech!C416&lt;=PLT!$F$4:$F$8886)*(Geotech!D416&gt;=PLT!$F$4:$F$8886)*(PLT!$V$4:$V$8886&lt;&gt;AD416)*(PLT!$V$4:$V$8886&lt;&gt;AE416)*("Valid"=PLT!$P$4:$P$7190),PLT!$V$4:$V$8886),"")</f>
        <v/>
      </c>
      <c r="AG416" s="162" t="str">
        <f>IFERROR(IF(AVERAGE(AD416:AF416)&gt;References!$BO$23,References!$BP$23,
IF(AVERAGE(AD416:AF416)&gt;References!$BO$22,References!$BP$22,
IF(AVERAGE(AD416:AF416)&gt;References!$BO$21,References!$BP$21,
IF(AVERAGE(AD416:AF416)&gt;References!$BO$20,References!$BP$20,
IF(AVERAGE(AD416:AF416)&gt;References!$BO$19,References!$BP$19,
IF(AVERAGE(AD416:AF416)&gt;References!$BO$18,References!$BP$18,
0)))))),"")</f>
        <v/>
      </c>
      <c r="AH416" s="163" t="e">
        <f>VLOOKUP(Data_Geotech[[#This Row],[Field Intact Rock Strength]],Table_RMR76_Strength[],2,FALSE)</f>
        <v>#N/A</v>
      </c>
      <c r="AI416" s="163" t="e">
        <f>IF(Data_Geotech[[#This Row],[RQD (%)]]&lt;=25,3,IF(Data_Geotech[[#This Row],[RQD (%)]]&lt;=50,8,IF(Data_Geotech[[#This Row],[RQD (%)]]&lt;=75,13,IF(Data_Geotech[[#This Row],[RQD (%)]]&lt;=90,17,20))))</f>
        <v>#DIV/0!</v>
      </c>
      <c r="AJ416" s="136">
        <f>IF(Data_Geotech[[#This Row],[Joint spacing (m)]]&lt;=0.05,5,IF(Data_Geotech[[#This Row],[Joint spacing (m)]]&lt;=0.3,10,IF(Data_Geotech[[#This Row],[Joint spacing (m)]]&lt;=1,20,IF(Data_Geotech[[#This Row],[Joint spacing (m)]]&lt;=3,25,30))))</f>
        <v>30</v>
      </c>
      <c r="AK4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6" s="6"/>
      <c r="AM416" s="137" t="str">
        <f>IF(Data_Geotech[[#This Row],[FIRS Code]]="R",IFERROR(SUM(Data_Geotech[[#This Row],[RMR76 - Strength rating]:[RMR76 - Ground water rating]]),""),"")</f>
        <v/>
      </c>
      <c r="AN416" s="164" t="str">
        <f>IF(Data_Geotech[[#This Row],[FIRS Code]]="R",(2*Data_Geotech[[#This Row],[RMR76 - Joint condition rating]])+(IF(Data_Geotech[[#This Row],[RQD (%)]]&gt;80,80/2,Data_Geotech[[#This Row],[RQD (%)]]/2)),"")</f>
        <v/>
      </c>
      <c r="AO416" s="136" t="e">
        <f>LEFT(Data_Geotech[[#This Row],[Joint Set Rating]],FIND("-",Data_Geotech[[#This Row],[Joint Set Rating]],1)-2)</f>
        <v>#VALUE!</v>
      </c>
      <c r="AP4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6" s="143">
        <f t="shared" si="9"/>
        <v>1</v>
      </c>
      <c r="AR416" s="165" t="str">
        <f>IF(Data_Geotech[[#This Row],[FIRS Code]]="R",IFERROR((IF(Data_Geotech[[#This Row],[RQD (%)]]&lt;10,10,Data_Geotech[[#This Row],[RQD (%)]])/Data_Geotech[[#This Row],[Jn rating]])*Data_Geotech[[#This Row],[Jr/Ja]],""),"")</f>
        <v/>
      </c>
      <c r="AS416" s="138" t="str">
        <f>IF(Data_Geotech[[#This Row],[FIRS Code]]="R",IFERROR((IF(Data_Geotech[[#This Row],[RQD (%)]]&lt;10,10,Data_Geotech[[#This Row],[RQD (%)]])/Data_Geotech[[#This Row],[Jn rating]])*Data_Geotech[[#This Row],[Jr/Ja]]*Data_Geotech[[#This Row],[Jw/SRF]],""),"")</f>
        <v/>
      </c>
      <c r="AT416" s="12"/>
      <c r="AU416" s="13" t="e">
        <f>100-Data_Geotech[[#This Row],[RQD (%)]]</f>
        <v>#DIV/0!</v>
      </c>
      <c r="AV416" s="13" t="e">
        <f>100-Data_Geotech[[#This Row],[TCR (%)]]</f>
        <v>#DIV/0!</v>
      </c>
      <c r="AW416" s="62" t="e">
        <f>(Data_Geotech[[#This Row],[Fracture per interval]]+Data_Geotech[[#This Row],[Added fractures 
(BC, FLT, LC)]])/Data_Geotech[[#This Row],[TCR (m)]]</f>
        <v>#DIV/0!</v>
      </c>
      <c r="AX416" s="62" t="str">
        <f>MID(Data_Geotech[[#This Row],[Field Intact Rock Strength]],2,1)</f>
        <v/>
      </c>
      <c r="AY416" s="63" t="e">
        <f>7-MID(Data_Geotech[[#This Row],[Field Intact Rock Strength]],2,1)</f>
        <v>#VALUE!</v>
      </c>
      <c r="AZ416" s="63" t="e">
        <f>VLOOKUP(Data_Geotech[[#This Row],[Field Intact Rock Strength]],Table_FieldStrength[],2,FALSE)</f>
        <v>#N/A</v>
      </c>
      <c r="BA416" s="63" t="e">
        <f>VLOOKUP(Data_Geotech[[#This Row],[Field Intact Rock Strength]],Table_FieldStrength[],3,FALSE)</f>
        <v>#N/A</v>
      </c>
      <c r="BB416" s="63" t="e">
        <f>VLOOKUP(Data_Geotech[[#This Row],[Field Intact Rock Strength]],Table_FieldStrength[],4,FALSE)</f>
        <v>#N/A</v>
      </c>
      <c r="BC416" s="63" t="e">
        <f>100-Data_Geotech[[#This Row],[RMR76]]</f>
        <v>#VALUE!</v>
      </c>
      <c r="BD416" s="63" t="e">
        <f>LEFT(Data_Geotech[[#This Row],[Weathering/Alteration]],FIND("-",Data_Geotech[[#This Row],[Weathering/Alteration]])-2)</f>
        <v>#VALUE!</v>
      </c>
    </row>
    <row r="417" spans="1:56" hidden="1" x14ac:dyDescent="0.25">
      <c r="A417" s="14"/>
      <c r="B417" s="166" t="e">
        <f>VLOOKUP(Data_Geotech[[#This Row],[Hole ID]],Data_Log[],2,FALSE)</f>
        <v>#N/A</v>
      </c>
      <c r="C417" s="5"/>
      <c r="D417" s="5"/>
      <c r="E417" s="5">
        <f>(Data_Geotech[[#This Row],[To (m)]]-Data_Geotech[[#This Row],[From (m)]])/2+Data_Geotech[[#This Row],[From (m)]]</f>
        <v>0</v>
      </c>
      <c r="F417" s="13">
        <f>Data_Geotech[[#This Row],[To (m)]]-Data_Geotech[[#This Row],[From (m)]]</f>
        <v>0</v>
      </c>
      <c r="G417" s="5"/>
      <c r="H417" s="13" t="e">
        <f>Data_Geotech[[#This Row],[TCR (m)]]/Data_Geotech[[#This Row],[Run (m)]]*100</f>
        <v>#DIV/0!</v>
      </c>
      <c r="I417" s="5"/>
      <c r="J417" s="5"/>
      <c r="K417" s="5"/>
      <c r="L417" s="13" t="e">
        <f>Data_Geotech[[#This Row],[RQD (m)]]/Data_Geotech[[#This Row],[Run Reel (m)]]*100</f>
        <v>#DIV/0!</v>
      </c>
      <c r="P417" s="115"/>
      <c r="Q417" s="5"/>
      <c r="R417" s="5"/>
      <c r="S417" s="5"/>
      <c r="T417" s="5"/>
      <c r="U417" s="5"/>
      <c r="V417" s="6"/>
      <c r="W417" s="92">
        <f>SUMIFS(Discontinuities!$D$4:$D$9664,Discontinuities!$A$4:$A$9664,A417,Discontinuities!$C$4:$C$9664,"&gt;="&amp;C417,Discontinuities!$C$4:$C$9664,"&lt;"&amp;D417)
-SUMIFS(Discontinuities!$D$4:$D$9664,Discontinuities!$A$4:$A$9664,A417,Discontinuities!$C$4:$C$9664,"&gt;="&amp;C417,Discontinuities!$C$4:$C$9664,"&lt;"&amp;D417,Discontinuities!$E$4:$E$9664,"=BC")
-SUMIFS(Discontinuities!$D$4:$D$9664,Discontinuities!$A$4:$A$9664,A417,Discontinuities!$C$4:$C$9664,"&gt;="&amp;C417,Discontinuities!$C$4:$C$9664,"&lt;"&amp;D417,Discontinuities!$E$4:$E$9664,"=LC")
-SUMIFS(Discontinuities!$D$4:$D$9664,Discontinuities!$A$4:$A$9664,A417,Discontinuities!$C$4:$C$9664,"&gt;="&amp;C417,Discontinuities!$C$4:$C$9664,"&lt;"&amp;D417,Discontinuities!$E$4:$E$9664,"=FLT")</f>
        <v>0</v>
      </c>
      <c r="AA417" s="132"/>
      <c r="AB417" s="159">
        <f>IFERROR(ROUND((Data_Geotech[[#This Row],[Fault (m)]]+Data_Geotech[[#This Row],[Broken Core (m)]]+Data_Geotech[[#This Row],[Lost Core (m)]])*30,0),0)</f>
        <v>0</v>
      </c>
      <c r="AC417" s="135">
        <f>IF(Data_Geotech[[#This Row],[Added fractures 
(BC, FLT, LC)]]+Data_Geotech[[#This Row],[Fracture per interval]]=0,99,1/((Data_Geotech[[#This Row],[Fracture per interval]]+Data_Geotech[[#This Row],[Added fractures 
(BC, FLT, LC)]])/Data_Geotech[[#This Row],[Run (m)]]))</f>
        <v>99</v>
      </c>
      <c r="AD417" s="160" t="str" cm="1">
        <f t="array" ref="AD417">IFERROR(_xlfn.XLOOKUP(1,(A417=PLT!$A$4:$A$8886)*(Geotech!C417&lt;=PLT!$F$4:$F$8886)*(Geotech!D417&gt;=PLT!$F$4:$F$8886)*("Valid"=PLT!$P$4:$P$8886),PLT!$V$4:$V$8886),"")</f>
        <v/>
      </c>
      <c r="AE417" s="161" t="str" cm="1">
        <f t="array" ref="AE417">IFERROR(_xlfn.XLOOKUP(1,(A417=PLT!$A$4:$A$8886)*(Geotech!C417&lt;=PLT!$F$4:$F$8886)*(Geotech!D417&gt;=PLT!$F$4:$F$8886)*(PLT!$V$4:$V$8886&lt;&gt;AD417)*("Valid"=PLT!$P$4:$P$7190),PLT!$V$4:$V$8886),"")</f>
        <v/>
      </c>
      <c r="AF417" s="161" t="str" cm="1">
        <f t="array" ref="AF417">IFERROR(_xlfn.XLOOKUP(1,(A417=PLT!$A$4:$A$8886)*(Geotech!C417&lt;=PLT!$F$4:$F$8886)*(Geotech!D417&gt;=PLT!$F$4:$F$8886)*(PLT!$V$4:$V$8886&lt;&gt;AD417)*(PLT!$V$4:$V$8886&lt;&gt;AE417)*("Valid"=PLT!$P$4:$P$7190),PLT!$V$4:$V$8886),"")</f>
        <v/>
      </c>
      <c r="AG417" s="162" t="str">
        <f>IFERROR(IF(AVERAGE(AD417:AF417)&gt;References!$BO$23,References!$BP$23,
IF(AVERAGE(AD417:AF417)&gt;References!$BO$22,References!$BP$22,
IF(AVERAGE(AD417:AF417)&gt;References!$BO$21,References!$BP$21,
IF(AVERAGE(AD417:AF417)&gt;References!$BO$20,References!$BP$20,
IF(AVERAGE(AD417:AF417)&gt;References!$BO$19,References!$BP$19,
IF(AVERAGE(AD417:AF417)&gt;References!$BO$18,References!$BP$18,
0)))))),"")</f>
        <v/>
      </c>
      <c r="AH417" s="163" t="e">
        <f>VLOOKUP(Data_Geotech[[#This Row],[Field Intact Rock Strength]],Table_RMR76_Strength[],2,FALSE)</f>
        <v>#N/A</v>
      </c>
      <c r="AI417" s="163" t="e">
        <f>IF(Data_Geotech[[#This Row],[RQD (%)]]&lt;=25,3,IF(Data_Geotech[[#This Row],[RQD (%)]]&lt;=50,8,IF(Data_Geotech[[#This Row],[RQD (%)]]&lt;=75,13,IF(Data_Geotech[[#This Row],[RQD (%)]]&lt;=90,17,20))))</f>
        <v>#DIV/0!</v>
      </c>
      <c r="AJ417" s="136">
        <f>IF(Data_Geotech[[#This Row],[Joint spacing (m)]]&lt;=0.05,5,IF(Data_Geotech[[#This Row],[Joint spacing (m)]]&lt;=0.3,10,IF(Data_Geotech[[#This Row],[Joint spacing (m)]]&lt;=1,20,IF(Data_Geotech[[#This Row],[Joint spacing (m)]]&lt;=3,25,30))))</f>
        <v>30</v>
      </c>
      <c r="AK4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7" s="6"/>
      <c r="AM417" s="137" t="str">
        <f>IF(Data_Geotech[[#This Row],[FIRS Code]]="R",IFERROR(SUM(Data_Geotech[[#This Row],[RMR76 - Strength rating]:[RMR76 - Ground water rating]]),""),"")</f>
        <v/>
      </c>
      <c r="AN417" s="164" t="str">
        <f>IF(Data_Geotech[[#This Row],[FIRS Code]]="R",(2*Data_Geotech[[#This Row],[RMR76 - Joint condition rating]])+(IF(Data_Geotech[[#This Row],[RQD (%)]]&gt;80,80/2,Data_Geotech[[#This Row],[RQD (%)]]/2)),"")</f>
        <v/>
      </c>
      <c r="AO417" s="136" t="e">
        <f>LEFT(Data_Geotech[[#This Row],[Joint Set Rating]],FIND("-",Data_Geotech[[#This Row],[Joint Set Rating]],1)-2)</f>
        <v>#VALUE!</v>
      </c>
      <c r="AP4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7" s="143">
        <f t="shared" si="9"/>
        <v>1</v>
      </c>
      <c r="AR417" s="165" t="str">
        <f>IF(Data_Geotech[[#This Row],[FIRS Code]]="R",IFERROR((IF(Data_Geotech[[#This Row],[RQD (%)]]&lt;10,10,Data_Geotech[[#This Row],[RQD (%)]])/Data_Geotech[[#This Row],[Jn rating]])*Data_Geotech[[#This Row],[Jr/Ja]],""),"")</f>
        <v/>
      </c>
      <c r="AS417" s="138" t="str">
        <f>IF(Data_Geotech[[#This Row],[FIRS Code]]="R",IFERROR((IF(Data_Geotech[[#This Row],[RQD (%)]]&lt;10,10,Data_Geotech[[#This Row],[RQD (%)]])/Data_Geotech[[#This Row],[Jn rating]])*Data_Geotech[[#This Row],[Jr/Ja]]*Data_Geotech[[#This Row],[Jw/SRF]],""),"")</f>
        <v/>
      </c>
      <c r="AT417" s="12"/>
      <c r="AU417" s="13" t="e">
        <f>100-Data_Geotech[[#This Row],[RQD (%)]]</f>
        <v>#DIV/0!</v>
      </c>
      <c r="AV417" s="13" t="e">
        <f>100-Data_Geotech[[#This Row],[TCR (%)]]</f>
        <v>#DIV/0!</v>
      </c>
      <c r="AW417" s="62" t="e">
        <f>(Data_Geotech[[#This Row],[Fracture per interval]]+Data_Geotech[[#This Row],[Added fractures 
(BC, FLT, LC)]])/Data_Geotech[[#This Row],[TCR (m)]]</f>
        <v>#DIV/0!</v>
      </c>
      <c r="AX417" s="62" t="str">
        <f>MID(Data_Geotech[[#This Row],[Field Intact Rock Strength]],2,1)</f>
        <v/>
      </c>
      <c r="AY417" s="63" t="e">
        <f>7-MID(Data_Geotech[[#This Row],[Field Intact Rock Strength]],2,1)</f>
        <v>#VALUE!</v>
      </c>
      <c r="AZ417" s="63" t="e">
        <f>VLOOKUP(Data_Geotech[[#This Row],[Field Intact Rock Strength]],Table_FieldStrength[],2,FALSE)</f>
        <v>#N/A</v>
      </c>
      <c r="BA417" s="63" t="e">
        <f>VLOOKUP(Data_Geotech[[#This Row],[Field Intact Rock Strength]],Table_FieldStrength[],3,FALSE)</f>
        <v>#N/A</v>
      </c>
      <c r="BB417" s="63" t="e">
        <f>VLOOKUP(Data_Geotech[[#This Row],[Field Intact Rock Strength]],Table_FieldStrength[],4,FALSE)</f>
        <v>#N/A</v>
      </c>
      <c r="BC417" s="63" t="e">
        <f>100-Data_Geotech[[#This Row],[RMR76]]</f>
        <v>#VALUE!</v>
      </c>
      <c r="BD417" s="63" t="e">
        <f>LEFT(Data_Geotech[[#This Row],[Weathering/Alteration]],FIND("-",Data_Geotech[[#This Row],[Weathering/Alteration]])-2)</f>
        <v>#VALUE!</v>
      </c>
    </row>
    <row r="418" spans="1:56" hidden="1" x14ac:dyDescent="0.25">
      <c r="A418" s="14"/>
      <c r="B418" s="166" t="e">
        <f>VLOOKUP(Data_Geotech[[#This Row],[Hole ID]],Data_Log[],2,FALSE)</f>
        <v>#N/A</v>
      </c>
      <c r="C418" s="5"/>
      <c r="D418" s="5"/>
      <c r="E418" s="5">
        <f>(Data_Geotech[[#This Row],[To (m)]]-Data_Geotech[[#This Row],[From (m)]])/2+Data_Geotech[[#This Row],[From (m)]]</f>
        <v>0</v>
      </c>
      <c r="F418" s="13">
        <f>Data_Geotech[[#This Row],[To (m)]]-Data_Geotech[[#This Row],[From (m)]]</f>
        <v>0</v>
      </c>
      <c r="G418" s="5"/>
      <c r="H418" s="13" t="e">
        <f>Data_Geotech[[#This Row],[TCR (m)]]/Data_Geotech[[#This Row],[Run (m)]]*100</f>
        <v>#DIV/0!</v>
      </c>
      <c r="I418" s="5"/>
      <c r="J418" s="5"/>
      <c r="K418" s="5"/>
      <c r="L418" s="13" t="e">
        <f>Data_Geotech[[#This Row],[RQD (m)]]/Data_Geotech[[#This Row],[Run Reel (m)]]*100</f>
        <v>#DIV/0!</v>
      </c>
      <c r="P418" s="115"/>
      <c r="Q418" s="5"/>
      <c r="R418" s="5"/>
      <c r="S418" s="5"/>
      <c r="T418" s="5"/>
      <c r="U418" s="5"/>
      <c r="V418" s="6"/>
      <c r="W418" s="92">
        <f>SUMIFS(Discontinuities!$D$4:$D$9664,Discontinuities!$A$4:$A$9664,A418,Discontinuities!$C$4:$C$9664,"&gt;="&amp;C418,Discontinuities!$C$4:$C$9664,"&lt;"&amp;D418)
-SUMIFS(Discontinuities!$D$4:$D$9664,Discontinuities!$A$4:$A$9664,A418,Discontinuities!$C$4:$C$9664,"&gt;="&amp;C418,Discontinuities!$C$4:$C$9664,"&lt;"&amp;D418,Discontinuities!$E$4:$E$9664,"=BC")
-SUMIFS(Discontinuities!$D$4:$D$9664,Discontinuities!$A$4:$A$9664,A418,Discontinuities!$C$4:$C$9664,"&gt;="&amp;C418,Discontinuities!$C$4:$C$9664,"&lt;"&amp;D418,Discontinuities!$E$4:$E$9664,"=LC")
-SUMIFS(Discontinuities!$D$4:$D$9664,Discontinuities!$A$4:$A$9664,A418,Discontinuities!$C$4:$C$9664,"&gt;="&amp;C418,Discontinuities!$C$4:$C$9664,"&lt;"&amp;D418,Discontinuities!$E$4:$E$9664,"=FLT")</f>
        <v>0</v>
      </c>
      <c r="AA418" s="132"/>
      <c r="AB418" s="159">
        <f>IFERROR(ROUND((Data_Geotech[[#This Row],[Fault (m)]]+Data_Geotech[[#This Row],[Broken Core (m)]]+Data_Geotech[[#This Row],[Lost Core (m)]])*30,0),0)</f>
        <v>0</v>
      </c>
      <c r="AC418" s="135">
        <f>IF(Data_Geotech[[#This Row],[Added fractures 
(BC, FLT, LC)]]+Data_Geotech[[#This Row],[Fracture per interval]]=0,99,1/((Data_Geotech[[#This Row],[Fracture per interval]]+Data_Geotech[[#This Row],[Added fractures 
(BC, FLT, LC)]])/Data_Geotech[[#This Row],[Run (m)]]))</f>
        <v>99</v>
      </c>
      <c r="AD418" s="160" t="str" cm="1">
        <f t="array" ref="AD418">IFERROR(_xlfn.XLOOKUP(1,(A418=PLT!$A$4:$A$8886)*(Geotech!C418&lt;=PLT!$F$4:$F$8886)*(Geotech!D418&gt;=PLT!$F$4:$F$8886)*("Valid"=PLT!$P$4:$P$8886),PLT!$V$4:$V$8886),"")</f>
        <v/>
      </c>
      <c r="AE418" s="161" t="str" cm="1">
        <f t="array" ref="AE418">IFERROR(_xlfn.XLOOKUP(1,(A418=PLT!$A$4:$A$8886)*(Geotech!C418&lt;=PLT!$F$4:$F$8886)*(Geotech!D418&gt;=PLT!$F$4:$F$8886)*(PLT!$V$4:$V$8886&lt;&gt;AD418)*("Valid"=PLT!$P$4:$P$7190),PLT!$V$4:$V$8886),"")</f>
        <v/>
      </c>
      <c r="AF418" s="161" t="str" cm="1">
        <f t="array" ref="AF418">IFERROR(_xlfn.XLOOKUP(1,(A418=PLT!$A$4:$A$8886)*(Geotech!C418&lt;=PLT!$F$4:$F$8886)*(Geotech!D418&gt;=PLT!$F$4:$F$8886)*(PLT!$V$4:$V$8886&lt;&gt;AD418)*(PLT!$V$4:$V$8886&lt;&gt;AE418)*("Valid"=PLT!$P$4:$P$7190),PLT!$V$4:$V$8886),"")</f>
        <v/>
      </c>
      <c r="AG418" s="162" t="str">
        <f>IFERROR(IF(AVERAGE(AD418:AF418)&gt;References!$BO$23,References!$BP$23,
IF(AVERAGE(AD418:AF418)&gt;References!$BO$22,References!$BP$22,
IF(AVERAGE(AD418:AF418)&gt;References!$BO$21,References!$BP$21,
IF(AVERAGE(AD418:AF418)&gt;References!$BO$20,References!$BP$20,
IF(AVERAGE(AD418:AF418)&gt;References!$BO$19,References!$BP$19,
IF(AVERAGE(AD418:AF418)&gt;References!$BO$18,References!$BP$18,
0)))))),"")</f>
        <v/>
      </c>
      <c r="AH418" s="163" t="e">
        <f>VLOOKUP(Data_Geotech[[#This Row],[Field Intact Rock Strength]],Table_RMR76_Strength[],2,FALSE)</f>
        <v>#N/A</v>
      </c>
      <c r="AI418" s="163" t="e">
        <f>IF(Data_Geotech[[#This Row],[RQD (%)]]&lt;=25,3,IF(Data_Geotech[[#This Row],[RQD (%)]]&lt;=50,8,IF(Data_Geotech[[#This Row],[RQD (%)]]&lt;=75,13,IF(Data_Geotech[[#This Row],[RQD (%)]]&lt;=90,17,20))))</f>
        <v>#DIV/0!</v>
      </c>
      <c r="AJ418" s="136">
        <f>IF(Data_Geotech[[#This Row],[Joint spacing (m)]]&lt;=0.05,5,IF(Data_Geotech[[#This Row],[Joint spacing (m)]]&lt;=0.3,10,IF(Data_Geotech[[#This Row],[Joint spacing (m)]]&lt;=1,20,IF(Data_Geotech[[#This Row],[Joint spacing (m)]]&lt;=3,25,30))))</f>
        <v>30</v>
      </c>
      <c r="AK41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8" s="6"/>
      <c r="AM418" s="137" t="str">
        <f>IF(Data_Geotech[[#This Row],[FIRS Code]]="R",IFERROR(SUM(Data_Geotech[[#This Row],[RMR76 - Strength rating]:[RMR76 - Ground water rating]]),""),"")</f>
        <v/>
      </c>
      <c r="AN418" s="164" t="str">
        <f>IF(Data_Geotech[[#This Row],[FIRS Code]]="R",(2*Data_Geotech[[#This Row],[RMR76 - Joint condition rating]])+(IF(Data_Geotech[[#This Row],[RQD (%)]]&gt;80,80/2,Data_Geotech[[#This Row],[RQD (%)]]/2)),"")</f>
        <v/>
      </c>
      <c r="AO418" s="136" t="e">
        <f>LEFT(Data_Geotech[[#This Row],[Joint Set Rating]],FIND("-",Data_Geotech[[#This Row],[Joint Set Rating]],1)-2)</f>
        <v>#VALUE!</v>
      </c>
      <c r="AP41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8" s="143">
        <f t="shared" si="9"/>
        <v>1</v>
      </c>
      <c r="AR418" s="165" t="str">
        <f>IF(Data_Geotech[[#This Row],[FIRS Code]]="R",IFERROR((IF(Data_Geotech[[#This Row],[RQD (%)]]&lt;10,10,Data_Geotech[[#This Row],[RQD (%)]])/Data_Geotech[[#This Row],[Jn rating]])*Data_Geotech[[#This Row],[Jr/Ja]],""),"")</f>
        <v/>
      </c>
      <c r="AS418" s="138" t="str">
        <f>IF(Data_Geotech[[#This Row],[FIRS Code]]="R",IFERROR((IF(Data_Geotech[[#This Row],[RQD (%)]]&lt;10,10,Data_Geotech[[#This Row],[RQD (%)]])/Data_Geotech[[#This Row],[Jn rating]])*Data_Geotech[[#This Row],[Jr/Ja]]*Data_Geotech[[#This Row],[Jw/SRF]],""),"")</f>
        <v/>
      </c>
      <c r="AT418" s="12"/>
      <c r="AU418" s="13" t="e">
        <f>100-Data_Geotech[[#This Row],[RQD (%)]]</f>
        <v>#DIV/0!</v>
      </c>
      <c r="AV418" s="13" t="e">
        <f>100-Data_Geotech[[#This Row],[TCR (%)]]</f>
        <v>#DIV/0!</v>
      </c>
      <c r="AW418" s="62" t="e">
        <f>(Data_Geotech[[#This Row],[Fracture per interval]]+Data_Geotech[[#This Row],[Added fractures 
(BC, FLT, LC)]])/Data_Geotech[[#This Row],[TCR (m)]]</f>
        <v>#DIV/0!</v>
      </c>
      <c r="AX418" s="62" t="str">
        <f>MID(Data_Geotech[[#This Row],[Field Intact Rock Strength]],2,1)</f>
        <v/>
      </c>
      <c r="AY418" s="63" t="e">
        <f>7-MID(Data_Geotech[[#This Row],[Field Intact Rock Strength]],2,1)</f>
        <v>#VALUE!</v>
      </c>
      <c r="AZ418" s="63" t="e">
        <f>VLOOKUP(Data_Geotech[[#This Row],[Field Intact Rock Strength]],Table_FieldStrength[],2,FALSE)</f>
        <v>#N/A</v>
      </c>
      <c r="BA418" s="63" t="e">
        <f>VLOOKUP(Data_Geotech[[#This Row],[Field Intact Rock Strength]],Table_FieldStrength[],3,FALSE)</f>
        <v>#N/A</v>
      </c>
      <c r="BB418" s="63" t="e">
        <f>VLOOKUP(Data_Geotech[[#This Row],[Field Intact Rock Strength]],Table_FieldStrength[],4,FALSE)</f>
        <v>#N/A</v>
      </c>
      <c r="BC418" s="63" t="e">
        <f>100-Data_Geotech[[#This Row],[RMR76]]</f>
        <v>#VALUE!</v>
      </c>
      <c r="BD418" s="63" t="e">
        <f>LEFT(Data_Geotech[[#This Row],[Weathering/Alteration]],FIND("-",Data_Geotech[[#This Row],[Weathering/Alteration]])-2)</f>
        <v>#VALUE!</v>
      </c>
    </row>
    <row r="419" spans="1:56" hidden="1" x14ac:dyDescent="0.25">
      <c r="A419" s="14"/>
      <c r="B419" s="166" t="e">
        <f>VLOOKUP(Data_Geotech[[#This Row],[Hole ID]],Data_Log[],2,FALSE)</f>
        <v>#N/A</v>
      </c>
      <c r="C419" s="5"/>
      <c r="D419" s="5"/>
      <c r="E419" s="5">
        <f>(Data_Geotech[[#This Row],[To (m)]]-Data_Geotech[[#This Row],[From (m)]])/2+Data_Geotech[[#This Row],[From (m)]]</f>
        <v>0</v>
      </c>
      <c r="F419" s="13">
        <f>Data_Geotech[[#This Row],[To (m)]]-Data_Geotech[[#This Row],[From (m)]]</f>
        <v>0</v>
      </c>
      <c r="G419" s="5"/>
      <c r="H419" s="13" t="e">
        <f>Data_Geotech[[#This Row],[TCR (m)]]/Data_Geotech[[#This Row],[Run (m)]]*100</f>
        <v>#DIV/0!</v>
      </c>
      <c r="I419" s="5"/>
      <c r="J419" s="5"/>
      <c r="K419" s="5"/>
      <c r="L419" s="13" t="e">
        <f>Data_Geotech[[#This Row],[RQD (m)]]/Data_Geotech[[#This Row],[Run Reel (m)]]*100</f>
        <v>#DIV/0!</v>
      </c>
      <c r="P419" s="115"/>
      <c r="Q419" s="5"/>
      <c r="R419" s="5"/>
      <c r="S419" s="5"/>
      <c r="T419" s="5"/>
      <c r="U419" s="5"/>
      <c r="V419" s="6"/>
      <c r="W419" s="92">
        <f>SUMIFS(Discontinuities!$D$4:$D$9664,Discontinuities!$A$4:$A$9664,A419,Discontinuities!$C$4:$C$9664,"&gt;="&amp;C419,Discontinuities!$C$4:$C$9664,"&lt;"&amp;D419)
-SUMIFS(Discontinuities!$D$4:$D$9664,Discontinuities!$A$4:$A$9664,A419,Discontinuities!$C$4:$C$9664,"&gt;="&amp;C419,Discontinuities!$C$4:$C$9664,"&lt;"&amp;D419,Discontinuities!$E$4:$E$9664,"=BC")
-SUMIFS(Discontinuities!$D$4:$D$9664,Discontinuities!$A$4:$A$9664,A419,Discontinuities!$C$4:$C$9664,"&gt;="&amp;C419,Discontinuities!$C$4:$C$9664,"&lt;"&amp;D419,Discontinuities!$E$4:$E$9664,"=LC")
-SUMIFS(Discontinuities!$D$4:$D$9664,Discontinuities!$A$4:$A$9664,A419,Discontinuities!$C$4:$C$9664,"&gt;="&amp;C419,Discontinuities!$C$4:$C$9664,"&lt;"&amp;D419,Discontinuities!$E$4:$E$9664,"=FLT")</f>
        <v>0</v>
      </c>
      <c r="AA419" s="132"/>
      <c r="AB419" s="159">
        <f>IFERROR(ROUND((Data_Geotech[[#This Row],[Fault (m)]]+Data_Geotech[[#This Row],[Broken Core (m)]]+Data_Geotech[[#This Row],[Lost Core (m)]])*30,0),0)</f>
        <v>0</v>
      </c>
      <c r="AC419" s="135">
        <f>IF(Data_Geotech[[#This Row],[Added fractures 
(BC, FLT, LC)]]+Data_Geotech[[#This Row],[Fracture per interval]]=0,99,1/((Data_Geotech[[#This Row],[Fracture per interval]]+Data_Geotech[[#This Row],[Added fractures 
(BC, FLT, LC)]])/Data_Geotech[[#This Row],[Run (m)]]))</f>
        <v>99</v>
      </c>
      <c r="AD419" s="160" t="str" cm="1">
        <f t="array" ref="AD419">IFERROR(_xlfn.XLOOKUP(1,(A419=PLT!$A$4:$A$8886)*(Geotech!C419&lt;=PLT!$F$4:$F$8886)*(Geotech!D419&gt;=PLT!$F$4:$F$8886)*("Valid"=PLT!$P$4:$P$8886),PLT!$V$4:$V$8886),"")</f>
        <v/>
      </c>
      <c r="AE419" s="161" t="str" cm="1">
        <f t="array" ref="AE419">IFERROR(_xlfn.XLOOKUP(1,(A419=PLT!$A$4:$A$8886)*(Geotech!C419&lt;=PLT!$F$4:$F$8886)*(Geotech!D419&gt;=PLT!$F$4:$F$8886)*(PLT!$V$4:$V$8886&lt;&gt;AD419)*("Valid"=PLT!$P$4:$P$7190),PLT!$V$4:$V$8886),"")</f>
        <v/>
      </c>
      <c r="AF419" s="161" t="str" cm="1">
        <f t="array" ref="AF419">IFERROR(_xlfn.XLOOKUP(1,(A419=PLT!$A$4:$A$8886)*(Geotech!C419&lt;=PLT!$F$4:$F$8886)*(Geotech!D419&gt;=PLT!$F$4:$F$8886)*(PLT!$V$4:$V$8886&lt;&gt;AD419)*(PLT!$V$4:$V$8886&lt;&gt;AE419)*("Valid"=PLT!$P$4:$P$7190),PLT!$V$4:$V$8886),"")</f>
        <v/>
      </c>
      <c r="AG419" s="162" t="str">
        <f>IFERROR(IF(AVERAGE(AD419:AF419)&gt;References!$BO$23,References!$BP$23,
IF(AVERAGE(AD419:AF419)&gt;References!$BO$22,References!$BP$22,
IF(AVERAGE(AD419:AF419)&gt;References!$BO$21,References!$BP$21,
IF(AVERAGE(AD419:AF419)&gt;References!$BO$20,References!$BP$20,
IF(AVERAGE(AD419:AF419)&gt;References!$BO$19,References!$BP$19,
IF(AVERAGE(AD419:AF419)&gt;References!$BO$18,References!$BP$18,
0)))))),"")</f>
        <v/>
      </c>
      <c r="AH419" s="163" t="e">
        <f>VLOOKUP(Data_Geotech[[#This Row],[Field Intact Rock Strength]],Table_RMR76_Strength[],2,FALSE)</f>
        <v>#N/A</v>
      </c>
      <c r="AI419" s="163" t="e">
        <f>IF(Data_Geotech[[#This Row],[RQD (%)]]&lt;=25,3,IF(Data_Geotech[[#This Row],[RQD (%)]]&lt;=50,8,IF(Data_Geotech[[#This Row],[RQD (%)]]&lt;=75,13,IF(Data_Geotech[[#This Row],[RQD (%)]]&lt;=90,17,20))))</f>
        <v>#DIV/0!</v>
      </c>
      <c r="AJ419" s="136">
        <f>IF(Data_Geotech[[#This Row],[Joint spacing (m)]]&lt;=0.05,5,IF(Data_Geotech[[#This Row],[Joint spacing (m)]]&lt;=0.3,10,IF(Data_Geotech[[#This Row],[Joint spacing (m)]]&lt;=1,20,IF(Data_Geotech[[#This Row],[Joint spacing (m)]]&lt;=3,25,30))))</f>
        <v>30</v>
      </c>
      <c r="AK41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19" s="6"/>
      <c r="AM419" s="137" t="str">
        <f>IF(Data_Geotech[[#This Row],[FIRS Code]]="R",IFERROR(SUM(Data_Geotech[[#This Row],[RMR76 - Strength rating]:[RMR76 - Ground water rating]]),""),"")</f>
        <v/>
      </c>
      <c r="AN419" s="164" t="str">
        <f>IF(Data_Geotech[[#This Row],[FIRS Code]]="R",(2*Data_Geotech[[#This Row],[RMR76 - Joint condition rating]])+(IF(Data_Geotech[[#This Row],[RQD (%)]]&gt;80,80/2,Data_Geotech[[#This Row],[RQD (%)]]/2)),"")</f>
        <v/>
      </c>
      <c r="AO419" s="136" t="e">
        <f>LEFT(Data_Geotech[[#This Row],[Joint Set Rating]],FIND("-",Data_Geotech[[#This Row],[Joint Set Rating]],1)-2)</f>
        <v>#VALUE!</v>
      </c>
      <c r="AP41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19" s="143">
        <f t="shared" si="9"/>
        <v>1</v>
      </c>
      <c r="AR419" s="165" t="str">
        <f>IF(Data_Geotech[[#This Row],[FIRS Code]]="R",IFERROR((IF(Data_Geotech[[#This Row],[RQD (%)]]&lt;10,10,Data_Geotech[[#This Row],[RQD (%)]])/Data_Geotech[[#This Row],[Jn rating]])*Data_Geotech[[#This Row],[Jr/Ja]],""),"")</f>
        <v/>
      </c>
      <c r="AS419" s="138" t="str">
        <f>IF(Data_Geotech[[#This Row],[FIRS Code]]="R",IFERROR((IF(Data_Geotech[[#This Row],[RQD (%)]]&lt;10,10,Data_Geotech[[#This Row],[RQD (%)]])/Data_Geotech[[#This Row],[Jn rating]])*Data_Geotech[[#This Row],[Jr/Ja]]*Data_Geotech[[#This Row],[Jw/SRF]],""),"")</f>
        <v/>
      </c>
      <c r="AT419" s="12"/>
      <c r="AU419" s="13" t="e">
        <f>100-Data_Geotech[[#This Row],[RQD (%)]]</f>
        <v>#DIV/0!</v>
      </c>
      <c r="AV419" s="13" t="e">
        <f>100-Data_Geotech[[#This Row],[TCR (%)]]</f>
        <v>#DIV/0!</v>
      </c>
      <c r="AW419" s="62" t="e">
        <f>(Data_Geotech[[#This Row],[Fracture per interval]]+Data_Geotech[[#This Row],[Added fractures 
(BC, FLT, LC)]])/Data_Geotech[[#This Row],[TCR (m)]]</f>
        <v>#DIV/0!</v>
      </c>
      <c r="AX419" s="62" t="str">
        <f>MID(Data_Geotech[[#This Row],[Field Intact Rock Strength]],2,1)</f>
        <v/>
      </c>
      <c r="AY419" s="63" t="e">
        <f>7-MID(Data_Geotech[[#This Row],[Field Intact Rock Strength]],2,1)</f>
        <v>#VALUE!</v>
      </c>
      <c r="AZ419" s="63" t="e">
        <f>VLOOKUP(Data_Geotech[[#This Row],[Field Intact Rock Strength]],Table_FieldStrength[],2,FALSE)</f>
        <v>#N/A</v>
      </c>
      <c r="BA419" s="63" t="e">
        <f>VLOOKUP(Data_Geotech[[#This Row],[Field Intact Rock Strength]],Table_FieldStrength[],3,FALSE)</f>
        <v>#N/A</v>
      </c>
      <c r="BB419" s="63" t="e">
        <f>VLOOKUP(Data_Geotech[[#This Row],[Field Intact Rock Strength]],Table_FieldStrength[],4,FALSE)</f>
        <v>#N/A</v>
      </c>
      <c r="BC419" s="63" t="e">
        <f>100-Data_Geotech[[#This Row],[RMR76]]</f>
        <v>#VALUE!</v>
      </c>
      <c r="BD419" s="63" t="e">
        <f>LEFT(Data_Geotech[[#This Row],[Weathering/Alteration]],FIND("-",Data_Geotech[[#This Row],[Weathering/Alteration]])-2)</f>
        <v>#VALUE!</v>
      </c>
    </row>
    <row r="420" spans="1:56" hidden="1" x14ac:dyDescent="0.25">
      <c r="A420" s="14"/>
      <c r="B420" s="166" t="e">
        <f>VLOOKUP(Data_Geotech[[#This Row],[Hole ID]],Data_Log[],2,FALSE)</f>
        <v>#N/A</v>
      </c>
      <c r="C420" s="5"/>
      <c r="D420" s="5"/>
      <c r="E420" s="5">
        <f>(Data_Geotech[[#This Row],[To (m)]]-Data_Geotech[[#This Row],[From (m)]])/2+Data_Geotech[[#This Row],[From (m)]]</f>
        <v>0</v>
      </c>
      <c r="F420" s="13">
        <f>Data_Geotech[[#This Row],[To (m)]]-Data_Geotech[[#This Row],[From (m)]]</f>
        <v>0</v>
      </c>
      <c r="G420" s="5"/>
      <c r="H420" s="13" t="e">
        <f>Data_Geotech[[#This Row],[TCR (m)]]/Data_Geotech[[#This Row],[Run (m)]]*100</f>
        <v>#DIV/0!</v>
      </c>
      <c r="I420" s="5"/>
      <c r="J420" s="5"/>
      <c r="K420" s="5"/>
      <c r="L420" s="13" t="e">
        <f>Data_Geotech[[#This Row],[RQD (m)]]/Data_Geotech[[#This Row],[Run Reel (m)]]*100</f>
        <v>#DIV/0!</v>
      </c>
      <c r="P420" s="115"/>
      <c r="Q420" s="5"/>
      <c r="R420" s="5"/>
      <c r="S420" s="5"/>
      <c r="T420" s="5"/>
      <c r="U420" s="5"/>
      <c r="V420" s="6"/>
      <c r="W420" s="92">
        <f>SUMIFS(Discontinuities!$D$4:$D$9664,Discontinuities!$A$4:$A$9664,A420,Discontinuities!$C$4:$C$9664,"&gt;="&amp;C420,Discontinuities!$C$4:$C$9664,"&lt;"&amp;D420)
-SUMIFS(Discontinuities!$D$4:$D$9664,Discontinuities!$A$4:$A$9664,A420,Discontinuities!$C$4:$C$9664,"&gt;="&amp;C420,Discontinuities!$C$4:$C$9664,"&lt;"&amp;D420,Discontinuities!$E$4:$E$9664,"=BC")
-SUMIFS(Discontinuities!$D$4:$D$9664,Discontinuities!$A$4:$A$9664,A420,Discontinuities!$C$4:$C$9664,"&gt;="&amp;C420,Discontinuities!$C$4:$C$9664,"&lt;"&amp;D420,Discontinuities!$E$4:$E$9664,"=LC")
-SUMIFS(Discontinuities!$D$4:$D$9664,Discontinuities!$A$4:$A$9664,A420,Discontinuities!$C$4:$C$9664,"&gt;="&amp;C420,Discontinuities!$C$4:$C$9664,"&lt;"&amp;D420,Discontinuities!$E$4:$E$9664,"=FLT")</f>
        <v>0</v>
      </c>
      <c r="AA420" s="132"/>
      <c r="AB420" s="159">
        <f>IFERROR(ROUND((Data_Geotech[[#This Row],[Fault (m)]]+Data_Geotech[[#This Row],[Broken Core (m)]]+Data_Geotech[[#This Row],[Lost Core (m)]])*30,0),0)</f>
        <v>0</v>
      </c>
      <c r="AC420" s="135">
        <f>IF(Data_Geotech[[#This Row],[Added fractures 
(BC, FLT, LC)]]+Data_Geotech[[#This Row],[Fracture per interval]]=0,99,1/((Data_Geotech[[#This Row],[Fracture per interval]]+Data_Geotech[[#This Row],[Added fractures 
(BC, FLT, LC)]])/Data_Geotech[[#This Row],[Run (m)]]))</f>
        <v>99</v>
      </c>
      <c r="AD420" s="160" t="str" cm="1">
        <f t="array" ref="AD420">IFERROR(_xlfn.XLOOKUP(1,(A420=PLT!$A$4:$A$8886)*(Geotech!C420&lt;=PLT!$F$4:$F$8886)*(Geotech!D420&gt;=PLT!$F$4:$F$8886)*("Valid"=PLT!$P$4:$P$8886),PLT!$V$4:$V$8886),"")</f>
        <v/>
      </c>
      <c r="AE420" s="161" t="str" cm="1">
        <f t="array" ref="AE420">IFERROR(_xlfn.XLOOKUP(1,(A420=PLT!$A$4:$A$8886)*(Geotech!C420&lt;=PLT!$F$4:$F$8886)*(Geotech!D420&gt;=PLT!$F$4:$F$8886)*(PLT!$V$4:$V$8886&lt;&gt;AD420)*("Valid"=PLT!$P$4:$P$7190),PLT!$V$4:$V$8886),"")</f>
        <v/>
      </c>
      <c r="AF420" s="161" t="str" cm="1">
        <f t="array" ref="AF420">IFERROR(_xlfn.XLOOKUP(1,(A420=PLT!$A$4:$A$8886)*(Geotech!C420&lt;=PLT!$F$4:$F$8886)*(Geotech!D420&gt;=PLT!$F$4:$F$8886)*(PLT!$V$4:$V$8886&lt;&gt;AD420)*(PLT!$V$4:$V$8886&lt;&gt;AE420)*("Valid"=PLT!$P$4:$P$7190),PLT!$V$4:$V$8886),"")</f>
        <v/>
      </c>
      <c r="AG420" s="162" t="str">
        <f>IFERROR(IF(AVERAGE(AD420:AF420)&gt;References!$BO$23,References!$BP$23,
IF(AVERAGE(AD420:AF420)&gt;References!$BO$22,References!$BP$22,
IF(AVERAGE(AD420:AF420)&gt;References!$BO$21,References!$BP$21,
IF(AVERAGE(AD420:AF420)&gt;References!$BO$20,References!$BP$20,
IF(AVERAGE(AD420:AF420)&gt;References!$BO$19,References!$BP$19,
IF(AVERAGE(AD420:AF420)&gt;References!$BO$18,References!$BP$18,
0)))))),"")</f>
        <v/>
      </c>
      <c r="AH420" s="163" t="e">
        <f>VLOOKUP(Data_Geotech[[#This Row],[Field Intact Rock Strength]],Table_RMR76_Strength[],2,FALSE)</f>
        <v>#N/A</v>
      </c>
      <c r="AI420" s="163" t="e">
        <f>IF(Data_Geotech[[#This Row],[RQD (%)]]&lt;=25,3,IF(Data_Geotech[[#This Row],[RQD (%)]]&lt;=50,8,IF(Data_Geotech[[#This Row],[RQD (%)]]&lt;=75,13,IF(Data_Geotech[[#This Row],[RQD (%)]]&lt;=90,17,20))))</f>
        <v>#DIV/0!</v>
      </c>
      <c r="AJ420" s="136">
        <f>IF(Data_Geotech[[#This Row],[Joint spacing (m)]]&lt;=0.05,5,IF(Data_Geotech[[#This Row],[Joint spacing (m)]]&lt;=0.3,10,IF(Data_Geotech[[#This Row],[Joint spacing (m)]]&lt;=1,20,IF(Data_Geotech[[#This Row],[Joint spacing (m)]]&lt;=3,25,30))))</f>
        <v>30</v>
      </c>
      <c r="AK42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0" s="6"/>
      <c r="AM420" s="137" t="str">
        <f>IF(Data_Geotech[[#This Row],[FIRS Code]]="R",IFERROR(SUM(Data_Geotech[[#This Row],[RMR76 - Strength rating]:[RMR76 - Ground water rating]]),""),"")</f>
        <v/>
      </c>
      <c r="AN420" s="164" t="str">
        <f>IF(Data_Geotech[[#This Row],[FIRS Code]]="R",(2*Data_Geotech[[#This Row],[RMR76 - Joint condition rating]])+(IF(Data_Geotech[[#This Row],[RQD (%)]]&gt;80,80/2,Data_Geotech[[#This Row],[RQD (%)]]/2)),"")</f>
        <v/>
      </c>
      <c r="AO420" s="136" t="e">
        <f>LEFT(Data_Geotech[[#This Row],[Joint Set Rating]],FIND("-",Data_Geotech[[#This Row],[Joint Set Rating]],1)-2)</f>
        <v>#VALUE!</v>
      </c>
      <c r="AP42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0" s="143">
        <f t="shared" si="9"/>
        <v>1</v>
      </c>
      <c r="AR420" s="165" t="str">
        <f>IF(Data_Geotech[[#This Row],[FIRS Code]]="R",IFERROR((IF(Data_Geotech[[#This Row],[RQD (%)]]&lt;10,10,Data_Geotech[[#This Row],[RQD (%)]])/Data_Geotech[[#This Row],[Jn rating]])*Data_Geotech[[#This Row],[Jr/Ja]],""),"")</f>
        <v/>
      </c>
      <c r="AS420" s="138" t="str">
        <f>IF(Data_Geotech[[#This Row],[FIRS Code]]="R",IFERROR((IF(Data_Geotech[[#This Row],[RQD (%)]]&lt;10,10,Data_Geotech[[#This Row],[RQD (%)]])/Data_Geotech[[#This Row],[Jn rating]])*Data_Geotech[[#This Row],[Jr/Ja]]*Data_Geotech[[#This Row],[Jw/SRF]],""),"")</f>
        <v/>
      </c>
      <c r="AT420" s="12"/>
      <c r="AU420" s="13" t="e">
        <f>100-Data_Geotech[[#This Row],[RQD (%)]]</f>
        <v>#DIV/0!</v>
      </c>
      <c r="AV420" s="13" t="e">
        <f>100-Data_Geotech[[#This Row],[TCR (%)]]</f>
        <v>#DIV/0!</v>
      </c>
      <c r="AW420" s="62" t="e">
        <f>(Data_Geotech[[#This Row],[Fracture per interval]]+Data_Geotech[[#This Row],[Added fractures 
(BC, FLT, LC)]])/Data_Geotech[[#This Row],[TCR (m)]]</f>
        <v>#DIV/0!</v>
      </c>
      <c r="AX420" s="62" t="str">
        <f>MID(Data_Geotech[[#This Row],[Field Intact Rock Strength]],2,1)</f>
        <v/>
      </c>
      <c r="AY420" s="63" t="e">
        <f>7-MID(Data_Geotech[[#This Row],[Field Intact Rock Strength]],2,1)</f>
        <v>#VALUE!</v>
      </c>
      <c r="AZ420" s="63" t="e">
        <f>VLOOKUP(Data_Geotech[[#This Row],[Field Intact Rock Strength]],Table_FieldStrength[],2,FALSE)</f>
        <v>#N/A</v>
      </c>
      <c r="BA420" s="63" t="e">
        <f>VLOOKUP(Data_Geotech[[#This Row],[Field Intact Rock Strength]],Table_FieldStrength[],3,FALSE)</f>
        <v>#N/A</v>
      </c>
      <c r="BB420" s="63" t="e">
        <f>VLOOKUP(Data_Geotech[[#This Row],[Field Intact Rock Strength]],Table_FieldStrength[],4,FALSE)</f>
        <v>#N/A</v>
      </c>
      <c r="BC420" s="63" t="e">
        <f>100-Data_Geotech[[#This Row],[RMR76]]</f>
        <v>#VALUE!</v>
      </c>
      <c r="BD420" s="63" t="e">
        <f>LEFT(Data_Geotech[[#This Row],[Weathering/Alteration]],FIND("-",Data_Geotech[[#This Row],[Weathering/Alteration]])-2)</f>
        <v>#VALUE!</v>
      </c>
    </row>
    <row r="421" spans="1:56" hidden="1" x14ac:dyDescent="0.25">
      <c r="A421" s="14"/>
      <c r="B421" s="166" t="e">
        <f>VLOOKUP(Data_Geotech[[#This Row],[Hole ID]],Data_Log[],2,FALSE)</f>
        <v>#N/A</v>
      </c>
      <c r="C421" s="5"/>
      <c r="D421" s="5"/>
      <c r="E421" s="5">
        <f>(Data_Geotech[[#This Row],[To (m)]]-Data_Geotech[[#This Row],[From (m)]])/2+Data_Geotech[[#This Row],[From (m)]]</f>
        <v>0</v>
      </c>
      <c r="F421" s="13">
        <f>Data_Geotech[[#This Row],[To (m)]]-Data_Geotech[[#This Row],[From (m)]]</f>
        <v>0</v>
      </c>
      <c r="G421" s="5"/>
      <c r="H421" s="13" t="e">
        <f>Data_Geotech[[#This Row],[TCR (m)]]/Data_Geotech[[#This Row],[Run (m)]]*100</f>
        <v>#DIV/0!</v>
      </c>
      <c r="I421" s="5"/>
      <c r="J421" s="5"/>
      <c r="K421" s="5"/>
      <c r="L421" s="13" t="e">
        <f>Data_Geotech[[#This Row],[RQD (m)]]/Data_Geotech[[#This Row],[Run Reel (m)]]*100</f>
        <v>#DIV/0!</v>
      </c>
      <c r="P421" s="115"/>
      <c r="Q421" s="5"/>
      <c r="R421" s="5"/>
      <c r="S421" s="5"/>
      <c r="T421" s="5"/>
      <c r="U421" s="5"/>
      <c r="V421" s="6"/>
      <c r="W421" s="92">
        <f>SUMIFS(Discontinuities!$D$4:$D$9664,Discontinuities!$A$4:$A$9664,A421,Discontinuities!$C$4:$C$9664,"&gt;="&amp;C421,Discontinuities!$C$4:$C$9664,"&lt;"&amp;D421)
-SUMIFS(Discontinuities!$D$4:$D$9664,Discontinuities!$A$4:$A$9664,A421,Discontinuities!$C$4:$C$9664,"&gt;="&amp;C421,Discontinuities!$C$4:$C$9664,"&lt;"&amp;D421,Discontinuities!$E$4:$E$9664,"=BC")
-SUMIFS(Discontinuities!$D$4:$D$9664,Discontinuities!$A$4:$A$9664,A421,Discontinuities!$C$4:$C$9664,"&gt;="&amp;C421,Discontinuities!$C$4:$C$9664,"&lt;"&amp;D421,Discontinuities!$E$4:$E$9664,"=LC")
-SUMIFS(Discontinuities!$D$4:$D$9664,Discontinuities!$A$4:$A$9664,A421,Discontinuities!$C$4:$C$9664,"&gt;="&amp;C421,Discontinuities!$C$4:$C$9664,"&lt;"&amp;D421,Discontinuities!$E$4:$E$9664,"=FLT")</f>
        <v>0</v>
      </c>
      <c r="AA421" s="132"/>
      <c r="AB421" s="159">
        <f>IFERROR(ROUND((Data_Geotech[[#This Row],[Fault (m)]]+Data_Geotech[[#This Row],[Broken Core (m)]]+Data_Geotech[[#This Row],[Lost Core (m)]])*30,0),0)</f>
        <v>0</v>
      </c>
      <c r="AC421" s="135">
        <f>IF(Data_Geotech[[#This Row],[Added fractures 
(BC, FLT, LC)]]+Data_Geotech[[#This Row],[Fracture per interval]]=0,99,1/((Data_Geotech[[#This Row],[Fracture per interval]]+Data_Geotech[[#This Row],[Added fractures 
(BC, FLT, LC)]])/Data_Geotech[[#This Row],[Run (m)]]))</f>
        <v>99</v>
      </c>
      <c r="AD421" s="160" t="str" cm="1">
        <f t="array" ref="AD421">IFERROR(_xlfn.XLOOKUP(1,(A421=PLT!$A$4:$A$8886)*(Geotech!C421&lt;=PLT!$F$4:$F$8886)*(Geotech!D421&gt;=PLT!$F$4:$F$8886)*("Valid"=PLT!$P$4:$P$8886),PLT!$V$4:$V$8886),"")</f>
        <v/>
      </c>
      <c r="AE421" s="161" t="str" cm="1">
        <f t="array" ref="AE421">IFERROR(_xlfn.XLOOKUP(1,(A421=PLT!$A$4:$A$8886)*(Geotech!C421&lt;=PLT!$F$4:$F$8886)*(Geotech!D421&gt;=PLT!$F$4:$F$8886)*(PLT!$V$4:$V$8886&lt;&gt;AD421)*("Valid"=PLT!$P$4:$P$7190),PLT!$V$4:$V$8886),"")</f>
        <v/>
      </c>
      <c r="AF421" s="161" t="str" cm="1">
        <f t="array" ref="AF421">IFERROR(_xlfn.XLOOKUP(1,(A421=PLT!$A$4:$A$8886)*(Geotech!C421&lt;=PLT!$F$4:$F$8886)*(Geotech!D421&gt;=PLT!$F$4:$F$8886)*(PLT!$V$4:$V$8886&lt;&gt;AD421)*(PLT!$V$4:$V$8886&lt;&gt;AE421)*("Valid"=PLT!$P$4:$P$7190),PLT!$V$4:$V$8886),"")</f>
        <v/>
      </c>
      <c r="AG421" s="162" t="str">
        <f>IFERROR(IF(AVERAGE(AD421:AF421)&gt;References!$BO$23,References!$BP$23,
IF(AVERAGE(AD421:AF421)&gt;References!$BO$22,References!$BP$22,
IF(AVERAGE(AD421:AF421)&gt;References!$BO$21,References!$BP$21,
IF(AVERAGE(AD421:AF421)&gt;References!$BO$20,References!$BP$20,
IF(AVERAGE(AD421:AF421)&gt;References!$BO$19,References!$BP$19,
IF(AVERAGE(AD421:AF421)&gt;References!$BO$18,References!$BP$18,
0)))))),"")</f>
        <v/>
      </c>
      <c r="AH421" s="163" t="e">
        <f>VLOOKUP(Data_Geotech[[#This Row],[Field Intact Rock Strength]],Table_RMR76_Strength[],2,FALSE)</f>
        <v>#N/A</v>
      </c>
      <c r="AI421" s="163" t="e">
        <f>IF(Data_Geotech[[#This Row],[RQD (%)]]&lt;=25,3,IF(Data_Geotech[[#This Row],[RQD (%)]]&lt;=50,8,IF(Data_Geotech[[#This Row],[RQD (%)]]&lt;=75,13,IF(Data_Geotech[[#This Row],[RQD (%)]]&lt;=90,17,20))))</f>
        <v>#DIV/0!</v>
      </c>
      <c r="AJ421" s="136">
        <f>IF(Data_Geotech[[#This Row],[Joint spacing (m)]]&lt;=0.05,5,IF(Data_Geotech[[#This Row],[Joint spacing (m)]]&lt;=0.3,10,IF(Data_Geotech[[#This Row],[Joint spacing (m)]]&lt;=1,20,IF(Data_Geotech[[#This Row],[Joint spacing (m)]]&lt;=3,25,30))))</f>
        <v>30</v>
      </c>
      <c r="AK42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1" s="6"/>
      <c r="AM421" s="137" t="str">
        <f>IF(Data_Geotech[[#This Row],[FIRS Code]]="R",IFERROR(SUM(Data_Geotech[[#This Row],[RMR76 - Strength rating]:[RMR76 - Ground water rating]]),""),"")</f>
        <v/>
      </c>
      <c r="AN421" s="164" t="str">
        <f>IF(Data_Geotech[[#This Row],[FIRS Code]]="R",(2*Data_Geotech[[#This Row],[RMR76 - Joint condition rating]])+(IF(Data_Geotech[[#This Row],[RQD (%)]]&gt;80,80/2,Data_Geotech[[#This Row],[RQD (%)]]/2)),"")</f>
        <v/>
      </c>
      <c r="AO421" s="136" t="e">
        <f>LEFT(Data_Geotech[[#This Row],[Joint Set Rating]],FIND("-",Data_Geotech[[#This Row],[Joint Set Rating]],1)-2)</f>
        <v>#VALUE!</v>
      </c>
      <c r="AP42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1" s="143">
        <f t="shared" si="9"/>
        <v>1</v>
      </c>
      <c r="AR421" s="165" t="str">
        <f>IF(Data_Geotech[[#This Row],[FIRS Code]]="R",IFERROR((IF(Data_Geotech[[#This Row],[RQD (%)]]&lt;10,10,Data_Geotech[[#This Row],[RQD (%)]])/Data_Geotech[[#This Row],[Jn rating]])*Data_Geotech[[#This Row],[Jr/Ja]],""),"")</f>
        <v/>
      </c>
      <c r="AS421" s="138" t="str">
        <f>IF(Data_Geotech[[#This Row],[FIRS Code]]="R",IFERROR((IF(Data_Geotech[[#This Row],[RQD (%)]]&lt;10,10,Data_Geotech[[#This Row],[RQD (%)]])/Data_Geotech[[#This Row],[Jn rating]])*Data_Geotech[[#This Row],[Jr/Ja]]*Data_Geotech[[#This Row],[Jw/SRF]],""),"")</f>
        <v/>
      </c>
      <c r="AT421" s="12"/>
      <c r="AU421" s="13" t="e">
        <f>100-Data_Geotech[[#This Row],[RQD (%)]]</f>
        <v>#DIV/0!</v>
      </c>
      <c r="AV421" s="13" t="e">
        <f>100-Data_Geotech[[#This Row],[TCR (%)]]</f>
        <v>#DIV/0!</v>
      </c>
      <c r="AW421" s="62" t="e">
        <f>(Data_Geotech[[#This Row],[Fracture per interval]]+Data_Geotech[[#This Row],[Added fractures 
(BC, FLT, LC)]])/Data_Geotech[[#This Row],[TCR (m)]]</f>
        <v>#DIV/0!</v>
      </c>
      <c r="AX421" s="62" t="str">
        <f>MID(Data_Geotech[[#This Row],[Field Intact Rock Strength]],2,1)</f>
        <v/>
      </c>
      <c r="AY421" s="63" t="e">
        <f>7-MID(Data_Geotech[[#This Row],[Field Intact Rock Strength]],2,1)</f>
        <v>#VALUE!</v>
      </c>
      <c r="AZ421" s="63" t="e">
        <f>VLOOKUP(Data_Geotech[[#This Row],[Field Intact Rock Strength]],Table_FieldStrength[],2,FALSE)</f>
        <v>#N/A</v>
      </c>
      <c r="BA421" s="63" t="e">
        <f>VLOOKUP(Data_Geotech[[#This Row],[Field Intact Rock Strength]],Table_FieldStrength[],3,FALSE)</f>
        <v>#N/A</v>
      </c>
      <c r="BB421" s="63" t="e">
        <f>VLOOKUP(Data_Geotech[[#This Row],[Field Intact Rock Strength]],Table_FieldStrength[],4,FALSE)</f>
        <v>#N/A</v>
      </c>
      <c r="BC421" s="63" t="e">
        <f>100-Data_Geotech[[#This Row],[RMR76]]</f>
        <v>#VALUE!</v>
      </c>
      <c r="BD421" s="63" t="e">
        <f>LEFT(Data_Geotech[[#This Row],[Weathering/Alteration]],FIND("-",Data_Geotech[[#This Row],[Weathering/Alteration]])-2)</f>
        <v>#VALUE!</v>
      </c>
    </row>
    <row r="422" spans="1:56" hidden="1" x14ac:dyDescent="0.25">
      <c r="A422" s="14"/>
      <c r="B422" s="166" t="e">
        <f>VLOOKUP(Data_Geotech[[#This Row],[Hole ID]],Data_Log[],2,FALSE)</f>
        <v>#N/A</v>
      </c>
      <c r="C422" s="5"/>
      <c r="D422" s="5"/>
      <c r="E422" s="5">
        <f>(Data_Geotech[[#This Row],[To (m)]]-Data_Geotech[[#This Row],[From (m)]])/2+Data_Geotech[[#This Row],[From (m)]]</f>
        <v>0</v>
      </c>
      <c r="F422" s="13">
        <f>Data_Geotech[[#This Row],[To (m)]]-Data_Geotech[[#This Row],[From (m)]]</f>
        <v>0</v>
      </c>
      <c r="G422" s="5"/>
      <c r="H422" s="13" t="e">
        <f>Data_Geotech[[#This Row],[TCR (m)]]/Data_Geotech[[#This Row],[Run (m)]]*100</f>
        <v>#DIV/0!</v>
      </c>
      <c r="I422" s="5"/>
      <c r="J422" s="5"/>
      <c r="K422" s="5"/>
      <c r="L422" s="13" t="e">
        <f>Data_Geotech[[#This Row],[RQD (m)]]/Data_Geotech[[#This Row],[Run Reel (m)]]*100</f>
        <v>#DIV/0!</v>
      </c>
      <c r="P422" s="115"/>
      <c r="Q422" s="5"/>
      <c r="R422" s="5"/>
      <c r="S422" s="5"/>
      <c r="T422" s="5"/>
      <c r="U422" s="5"/>
      <c r="V422" s="6"/>
      <c r="W422" s="92">
        <f>SUMIFS(Discontinuities!$D$4:$D$9664,Discontinuities!$A$4:$A$9664,A422,Discontinuities!$C$4:$C$9664,"&gt;="&amp;C422,Discontinuities!$C$4:$C$9664,"&lt;"&amp;D422)
-SUMIFS(Discontinuities!$D$4:$D$9664,Discontinuities!$A$4:$A$9664,A422,Discontinuities!$C$4:$C$9664,"&gt;="&amp;C422,Discontinuities!$C$4:$C$9664,"&lt;"&amp;D422,Discontinuities!$E$4:$E$9664,"=BC")
-SUMIFS(Discontinuities!$D$4:$D$9664,Discontinuities!$A$4:$A$9664,A422,Discontinuities!$C$4:$C$9664,"&gt;="&amp;C422,Discontinuities!$C$4:$C$9664,"&lt;"&amp;D422,Discontinuities!$E$4:$E$9664,"=LC")
-SUMIFS(Discontinuities!$D$4:$D$9664,Discontinuities!$A$4:$A$9664,A422,Discontinuities!$C$4:$C$9664,"&gt;="&amp;C422,Discontinuities!$C$4:$C$9664,"&lt;"&amp;D422,Discontinuities!$E$4:$E$9664,"=FLT")</f>
        <v>0</v>
      </c>
      <c r="AA422" s="132"/>
      <c r="AB422" s="159">
        <f>IFERROR(ROUND((Data_Geotech[[#This Row],[Fault (m)]]+Data_Geotech[[#This Row],[Broken Core (m)]]+Data_Geotech[[#This Row],[Lost Core (m)]])*30,0),0)</f>
        <v>0</v>
      </c>
      <c r="AC422" s="135">
        <f>IF(Data_Geotech[[#This Row],[Added fractures 
(BC, FLT, LC)]]+Data_Geotech[[#This Row],[Fracture per interval]]=0,99,1/((Data_Geotech[[#This Row],[Fracture per interval]]+Data_Geotech[[#This Row],[Added fractures 
(BC, FLT, LC)]])/Data_Geotech[[#This Row],[Run (m)]]))</f>
        <v>99</v>
      </c>
      <c r="AD422" s="160" t="str" cm="1">
        <f t="array" ref="AD422">IFERROR(_xlfn.XLOOKUP(1,(A422=PLT!$A$4:$A$8886)*(Geotech!C422&lt;=PLT!$F$4:$F$8886)*(Geotech!D422&gt;=PLT!$F$4:$F$8886)*("Valid"=PLT!$P$4:$P$8886),PLT!$V$4:$V$8886),"")</f>
        <v/>
      </c>
      <c r="AE422" s="161" t="str" cm="1">
        <f t="array" ref="AE422">IFERROR(_xlfn.XLOOKUP(1,(A422=PLT!$A$4:$A$8886)*(Geotech!C422&lt;=PLT!$F$4:$F$8886)*(Geotech!D422&gt;=PLT!$F$4:$F$8886)*(PLT!$V$4:$V$8886&lt;&gt;AD422)*("Valid"=PLT!$P$4:$P$7190),PLT!$V$4:$V$8886),"")</f>
        <v/>
      </c>
      <c r="AF422" s="161" t="str" cm="1">
        <f t="array" ref="AF422">IFERROR(_xlfn.XLOOKUP(1,(A422=PLT!$A$4:$A$8886)*(Geotech!C422&lt;=PLT!$F$4:$F$8886)*(Geotech!D422&gt;=PLT!$F$4:$F$8886)*(PLT!$V$4:$V$8886&lt;&gt;AD422)*(PLT!$V$4:$V$8886&lt;&gt;AE422)*("Valid"=PLT!$P$4:$P$7190),PLT!$V$4:$V$8886),"")</f>
        <v/>
      </c>
      <c r="AG422" s="162" t="str">
        <f>IFERROR(IF(AVERAGE(AD422:AF422)&gt;References!$BO$23,References!$BP$23,
IF(AVERAGE(AD422:AF422)&gt;References!$BO$22,References!$BP$22,
IF(AVERAGE(AD422:AF422)&gt;References!$BO$21,References!$BP$21,
IF(AVERAGE(AD422:AF422)&gt;References!$BO$20,References!$BP$20,
IF(AVERAGE(AD422:AF422)&gt;References!$BO$19,References!$BP$19,
IF(AVERAGE(AD422:AF422)&gt;References!$BO$18,References!$BP$18,
0)))))),"")</f>
        <v/>
      </c>
      <c r="AH422" s="163" t="e">
        <f>VLOOKUP(Data_Geotech[[#This Row],[Field Intact Rock Strength]],Table_RMR76_Strength[],2,FALSE)</f>
        <v>#N/A</v>
      </c>
      <c r="AI422" s="163" t="e">
        <f>IF(Data_Geotech[[#This Row],[RQD (%)]]&lt;=25,3,IF(Data_Geotech[[#This Row],[RQD (%)]]&lt;=50,8,IF(Data_Geotech[[#This Row],[RQD (%)]]&lt;=75,13,IF(Data_Geotech[[#This Row],[RQD (%)]]&lt;=90,17,20))))</f>
        <v>#DIV/0!</v>
      </c>
      <c r="AJ422" s="136">
        <f>IF(Data_Geotech[[#This Row],[Joint spacing (m)]]&lt;=0.05,5,IF(Data_Geotech[[#This Row],[Joint spacing (m)]]&lt;=0.3,10,IF(Data_Geotech[[#This Row],[Joint spacing (m)]]&lt;=1,20,IF(Data_Geotech[[#This Row],[Joint spacing (m)]]&lt;=3,25,30))))</f>
        <v>30</v>
      </c>
      <c r="AK42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2" s="6"/>
      <c r="AM422" s="137" t="str">
        <f>IF(Data_Geotech[[#This Row],[FIRS Code]]="R",IFERROR(SUM(Data_Geotech[[#This Row],[RMR76 - Strength rating]:[RMR76 - Ground water rating]]),""),"")</f>
        <v/>
      </c>
      <c r="AN422" s="164" t="str">
        <f>IF(Data_Geotech[[#This Row],[FIRS Code]]="R",(2*Data_Geotech[[#This Row],[RMR76 - Joint condition rating]])+(IF(Data_Geotech[[#This Row],[RQD (%)]]&gt;80,80/2,Data_Geotech[[#This Row],[RQD (%)]]/2)),"")</f>
        <v/>
      </c>
      <c r="AO422" s="136" t="e">
        <f>LEFT(Data_Geotech[[#This Row],[Joint Set Rating]],FIND("-",Data_Geotech[[#This Row],[Joint Set Rating]],1)-2)</f>
        <v>#VALUE!</v>
      </c>
      <c r="AP42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2" s="143">
        <f t="shared" si="9"/>
        <v>1</v>
      </c>
      <c r="AR422" s="165" t="str">
        <f>IF(Data_Geotech[[#This Row],[FIRS Code]]="R",IFERROR((IF(Data_Geotech[[#This Row],[RQD (%)]]&lt;10,10,Data_Geotech[[#This Row],[RQD (%)]])/Data_Geotech[[#This Row],[Jn rating]])*Data_Geotech[[#This Row],[Jr/Ja]],""),"")</f>
        <v/>
      </c>
      <c r="AS422" s="138" t="str">
        <f>IF(Data_Geotech[[#This Row],[FIRS Code]]="R",IFERROR((IF(Data_Geotech[[#This Row],[RQD (%)]]&lt;10,10,Data_Geotech[[#This Row],[RQD (%)]])/Data_Geotech[[#This Row],[Jn rating]])*Data_Geotech[[#This Row],[Jr/Ja]]*Data_Geotech[[#This Row],[Jw/SRF]],""),"")</f>
        <v/>
      </c>
      <c r="AT422" s="12"/>
      <c r="AU422" s="13" t="e">
        <f>100-Data_Geotech[[#This Row],[RQD (%)]]</f>
        <v>#DIV/0!</v>
      </c>
      <c r="AV422" s="13" t="e">
        <f>100-Data_Geotech[[#This Row],[TCR (%)]]</f>
        <v>#DIV/0!</v>
      </c>
      <c r="AW422" s="62" t="e">
        <f>(Data_Geotech[[#This Row],[Fracture per interval]]+Data_Geotech[[#This Row],[Added fractures 
(BC, FLT, LC)]])/Data_Geotech[[#This Row],[TCR (m)]]</f>
        <v>#DIV/0!</v>
      </c>
      <c r="AX422" s="62" t="str">
        <f>MID(Data_Geotech[[#This Row],[Field Intact Rock Strength]],2,1)</f>
        <v/>
      </c>
      <c r="AY422" s="63" t="e">
        <f>7-MID(Data_Geotech[[#This Row],[Field Intact Rock Strength]],2,1)</f>
        <v>#VALUE!</v>
      </c>
      <c r="AZ422" s="63" t="e">
        <f>VLOOKUP(Data_Geotech[[#This Row],[Field Intact Rock Strength]],Table_FieldStrength[],2,FALSE)</f>
        <v>#N/A</v>
      </c>
      <c r="BA422" s="63" t="e">
        <f>VLOOKUP(Data_Geotech[[#This Row],[Field Intact Rock Strength]],Table_FieldStrength[],3,FALSE)</f>
        <v>#N/A</v>
      </c>
      <c r="BB422" s="63" t="e">
        <f>VLOOKUP(Data_Geotech[[#This Row],[Field Intact Rock Strength]],Table_FieldStrength[],4,FALSE)</f>
        <v>#N/A</v>
      </c>
      <c r="BC422" s="63" t="e">
        <f>100-Data_Geotech[[#This Row],[RMR76]]</f>
        <v>#VALUE!</v>
      </c>
      <c r="BD422" s="63" t="e">
        <f>LEFT(Data_Geotech[[#This Row],[Weathering/Alteration]],FIND("-",Data_Geotech[[#This Row],[Weathering/Alteration]])-2)</f>
        <v>#VALUE!</v>
      </c>
    </row>
    <row r="423" spans="1:56" hidden="1" x14ac:dyDescent="0.25">
      <c r="A423" s="14"/>
      <c r="B423" s="166" t="e">
        <f>VLOOKUP(Data_Geotech[[#This Row],[Hole ID]],Data_Log[],2,FALSE)</f>
        <v>#N/A</v>
      </c>
      <c r="C423" s="5"/>
      <c r="D423" s="5"/>
      <c r="E423" s="5">
        <f>(Data_Geotech[[#This Row],[To (m)]]-Data_Geotech[[#This Row],[From (m)]])/2+Data_Geotech[[#This Row],[From (m)]]</f>
        <v>0</v>
      </c>
      <c r="F423" s="13">
        <f>Data_Geotech[[#This Row],[To (m)]]-Data_Geotech[[#This Row],[From (m)]]</f>
        <v>0</v>
      </c>
      <c r="G423" s="5"/>
      <c r="H423" s="13" t="e">
        <f>Data_Geotech[[#This Row],[TCR (m)]]/Data_Geotech[[#This Row],[Run (m)]]*100</f>
        <v>#DIV/0!</v>
      </c>
      <c r="I423" s="5"/>
      <c r="J423" s="5"/>
      <c r="K423" s="5"/>
      <c r="L423" s="13" t="e">
        <f>Data_Geotech[[#This Row],[RQD (m)]]/Data_Geotech[[#This Row],[Run Reel (m)]]*100</f>
        <v>#DIV/0!</v>
      </c>
      <c r="P423" s="115"/>
      <c r="Q423" s="5"/>
      <c r="R423" s="5"/>
      <c r="S423" s="5"/>
      <c r="T423" s="5"/>
      <c r="U423" s="5"/>
      <c r="V423" s="6"/>
      <c r="W423" s="92">
        <f>SUMIFS(Discontinuities!$D$4:$D$9664,Discontinuities!$A$4:$A$9664,A423,Discontinuities!$C$4:$C$9664,"&gt;="&amp;C423,Discontinuities!$C$4:$C$9664,"&lt;"&amp;D423)
-SUMIFS(Discontinuities!$D$4:$D$9664,Discontinuities!$A$4:$A$9664,A423,Discontinuities!$C$4:$C$9664,"&gt;="&amp;C423,Discontinuities!$C$4:$C$9664,"&lt;"&amp;D423,Discontinuities!$E$4:$E$9664,"=BC")
-SUMIFS(Discontinuities!$D$4:$D$9664,Discontinuities!$A$4:$A$9664,A423,Discontinuities!$C$4:$C$9664,"&gt;="&amp;C423,Discontinuities!$C$4:$C$9664,"&lt;"&amp;D423,Discontinuities!$E$4:$E$9664,"=LC")
-SUMIFS(Discontinuities!$D$4:$D$9664,Discontinuities!$A$4:$A$9664,A423,Discontinuities!$C$4:$C$9664,"&gt;="&amp;C423,Discontinuities!$C$4:$C$9664,"&lt;"&amp;D423,Discontinuities!$E$4:$E$9664,"=FLT")</f>
        <v>0</v>
      </c>
      <c r="AA423" s="132"/>
      <c r="AB423" s="159">
        <f>IFERROR(ROUND((Data_Geotech[[#This Row],[Fault (m)]]+Data_Geotech[[#This Row],[Broken Core (m)]]+Data_Geotech[[#This Row],[Lost Core (m)]])*30,0),0)</f>
        <v>0</v>
      </c>
      <c r="AC423" s="135">
        <f>IF(Data_Geotech[[#This Row],[Added fractures 
(BC, FLT, LC)]]+Data_Geotech[[#This Row],[Fracture per interval]]=0,99,1/((Data_Geotech[[#This Row],[Fracture per interval]]+Data_Geotech[[#This Row],[Added fractures 
(BC, FLT, LC)]])/Data_Geotech[[#This Row],[Run (m)]]))</f>
        <v>99</v>
      </c>
      <c r="AD423" s="160" t="str" cm="1">
        <f t="array" ref="AD423">IFERROR(_xlfn.XLOOKUP(1,(A423=PLT!$A$4:$A$8886)*(Geotech!C423&lt;=PLT!$F$4:$F$8886)*(Geotech!D423&gt;=PLT!$F$4:$F$8886)*("Valid"=PLT!$P$4:$P$8886),PLT!$V$4:$V$8886),"")</f>
        <v/>
      </c>
      <c r="AE423" s="161" t="str" cm="1">
        <f t="array" ref="AE423">IFERROR(_xlfn.XLOOKUP(1,(A423=PLT!$A$4:$A$8886)*(Geotech!C423&lt;=PLT!$F$4:$F$8886)*(Geotech!D423&gt;=PLT!$F$4:$F$8886)*(PLT!$V$4:$V$8886&lt;&gt;AD423)*("Valid"=PLT!$P$4:$P$7190),PLT!$V$4:$V$8886),"")</f>
        <v/>
      </c>
      <c r="AF423" s="161" t="str" cm="1">
        <f t="array" ref="AF423">IFERROR(_xlfn.XLOOKUP(1,(A423=PLT!$A$4:$A$8886)*(Geotech!C423&lt;=PLT!$F$4:$F$8886)*(Geotech!D423&gt;=PLT!$F$4:$F$8886)*(PLT!$V$4:$V$8886&lt;&gt;AD423)*(PLT!$V$4:$V$8886&lt;&gt;AE423)*("Valid"=PLT!$P$4:$P$7190),PLT!$V$4:$V$8886),"")</f>
        <v/>
      </c>
      <c r="AG423" s="162" t="str">
        <f>IFERROR(IF(AVERAGE(AD423:AF423)&gt;References!$BO$23,References!$BP$23,
IF(AVERAGE(AD423:AF423)&gt;References!$BO$22,References!$BP$22,
IF(AVERAGE(AD423:AF423)&gt;References!$BO$21,References!$BP$21,
IF(AVERAGE(AD423:AF423)&gt;References!$BO$20,References!$BP$20,
IF(AVERAGE(AD423:AF423)&gt;References!$BO$19,References!$BP$19,
IF(AVERAGE(AD423:AF423)&gt;References!$BO$18,References!$BP$18,
0)))))),"")</f>
        <v/>
      </c>
      <c r="AH423" s="163" t="e">
        <f>VLOOKUP(Data_Geotech[[#This Row],[Field Intact Rock Strength]],Table_RMR76_Strength[],2,FALSE)</f>
        <v>#N/A</v>
      </c>
      <c r="AI423" s="163" t="e">
        <f>IF(Data_Geotech[[#This Row],[RQD (%)]]&lt;=25,3,IF(Data_Geotech[[#This Row],[RQD (%)]]&lt;=50,8,IF(Data_Geotech[[#This Row],[RQD (%)]]&lt;=75,13,IF(Data_Geotech[[#This Row],[RQD (%)]]&lt;=90,17,20))))</f>
        <v>#DIV/0!</v>
      </c>
      <c r="AJ423" s="136">
        <f>IF(Data_Geotech[[#This Row],[Joint spacing (m)]]&lt;=0.05,5,IF(Data_Geotech[[#This Row],[Joint spacing (m)]]&lt;=0.3,10,IF(Data_Geotech[[#This Row],[Joint spacing (m)]]&lt;=1,20,IF(Data_Geotech[[#This Row],[Joint spacing (m)]]&lt;=3,25,30))))</f>
        <v>30</v>
      </c>
      <c r="AK42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3" s="6"/>
      <c r="AM423" s="137" t="str">
        <f>IF(Data_Geotech[[#This Row],[FIRS Code]]="R",IFERROR(SUM(Data_Geotech[[#This Row],[RMR76 - Strength rating]:[RMR76 - Ground water rating]]),""),"")</f>
        <v/>
      </c>
      <c r="AN423" s="164" t="str">
        <f>IF(Data_Geotech[[#This Row],[FIRS Code]]="R",(2*Data_Geotech[[#This Row],[RMR76 - Joint condition rating]])+(IF(Data_Geotech[[#This Row],[RQD (%)]]&gt;80,80/2,Data_Geotech[[#This Row],[RQD (%)]]/2)),"")</f>
        <v/>
      </c>
      <c r="AO423" s="136" t="e">
        <f>LEFT(Data_Geotech[[#This Row],[Joint Set Rating]],FIND("-",Data_Geotech[[#This Row],[Joint Set Rating]],1)-2)</f>
        <v>#VALUE!</v>
      </c>
      <c r="AP42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3" s="143">
        <f t="shared" si="9"/>
        <v>1</v>
      </c>
      <c r="AR423" s="165" t="str">
        <f>IF(Data_Geotech[[#This Row],[FIRS Code]]="R",IFERROR((IF(Data_Geotech[[#This Row],[RQD (%)]]&lt;10,10,Data_Geotech[[#This Row],[RQD (%)]])/Data_Geotech[[#This Row],[Jn rating]])*Data_Geotech[[#This Row],[Jr/Ja]],""),"")</f>
        <v/>
      </c>
      <c r="AS423" s="138" t="str">
        <f>IF(Data_Geotech[[#This Row],[FIRS Code]]="R",IFERROR((IF(Data_Geotech[[#This Row],[RQD (%)]]&lt;10,10,Data_Geotech[[#This Row],[RQD (%)]])/Data_Geotech[[#This Row],[Jn rating]])*Data_Geotech[[#This Row],[Jr/Ja]]*Data_Geotech[[#This Row],[Jw/SRF]],""),"")</f>
        <v/>
      </c>
      <c r="AT423" s="12"/>
      <c r="AU423" s="13" t="e">
        <f>100-Data_Geotech[[#This Row],[RQD (%)]]</f>
        <v>#DIV/0!</v>
      </c>
      <c r="AV423" s="13" t="e">
        <f>100-Data_Geotech[[#This Row],[TCR (%)]]</f>
        <v>#DIV/0!</v>
      </c>
      <c r="AW423" s="62" t="e">
        <f>(Data_Geotech[[#This Row],[Fracture per interval]]+Data_Geotech[[#This Row],[Added fractures 
(BC, FLT, LC)]])/Data_Geotech[[#This Row],[TCR (m)]]</f>
        <v>#DIV/0!</v>
      </c>
      <c r="AX423" s="62" t="str">
        <f>MID(Data_Geotech[[#This Row],[Field Intact Rock Strength]],2,1)</f>
        <v/>
      </c>
      <c r="AY423" s="63" t="e">
        <f>7-MID(Data_Geotech[[#This Row],[Field Intact Rock Strength]],2,1)</f>
        <v>#VALUE!</v>
      </c>
      <c r="AZ423" s="63" t="e">
        <f>VLOOKUP(Data_Geotech[[#This Row],[Field Intact Rock Strength]],Table_FieldStrength[],2,FALSE)</f>
        <v>#N/A</v>
      </c>
      <c r="BA423" s="63" t="e">
        <f>VLOOKUP(Data_Geotech[[#This Row],[Field Intact Rock Strength]],Table_FieldStrength[],3,FALSE)</f>
        <v>#N/A</v>
      </c>
      <c r="BB423" s="63" t="e">
        <f>VLOOKUP(Data_Geotech[[#This Row],[Field Intact Rock Strength]],Table_FieldStrength[],4,FALSE)</f>
        <v>#N/A</v>
      </c>
      <c r="BC423" s="63" t="e">
        <f>100-Data_Geotech[[#This Row],[RMR76]]</f>
        <v>#VALUE!</v>
      </c>
      <c r="BD423" s="63" t="e">
        <f>LEFT(Data_Geotech[[#This Row],[Weathering/Alteration]],FIND("-",Data_Geotech[[#This Row],[Weathering/Alteration]])-2)</f>
        <v>#VALUE!</v>
      </c>
    </row>
    <row r="424" spans="1:56" hidden="1" x14ac:dyDescent="0.25">
      <c r="A424" s="14"/>
      <c r="B424" s="166" t="e">
        <f>VLOOKUP(Data_Geotech[[#This Row],[Hole ID]],Data_Log[],2,FALSE)</f>
        <v>#N/A</v>
      </c>
      <c r="C424" s="5"/>
      <c r="D424" s="5"/>
      <c r="E424" s="5">
        <f>(Data_Geotech[[#This Row],[To (m)]]-Data_Geotech[[#This Row],[From (m)]])/2+Data_Geotech[[#This Row],[From (m)]]</f>
        <v>0</v>
      </c>
      <c r="F424" s="13">
        <f>Data_Geotech[[#This Row],[To (m)]]-Data_Geotech[[#This Row],[From (m)]]</f>
        <v>0</v>
      </c>
      <c r="G424" s="5"/>
      <c r="H424" s="13" t="e">
        <f>Data_Geotech[[#This Row],[TCR (m)]]/Data_Geotech[[#This Row],[Run (m)]]*100</f>
        <v>#DIV/0!</v>
      </c>
      <c r="I424" s="5"/>
      <c r="J424" s="5"/>
      <c r="K424" s="5"/>
      <c r="L424" s="13" t="e">
        <f>Data_Geotech[[#This Row],[RQD (m)]]/Data_Geotech[[#This Row],[Run Reel (m)]]*100</f>
        <v>#DIV/0!</v>
      </c>
      <c r="P424" s="115"/>
      <c r="Q424" s="5"/>
      <c r="R424" s="5"/>
      <c r="S424" s="5"/>
      <c r="T424" s="5"/>
      <c r="U424" s="5"/>
      <c r="V424" s="6"/>
      <c r="W424" s="92">
        <f>SUMIFS(Discontinuities!$D$4:$D$9664,Discontinuities!$A$4:$A$9664,A424,Discontinuities!$C$4:$C$9664,"&gt;="&amp;C424,Discontinuities!$C$4:$C$9664,"&lt;"&amp;D424)
-SUMIFS(Discontinuities!$D$4:$D$9664,Discontinuities!$A$4:$A$9664,A424,Discontinuities!$C$4:$C$9664,"&gt;="&amp;C424,Discontinuities!$C$4:$C$9664,"&lt;"&amp;D424,Discontinuities!$E$4:$E$9664,"=BC")
-SUMIFS(Discontinuities!$D$4:$D$9664,Discontinuities!$A$4:$A$9664,A424,Discontinuities!$C$4:$C$9664,"&gt;="&amp;C424,Discontinuities!$C$4:$C$9664,"&lt;"&amp;D424,Discontinuities!$E$4:$E$9664,"=LC")
-SUMIFS(Discontinuities!$D$4:$D$9664,Discontinuities!$A$4:$A$9664,A424,Discontinuities!$C$4:$C$9664,"&gt;="&amp;C424,Discontinuities!$C$4:$C$9664,"&lt;"&amp;D424,Discontinuities!$E$4:$E$9664,"=FLT")</f>
        <v>0</v>
      </c>
      <c r="AA424" s="132"/>
      <c r="AB424" s="159">
        <f>IFERROR(ROUND((Data_Geotech[[#This Row],[Fault (m)]]+Data_Geotech[[#This Row],[Broken Core (m)]]+Data_Geotech[[#This Row],[Lost Core (m)]])*30,0),0)</f>
        <v>0</v>
      </c>
      <c r="AC424" s="135">
        <f>IF(Data_Geotech[[#This Row],[Added fractures 
(BC, FLT, LC)]]+Data_Geotech[[#This Row],[Fracture per interval]]=0,99,1/((Data_Geotech[[#This Row],[Fracture per interval]]+Data_Geotech[[#This Row],[Added fractures 
(BC, FLT, LC)]])/Data_Geotech[[#This Row],[Run (m)]]))</f>
        <v>99</v>
      </c>
      <c r="AD424" s="160" t="str" cm="1">
        <f t="array" ref="AD424">IFERROR(_xlfn.XLOOKUP(1,(A424=PLT!$A$4:$A$8886)*(Geotech!C424&lt;=PLT!$F$4:$F$8886)*(Geotech!D424&gt;=PLT!$F$4:$F$8886)*("Valid"=PLT!$P$4:$P$8886),PLT!$V$4:$V$8886),"")</f>
        <v/>
      </c>
      <c r="AE424" s="161" t="str" cm="1">
        <f t="array" ref="AE424">IFERROR(_xlfn.XLOOKUP(1,(A424=PLT!$A$4:$A$8886)*(Geotech!C424&lt;=PLT!$F$4:$F$8886)*(Geotech!D424&gt;=PLT!$F$4:$F$8886)*(PLT!$V$4:$V$8886&lt;&gt;AD424)*("Valid"=PLT!$P$4:$P$7190),PLT!$V$4:$V$8886),"")</f>
        <v/>
      </c>
      <c r="AF424" s="161" t="str" cm="1">
        <f t="array" ref="AF424">IFERROR(_xlfn.XLOOKUP(1,(A424=PLT!$A$4:$A$8886)*(Geotech!C424&lt;=PLT!$F$4:$F$8886)*(Geotech!D424&gt;=PLT!$F$4:$F$8886)*(PLT!$V$4:$V$8886&lt;&gt;AD424)*(PLT!$V$4:$V$8886&lt;&gt;AE424)*("Valid"=PLT!$P$4:$P$7190),PLT!$V$4:$V$8886),"")</f>
        <v/>
      </c>
      <c r="AG424" s="162" t="str">
        <f>IFERROR(IF(AVERAGE(AD424:AF424)&gt;References!$BO$23,References!$BP$23,
IF(AVERAGE(AD424:AF424)&gt;References!$BO$22,References!$BP$22,
IF(AVERAGE(AD424:AF424)&gt;References!$BO$21,References!$BP$21,
IF(AVERAGE(AD424:AF424)&gt;References!$BO$20,References!$BP$20,
IF(AVERAGE(AD424:AF424)&gt;References!$BO$19,References!$BP$19,
IF(AVERAGE(AD424:AF424)&gt;References!$BO$18,References!$BP$18,
0)))))),"")</f>
        <v/>
      </c>
      <c r="AH424" s="163" t="e">
        <f>VLOOKUP(Data_Geotech[[#This Row],[Field Intact Rock Strength]],Table_RMR76_Strength[],2,FALSE)</f>
        <v>#N/A</v>
      </c>
      <c r="AI424" s="163" t="e">
        <f>IF(Data_Geotech[[#This Row],[RQD (%)]]&lt;=25,3,IF(Data_Geotech[[#This Row],[RQD (%)]]&lt;=50,8,IF(Data_Geotech[[#This Row],[RQD (%)]]&lt;=75,13,IF(Data_Geotech[[#This Row],[RQD (%)]]&lt;=90,17,20))))</f>
        <v>#DIV/0!</v>
      </c>
      <c r="AJ424" s="136">
        <f>IF(Data_Geotech[[#This Row],[Joint spacing (m)]]&lt;=0.05,5,IF(Data_Geotech[[#This Row],[Joint spacing (m)]]&lt;=0.3,10,IF(Data_Geotech[[#This Row],[Joint spacing (m)]]&lt;=1,20,IF(Data_Geotech[[#This Row],[Joint spacing (m)]]&lt;=3,25,30))))</f>
        <v>30</v>
      </c>
      <c r="AK42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4" s="6"/>
      <c r="AM424" s="137" t="str">
        <f>IF(Data_Geotech[[#This Row],[FIRS Code]]="R",IFERROR(SUM(Data_Geotech[[#This Row],[RMR76 - Strength rating]:[RMR76 - Ground water rating]]),""),"")</f>
        <v/>
      </c>
      <c r="AN424" s="164" t="str">
        <f>IF(Data_Geotech[[#This Row],[FIRS Code]]="R",(2*Data_Geotech[[#This Row],[RMR76 - Joint condition rating]])+(IF(Data_Geotech[[#This Row],[RQD (%)]]&gt;80,80/2,Data_Geotech[[#This Row],[RQD (%)]]/2)),"")</f>
        <v/>
      </c>
      <c r="AO424" s="136" t="e">
        <f>LEFT(Data_Geotech[[#This Row],[Joint Set Rating]],FIND("-",Data_Geotech[[#This Row],[Joint Set Rating]],1)-2)</f>
        <v>#VALUE!</v>
      </c>
      <c r="AP42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4" s="143">
        <f t="shared" si="9"/>
        <v>1</v>
      </c>
      <c r="AR424" s="165" t="str">
        <f>IF(Data_Geotech[[#This Row],[FIRS Code]]="R",IFERROR((IF(Data_Geotech[[#This Row],[RQD (%)]]&lt;10,10,Data_Geotech[[#This Row],[RQD (%)]])/Data_Geotech[[#This Row],[Jn rating]])*Data_Geotech[[#This Row],[Jr/Ja]],""),"")</f>
        <v/>
      </c>
      <c r="AS424" s="138" t="str">
        <f>IF(Data_Geotech[[#This Row],[FIRS Code]]="R",IFERROR((IF(Data_Geotech[[#This Row],[RQD (%)]]&lt;10,10,Data_Geotech[[#This Row],[RQD (%)]])/Data_Geotech[[#This Row],[Jn rating]])*Data_Geotech[[#This Row],[Jr/Ja]]*Data_Geotech[[#This Row],[Jw/SRF]],""),"")</f>
        <v/>
      </c>
      <c r="AT424" s="12"/>
      <c r="AU424" s="13" t="e">
        <f>100-Data_Geotech[[#This Row],[RQD (%)]]</f>
        <v>#DIV/0!</v>
      </c>
      <c r="AV424" s="13" t="e">
        <f>100-Data_Geotech[[#This Row],[TCR (%)]]</f>
        <v>#DIV/0!</v>
      </c>
      <c r="AW424" s="62" t="e">
        <f>(Data_Geotech[[#This Row],[Fracture per interval]]+Data_Geotech[[#This Row],[Added fractures 
(BC, FLT, LC)]])/Data_Geotech[[#This Row],[TCR (m)]]</f>
        <v>#DIV/0!</v>
      </c>
      <c r="AX424" s="62" t="str">
        <f>MID(Data_Geotech[[#This Row],[Field Intact Rock Strength]],2,1)</f>
        <v/>
      </c>
      <c r="AY424" s="63" t="e">
        <f>7-MID(Data_Geotech[[#This Row],[Field Intact Rock Strength]],2,1)</f>
        <v>#VALUE!</v>
      </c>
      <c r="AZ424" s="63" t="e">
        <f>VLOOKUP(Data_Geotech[[#This Row],[Field Intact Rock Strength]],Table_FieldStrength[],2,FALSE)</f>
        <v>#N/A</v>
      </c>
      <c r="BA424" s="63" t="e">
        <f>VLOOKUP(Data_Geotech[[#This Row],[Field Intact Rock Strength]],Table_FieldStrength[],3,FALSE)</f>
        <v>#N/A</v>
      </c>
      <c r="BB424" s="63" t="e">
        <f>VLOOKUP(Data_Geotech[[#This Row],[Field Intact Rock Strength]],Table_FieldStrength[],4,FALSE)</f>
        <v>#N/A</v>
      </c>
      <c r="BC424" s="63" t="e">
        <f>100-Data_Geotech[[#This Row],[RMR76]]</f>
        <v>#VALUE!</v>
      </c>
      <c r="BD424" s="63" t="e">
        <f>LEFT(Data_Geotech[[#This Row],[Weathering/Alteration]],FIND("-",Data_Geotech[[#This Row],[Weathering/Alteration]])-2)</f>
        <v>#VALUE!</v>
      </c>
    </row>
    <row r="425" spans="1:56" hidden="1" x14ac:dyDescent="0.25">
      <c r="A425" s="14"/>
      <c r="B425" s="166" t="e">
        <f>VLOOKUP(Data_Geotech[[#This Row],[Hole ID]],Data_Log[],2,FALSE)</f>
        <v>#N/A</v>
      </c>
      <c r="C425" s="5"/>
      <c r="D425" s="5"/>
      <c r="E425" s="5">
        <f>(Data_Geotech[[#This Row],[To (m)]]-Data_Geotech[[#This Row],[From (m)]])/2+Data_Geotech[[#This Row],[From (m)]]</f>
        <v>0</v>
      </c>
      <c r="F425" s="13">
        <f>Data_Geotech[[#This Row],[To (m)]]-Data_Geotech[[#This Row],[From (m)]]</f>
        <v>0</v>
      </c>
      <c r="G425" s="5"/>
      <c r="H425" s="13" t="e">
        <f>Data_Geotech[[#This Row],[TCR (m)]]/Data_Geotech[[#This Row],[Run (m)]]*100</f>
        <v>#DIV/0!</v>
      </c>
      <c r="I425" s="5"/>
      <c r="J425" s="5"/>
      <c r="K425" s="5"/>
      <c r="L425" s="13" t="e">
        <f>Data_Geotech[[#This Row],[RQD (m)]]/Data_Geotech[[#This Row],[Run Reel (m)]]*100</f>
        <v>#DIV/0!</v>
      </c>
      <c r="P425" s="115"/>
      <c r="Q425" s="5"/>
      <c r="R425" s="5"/>
      <c r="S425" s="5"/>
      <c r="T425" s="5"/>
      <c r="U425" s="5"/>
      <c r="V425" s="6"/>
      <c r="W425" s="92">
        <f>SUMIFS(Discontinuities!$D$4:$D$9664,Discontinuities!$A$4:$A$9664,A425,Discontinuities!$C$4:$C$9664,"&gt;="&amp;C425,Discontinuities!$C$4:$C$9664,"&lt;"&amp;D425)
-SUMIFS(Discontinuities!$D$4:$D$9664,Discontinuities!$A$4:$A$9664,A425,Discontinuities!$C$4:$C$9664,"&gt;="&amp;C425,Discontinuities!$C$4:$C$9664,"&lt;"&amp;D425,Discontinuities!$E$4:$E$9664,"=BC")
-SUMIFS(Discontinuities!$D$4:$D$9664,Discontinuities!$A$4:$A$9664,A425,Discontinuities!$C$4:$C$9664,"&gt;="&amp;C425,Discontinuities!$C$4:$C$9664,"&lt;"&amp;D425,Discontinuities!$E$4:$E$9664,"=LC")
-SUMIFS(Discontinuities!$D$4:$D$9664,Discontinuities!$A$4:$A$9664,A425,Discontinuities!$C$4:$C$9664,"&gt;="&amp;C425,Discontinuities!$C$4:$C$9664,"&lt;"&amp;D425,Discontinuities!$E$4:$E$9664,"=FLT")</f>
        <v>0</v>
      </c>
      <c r="AA425" s="132"/>
      <c r="AB425" s="159">
        <f>IFERROR(ROUND((Data_Geotech[[#This Row],[Fault (m)]]+Data_Geotech[[#This Row],[Broken Core (m)]]+Data_Geotech[[#This Row],[Lost Core (m)]])*30,0),0)</f>
        <v>0</v>
      </c>
      <c r="AC425" s="135">
        <f>IF(Data_Geotech[[#This Row],[Added fractures 
(BC, FLT, LC)]]+Data_Geotech[[#This Row],[Fracture per interval]]=0,99,1/((Data_Geotech[[#This Row],[Fracture per interval]]+Data_Geotech[[#This Row],[Added fractures 
(BC, FLT, LC)]])/Data_Geotech[[#This Row],[Run (m)]]))</f>
        <v>99</v>
      </c>
      <c r="AD425" s="160" t="str" cm="1">
        <f t="array" ref="AD425">IFERROR(_xlfn.XLOOKUP(1,(A425=PLT!$A$4:$A$8886)*(Geotech!C425&lt;=PLT!$F$4:$F$8886)*(Geotech!D425&gt;=PLT!$F$4:$F$8886)*("Valid"=PLT!$P$4:$P$8886),PLT!$V$4:$V$8886),"")</f>
        <v/>
      </c>
      <c r="AE425" s="161" t="str" cm="1">
        <f t="array" ref="AE425">IFERROR(_xlfn.XLOOKUP(1,(A425=PLT!$A$4:$A$8886)*(Geotech!C425&lt;=PLT!$F$4:$F$8886)*(Geotech!D425&gt;=PLT!$F$4:$F$8886)*(PLT!$V$4:$V$8886&lt;&gt;AD425)*("Valid"=PLT!$P$4:$P$7190),PLT!$V$4:$V$8886),"")</f>
        <v/>
      </c>
      <c r="AF425" s="161" t="str" cm="1">
        <f t="array" ref="AF425">IFERROR(_xlfn.XLOOKUP(1,(A425=PLT!$A$4:$A$8886)*(Geotech!C425&lt;=PLT!$F$4:$F$8886)*(Geotech!D425&gt;=PLT!$F$4:$F$8886)*(PLT!$V$4:$V$8886&lt;&gt;AD425)*(PLT!$V$4:$V$8886&lt;&gt;AE425)*("Valid"=PLT!$P$4:$P$7190),PLT!$V$4:$V$8886),"")</f>
        <v/>
      </c>
      <c r="AG425" s="162" t="str">
        <f>IFERROR(IF(AVERAGE(AD425:AF425)&gt;References!$BO$23,References!$BP$23,
IF(AVERAGE(AD425:AF425)&gt;References!$BO$22,References!$BP$22,
IF(AVERAGE(AD425:AF425)&gt;References!$BO$21,References!$BP$21,
IF(AVERAGE(AD425:AF425)&gt;References!$BO$20,References!$BP$20,
IF(AVERAGE(AD425:AF425)&gt;References!$BO$19,References!$BP$19,
IF(AVERAGE(AD425:AF425)&gt;References!$BO$18,References!$BP$18,
0)))))),"")</f>
        <v/>
      </c>
      <c r="AH425" s="163" t="e">
        <f>VLOOKUP(Data_Geotech[[#This Row],[Field Intact Rock Strength]],Table_RMR76_Strength[],2,FALSE)</f>
        <v>#N/A</v>
      </c>
      <c r="AI425" s="163" t="e">
        <f>IF(Data_Geotech[[#This Row],[RQD (%)]]&lt;=25,3,IF(Data_Geotech[[#This Row],[RQD (%)]]&lt;=50,8,IF(Data_Geotech[[#This Row],[RQD (%)]]&lt;=75,13,IF(Data_Geotech[[#This Row],[RQD (%)]]&lt;=90,17,20))))</f>
        <v>#DIV/0!</v>
      </c>
      <c r="AJ425" s="136">
        <f>IF(Data_Geotech[[#This Row],[Joint spacing (m)]]&lt;=0.05,5,IF(Data_Geotech[[#This Row],[Joint spacing (m)]]&lt;=0.3,10,IF(Data_Geotech[[#This Row],[Joint spacing (m)]]&lt;=1,20,IF(Data_Geotech[[#This Row],[Joint spacing (m)]]&lt;=3,25,30))))</f>
        <v>30</v>
      </c>
      <c r="AK42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5" s="6"/>
      <c r="AM425" s="137" t="str">
        <f>IF(Data_Geotech[[#This Row],[FIRS Code]]="R",IFERROR(SUM(Data_Geotech[[#This Row],[RMR76 - Strength rating]:[RMR76 - Ground water rating]]),""),"")</f>
        <v/>
      </c>
      <c r="AN425" s="164" t="str">
        <f>IF(Data_Geotech[[#This Row],[FIRS Code]]="R",(2*Data_Geotech[[#This Row],[RMR76 - Joint condition rating]])+(IF(Data_Geotech[[#This Row],[RQD (%)]]&gt;80,80/2,Data_Geotech[[#This Row],[RQD (%)]]/2)),"")</f>
        <v/>
      </c>
      <c r="AO425" s="136" t="e">
        <f>LEFT(Data_Geotech[[#This Row],[Joint Set Rating]],FIND("-",Data_Geotech[[#This Row],[Joint Set Rating]],1)-2)</f>
        <v>#VALUE!</v>
      </c>
      <c r="AP42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5" s="143">
        <f t="shared" si="9"/>
        <v>1</v>
      </c>
      <c r="AR425" s="165" t="str">
        <f>IF(Data_Geotech[[#This Row],[FIRS Code]]="R",IFERROR((IF(Data_Geotech[[#This Row],[RQD (%)]]&lt;10,10,Data_Geotech[[#This Row],[RQD (%)]])/Data_Geotech[[#This Row],[Jn rating]])*Data_Geotech[[#This Row],[Jr/Ja]],""),"")</f>
        <v/>
      </c>
      <c r="AS425" s="138" t="str">
        <f>IF(Data_Geotech[[#This Row],[FIRS Code]]="R",IFERROR((IF(Data_Geotech[[#This Row],[RQD (%)]]&lt;10,10,Data_Geotech[[#This Row],[RQD (%)]])/Data_Geotech[[#This Row],[Jn rating]])*Data_Geotech[[#This Row],[Jr/Ja]]*Data_Geotech[[#This Row],[Jw/SRF]],""),"")</f>
        <v/>
      </c>
      <c r="AT425" s="12"/>
      <c r="AU425" s="13" t="e">
        <f>100-Data_Geotech[[#This Row],[RQD (%)]]</f>
        <v>#DIV/0!</v>
      </c>
      <c r="AV425" s="13" t="e">
        <f>100-Data_Geotech[[#This Row],[TCR (%)]]</f>
        <v>#DIV/0!</v>
      </c>
      <c r="AW425" s="62" t="e">
        <f>(Data_Geotech[[#This Row],[Fracture per interval]]+Data_Geotech[[#This Row],[Added fractures 
(BC, FLT, LC)]])/Data_Geotech[[#This Row],[TCR (m)]]</f>
        <v>#DIV/0!</v>
      </c>
      <c r="AX425" s="62" t="str">
        <f>MID(Data_Geotech[[#This Row],[Field Intact Rock Strength]],2,1)</f>
        <v/>
      </c>
      <c r="AY425" s="63" t="e">
        <f>7-MID(Data_Geotech[[#This Row],[Field Intact Rock Strength]],2,1)</f>
        <v>#VALUE!</v>
      </c>
      <c r="AZ425" s="63" t="e">
        <f>VLOOKUP(Data_Geotech[[#This Row],[Field Intact Rock Strength]],Table_FieldStrength[],2,FALSE)</f>
        <v>#N/A</v>
      </c>
      <c r="BA425" s="63" t="e">
        <f>VLOOKUP(Data_Geotech[[#This Row],[Field Intact Rock Strength]],Table_FieldStrength[],3,FALSE)</f>
        <v>#N/A</v>
      </c>
      <c r="BB425" s="63" t="e">
        <f>VLOOKUP(Data_Geotech[[#This Row],[Field Intact Rock Strength]],Table_FieldStrength[],4,FALSE)</f>
        <v>#N/A</v>
      </c>
      <c r="BC425" s="63" t="e">
        <f>100-Data_Geotech[[#This Row],[RMR76]]</f>
        <v>#VALUE!</v>
      </c>
      <c r="BD425" s="63" t="e">
        <f>LEFT(Data_Geotech[[#This Row],[Weathering/Alteration]],FIND("-",Data_Geotech[[#This Row],[Weathering/Alteration]])-2)</f>
        <v>#VALUE!</v>
      </c>
    </row>
    <row r="426" spans="1:56" hidden="1" x14ac:dyDescent="0.25">
      <c r="A426" s="14"/>
      <c r="B426" s="166" t="e">
        <f>VLOOKUP(Data_Geotech[[#This Row],[Hole ID]],Data_Log[],2,FALSE)</f>
        <v>#N/A</v>
      </c>
      <c r="C426" s="5"/>
      <c r="D426" s="5"/>
      <c r="E426" s="5">
        <f>(Data_Geotech[[#This Row],[To (m)]]-Data_Geotech[[#This Row],[From (m)]])/2+Data_Geotech[[#This Row],[From (m)]]</f>
        <v>0</v>
      </c>
      <c r="F426" s="13">
        <f>Data_Geotech[[#This Row],[To (m)]]-Data_Geotech[[#This Row],[From (m)]]</f>
        <v>0</v>
      </c>
      <c r="G426" s="5"/>
      <c r="H426" s="13" t="e">
        <f>Data_Geotech[[#This Row],[TCR (m)]]/Data_Geotech[[#This Row],[Run (m)]]*100</f>
        <v>#DIV/0!</v>
      </c>
      <c r="I426" s="5"/>
      <c r="J426" s="5"/>
      <c r="K426" s="5"/>
      <c r="L426" s="13" t="e">
        <f>Data_Geotech[[#This Row],[RQD (m)]]/Data_Geotech[[#This Row],[Run Reel (m)]]*100</f>
        <v>#DIV/0!</v>
      </c>
      <c r="P426" s="115"/>
      <c r="Q426" s="5"/>
      <c r="R426" s="5"/>
      <c r="S426" s="5"/>
      <c r="T426" s="5"/>
      <c r="U426" s="5"/>
      <c r="V426" s="6"/>
      <c r="W426" s="92">
        <f>SUMIFS(Discontinuities!$D$4:$D$9664,Discontinuities!$A$4:$A$9664,A426,Discontinuities!$C$4:$C$9664,"&gt;="&amp;C426,Discontinuities!$C$4:$C$9664,"&lt;"&amp;D426)
-SUMIFS(Discontinuities!$D$4:$D$9664,Discontinuities!$A$4:$A$9664,A426,Discontinuities!$C$4:$C$9664,"&gt;="&amp;C426,Discontinuities!$C$4:$C$9664,"&lt;"&amp;D426,Discontinuities!$E$4:$E$9664,"=BC")
-SUMIFS(Discontinuities!$D$4:$D$9664,Discontinuities!$A$4:$A$9664,A426,Discontinuities!$C$4:$C$9664,"&gt;="&amp;C426,Discontinuities!$C$4:$C$9664,"&lt;"&amp;D426,Discontinuities!$E$4:$E$9664,"=LC")
-SUMIFS(Discontinuities!$D$4:$D$9664,Discontinuities!$A$4:$A$9664,A426,Discontinuities!$C$4:$C$9664,"&gt;="&amp;C426,Discontinuities!$C$4:$C$9664,"&lt;"&amp;D426,Discontinuities!$E$4:$E$9664,"=FLT")</f>
        <v>0</v>
      </c>
      <c r="AA426" s="132"/>
      <c r="AB426" s="159">
        <f>IFERROR(ROUND((Data_Geotech[[#This Row],[Fault (m)]]+Data_Geotech[[#This Row],[Broken Core (m)]]+Data_Geotech[[#This Row],[Lost Core (m)]])*30,0),0)</f>
        <v>0</v>
      </c>
      <c r="AC426" s="135">
        <f>IF(Data_Geotech[[#This Row],[Added fractures 
(BC, FLT, LC)]]+Data_Geotech[[#This Row],[Fracture per interval]]=0,99,1/((Data_Geotech[[#This Row],[Fracture per interval]]+Data_Geotech[[#This Row],[Added fractures 
(BC, FLT, LC)]])/Data_Geotech[[#This Row],[Run (m)]]))</f>
        <v>99</v>
      </c>
      <c r="AD426" s="160" t="str" cm="1">
        <f t="array" ref="AD426">IFERROR(_xlfn.XLOOKUP(1,(A426=PLT!$A$4:$A$8886)*(Geotech!C426&lt;=PLT!$F$4:$F$8886)*(Geotech!D426&gt;=PLT!$F$4:$F$8886)*("Valid"=PLT!$P$4:$P$8886),PLT!$V$4:$V$8886),"")</f>
        <v/>
      </c>
      <c r="AE426" s="161" t="str" cm="1">
        <f t="array" ref="AE426">IFERROR(_xlfn.XLOOKUP(1,(A426=PLT!$A$4:$A$8886)*(Geotech!C426&lt;=PLT!$F$4:$F$8886)*(Geotech!D426&gt;=PLT!$F$4:$F$8886)*(PLT!$V$4:$V$8886&lt;&gt;AD426)*("Valid"=PLT!$P$4:$P$7190),PLT!$V$4:$V$8886),"")</f>
        <v/>
      </c>
      <c r="AF426" s="161" t="str" cm="1">
        <f t="array" ref="AF426">IFERROR(_xlfn.XLOOKUP(1,(A426=PLT!$A$4:$A$8886)*(Geotech!C426&lt;=PLT!$F$4:$F$8886)*(Geotech!D426&gt;=PLT!$F$4:$F$8886)*(PLT!$V$4:$V$8886&lt;&gt;AD426)*(PLT!$V$4:$V$8886&lt;&gt;AE426)*("Valid"=PLT!$P$4:$P$7190),PLT!$V$4:$V$8886),"")</f>
        <v/>
      </c>
      <c r="AG426" s="162" t="str">
        <f>IFERROR(IF(AVERAGE(AD426:AF426)&gt;References!$BO$23,References!$BP$23,
IF(AVERAGE(AD426:AF426)&gt;References!$BO$22,References!$BP$22,
IF(AVERAGE(AD426:AF426)&gt;References!$BO$21,References!$BP$21,
IF(AVERAGE(AD426:AF426)&gt;References!$BO$20,References!$BP$20,
IF(AVERAGE(AD426:AF426)&gt;References!$BO$19,References!$BP$19,
IF(AVERAGE(AD426:AF426)&gt;References!$BO$18,References!$BP$18,
0)))))),"")</f>
        <v/>
      </c>
      <c r="AH426" s="163" t="e">
        <f>VLOOKUP(Data_Geotech[[#This Row],[Field Intact Rock Strength]],Table_RMR76_Strength[],2,FALSE)</f>
        <v>#N/A</v>
      </c>
      <c r="AI426" s="163" t="e">
        <f>IF(Data_Geotech[[#This Row],[RQD (%)]]&lt;=25,3,IF(Data_Geotech[[#This Row],[RQD (%)]]&lt;=50,8,IF(Data_Geotech[[#This Row],[RQD (%)]]&lt;=75,13,IF(Data_Geotech[[#This Row],[RQD (%)]]&lt;=90,17,20))))</f>
        <v>#DIV/0!</v>
      </c>
      <c r="AJ426" s="136">
        <f>IF(Data_Geotech[[#This Row],[Joint spacing (m)]]&lt;=0.05,5,IF(Data_Geotech[[#This Row],[Joint spacing (m)]]&lt;=0.3,10,IF(Data_Geotech[[#This Row],[Joint spacing (m)]]&lt;=1,20,IF(Data_Geotech[[#This Row],[Joint spacing (m)]]&lt;=3,25,30))))</f>
        <v>30</v>
      </c>
      <c r="AK42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6" s="6"/>
      <c r="AM426" s="137" t="str">
        <f>IF(Data_Geotech[[#This Row],[FIRS Code]]="R",IFERROR(SUM(Data_Geotech[[#This Row],[RMR76 - Strength rating]:[RMR76 - Ground water rating]]),""),"")</f>
        <v/>
      </c>
      <c r="AN426" s="164" t="str">
        <f>IF(Data_Geotech[[#This Row],[FIRS Code]]="R",(2*Data_Geotech[[#This Row],[RMR76 - Joint condition rating]])+(IF(Data_Geotech[[#This Row],[RQD (%)]]&gt;80,80/2,Data_Geotech[[#This Row],[RQD (%)]]/2)),"")</f>
        <v/>
      </c>
      <c r="AO426" s="136" t="e">
        <f>LEFT(Data_Geotech[[#This Row],[Joint Set Rating]],FIND("-",Data_Geotech[[#This Row],[Joint Set Rating]],1)-2)</f>
        <v>#VALUE!</v>
      </c>
      <c r="AP42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6" s="143">
        <f t="shared" si="9"/>
        <v>1</v>
      </c>
      <c r="AR426" s="165" t="str">
        <f>IF(Data_Geotech[[#This Row],[FIRS Code]]="R",IFERROR((IF(Data_Geotech[[#This Row],[RQD (%)]]&lt;10,10,Data_Geotech[[#This Row],[RQD (%)]])/Data_Geotech[[#This Row],[Jn rating]])*Data_Geotech[[#This Row],[Jr/Ja]],""),"")</f>
        <v/>
      </c>
      <c r="AS426" s="138" t="str">
        <f>IF(Data_Geotech[[#This Row],[FIRS Code]]="R",IFERROR((IF(Data_Geotech[[#This Row],[RQD (%)]]&lt;10,10,Data_Geotech[[#This Row],[RQD (%)]])/Data_Geotech[[#This Row],[Jn rating]])*Data_Geotech[[#This Row],[Jr/Ja]]*Data_Geotech[[#This Row],[Jw/SRF]],""),"")</f>
        <v/>
      </c>
      <c r="AT426" s="12"/>
      <c r="AU426" s="13" t="e">
        <f>100-Data_Geotech[[#This Row],[RQD (%)]]</f>
        <v>#DIV/0!</v>
      </c>
      <c r="AV426" s="13" t="e">
        <f>100-Data_Geotech[[#This Row],[TCR (%)]]</f>
        <v>#DIV/0!</v>
      </c>
      <c r="AW426" s="62" t="e">
        <f>(Data_Geotech[[#This Row],[Fracture per interval]]+Data_Geotech[[#This Row],[Added fractures 
(BC, FLT, LC)]])/Data_Geotech[[#This Row],[TCR (m)]]</f>
        <v>#DIV/0!</v>
      </c>
      <c r="AX426" s="62" t="str">
        <f>MID(Data_Geotech[[#This Row],[Field Intact Rock Strength]],2,1)</f>
        <v/>
      </c>
      <c r="AY426" s="63" t="e">
        <f>7-MID(Data_Geotech[[#This Row],[Field Intact Rock Strength]],2,1)</f>
        <v>#VALUE!</v>
      </c>
      <c r="AZ426" s="63" t="e">
        <f>VLOOKUP(Data_Geotech[[#This Row],[Field Intact Rock Strength]],Table_FieldStrength[],2,FALSE)</f>
        <v>#N/A</v>
      </c>
      <c r="BA426" s="63" t="e">
        <f>VLOOKUP(Data_Geotech[[#This Row],[Field Intact Rock Strength]],Table_FieldStrength[],3,FALSE)</f>
        <v>#N/A</v>
      </c>
      <c r="BB426" s="63" t="e">
        <f>VLOOKUP(Data_Geotech[[#This Row],[Field Intact Rock Strength]],Table_FieldStrength[],4,FALSE)</f>
        <v>#N/A</v>
      </c>
      <c r="BC426" s="63" t="e">
        <f>100-Data_Geotech[[#This Row],[RMR76]]</f>
        <v>#VALUE!</v>
      </c>
      <c r="BD426" s="63" t="e">
        <f>LEFT(Data_Geotech[[#This Row],[Weathering/Alteration]],FIND("-",Data_Geotech[[#This Row],[Weathering/Alteration]])-2)</f>
        <v>#VALUE!</v>
      </c>
    </row>
    <row r="427" spans="1:56" hidden="1" x14ac:dyDescent="0.25">
      <c r="A427" s="14"/>
      <c r="B427" s="166" t="e">
        <f>VLOOKUP(Data_Geotech[[#This Row],[Hole ID]],Data_Log[],2,FALSE)</f>
        <v>#N/A</v>
      </c>
      <c r="C427" s="5"/>
      <c r="D427" s="5"/>
      <c r="E427" s="5">
        <f>(Data_Geotech[[#This Row],[To (m)]]-Data_Geotech[[#This Row],[From (m)]])/2+Data_Geotech[[#This Row],[From (m)]]</f>
        <v>0</v>
      </c>
      <c r="F427" s="13">
        <f>Data_Geotech[[#This Row],[To (m)]]-Data_Geotech[[#This Row],[From (m)]]</f>
        <v>0</v>
      </c>
      <c r="G427" s="5"/>
      <c r="H427" s="13" t="e">
        <f>Data_Geotech[[#This Row],[TCR (m)]]/Data_Geotech[[#This Row],[Run (m)]]*100</f>
        <v>#DIV/0!</v>
      </c>
      <c r="I427" s="5"/>
      <c r="J427" s="5"/>
      <c r="K427" s="5"/>
      <c r="L427" s="13" t="e">
        <f>Data_Geotech[[#This Row],[RQD (m)]]/Data_Geotech[[#This Row],[Run Reel (m)]]*100</f>
        <v>#DIV/0!</v>
      </c>
      <c r="P427" s="115"/>
      <c r="Q427" s="5"/>
      <c r="R427" s="5"/>
      <c r="S427" s="5"/>
      <c r="T427" s="5"/>
      <c r="U427" s="5"/>
      <c r="V427" s="6"/>
      <c r="W427" s="92">
        <f>SUMIFS(Discontinuities!$D$4:$D$9664,Discontinuities!$A$4:$A$9664,A427,Discontinuities!$C$4:$C$9664,"&gt;="&amp;C427,Discontinuities!$C$4:$C$9664,"&lt;"&amp;D427)
-SUMIFS(Discontinuities!$D$4:$D$9664,Discontinuities!$A$4:$A$9664,A427,Discontinuities!$C$4:$C$9664,"&gt;="&amp;C427,Discontinuities!$C$4:$C$9664,"&lt;"&amp;D427,Discontinuities!$E$4:$E$9664,"=BC")
-SUMIFS(Discontinuities!$D$4:$D$9664,Discontinuities!$A$4:$A$9664,A427,Discontinuities!$C$4:$C$9664,"&gt;="&amp;C427,Discontinuities!$C$4:$C$9664,"&lt;"&amp;D427,Discontinuities!$E$4:$E$9664,"=LC")
-SUMIFS(Discontinuities!$D$4:$D$9664,Discontinuities!$A$4:$A$9664,A427,Discontinuities!$C$4:$C$9664,"&gt;="&amp;C427,Discontinuities!$C$4:$C$9664,"&lt;"&amp;D427,Discontinuities!$E$4:$E$9664,"=FLT")</f>
        <v>0</v>
      </c>
      <c r="AA427" s="132"/>
      <c r="AB427" s="133">
        <f>IFERROR(ROUND((Data_Geotech[[#This Row],[Fault (m)]]+Data_Geotech[[#This Row],[Broken Core (m)]]+Data_Geotech[[#This Row],[Lost Core (m)]])*30,0),0)</f>
        <v>0</v>
      </c>
      <c r="AC427" s="134">
        <f>IF(Data_Geotech[[#This Row],[Added fractures 
(BC, FLT, LC)]]+Data_Geotech[[#This Row],[Fracture per interval]]=0,99,1/((Data_Geotech[[#This Row],[Fracture per interval]]+Data_Geotech[[#This Row],[Added fractures 
(BC, FLT, LC)]])/Data_Geotech[[#This Row],[Run (m)]]))</f>
        <v>99</v>
      </c>
      <c r="AD427" s="160" t="str" cm="1">
        <f t="array" ref="AD427">IFERROR(_xlfn.XLOOKUP(1,(A427=PLT!$A$4:$A$8886)*(Geotech!C427&lt;=PLT!$F$4:$F$8886)*(Geotech!D427&gt;=PLT!$F$4:$F$8886)*("Valid"=PLT!$P$4:$P$8886),PLT!$V$4:$V$8886),"")</f>
        <v/>
      </c>
      <c r="AE427" s="161" t="str" cm="1">
        <f t="array" ref="AE427">IFERROR(_xlfn.XLOOKUP(1,(A427=PLT!$A$4:$A$8886)*(Geotech!C427&lt;=PLT!$F$4:$F$8886)*(Geotech!D427&gt;=PLT!$F$4:$F$8886)*(PLT!$V$4:$V$8886&lt;&gt;AD427)*("Valid"=PLT!$P$4:$P$7190),PLT!$V$4:$V$8886),"")</f>
        <v/>
      </c>
      <c r="AF427" s="161" t="str" cm="1">
        <f t="array" ref="AF427">IFERROR(_xlfn.XLOOKUP(1,(A427=PLT!$A$4:$A$8886)*(Geotech!C427&lt;=PLT!$F$4:$F$8886)*(Geotech!D427&gt;=PLT!$F$4:$F$8886)*(PLT!$V$4:$V$8886&lt;&gt;AD427)*(PLT!$V$4:$V$8886&lt;&gt;AE427)*("Valid"=PLT!$P$4:$P$7190),PLT!$V$4:$V$8886),"")</f>
        <v/>
      </c>
      <c r="AG427" s="162" t="str">
        <f>IFERROR(IF(AVERAGE(AD427:AF427)&gt;References!$BO$23,References!$BP$23,
IF(AVERAGE(AD427:AF427)&gt;References!$BO$22,References!$BP$22,
IF(AVERAGE(AD427:AF427)&gt;References!$BO$21,References!$BP$21,
IF(AVERAGE(AD427:AF427)&gt;References!$BO$20,References!$BP$20,
IF(AVERAGE(AD427:AF427)&gt;References!$BO$19,References!$BP$19,
IF(AVERAGE(AD427:AF427)&gt;References!$BO$18,References!$BP$18,
0)))))),"")</f>
        <v/>
      </c>
      <c r="AH427" s="136" t="e">
        <f>VLOOKUP(Data_Geotech[[#This Row],[Field Intact Rock Strength]],Table_RMR76_Strength[],2,FALSE)</f>
        <v>#N/A</v>
      </c>
      <c r="AI427" s="136" t="e">
        <f>IF(Data_Geotech[[#This Row],[RQD (%)]]&lt;=25,3,IF(Data_Geotech[[#This Row],[RQD (%)]]&lt;=50,8,IF(Data_Geotech[[#This Row],[RQD (%)]]&lt;=75,13,IF(Data_Geotech[[#This Row],[RQD (%)]]&lt;=90,17,20))))</f>
        <v>#DIV/0!</v>
      </c>
      <c r="AJ427" s="136">
        <f>IF(Data_Geotech[[#This Row],[Joint spacing (m)]]&lt;=0.05,5,IF(Data_Geotech[[#This Row],[Joint spacing (m)]]&lt;=0.3,10,IF(Data_Geotech[[#This Row],[Joint spacing (m)]]&lt;=1,20,IF(Data_Geotech[[#This Row],[Joint spacing (m)]]&lt;=3,25,30))))</f>
        <v>30</v>
      </c>
      <c r="AK42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7" s="6"/>
      <c r="AM427" s="137" t="str">
        <f>IF(Data_Geotech[[#This Row],[FIRS Code]]="R",IFERROR(SUM(Data_Geotech[[#This Row],[RMR76 - Strength rating]:[RMR76 - Ground water rating]]),""),"")</f>
        <v/>
      </c>
      <c r="AN427" s="137" t="str">
        <f>IF(Data_Geotech[[#This Row],[FIRS Code]]="R",(2*Data_Geotech[[#This Row],[RMR76 - Joint condition rating]])+(IF(Data_Geotech[[#This Row],[RQD (%)]]&gt;80,80/2,Data_Geotech[[#This Row],[RQD (%)]]/2)),"")</f>
        <v/>
      </c>
      <c r="AO427" s="136" t="e">
        <f>LEFT(Data_Geotech[[#This Row],[Joint Set Rating]],FIND("-",Data_Geotech[[#This Row],[Joint Set Rating]],1)-2)</f>
        <v>#VALUE!</v>
      </c>
      <c r="AP42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7" s="143">
        <f t="shared" ref="AQ427:AQ458" si="10">1/1</f>
        <v>1</v>
      </c>
      <c r="AR427" s="138" t="str">
        <f>IF(Data_Geotech[[#This Row],[FIRS Code]]="R",IFERROR((IF(Data_Geotech[[#This Row],[RQD (%)]]&lt;10,10,Data_Geotech[[#This Row],[RQD (%)]])/Data_Geotech[[#This Row],[Jn rating]])*Data_Geotech[[#This Row],[Jr/Ja]],""),"")</f>
        <v/>
      </c>
      <c r="AS427" s="138" t="str">
        <f>IF(Data_Geotech[[#This Row],[FIRS Code]]="R",IFERROR((IF(Data_Geotech[[#This Row],[RQD (%)]]&lt;10,10,Data_Geotech[[#This Row],[RQD (%)]])/Data_Geotech[[#This Row],[Jn rating]])*Data_Geotech[[#This Row],[Jr/Ja]]*Data_Geotech[[#This Row],[Jw/SRF]],""),"")</f>
        <v/>
      </c>
      <c r="AT427" s="12"/>
      <c r="AU427" s="13" t="e">
        <f>100-Data_Geotech[[#This Row],[RQD (%)]]</f>
        <v>#DIV/0!</v>
      </c>
      <c r="AV427" s="13" t="e">
        <f>100-Data_Geotech[[#This Row],[TCR (%)]]</f>
        <v>#DIV/0!</v>
      </c>
      <c r="AW427" s="62" t="e">
        <f>(Data_Geotech[[#This Row],[Fracture per interval]]+Data_Geotech[[#This Row],[Added fractures 
(BC, FLT, LC)]])/Data_Geotech[[#This Row],[TCR (m)]]</f>
        <v>#DIV/0!</v>
      </c>
      <c r="AX427" s="62" t="str">
        <f>MID(Data_Geotech[[#This Row],[Field Intact Rock Strength]],2,1)</f>
        <v/>
      </c>
      <c r="AY427" s="63" t="e">
        <f>7-MID(Data_Geotech[[#This Row],[Field Intact Rock Strength]],2,1)</f>
        <v>#VALUE!</v>
      </c>
      <c r="AZ427" s="63" t="e">
        <f>VLOOKUP(Data_Geotech[[#This Row],[Field Intact Rock Strength]],Table_FieldStrength[],2,FALSE)</f>
        <v>#N/A</v>
      </c>
      <c r="BA427" s="63" t="e">
        <f>VLOOKUP(Data_Geotech[[#This Row],[Field Intact Rock Strength]],Table_FieldStrength[],3,FALSE)</f>
        <v>#N/A</v>
      </c>
      <c r="BB427" s="63" t="e">
        <f>VLOOKUP(Data_Geotech[[#This Row],[Field Intact Rock Strength]],Table_FieldStrength[],4,FALSE)</f>
        <v>#N/A</v>
      </c>
      <c r="BC427" s="63" t="e">
        <f>100-Data_Geotech[[#This Row],[RMR76]]</f>
        <v>#VALUE!</v>
      </c>
      <c r="BD427" s="63" t="e">
        <f>LEFT(Data_Geotech[[#This Row],[Weathering/Alteration]],FIND("-",Data_Geotech[[#This Row],[Weathering/Alteration]])-2)</f>
        <v>#VALUE!</v>
      </c>
    </row>
    <row r="428" spans="1:56" hidden="1" x14ac:dyDescent="0.25">
      <c r="A428" s="14"/>
      <c r="B428" s="166" t="e">
        <f>VLOOKUP(Data_Geotech[[#This Row],[Hole ID]],Data_Log[],2,FALSE)</f>
        <v>#N/A</v>
      </c>
      <c r="C428" s="5"/>
      <c r="D428" s="5"/>
      <c r="E428" s="5">
        <f>(Data_Geotech[[#This Row],[To (m)]]-Data_Geotech[[#This Row],[From (m)]])/2+Data_Geotech[[#This Row],[From (m)]]</f>
        <v>0</v>
      </c>
      <c r="F428" s="13">
        <f>Data_Geotech[[#This Row],[To (m)]]-Data_Geotech[[#This Row],[From (m)]]</f>
        <v>0</v>
      </c>
      <c r="G428" s="5"/>
      <c r="H428" s="13" t="e">
        <f>Data_Geotech[[#This Row],[TCR (m)]]/Data_Geotech[[#This Row],[Run (m)]]*100</f>
        <v>#DIV/0!</v>
      </c>
      <c r="I428" s="5"/>
      <c r="J428" s="5"/>
      <c r="K428" s="5"/>
      <c r="L428" s="13" t="e">
        <f>Data_Geotech[[#This Row],[RQD (m)]]/Data_Geotech[[#This Row],[Run Reel (m)]]*100</f>
        <v>#DIV/0!</v>
      </c>
      <c r="P428" s="115"/>
      <c r="Q428" s="5"/>
      <c r="R428" s="5"/>
      <c r="S428" s="5"/>
      <c r="T428" s="5"/>
      <c r="U428" s="5"/>
      <c r="V428" s="6"/>
      <c r="W428" s="92">
        <f>SUMIFS(Discontinuities!$D$4:$D$9664,Discontinuities!$A$4:$A$9664,A428,Discontinuities!$C$4:$C$9664,"&gt;="&amp;C428,Discontinuities!$C$4:$C$9664,"&lt;"&amp;D428)
-SUMIFS(Discontinuities!$D$4:$D$9664,Discontinuities!$A$4:$A$9664,A428,Discontinuities!$C$4:$C$9664,"&gt;="&amp;C428,Discontinuities!$C$4:$C$9664,"&lt;"&amp;D428,Discontinuities!$E$4:$E$9664,"=BC")
-SUMIFS(Discontinuities!$D$4:$D$9664,Discontinuities!$A$4:$A$9664,A428,Discontinuities!$C$4:$C$9664,"&gt;="&amp;C428,Discontinuities!$C$4:$C$9664,"&lt;"&amp;D428,Discontinuities!$E$4:$E$9664,"=LC")
-SUMIFS(Discontinuities!$D$4:$D$9664,Discontinuities!$A$4:$A$9664,A428,Discontinuities!$C$4:$C$9664,"&gt;="&amp;C428,Discontinuities!$C$4:$C$9664,"&lt;"&amp;D428,Discontinuities!$E$4:$E$9664,"=FLT")</f>
        <v>0</v>
      </c>
      <c r="AA428" s="132"/>
      <c r="AB428" s="159">
        <f>IFERROR(ROUND((Data_Geotech[[#This Row],[Fault (m)]]+Data_Geotech[[#This Row],[Broken Core (m)]]+Data_Geotech[[#This Row],[Lost Core (m)]])*30,0),0)</f>
        <v>0</v>
      </c>
      <c r="AC428" s="135">
        <f>IF(Data_Geotech[[#This Row],[Added fractures 
(BC, FLT, LC)]]+Data_Geotech[[#This Row],[Fracture per interval]]=0,99,1/((Data_Geotech[[#This Row],[Fracture per interval]]+Data_Geotech[[#This Row],[Added fractures 
(BC, FLT, LC)]])/Data_Geotech[[#This Row],[Run (m)]]))</f>
        <v>99</v>
      </c>
      <c r="AD428" s="160" t="str" cm="1">
        <f t="array" ref="AD428">IFERROR(_xlfn.XLOOKUP(1,(A428=PLT!$A$4:$A$8886)*(Geotech!C428&lt;=PLT!$F$4:$F$8886)*(Geotech!D428&gt;=PLT!$F$4:$F$8886)*("Valid"=PLT!$P$4:$P$8886),PLT!$V$4:$V$8886),"")</f>
        <v/>
      </c>
      <c r="AE428" s="161" t="str" cm="1">
        <f t="array" ref="AE428">IFERROR(_xlfn.XLOOKUP(1,(A428=PLT!$A$4:$A$8886)*(Geotech!C428&lt;=PLT!$F$4:$F$8886)*(Geotech!D428&gt;=PLT!$F$4:$F$8886)*(PLT!$V$4:$V$8886&lt;&gt;AD428)*("Valid"=PLT!$P$4:$P$7190),PLT!$V$4:$V$8886),"")</f>
        <v/>
      </c>
      <c r="AF428" s="161" t="str" cm="1">
        <f t="array" ref="AF428">IFERROR(_xlfn.XLOOKUP(1,(A428=PLT!$A$4:$A$8886)*(Geotech!C428&lt;=PLT!$F$4:$F$8886)*(Geotech!D428&gt;=PLT!$F$4:$F$8886)*(PLT!$V$4:$V$8886&lt;&gt;AD428)*(PLT!$V$4:$V$8886&lt;&gt;AE428)*("Valid"=PLT!$P$4:$P$7190),PLT!$V$4:$V$8886),"")</f>
        <v/>
      </c>
      <c r="AG428" s="162" t="str">
        <f>IFERROR(IF(AVERAGE(AD428:AF428)&gt;References!$BO$23,References!$BP$23,
IF(AVERAGE(AD428:AF428)&gt;References!$BO$22,References!$BP$22,
IF(AVERAGE(AD428:AF428)&gt;References!$BO$21,References!$BP$21,
IF(AVERAGE(AD428:AF428)&gt;References!$BO$20,References!$BP$20,
IF(AVERAGE(AD428:AF428)&gt;References!$BO$19,References!$BP$19,
IF(AVERAGE(AD428:AF428)&gt;References!$BO$18,References!$BP$18,
0)))))),"")</f>
        <v/>
      </c>
      <c r="AH428" s="163" t="e">
        <f>VLOOKUP(Data_Geotech[[#This Row],[Field Intact Rock Strength]],Table_RMR76_Strength[],2,FALSE)</f>
        <v>#N/A</v>
      </c>
      <c r="AI428" s="163" t="e">
        <f>IF(Data_Geotech[[#This Row],[RQD (%)]]&lt;=25,3,IF(Data_Geotech[[#This Row],[RQD (%)]]&lt;=50,8,IF(Data_Geotech[[#This Row],[RQD (%)]]&lt;=75,13,IF(Data_Geotech[[#This Row],[RQD (%)]]&lt;=90,17,20))))</f>
        <v>#DIV/0!</v>
      </c>
      <c r="AJ428" s="136">
        <f>IF(Data_Geotech[[#This Row],[Joint spacing (m)]]&lt;=0.05,5,IF(Data_Geotech[[#This Row],[Joint spacing (m)]]&lt;=0.3,10,IF(Data_Geotech[[#This Row],[Joint spacing (m)]]&lt;=1,20,IF(Data_Geotech[[#This Row],[Joint spacing (m)]]&lt;=3,25,30))))</f>
        <v>30</v>
      </c>
      <c r="AK42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8" s="6"/>
      <c r="AM428" s="137" t="str">
        <f>IF(Data_Geotech[[#This Row],[FIRS Code]]="R",IFERROR(SUM(Data_Geotech[[#This Row],[RMR76 - Strength rating]:[RMR76 - Ground water rating]]),""),"")</f>
        <v/>
      </c>
      <c r="AN428" s="164" t="str">
        <f>IF(Data_Geotech[[#This Row],[FIRS Code]]="R",(2*Data_Geotech[[#This Row],[RMR76 - Joint condition rating]])+(IF(Data_Geotech[[#This Row],[RQD (%)]]&gt;80,80/2,Data_Geotech[[#This Row],[RQD (%)]]/2)),"")</f>
        <v/>
      </c>
      <c r="AO428" s="136" t="e">
        <f>LEFT(Data_Geotech[[#This Row],[Joint Set Rating]],FIND("-",Data_Geotech[[#This Row],[Joint Set Rating]],1)-2)</f>
        <v>#VALUE!</v>
      </c>
      <c r="AP42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8" s="143">
        <f t="shared" si="10"/>
        <v>1</v>
      </c>
      <c r="AR428" s="165" t="str">
        <f>IF(Data_Geotech[[#This Row],[FIRS Code]]="R",IFERROR((IF(Data_Geotech[[#This Row],[RQD (%)]]&lt;10,10,Data_Geotech[[#This Row],[RQD (%)]])/Data_Geotech[[#This Row],[Jn rating]])*Data_Geotech[[#This Row],[Jr/Ja]],""),"")</f>
        <v/>
      </c>
      <c r="AS428" s="138" t="str">
        <f>IF(Data_Geotech[[#This Row],[FIRS Code]]="R",IFERROR((IF(Data_Geotech[[#This Row],[RQD (%)]]&lt;10,10,Data_Geotech[[#This Row],[RQD (%)]])/Data_Geotech[[#This Row],[Jn rating]])*Data_Geotech[[#This Row],[Jr/Ja]]*Data_Geotech[[#This Row],[Jw/SRF]],""),"")</f>
        <v/>
      </c>
      <c r="AT428" s="12"/>
      <c r="AU428" s="13" t="e">
        <f>100-Data_Geotech[[#This Row],[RQD (%)]]</f>
        <v>#DIV/0!</v>
      </c>
      <c r="AV428" s="13" t="e">
        <f>100-Data_Geotech[[#This Row],[TCR (%)]]</f>
        <v>#DIV/0!</v>
      </c>
      <c r="AW428" s="62" t="e">
        <f>(Data_Geotech[[#This Row],[Fracture per interval]]+Data_Geotech[[#This Row],[Added fractures 
(BC, FLT, LC)]])/Data_Geotech[[#This Row],[TCR (m)]]</f>
        <v>#DIV/0!</v>
      </c>
      <c r="AX428" s="62" t="str">
        <f>MID(Data_Geotech[[#This Row],[Field Intact Rock Strength]],2,1)</f>
        <v/>
      </c>
      <c r="AY428" s="63" t="e">
        <f>7-MID(Data_Geotech[[#This Row],[Field Intact Rock Strength]],2,1)</f>
        <v>#VALUE!</v>
      </c>
      <c r="AZ428" s="63" t="e">
        <f>VLOOKUP(Data_Geotech[[#This Row],[Field Intact Rock Strength]],Table_FieldStrength[],2,FALSE)</f>
        <v>#N/A</v>
      </c>
      <c r="BA428" s="63" t="e">
        <f>VLOOKUP(Data_Geotech[[#This Row],[Field Intact Rock Strength]],Table_FieldStrength[],3,FALSE)</f>
        <v>#N/A</v>
      </c>
      <c r="BB428" s="63" t="e">
        <f>VLOOKUP(Data_Geotech[[#This Row],[Field Intact Rock Strength]],Table_FieldStrength[],4,FALSE)</f>
        <v>#N/A</v>
      </c>
      <c r="BC428" s="63" t="e">
        <f>100-Data_Geotech[[#This Row],[RMR76]]</f>
        <v>#VALUE!</v>
      </c>
      <c r="BD428" s="63" t="e">
        <f>LEFT(Data_Geotech[[#This Row],[Weathering/Alteration]],FIND("-",Data_Geotech[[#This Row],[Weathering/Alteration]])-2)</f>
        <v>#VALUE!</v>
      </c>
    </row>
    <row r="429" spans="1:56" hidden="1" x14ac:dyDescent="0.25">
      <c r="A429" s="14"/>
      <c r="B429" s="166" t="e">
        <f>VLOOKUP(Data_Geotech[[#This Row],[Hole ID]],Data_Log[],2,FALSE)</f>
        <v>#N/A</v>
      </c>
      <c r="C429" s="5"/>
      <c r="D429" s="5"/>
      <c r="E429" s="5">
        <f>(Data_Geotech[[#This Row],[To (m)]]-Data_Geotech[[#This Row],[From (m)]])/2+Data_Geotech[[#This Row],[From (m)]]</f>
        <v>0</v>
      </c>
      <c r="F429" s="13">
        <f>Data_Geotech[[#This Row],[To (m)]]-Data_Geotech[[#This Row],[From (m)]]</f>
        <v>0</v>
      </c>
      <c r="G429" s="5"/>
      <c r="H429" s="13" t="e">
        <f>Data_Geotech[[#This Row],[TCR (m)]]/Data_Geotech[[#This Row],[Run (m)]]*100</f>
        <v>#DIV/0!</v>
      </c>
      <c r="I429" s="5"/>
      <c r="J429" s="5"/>
      <c r="K429" s="5"/>
      <c r="L429" s="13" t="e">
        <f>Data_Geotech[[#This Row],[RQD (m)]]/Data_Geotech[[#This Row],[Run Reel (m)]]*100</f>
        <v>#DIV/0!</v>
      </c>
      <c r="P429" s="115"/>
      <c r="Q429" s="5"/>
      <c r="R429" s="5"/>
      <c r="S429" s="5"/>
      <c r="T429" s="5"/>
      <c r="U429" s="5"/>
      <c r="V429" s="6"/>
      <c r="W429" s="92">
        <f>SUMIFS(Discontinuities!$D$4:$D$9664,Discontinuities!$A$4:$A$9664,A429,Discontinuities!$C$4:$C$9664,"&gt;="&amp;C429,Discontinuities!$C$4:$C$9664,"&lt;"&amp;D429)
-SUMIFS(Discontinuities!$D$4:$D$9664,Discontinuities!$A$4:$A$9664,A429,Discontinuities!$C$4:$C$9664,"&gt;="&amp;C429,Discontinuities!$C$4:$C$9664,"&lt;"&amp;D429,Discontinuities!$E$4:$E$9664,"=BC")
-SUMIFS(Discontinuities!$D$4:$D$9664,Discontinuities!$A$4:$A$9664,A429,Discontinuities!$C$4:$C$9664,"&gt;="&amp;C429,Discontinuities!$C$4:$C$9664,"&lt;"&amp;D429,Discontinuities!$E$4:$E$9664,"=LC")
-SUMIFS(Discontinuities!$D$4:$D$9664,Discontinuities!$A$4:$A$9664,A429,Discontinuities!$C$4:$C$9664,"&gt;="&amp;C429,Discontinuities!$C$4:$C$9664,"&lt;"&amp;D429,Discontinuities!$E$4:$E$9664,"=FLT")</f>
        <v>0</v>
      </c>
      <c r="AA429" s="132"/>
      <c r="AB429" s="159">
        <f>IFERROR(ROUND((Data_Geotech[[#This Row],[Fault (m)]]+Data_Geotech[[#This Row],[Broken Core (m)]]+Data_Geotech[[#This Row],[Lost Core (m)]])*30,0),0)</f>
        <v>0</v>
      </c>
      <c r="AC429" s="135">
        <f>IF(Data_Geotech[[#This Row],[Added fractures 
(BC, FLT, LC)]]+Data_Geotech[[#This Row],[Fracture per interval]]=0,99,1/((Data_Geotech[[#This Row],[Fracture per interval]]+Data_Geotech[[#This Row],[Added fractures 
(BC, FLT, LC)]])/Data_Geotech[[#This Row],[Run (m)]]))</f>
        <v>99</v>
      </c>
      <c r="AD429" s="160" t="str" cm="1">
        <f t="array" ref="AD429">IFERROR(_xlfn.XLOOKUP(1,(A429=PLT!$A$4:$A$8886)*(Geotech!C429&lt;=PLT!$F$4:$F$8886)*(Geotech!D429&gt;=PLT!$F$4:$F$8886)*("Valid"=PLT!$P$4:$P$8886),PLT!$V$4:$V$8886),"")</f>
        <v/>
      </c>
      <c r="AE429" s="161" t="str" cm="1">
        <f t="array" ref="AE429">IFERROR(_xlfn.XLOOKUP(1,(A429=PLT!$A$4:$A$8886)*(Geotech!C429&lt;=PLT!$F$4:$F$8886)*(Geotech!D429&gt;=PLT!$F$4:$F$8886)*(PLT!$V$4:$V$8886&lt;&gt;AD429)*("Valid"=PLT!$P$4:$P$7190),PLT!$V$4:$V$8886),"")</f>
        <v/>
      </c>
      <c r="AF429" s="161" t="str" cm="1">
        <f t="array" ref="AF429">IFERROR(_xlfn.XLOOKUP(1,(A429=PLT!$A$4:$A$8886)*(Geotech!C429&lt;=PLT!$F$4:$F$8886)*(Geotech!D429&gt;=PLT!$F$4:$F$8886)*(PLT!$V$4:$V$8886&lt;&gt;AD429)*(PLT!$V$4:$V$8886&lt;&gt;AE429)*("Valid"=PLT!$P$4:$P$7190),PLT!$V$4:$V$8886),"")</f>
        <v/>
      </c>
      <c r="AG429" s="162" t="str">
        <f>IFERROR(IF(AVERAGE(AD429:AF429)&gt;References!$BO$23,References!$BP$23,
IF(AVERAGE(AD429:AF429)&gt;References!$BO$22,References!$BP$22,
IF(AVERAGE(AD429:AF429)&gt;References!$BO$21,References!$BP$21,
IF(AVERAGE(AD429:AF429)&gt;References!$BO$20,References!$BP$20,
IF(AVERAGE(AD429:AF429)&gt;References!$BO$19,References!$BP$19,
IF(AVERAGE(AD429:AF429)&gt;References!$BO$18,References!$BP$18,
0)))))),"")</f>
        <v/>
      </c>
      <c r="AH429" s="163" t="e">
        <f>VLOOKUP(Data_Geotech[[#This Row],[Field Intact Rock Strength]],Table_RMR76_Strength[],2,FALSE)</f>
        <v>#N/A</v>
      </c>
      <c r="AI429" s="163" t="e">
        <f>IF(Data_Geotech[[#This Row],[RQD (%)]]&lt;=25,3,IF(Data_Geotech[[#This Row],[RQD (%)]]&lt;=50,8,IF(Data_Geotech[[#This Row],[RQD (%)]]&lt;=75,13,IF(Data_Geotech[[#This Row],[RQD (%)]]&lt;=90,17,20))))</f>
        <v>#DIV/0!</v>
      </c>
      <c r="AJ429" s="136">
        <f>IF(Data_Geotech[[#This Row],[Joint spacing (m)]]&lt;=0.05,5,IF(Data_Geotech[[#This Row],[Joint spacing (m)]]&lt;=0.3,10,IF(Data_Geotech[[#This Row],[Joint spacing (m)]]&lt;=1,20,IF(Data_Geotech[[#This Row],[Joint spacing (m)]]&lt;=3,25,30))))</f>
        <v>30</v>
      </c>
      <c r="AK42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29" s="6"/>
      <c r="AM429" s="137" t="str">
        <f>IF(Data_Geotech[[#This Row],[FIRS Code]]="R",IFERROR(SUM(Data_Geotech[[#This Row],[RMR76 - Strength rating]:[RMR76 - Ground water rating]]),""),"")</f>
        <v/>
      </c>
      <c r="AN429" s="164" t="str">
        <f>IF(Data_Geotech[[#This Row],[FIRS Code]]="R",(2*Data_Geotech[[#This Row],[RMR76 - Joint condition rating]])+(IF(Data_Geotech[[#This Row],[RQD (%)]]&gt;80,80/2,Data_Geotech[[#This Row],[RQD (%)]]/2)),"")</f>
        <v/>
      </c>
      <c r="AO429" s="136" t="e">
        <f>LEFT(Data_Geotech[[#This Row],[Joint Set Rating]],FIND("-",Data_Geotech[[#This Row],[Joint Set Rating]],1)-2)</f>
        <v>#VALUE!</v>
      </c>
      <c r="AP42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29" s="143">
        <f t="shared" si="10"/>
        <v>1</v>
      </c>
      <c r="AR429" s="165" t="str">
        <f>IF(Data_Geotech[[#This Row],[FIRS Code]]="R",IFERROR((IF(Data_Geotech[[#This Row],[RQD (%)]]&lt;10,10,Data_Geotech[[#This Row],[RQD (%)]])/Data_Geotech[[#This Row],[Jn rating]])*Data_Geotech[[#This Row],[Jr/Ja]],""),"")</f>
        <v/>
      </c>
      <c r="AS429" s="138" t="str">
        <f>IF(Data_Geotech[[#This Row],[FIRS Code]]="R",IFERROR((IF(Data_Geotech[[#This Row],[RQD (%)]]&lt;10,10,Data_Geotech[[#This Row],[RQD (%)]])/Data_Geotech[[#This Row],[Jn rating]])*Data_Geotech[[#This Row],[Jr/Ja]]*Data_Geotech[[#This Row],[Jw/SRF]],""),"")</f>
        <v/>
      </c>
      <c r="AT429" s="12"/>
      <c r="AU429" s="13" t="e">
        <f>100-Data_Geotech[[#This Row],[RQD (%)]]</f>
        <v>#DIV/0!</v>
      </c>
      <c r="AV429" s="13" t="e">
        <f>100-Data_Geotech[[#This Row],[TCR (%)]]</f>
        <v>#DIV/0!</v>
      </c>
      <c r="AW429" s="62" t="e">
        <f>(Data_Geotech[[#This Row],[Fracture per interval]]+Data_Geotech[[#This Row],[Added fractures 
(BC, FLT, LC)]])/Data_Geotech[[#This Row],[TCR (m)]]</f>
        <v>#DIV/0!</v>
      </c>
      <c r="AX429" s="62" t="str">
        <f>MID(Data_Geotech[[#This Row],[Field Intact Rock Strength]],2,1)</f>
        <v/>
      </c>
      <c r="AY429" s="63" t="e">
        <f>7-MID(Data_Geotech[[#This Row],[Field Intact Rock Strength]],2,1)</f>
        <v>#VALUE!</v>
      </c>
      <c r="AZ429" s="63" t="e">
        <f>VLOOKUP(Data_Geotech[[#This Row],[Field Intact Rock Strength]],Table_FieldStrength[],2,FALSE)</f>
        <v>#N/A</v>
      </c>
      <c r="BA429" s="63" t="e">
        <f>VLOOKUP(Data_Geotech[[#This Row],[Field Intact Rock Strength]],Table_FieldStrength[],3,FALSE)</f>
        <v>#N/A</v>
      </c>
      <c r="BB429" s="63" t="e">
        <f>VLOOKUP(Data_Geotech[[#This Row],[Field Intact Rock Strength]],Table_FieldStrength[],4,FALSE)</f>
        <v>#N/A</v>
      </c>
      <c r="BC429" s="63" t="e">
        <f>100-Data_Geotech[[#This Row],[RMR76]]</f>
        <v>#VALUE!</v>
      </c>
      <c r="BD429" s="63" t="e">
        <f>LEFT(Data_Geotech[[#This Row],[Weathering/Alteration]],FIND("-",Data_Geotech[[#This Row],[Weathering/Alteration]])-2)</f>
        <v>#VALUE!</v>
      </c>
    </row>
    <row r="430" spans="1:56" hidden="1" x14ac:dyDescent="0.25">
      <c r="A430" s="14"/>
      <c r="B430" s="166" t="e">
        <f>VLOOKUP(Data_Geotech[[#This Row],[Hole ID]],Data_Log[],2,FALSE)</f>
        <v>#N/A</v>
      </c>
      <c r="C430" s="5"/>
      <c r="D430" s="5"/>
      <c r="E430" s="5">
        <f>(Data_Geotech[[#This Row],[To (m)]]-Data_Geotech[[#This Row],[From (m)]])/2+Data_Geotech[[#This Row],[From (m)]]</f>
        <v>0</v>
      </c>
      <c r="F430" s="13">
        <f>Data_Geotech[[#This Row],[To (m)]]-Data_Geotech[[#This Row],[From (m)]]</f>
        <v>0</v>
      </c>
      <c r="G430" s="5"/>
      <c r="H430" s="13" t="e">
        <f>Data_Geotech[[#This Row],[TCR (m)]]/Data_Geotech[[#This Row],[Run (m)]]*100</f>
        <v>#DIV/0!</v>
      </c>
      <c r="I430" s="5"/>
      <c r="J430" s="5"/>
      <c r="K430" s="5"/>
      <c r="L430" s="13" t="e">
        <f>Data_Geotech[[#This Row],[RQD (m)]]/Data_Geotech[[#This Row],[Run Reel (m)]]*100</f>
        <v>#DIV/0!</v>
      </c>
      <c r="P430" s="115"/>
      <c r="Q430" s="5"/>
      <c r="R430" s="5"/>
      <c r="S430" s="5"/>
      <c r="T430" s="5"/>
      <c r="U430" s="5"/>
      <c r="V430" s="6"/>
      <c r="W430" s="92">
        <f>SUMIFS(Discontinuities!$D$4:$D$9664,Discontinuities!$A$4:$A$9664,A430,Discontinuities!$C$4:$C$9664,"&gt;="&amp;C430,Discontinuities!$C$4:$C$9664,"&lt;"&amp;D430)
-SUMIFS(Discontinuities!$D$4:$D$9664,Discontinuities!$A$4:$A$9664,A430,Discontinuities!$C$4:$C$9664,"&gt;="&amp;C430,Discontinuities!$C$4:$C$9664,"&lt;"&amp;D430,Discontinuities!$E$4:$E$9664,"=BC")
-SUMIFS(Discontinuities!$D$4:$D$9664,Discontinuities!$A$4:$A$9664,A430,Discontinuities!$C$4:$C$9664,"&gt;="&amp;C430,Discontinuities!$C$4:$C$9664,"&lt;"&amp;D430,Discontinuities!$E$4:$E$9664,"=LC")
-SUMIFS(Discontinuities!$D$4:$D$9664,Discontinuities!$A$4:$A$9664,A430,Discontinuities!$C$4:$C$9664,"&gt;="&amp;C430,Discontinuities!$C$4:$C$9664,"&lt;"&amp;D430,Discontinuities!$E$4:$E$9664,"=FLT")</f>
        <v>0</v>
      </c>
      <c r="AA430" s="132"/>
      <c r="AB430" s="159">
        <f>IFERROR(ROUND((Data_Geotech[[#This Row],[Fault (m)]]+Data_Geotech[[#This Row],[Broken Core (m)]]+Data_Geotech[[#This Row],[Lost Core (m)]])*30,0),0)</f>
        <v>0</v>
      </c>
      <c r="AC430" s="135">
        <f>IF(Data_Geotech[[#This Row],[Added fractures 
(BC, FLT, LC)]]+Data_Geotech[[#This Row],[Fracture per interval]]=0,99,1/((Data_Geotech[[#This Row],[Fracture per interval]]+Data_Geotech[[#This Row],[Added fractures 
(BC, FLT, LC)]])/Data_Geotech[[#This Row],[Run (m)]]))</f>
        <v>99</v>
      </c>
      <c r="AD430" s="160" t="str" cm="1">
        <f t="array" ref="AD430">IFERROR(_xlfn.XLOOKUP(1,(A430=PLT!$A$4:$A$8886)*(Geotech!C430&lt;=PLT!$F$4:$F$8886)*(Geotech!D430&gt;=PLT!$F$4:$F$8886)*("Valid"=PLT!$P$4:$P$8886),PLT!$V$4:$V$8886),"")</f>
        <v/>
      </c>
      <c r="AE430" s="161" t="str" cm="1">
        <f t="array" ref="AE430">IFERROR(_xlfn.XLOOKUP(1,(A430=PLT!$A$4:$A$8886)*(Geotech!C430&lt;=PLT!$F$4:$F$8886)*(Geotech!D430&gt;=PLT!$F$4:$F$8886)*(PLT!$V$4:$V$8886&lt;&gt;AD430)*("Valid"=PLT!$P$4:$P$7190),PLT!$V$4:$V$8886),"")</f>
        <v/>
      </c>
      <c r="AF430" s="161" t="str" cm="1">
        <f t="array" ref="AF430">IFERROR(_xlfn.XLOOKUP(1,(A430=PLT!$A$4:$A$8886)*(Geotech!C430&lt;=PLT!$F$4:$F$8886)*(Geotech!D430&gt;=PLT!$F$4:$F$8886)*(PLT!$V$4:$V$8886&lt;&gt;AD430)*(PLT!$V$4:$V$8886&lt;&gt;AE430)*("Valid"=PLT!$P$4:$P$7190),PLT!$V$4:$V$8886),"")</f>
        <v/>
      </c>
      <c r="AG430" s="162" t="str">
        <f>IFERROR(IF(AVERAGE(AD430:AF430)&gt;References!$BO$23,References!$BP$23,
IF(AVERAGE(AD430:AF430)&gt;References!$BO$22,References!$BP$22,
IF(AVERAGE(AD430:AF430)&gt;References!$BO$21,References!$BP$21,
IF(AVERAGE(AD430:AF430)&gt;References!$BO$20,References!$BP$20,
IF(AVERAGE(AD430:AF430)&gt;References!$BO$19,References!$BP$19,
IF(AVERAGE(AD430:AF430)&gt;References!$BO$18,References!$BP$18,
0)))))),"")</f>
        <v/>
      </c>
      <c r="AH430" s="163" t="e">
        <f>VLOOKUP(Data_Geotech[[#This Row],[Field Intact Rock Strength]],Table_RMR76_Strength[],2,FALSE)</f>
        <v>#N/A</v>
      </c>
      <c r="AI430" s="163" t="e">
        <f>IF(Data_Geotech[[#This Row],[RQD (%)]]&lt;=25,3,IF(Data_Geotech[[#This Row],[RQD (%)]]&lt;=50,8,IF(Data_Geotech[[#This Row],[RQD (%)]]&lt;=75,13,IF(Data_Geotech[[#This Row],[RQD (%)]]&lt;=90,17,20))))</f>
        <v>#DIV/0!</v>
      </c>
      <c r="AJ430" s="136">
        <f>IF(Data_Geotech[[#This Row],[Joint spacing (m)]]&lt;=0.05,5,IF(Data_Geotech[[#This Row],[Joint spacing (m)]]&lt;=0.3,10,IF(Data_Geotech[[#This Row],[Joint spacing (m)]]&lt;=1,20,IF(Data_Geotech[[#This Row],[Joint spacing (m)]]&lt;=3,25,30))))</f>
        <v>30</v>
      </c>
      <c r="AK43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0" s="6"/>
      <c r="AM430" s="137" t="str">
        <f>IF(Data_Geotech[[#This Row],[FIRS Code]]="R",IFERROR(SUM(Data_Geotech[[#This Row],[RMR76 - Strength rating]:[RMR76 - Ground water rating]]),""),"")</f>
        <v/>
      </c>
      <c r="AN430" s="164" t="str">
        <f>IF(Data_Geotech[[#This Row],[FIRS Code]]="R",(2*Data_Geotech[[#This Row],[RMR76 - Joint condition rating]])+(IF(Data_Geotech[[#This Row],[RQD (%)]]&gt;80,80/2,Data_Geotech[[#This Row],[RQD (%)]]/2)),"")</f>
        <v/>
      </c>
      <c r="AO430" s="136" t="e">
        <f>LEFT(Data_Geotech[[#This Row],[Joint Set Rating]],FIND("-",Data_Geotech[[#This Row],[Joint Set Rating]],1)-2)</f>
        <v>#VALUE!</v>
      </c>
      <c r="AP43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0" s="143">
        <f t="shared" si="10"/>
        <v>1</v>
      </c>
      <c r="AR430" s="165" t="str">
        <f>IF(Data_Geotech[[#This Row],[FIRS Code]]="R",IFERROR((IF(Data_Geotech[[#This Row],[RQD (%)]]&lt;10,10,Data_Geotech[[#This Row],[RQD (%)]])/Data_Geotech[[#This Row],[Jn rating]])*Data_Geotech[[#This Row],[Jr/Ja]],""),"")</f>
        <v/>
      </c>
      <c r="AS430" s="138" t="str">
        <f>IF(Data_Geotech[[#This Row],[FIRS Code]]="R",IFERROR((IF(Data_Geotech[[#This Row],[RQD (%)]]&lt;10,10,Data_Geotech[[#This Row],[RQD (%)]])/Data_Geotech[[#This Row],[Jn rating]])*Data_Geotech[[#This Row],[Jr/Ja]]*Data_Geotech[[#This Row],[Jw/SRF]],""),"")</f>
        <v/>
      </c>
      <c r="AT430" s="12"/>
      <c r="AU430" s="13" t="e">
        <f>100-Data_Geotech[[#This Row],[RQD (%)]]</f>
        <v>#DIV/0!</v>
      </c>
      <c r="AV430" s="13" t="e">
        <f>100-Data_Geotech[[#This Row],[TCR (%)]]</f>
        <v>#DIV/0!</v>
      </c>
      <c r="AW430" s="62" t="e">
        <f>(Data_Geotech[[#This Row],[Fracture per interval]]+Data_Geotech[[#This Row],[Added fractures 
(BC, FLT, LC)]])/Data_Geotech[[#This Row],[TCR (m)]]</f>
        <v>#DIV/0!</v>
      </c>
      <c r="AX430" s="62" t="str">
        <f>MID(Data_Geotech[[#This Row],[Field Intact Rock Strength]],2,1)</f>
        <v/>
      </c>
      <c r="AY430" s="63" t="e">
        <f>7-MID(Data_Geotech[[#This Row],[Field Intact Rock Strength]],2,1)</f>
        <v>#VALUE!</v>
      </c>
      <c r="AZ430" s="63" t="e">
        <f>VLOOKUP(Data_Geotech[[#This Row],[Field Intact Rock Strength]],Table_FieldStrength[],2,FALSE)</f>
        <v>#N/A</v>
      </c>
      <c r="BA430" s="63" t="e">
        <f>VLOOKUP(Data_Geotech[[#This Row],[Field Intact Rock Strength]],Table_FieldStrength[],3,FALSE)</f>
        <v>#N/A</v>
      </c>
      <c r="BB430" s="63" t="e">
        <f>VLOOKUP(Data_Geotech[[#This Row],[Field Intact Rock Strength]],Table_FieldStrength[],4,FALSE)</f>
        <v>#N/A</v>
      </c>
      <c r="BC430" s="63" t="e">
        <f>100-Data_Geotech[[#This Row],[RMR76]]</f>
        <v>#VALUE!</v>
      </c>
      <c r="BD430" s="63" t="e">
        <f>LEFT(Data_Geotech[[#This Row],[Weathering/Alteration]],FIND("-",Data_Geotech[[#This Row],[Weathering/Alteration]])-2)</f>
        <v>#VALUE!</v>
      </c>
    </row>
    <row r="431" spans="1:56" hidden="1" x14ac:dyDescent="0.25">
      <c r="A431" s="14"/>
      <c r="B431" s="166" t="e">
        <f>VLOOKUP(Data_Geotech[[#This Row],[Hole ID]],Data_Log[],2,FALSE)</f>
        <v>#N/A</v>
      </c>
      <c r="C431" s="5"/>
      <c r="D431" s="5"/>
      <c r="E431" s="5">
        <f>(Data_Geotech[[#This Row],[To (m)]]-Data_Geotech[[#This Row],[From (m)]])/2+Data_Geotech[[#This Row],[From (m)]]</f>
        <v>0</v>
      </c>
      <c r="F431" s="13">
        <f>Data_Geotech[[#This Row],[To (m)]]-Data_Geotech[[#This Row],[From (m)]]</f>
        <v>0</v>
      </c>
      <c r="G431" s="5"/>
      <c r="H431" s="13" t="e">
        <f>Data_Geotech[[#This Row],[TCR (m)]]/Data_Geotech[[#This Row],[Run (m)]]*100</f>
        <v>#DIV/0!</v>
      </c>
      <c r="I431" s="5"/>
      <c r="J431" s="5"/>
      <c r="K431" s="5"/>
      <c r="L431" s="13" t="e">
        <f>Data_Geotech[[#This Row],[RQD (m)]]/Data_Geotech[[#This Row],[Run Reel (m)]]*100</f>
        <v>#DIV/0!</v>
      </c>
      <c r="P431" s="115"/>
      <c r="Q431" s="5"/>
      <c r="R431" s="5"/>
      <c r="S431" s="5"/>
      <c r="T431" s="5"/>
      <c r="U431" s="5"/>
      <c r="V431" s="6"/>
      <c r="W431" s="92">
        <f>SUMIFS(Discontinuities!$D$4:$D$9664,Discontinuities!$A$4:$A$9664,A431,Discontinuities!$C$4:$C$9664,"&gt;="&amp;C431,Discontinuities!$C$4:$C$9664,"&lt;"&amp;D431)
-SUMIFS(Discontinuities!$D$4:$D$9664,Discontinuities!$A$4:$A$9664,A431,Discontinuities!$C$4:$C$9664,"&gt;="&amp;C431,Discontinuities!$C$4:$C$9664,"&lt;"&amp;D431,Discontinuities!$E$4:$E$9664,"=BC")
-SUMIFS(Discontinuities!$D$4:$D$9664,Discontinuities!$A$4:$A$9664,A431,Discontinuities!$C$4:$C$9664,"&gt;="&amp;C431,Discontinuities!$C$4:$C$9664,"&lt;"&amp;D431,Discontinuities!$E$4:$E$9664,"=LC")
-SUMIFS(Discontinuities!$D$4:$D$9664,Discontinuities!$A$4:$A$9664,A431,Discontinuities!$C$4:$C$9664,"&gt;="&amp;C431,Discontinuities!$C$4:$C$9664,"&lt;"&amp;D431,Discontinuities!$E$4:$E$9664,"=FLT")</f>
        <v>0</v>
      </c>
      <c r="AA431" s="132"/>
      <c r="AB431" s="159">
        <f>IFERROR(ROUND((Data_Geotech[[#This Row],[Fault (m)]]+Data_Geotech[[#This Row],[Broken Core (m)]]+Data_Geotech[[#This Row],[Lost Core (m)]])*30,0),0)</f>
        <v>0</v>
      </c>
      <c r="AC431" s="135">
        <f>IF(Data_Geotech[[#This Row],[Added fractures 
(BC, FLT, LC)]]+Data_Geotech[[#This Row],[Fracture per interval]]=0,99,1/((Data_Geotech[[#This Row],[Fracture per interval]]+Data_Geotech[[#This Row],[Added fractures 
(BC, FLT, LC)]])/Data_Geotech[[#This Row],[Run (m)]]))</f>
        <v>99</v>
      </c>
      <c r="AD431" s="160" t="str" cm="1">
        <f t="array" ref="AD431">IFERROR(_xlfn.XLOOKUP(1,(A431=PLT!$A$4:$A$8886)*(Geotech!C431&lt;=PLT!$F$4:$F$8886)*(Geotech!D431&gt;=PLT!$F$4:$F$8886)*("Valid"=PLT!$P$4:$P$8886),PLT!$V$4:$V$8886),"")</f>
        <v/>
      </c>
      <c r="AE431" s="161" t="str" cm="1">
        <f t="array" ref="AE431">IFERROR(_xlfn.XLOOKUP(1,(A431=PLT!$A$4:$A$8886)*(Geotech!C431&lt;=PLT!$F$4:$F$8886)*(Geotech!D431&gt;=PLT!$F$4:$F$8886)*(PLT!$V$4:$V$8886&lt;&gt;AD431)*("Valid"=PLT!$P$4:$P$7190),PLT!$V$4:$V$8886),"")</f>
        <v/>
      </c>
      <c r="AF431" s="161" t="str" cm="1">
        <f t="array" ref="AF431">IFERROR(_xlfn.XLOOKUP(1,(A431=PLT!$A$4:$A$8886)*(Geotech!C431&lt;=PLT!$F$4:$F$8886)*(Geotech!D431&gt;=PLT!$F$4:$F$8886)*(PLT!$V$4:$V$8886&lt;&gt;AD431)*(PLT!$V$4:$V$8886&lt;&gt;AE431)*("Valid"=PLT!$P$4:$P$7190),PLT!$V$4:$V$8886),"")</f>
        <v/>
      </c>
      <c r="AG431" s="162" t="str">
        <f>IFERROR(IF(AVERAGE(AD431:AF431)&gt;References!$BO$23,References!$BP$23,
IF(AVERAGE(AD431:AF431)&gt;References!$BO$22,References!$BP$22,
IF(AVERAGE(AD431:AF431)&gt;References!$BO$21,References!$BP$21,
IF(AVERAGE(AD431:AF431)&gt;References!$BO$20,References!$BP$20,
IF(AVERAGE(AD431:AF431)&gt;References!$BO$19,References!$BP$19,
IF(AVERAGE(AD431:AF431)&gt;References!$BO$18,References!$BP$18,
0)))))),"")</f>
        <v/>
      </c>
      <c r="AH431" s="163" t="e">
        <f>VLOOKUP(Data_Geotech[[#This Row],[Field Intact Rock Strength]],Table_RMR76_Strength[],2,FALSE)</f>
        <v>#N/A</v>
      </c>
      <c r="AI431" s="163" t="e">
        <f>IF(Data_Geotech[[#This Row],[RQD (%)]]&lt;=25,3,IF(Data_Geotech[[#This Row],[RQD (%)]]&lt;=50,8,IF(Data_Geotech[[#This Row],[RQD (%)]]&lt;=75,13,IF(Data_Geotech[[#This Row],[RQD (%)]]&lt;=90,17,20))))</f>
        <v>#DIV/0!</v>
      </c>
      <c r="AJ431" s="136">
        <f>IF(Data_Geotech[[#This Row],[Joint spacing (m)]]&lt;=0.05,5,IF(Data_Geotech[[#This Row],[Joint spacing (m)]]&lt;=0.3,10,IF(Data_Geotech[[#This Row],[Joint spacing (m)]]&lt;=1,20,IF(Data_Geotech[[#This Row],[Joint spacing (m)]]&lt;=3,25,30))))</f>
        <v>30</v>
      </c>
      <c r="AK43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1" s="6"/>
      <c r="AM431" s="137" t="str">
        <f>IF(Data_Geotech[[#This Row],[FIRS Code]]="R",IFERROR(SUM(Data_Geotech[[#This Row],[RMR76 - Strength rating]:[RMR76 - Ground water rating]]),""),"")</f>
        <v/>
      </c>
      <c r="AN431" s="164" t="str">
        <f>IF(Data_Geotech[[#This Row],[FIRS Code]]="R",(2*Data_Geotech[[#This Row],[RMR76 - Joint condition rating]])+(IF(Data_Geotech[[#This Row],[RQD (%)]]&gt;80,80/2,Data_Geotech[[#This Row],[RQD (%)]]/2)),"")</f>
        <v/>
      </c>
      <c r="AO431" s="136" t="e">
        <f>LEFT(Data_Geotech[[#This Row],[Joint Set Rating]],FIND("-",Data_Geotech[[#This Row],[Joint Set Rating]],1)-2)</f>
        <v>#VALUE!</v>
      </c>
      <c r="AP43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1" s="143">
        <f t="shared" si="10"/>
        <v>1</v>
      </c>
      <c r="AR431" s="165" t="str">
        <f>IF(Data_Geotech[[#This Row],[FIRS Code]]="R",IFERROR((IF(Data_Geotech[[#This Row],[RQD (%)]]&lt;10,10,Data_Geotech[[#This Row],[RQD (%)]])/Data_Geotech[[#This Row],[Jn rating]])*Data_Geotech[[#This Row],[Jr/Ja]],""),"")</f>
        <v/>
      </c>
      <c r="AS431" s="138" t="str">
        <f>IF(Data_Geotech[[#This Row],[FIRS Code]]="R",IFERROR((IF(Data_Geotech[[#This Row],[RQD (%)]]&lt;10,10,Data_Geotech[[#This Row],[RQD (%)]])/Data_Geotech[[#This Row],[Jn rating]])*Data_Geotech[[#This Row],[Jr/Ja]]*Data_Geotech[[#This Row],[Jw/SRF]],""),"")</f>
        <v/>
      </c>
      <c r="AT431" s="12"/>
      <c r="AU431" s="13" t="e">
        <f>100-Data_Geotech[[#This Row],[RQD (%)]]</f>
        <v>#DIV/0!</v>
      </c>
      <c r="AV431" s="13" t="e">
        <f>100-Data_Geotech[[#This Row],[TCR (%)]]</f>
        <v>#DIV/0!</v>
      </c>
      <c r="AW431" s="62" t="e">
        <f>(Data_Geotech[[#This Row],[Fracture per interval]]+Data_Geotech[[#This Row],[Added fractures 
(BC, FLT, LC)]])/Data_Geotech[[#This Row],[TCR (m)]]</f>
        <v>#DIV/0!</v>
      </c>
      <c r="AX431" s="62" t="str">
        <f>MID(Data_Geotech[[#This Row],[Field Intact Rock Strength]],2,1)</f>
        <v/>
      </c>
      <c r="AY431" s="63" t="e">
        <f>7-MID(Data_Geotech[[#This Row],[Field Intact Rock Strength]],2,1)</f>
        <v>#VALUE!</v>
      </c>
      <c r="AZ431" s="63" t="e">
        <f>VLOOKUP(Data_Geotech[[#This Row],[Field Intact Rock Strength]],Table_FieldStrength[],2,FALSE)</f>
        <v>#N/A</v>
      </c>
      <c r="BA431" s="63" t="e">
        <f>VLOOKUP(Data_Geotech[[#This Row],[Field Intact Rock Strength]],Table_FieldStrength[],3,FALSE)</f>
        <v>#N/A</v>
      </c>
      <c r="BB431" s="63" t="e">
        <f>VLOOKUP(Data_Geotech[[#This Row],[Field Intact Rock Strength]],Table_FieldStrength[],4,FALSE)</f>
        <v>#N/A</v>
      </c>
      <c r="BC431" s="63" t="e">
        <f>100-Data_Geotech[[#This Row],[RMR76]]</f>
        <v>#VALUE!</v>
      </c>
      <c r="BD431" s="63" t="e">
        <f>LEFT(Data_Geotech[[#This Row],[Weathering/Alteration]],FIND("-",Data_Geotech[[#This Row],[Weathering/Alteration]])-2)</f>
        <v>#VALUE!</v>
      </c>
    </row>
    <row r="432" spans="1:56" hidden="1" x14ac:dyDescent="0.25">
      <c r="A432" s="14"/>
      <c r="B432" s="166" t="e">
        <f>VLOOKUP(Data_Geotech[[#This Row],[Hole ID]],Data_Log[],2,FALSE)</f>
        <v>#N/A</v>
      </c>
      <c r="C432" s="5"/>
      <c r="D432" s="5"/>
      <c r="E432" s="5">
        <f>(Data_Geotech[[#This Row],[To (m)]]-Data_Geotech[[#This Row],[From (m)]])/2+Data_Geotech[[#This Row],[From (m)]]</f>
        <v>0</v>
      </c>
      <c r="F432" s="13">
        <f>Data_Geotech[[#This Row],[To (m)]]-Data_Geotech[[#This Row],[From (m)]]</f>
        <v>0</v>
      </c>
      <c r="G432" s="5"/>
      <c r="H432" s="13" t="e">
        <f>Data_Geotech[[#This Row],[TCR (m)]]/Data_Geotech[[#This Row],[Run (m)]]*100</f>
        <v>#DIV/0!</v>
      </c>
      <c r="I432" s="5"/>
      <c r="J432" s="5"/>
      <c r="K432" s="5"/>
      <c r="L432" s="13" t="e">
        <f>Data_Geotech[[#This Row],[RQD (m)]]/Data_Geotech[[#This Row],[Run Reel (m)]]*100</f>
        <v>#DIV/0!</v>
      </c>
      <c r="P432" s="115"/>
      <c r="Q432" s="5"/>
      <c r="R432" s="5"/>
      <c r="S432" s="5"/>
      <c r="T432" s="5"/>
      <c r="U432" s="5"/>
      <c r="V432" s="6"/>
      <c r="W432" s="92">
        <f>SUMIFS(Discontinuities!$D$4:$D$9664,Discontinuities!$A$4:$A$9664,A432,Discontinuities!$C$4:$C$9664,"&gt;="&amp;C432,Discontinuities!$C$4:$C$9664,"&lt;"&amp;D432)
-SUMIFS(Discontinuities!$D$4:$D$9664,Discontinuities!$A$4:$A$9664,A432,Discontinuities!$C$4:$C$9664,"&gt;="&amp;C432,Discontinuities!$C$4:$C$9664,"&lt;"&amp;D432,Discontinuities!$E$4:$E$9664,"=BC")
-SUMIFS(Discontinuities!$D$4:$D$9664,Discontinuities!$A$4:$A$9664,A432,Discontinuities!$C$4:$C$9664,"&gt;="&amp;C432,Discontinuities!$C$4:$C$9664,"&lt;"&amp;D432,Discontinuities!$E$4:$E$9664,"=LC")
-SUMIFS(Discontinuities!$D$4:$D$9664,Discontinuities!$A$4:$A$9664,A432,Discontinuities!$C$4:$C$9664,"&gt;="&amp;C432,Discontinuities!$C$4:$C$9664,"&lt;"&amp;D432,Discontinuities!$E$4:$E$9664,"=FLT")</f>
        <v>0</v>
      </c>
      <c r="AA432" s="132"/>
      <c r="AB432" s="159">
        <f>IFERROR(ROUND((Data_Geotech[[#This Row],[Fault (m)]]+Data_Geotech[[#This Row],[Broken Core (m)]]+Data_Geotech[[#This Row],[Lost Core (m)]])*30,0),0)</f>
        <v>0</v>
      </c>
      <c r="AC432" s="135">
        <f>IF(Data_Geotech[[#This Row],[Added fractures 
(BC, FLT, LC)]]+Data_Geotech[[#This Row],[Fracture per interval]]=0,99,1/((Data_Geotech[[#This Row],[Fracture per interval]]+Data_Geotech[[#This Row],[Added fractures 
(BC, FLT, LC)]])/Data_Geotech[[#This Row],[Run (m)]]))</f>
        <v>99</v>
      </c>
      <c r="AD432" s="160" t="str" cm="1">
        <f t="array" ref="AD432">IFERROR(_xlfn.XLOOKUP(1,(A432=PLT!$A$4:$A$8886)*(Geotech!C432&lt;=PLT!$F$4:$F$8886)*(Geotech!D432&gt;=PLT!$F$4:$F$8886)*("Valid"=PLT!$P$4:$P$8886),PLT!$V$4:$V$8886),"")</f>
        <v/>
      </c>
      <c r="AE432" s="161" t="str" cm="1">
        <f t="array" ref="AE432">IFERROR(_xlfn.XLOOKUP(1,(A432=PLT!$A$4:$A$8886)*(Geotech!C432&lt;=PLT!$F$4:$F$8886)*(Geotech!D432&gt;=PLT!$F$4:$F$8886)*(PLT!$V$4:$V$8886&lt;&gt;AD432)*("Valid"=PLT!$P$4:$P$7190),PLT!$V$4:$V$8886),"")</f>
        <v/>
      </c>
      <c r="AF432" s="161" t="str" cm="1">
        <f t="array" ref="AF432">IFERROR(_xlfn.XLOOKUP(1,(A432=PLT!$A$4:$A$8886)*(Geotech!C432&lt;=PLT!$F$4:$F$8886)*(Geotech!D432&gt;=PLT!$F$4:$F$8886)*(PLT!$V$4:$V$8886&lt;&gt;AD432)*(PLT!$V$4:$V$8886&lt;&gt;AE432)*("Valid"=PLT!$P$4:$P$7190),PLT!$V$4:$V$8886),"")</f>
        <v/>
      </c>
      <c r="AG432" s="162" t="str">
        <f>IFERROR(IF(AVERAGE(AD432:AF432)&gt;References!$BO$23,References!$BP$23,
IF(AVERAGE(AD432:AF432)&gt;References!$BO$22,References!$BP$22,
IF(AVERAGE(AD432:AF432)&gt;References!$BO$21,References!$BP$21,
IF(AVERAGE(AD432:AF432)&gt;References!$BO$20,References!$BP$20,
IF(AVERAGE(AD432:AF432)&gt;References!$BO$19,References!$BP$19,
IF(AVERAGE(AD432:AF432)&gt;References!$BO$18,References!$BP$18,
0)))))),"")</f>
        <v/>
      </c>
      <c r="AH432" s="163" t="e">
        <f>VLOOKUP(Data_Geotech[[#This Row],[Field Intact Rock Strength]],Table_RMR76_Strength[],2,FALSE)</f>
        <v>#N/A</v>
      </c>
      <c r="AI432" s="163" t="e">
        <f>IF(Data_Geotech[[#This Row],[RQD (%)]]&lt;=25,3,IF(Data_Geotech[[#This Row],[RQD (%)]]&lt;=50,8,IF(Data_Geotech[[#This Row],[RQD (%)]]&lt;=75,13,IF(Data_Geotech[[#This Row],[RQD (%)]]&lt;=90,17,20))))</f>
        <v>#DIV/0!</v>
      </c>
      <c r="AJ432" s="136">
        <f>IF(Data_Geotech[[#This Row],[Joint spacing (m)]]&lt;=0.05,5,IF(Data_Geotech[[#This Row],[Joint spacing (m)]]&lt;=0.3,10,IF(Data_Geotech[[#This Row],[Joint spacing (m)]]&lt;=1,20,IF(Data_Geotech[[#This Row],[Joint spacing (m)]]&lt;=3,25,30))))</f>
        <v>30</v>
      </c>
      <c r="AK43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2" s="6"/>
      <c r="AM432" s="137" t="str">
        <f>IF(Data_Geotech[[#This Row],[FIRS Code]]="R",IFERROR(SUM(Data_Geotech[[#This Row],[RMR76 - Strength rating]:[RMR76 - Ground water rating]]),""),"")</f>
        <v/>
      </c>
      <c r="AN432" s="164" t="str">
        <f>IF(Data_Geotech[[#This Row],[FIRS Code]]="R",(2*Data_Geotech[[#This Row],[RMR76 - Joint condition rating]])+(IF(Data_Geotech[[#This Row],[RQD (%)]]&gt;80,80/2,Data_Geotech[[#This Row],[RQD (%)]]/2)),"")</f>
        <v/>
      </c>
      <c r="AO432" s="136" t="e">
        <f>LEFT(Data_Geotech[[#This Row],[Joint Set Rating]],FIND("-",Data_Geotech[[#This Row],[Joint Set Rating]],1)-2)</f>
        <v>#VALUE!</v>
      </c>
      <c r="AP43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2" s="143">
        <f t="shared" si="10"/>
        <v>1</v>
      </c>
      <c r="AR432" s="165" t="str">
        <f>IF(Data_Geotech[[#This Row],[FIRS Code]]="R",IFERROR((IF(Data_Geotech[[#This Row],[RQD (%)]]&lt;10,10,Data_Geotech[[#This Row],[RQD (%)]])/Data_Geotech[[#This Row],[Jn rating]])*Data_Geotech[[#This Row],[Jr/Ja]],""),"")</f>
        <v/>
      </c>
      <c r="AS432" s="138" t="str">
        <f>IF(Data_Geotech[[#This Row],[FIRS Code]]="R",IFERROR((IF(Data_Geotech[[#This Row],[RQD (%)]]&lt;10,10,Data_Geotech[[#This Row],[RQD (%)]])/Data_Geotech[[#This Row],[Jn rating]])*Data_Geotech[[#This Row],[Jr/Ja]]*Data_Geotech[[#This Row],[Jw/SRF]],""),"")</f>
        <v/>
      </c>
      <c r="AT432" s="12"/>
      <c r="AU432" s="13" t="e">
        <f>100-Data_Geotech[[#This Row],[RQD (%)]]</f>
        <v>#DIV/0!</v>
      </c>
      <c r="AV432" s="13" t="e">
        <f>100-Data_Geotech[[#This Row],[TCR (%)]]</f>
        <v>#DIV/0!</v>
      </c>
      <c r="AW432" s="62" t="e">
        <f>(Data_Geotech[[#This Row],[Fracture per interval]]+Data_Geotech[[#This Row],[Added fractures 
(BC, FLT, LC)]])/Data_Geotech[[#This Row],[TCR (m)]]</f>
        <v>#DIV/0!</v>
      </c>
      <c r="AX432" s="62" t="str">
        <f>MID(Data_Geotech[[#This Row],[Field Intact Rock Strength]],2,1)</f>
        <v/>
      </c>
      <c r="AY432" s="63" t="e">
        <f>7-MID(Data_Geotech[[#This Row],[Field Intact Rock Strength]],2,1)</f>
        <v>#VALUE!</v>
      </c>
      <c r="AZ432" s="63" t="e">
        <f>VLOOKUP(Data_Geotech[[#This Row],[Field Intact Rock Strength]],Table_FieldStrength[],2,FALSE)</f>
        <v>#N/A</v>
      </c>
      <c r="BA432" s="63" t="e">
        <f>VLOOKUP(Data_Geotech[[#This Row],[Field Intact Rock Strength]],Table_FieldStrength[],3,FALSE)</f>
        <v>#N/A</v>
      </c>
      <c r="BB432" s="63" t="e">
        <f>VLOOKUP(Data_Geotech[[#This Row],[Field Intact Rock Strength]],Table_FieldStrength[],4,FALSE)</f>
        <v>#N/A</v>
      </c>
      <c r="BC432" s="63" t="e">
        <f>100-Data_Geotech[[#This Row],[RMR76]]</f>
        <v>#VALUE!</v>
      </c>
      <c r="BD432" s="63" t="e">
        <f>LEFT(Data_Geotech[[#This Row],[Weathering/Alteration]],FIND("-",Data_Geotech[[#This Row],[Weathering/Alteration]])-2)</f>
        <v>#VALUE!</v>
      </c>
    </row>
    <row r="433" spans="1:56" hidden="1" x14ac:dyDescent="0.25">
      <c r="A433" s="14"/>
      <c r="B433" s="166" t="e">
        <f>VLOOKUP(Data_Geotech[[#This Row],[Hole ID]],Data_Log[],2,FALSE)</f>
        <v>#N/A</v>
      </c>
      <c r="C433" s="5"/>
      <c r="D433" s="5"/>
      <c r="E433" s="5">
        <f>(Data_Geotech[[#This Row],[To (m)]]-Data_Geotech[[#This Row],[From (m)]])/2+Data_Geotech[[#This Row],[From (m)]]</f>
        <v>0</v>
      </c>
      <c r="F433" s="13">
        <f>Data_Geotech[[#This Row],[To (m)]]-Data_Geotech[[#This Row],[From (m)]]</f>
        <v>0</v>
      </c>
      <c r="G433" s="5"/>
      <c r="H433" s="13" t="e">
        <f>Data_Geotech[[#This Row],[TCR (m)]]/Data_Geotech[[#This Row],[Run (m)]]*100</f>
        <v>#DIV/0!</v>
      </c>
      <c r="I433" s="5"/>
      <c r="J433" s="5"/>
      <c r="K433" s="5"/>
      <c r="L433" s="13" t="e">
        <f>Data_Geotech[[#This Row],[RQD (m)]]/Data_Geotech[[#This Row],[Run Reel (m)]]*100</f>
        <v>#DIV/0!</v>
      </c>
      <c r="P433" s="115"/>
      <c r="Q433" s="5"/>
      <c r="R433" s="5"/>
      <c r="S433" s="5"/>
      <c r="T433" s="5"/>
      <c r="U433" s="5"/>
      <c r="V433" s="6"/>
      <c r="W433" s="92">
        <f>SUMIFS(Discontinuities!$D$4:$D$9664,Discontinuities!$A$4:$A$9664,A433,Discontinuities!$C$4:$C$9664,"&gt;="&amp;C433,Discontinuities!$C$4:$C$9664,"&lt;"&amp;D433)
-SUMIFS(Discontinuities!$D$4:$D$9664,Discontinuities!$A$4:$A$9664,A433,Discontinuities!$C$4:$C$9664,"&gt;="&amp;C433,Discontinuities!$C$4:$C$9664,"&lt;"&amp;D433,Discontinuities!$E$4:$E$9664,"=BC")
-SUMIFS(Discontinuities!$D$4:$D$9664,Discontinuities!$A$4:$A$9664,A433,Discontinuities!$C$4:$C$9664,"&gt;="&amp;C433,Discontinuities!$C$4:$C$9664,"&lt;"&amp;D433,Discontinuities!$E$4:$E$9664,"=LC")
-SUMIFS(Discontinuities!$D$4:$D$9664,Discontinuities!$A$4:$A$9664,A433,Discontinuities!$C$4:$C$9664,"&gt;="&amp;C433,Discontinuities!$C$4:$C$9664,"&lt;"&amp;D433,Discontinuities!$E$4:$E$9664,"=FLT")</f>
        <v>0</v>
      </c>
      <c r="AA433" s="132"/>
      <c r="AB433" s="159">
        <f>IFERROR(ROUND((Data_Geotech[[#This Row],[Fault (m)]]+Data_Geotech[[#This Row],[Broken Core (m)]]+Data_Geotech[[#This Row],[Lost Core (m)]])*30,0),0)</f>
        <v>0</v>
      </c>
      <c r="AC433" s="135">
        <f>IF(Data_Geotech[[#This Row],[Added fractures 
(BC, FLT, LC)]]+Data_Geotech[[#This Row],[Fracture per interval]]=0,99,1/((Data_Geotech[[#This Row],[Fracture per interval]]+Data_Geotech[[#This Row],[Added fractures 
(BC, FLT, LC)]])/Data_Geotech[[#This Row],[Run (m)]]))</f>
        <v>99</v>
      </c>
      <c r="AD433" s="160" t="str" cm="1">
        <f t="array" ref="AD433">IFERROR(_xlfn.XLOOKUP(1,(A433=PLT!$A$4:$A$8886)*(Geotech!C433&lt;=PLT!$F$4:$F$8886)*(Geotech!D433&gt;=PLT!$F$4:$F$8886)*("Valid"=PLT!$P$4:$P$8886),PLT!$V$4:$V$8886),"")</f>
        <v/>
      </c>
      <c r="AE433" s="161" t="str" cm="1">
        <f t="array" ref="AE433">IFERROR(_xlfn.XLOOKUP(1,(A433=PLT!$A$4:$A$8886)*(Geotech!C433&lt;=PLT!$F$4:$F$8886)*(Geotech!D433&gt;=PLT!$F$4:$F$8886)*(PLT!$V$4:$V$8886&lt;&gt;AD433)*("Valid"=PLT!$P$4:$P$7190),PLT!$V$4:$V$8886),"")</f>
        <v/>
      </c>
      <c r="AF433" s="161" t="str" cm="1">
        <f t="array" ref="AF433">IFERROR(_xlfn.XLOOKUP(1,(A433=PLT!$A$4:$A$8886)*(Geotech!C433&lt;=PLT!$F$4:$F$8886)*(Geotech!D433&gt;=PLT!$F$4:$F$8886)*(PLT!$V$4:$V$8886&lt;&gt;AD433)*(PLT!$V$4:$V$8886&lt;&gt;AE433)*("Valid"=PLT!$P$4:$P$7190),PLT!$V$4:$V$8886),"")</f>
        <v/>
      </c>
      <c r="AG433" s="162" t="str">
        <f>IFERROR(IF(AVERAGE(AD433:AF433)&gt;References!$BO$23,References!$BP$23,
IF(AVERAGE(AD433:AF433)&gt;References!$BO$22,References!$BP$22,
IF(AVERAGE(AD433:AF433)&gt;References!$BO$21,References!$BP$21,
IF(AVERAGE(AD433:AF433)&gt;References!$BO$20,References!$BP$20,
IF(AVERAGE(AD433:AF433)&gt;References!$BO$19,References!$BP$19,
IF(AVERAGE(AD433:AF433)&gt;References!$BO$18,References!$BP$18,
0)))))),"")</f>
        <v/>
      </c>
      <c r="AH433" s="163" t="e">
        <f>VLOOKUP(Data_Geotech[[#This Row],[Field Intact Rock Strength]],Table_RMR76_Strength[],2,FALSE)</f>
        <v>#N/A</v>
      </c>
      <c r="AI433" s="163" t="e">
        <f>IF(Data_Geotech[[#This Row],[RQD (%)]]&lt;=25,3,IF(Data_Geotech[[#This Row],[RQD (%)]]&lt;=50,8,IF(Data_Geotech[[#This Row],[RQD (%)]]&lt;=75,13,IF(Data_Geotech[[#This Row],[RQD (%)]]&lt;=90,17,20))))</f>
        <v>#DIV/0!</v>
      </c>
      <c r="AJ433" s="136">
        <f>IF(Data_Geotech[[#This Row],[Joint spacing (m)]]&lt;=0.05,5,IF(Data_Geotech[[#This Row],[Joint spacing (m)]]&lt;=0.3,10,IF(Data_Geotech[[#This Row],[Joint spacing (m)]]&lt;=1,20,IF(Data_Geotech[[#This Row],[Joint spacing (m)]]&lt;=3,25,30))))</f>
        <v>30</v>
      </c>
      <c r="AK43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3" s="6"/>
      <c r="AM433" s="137" t="str">
        <f>IF(Data_Geotech[[#This Row],[FIRS Code]]="R",IFERROR(SUM(Data_Geotech[[#This Row],[RMR76 - Strength rating]:[RMR76 - Ground water rating]]),""),"")</f>
        <v/>
      </c>
      <c r="AN433" s="164" t="str">
        <f>IF(Data_Geotech[[#This Row],[FIRS Code]]="R",(2*Data_Geotech[[#This Row],[RMR76 - Joint condition rating]])+(IF(Data_Geotech[[#This Row],[RQD (%)]]&gt;80,80/2,Data_Geotech[[#This Row],[RQD (%)]]/2)),"")</f>
        <v/>
      </c>
      <c r="AO433" s="136" t="e">
        <f>LEFT(Data_Geotech[[#This Row],[Joint Set Rating]],FIND("-",Data_Geotech[[#This Row],[Joint Set Rating]],1)-2)</f>
        <v>#VALUE!</v>
      </c>
      <c r="AP43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3" s="143">
        <f t="shared" si="10"/>
        <v>1</v>
      </c>
      <c r="AR433" s="165" t="str">
        <f>IF(Data_Geotech[[#This Row],[FIRS Code]]="R",IFERROR((IF(Data_Geotech[[#This Row],[RQD (%)]]&lt;10,10,Data_Geotech[[#This Row],[RQD (%)]])/Data_Geotech[[#This Row],[Jn rating]])*Data_Geotech[[#This Row],[Jr/Ja]],""),"")</f>
        <v/>
      </c>
      <c r="AS433" s="138" t="str">
        <f>IF(Data_Geotech[[#This Row],[FIRS Code]]="R",IFERROR((IF(Data_Geotech[[#This Row],[RQD (%)]]&lt;10,10,Data_Geotech[[#This Row],[RQD (%)]])/Data_Geotech[[#This Row],[Jn rating]])*Data_Geotech[[#This Row],[Jr/Ja]]*Data_Geotech[[#This Row],[Jw/SRF]],""),"")</f>
        <v/>
      </c>
      <c r="AT433" s="12"/>
      <c r="AU433" s="13" t="e">
        <f>100-Data_Geotech[[#This Row],[RQD (%)]]</f>
        <v>#DIV/0!</v>
      </c>
      <c r="AV433" s="13" t="e">
        <f>100-Data_Geotech[[#This Row],[TCR (%)]]</f>
        <v>#DIV/0!</v>
      </c>
      <c r="AW433" s="62" t="e">
        <f>(Data_Geotech[[#This Row],[Fracture per interval]]+Data_Geotech[[#This Row],[Added fractures 
(BC, FLT, LC)]])/Data_Geotech[[#This Row],[TCR (m)]]</f>
        <v>#DIV/0!</v>
      </c>
      <c r="AX433" s="62" t="str">
        <f>MID(Data_Geotech[[#This Row],[Field Intact Rock Strength]],2,1)</f>
        <v/>
      </c>
      <c r="AY433" s="63" t="e">
        <f>7-MID(Data_Geotech[[#This Row],[Field Intact Rock Strength]],2,1)</f>
        <v>#VALUE!</v>
      </c>
      <c r="AZ433" s="63" t="e">
        <f>VLOOKUP(Data_Geotech[[#This Row],[Field Intact Rock Strength]],Table_FieldStrength[],2,FALSE)</f>
        <v>#N/A</v>
      </c>
      <c r="BA433" s="63" t="e">
        <f>VLOOKUP(Data_Geotech[[#This Row],[Field Intact Rock Strength]],Table_FieldStrength[],3,FALSE)</f>
        <v>#N/A</v>
      </c>
      <c r="BB433" s="63" t="e">
        <f>VLOOKUP(Data_Geotech[[#This Row],[Field Intact Rock Strength]],Table_FieldStrength[],4,FALSE)</f>
        <v>#N/A</v>
      </c>
      <c r="BC433" s="63" t="e">
        <f>100-Data_Geotech[[#This Row],[RMR76]]</f>
        <v>#VALUE!</v>
      </c>
      <c r="BD433" s="63" t="e">
        <f>LEFT(Data_Geotech[[#This Row],[Weathering/Alteration]],FIND("-",Data_Geotech[[#This Row],[Weathering/Alteration]])-2)</f>
        <v>#VALUE!</v>
      </c>
    </row>
    <row r="434" spans="1:56" hidden="1" x14ac:dyDescent="0.25">
      <c r="A434" s="14"/>
      <c r="B434" s="166" t="e">
        <f>VLOOKUP(Data_Geotech[[#This Row],[Hole ID]],Data_Log[],2,FALSE)</f>
        <v>#N/A</v>
      </c>
      <c r="C434" s="5"/>
      <c r="D434" s="5"/>
      <c r="E434" s="5">
        <f>(Data_Geotech[[#This Row],[To (m)]]-Data_Geotech[[#This Row],[From (m)]])/2+Data_Geotech[[#This Row],[From (m)]]</f>
        <v>0</v>
      </c>
      <c r="F434" s="13">
        <f>Data_Geotech[[#This Row],[To (m)]]-Data_Geotech[[#This Row],[From (m)]]</f>
        <v>0</v>
      </c>
      <c r="G434" s="5"/>
      <c r="H434" s="13" t="e">
        <f>Data_Geotech[[#This Row],[TCR (m)]]/Data_Geotech[[#This Row],[Run (m)]]*100</f>
        <v>#DIV/0!</v>
      </c>
      <c r="I434" s="5"/>
      <c r="J434" s="5"/>
      <c r="K434" s="5"/>
      <c r="L434" s="13" t="e">
        <f>Data_Geotech[[#This Row],[RQD (m)]]/Data_Geotech[[#This Row],[Run Reel (m)]]*100</f>
        <v>#DIV/0!</v>
      </c>
      <c r="P434" s="115"/>
      <c r="Q434" s="5"/>
      <c r="R434" s="5"/>
      <c r="S434" s="5"/>
      <c r="T434" s="5"/>
      <c r="U434" s="5"/>
      <c r="V434" s="6"/>
      <c r="W434" s="92">
        <f>SUMIFS(Discontinuities!$D$4:$D$9664,Discontinuities!$A$4:$A$9664,A434,Discontinuities!$C$4:$C$9664,"&gt;="&amp;C434,Discontinuities!$C$4:$C$9664,"&lt;"&amp;D434)
-SUMIFS(Discontinuities!$D$4:$D$9664,Discontinuities!$A$4:$A$9664,A434,Discontinuities!$C$4:$C$9664,"&gt;="&amp;C434,Discontinuities!$C$4:$C$9664,"&lt;"&amp;D434,Discontinuities!$E$4:$E$9664,"=BC")
-SUMIFS(Discontinuities!$D$4:$D$9664,Discontinuities!$A$4:$A$9664,A434,Discontinuities!$C$4:$C$9664,"&gt;="&amp;C434,Discontinuities!$C$4:$C$9664,"&lt;"&amp;D434,Discontinuities!$E$4:$E$9664,"=LC")
-SUMIFS(Discontinuities!$D$4:$D$9664,Discontinuities!$A$4:$A$9664,A434,Discontinuities!$C$4:$C$9664,"&gt;="&amp;C434,Discontinuities!$C$4:$C$9664,"&lt;"&amp;D434,Discontinuities!$E$4:$E$9664,"=FLT")</f>
        <v>0</v>
      </c>
      <c r="AA434" s="132"/>
      <c r="AB434" s="159">
        <f>IFERROR(ROUND((Data_Geotech[[#This Row],[Fault (m)]]+Data_Geotech[[#This Row],[Broken Core (m)]]+Data_Geotech[[#This Row],[Lost Core (m)]])*30,0),0)</f>
        <v>0</v>
      </c>
      <c r="AC434" s="135">
        <f>IF(Data_Geotech[[#This Row],[Added fractures 
(BC, FLT, LC)]]+Data_Geotech[[#This Row],[Fracture per interval]]=0,99,1/((Data_Geotech[[#This Row],[Fracture per interval]]+Data_Geotech[[#This Row],[Added fractures 
(BC, FLT, LC)]])/Data_Geotech[[#This Row],[Run (m)]]))</f>
        <v>99</v>
      </c>
      <c r="AD434" s="160" t="str" cm="1">
        <f t="array" ref="AD434">IFERROR(_xlfn.XLOOKUP(1,(A434=PLT!$A$4:$A$8886)*(Geotech!C434&lt;=PLT!$F$4:$F$8886)*(Geotech!D434&gt;=PLT!$F$4:$F$8886)*("Valid"=PLT!$P$4:$P$8886),PLT!$V$4:$V$8886),"")</f>
        <v/>
      </c>
      <c r="AE434" s="161" t="str" cm="1">
        <f t="array" ref="AE434">IFERROR(_xlfn.XLOOKUP(1,(A434=PLT!$A$4:$A$8886)*(Geotech!C434&lt;=PLT!$F$4:$F$8886)*(Geotech!D434&gt;=PLT!$F$4:$F$8886)*(PLT!$V$4:$V$8886&lt;&gt;AD434)*("Valid"=PLT!$P$4:$P$7190),PLT!$V$4:$V$8886),"")</f>
        <v/>
      </c>
      <c r="AF434" s="161" t="str" cm="1">
        <f t="array" ref="AF434">IFERROR(_xlfn.XLOOKUP(1,(A434=PLT!$A$4:$A$8886)*(Geotech!C434&lt;=PLT!$F$4:$F$8886)*(Geotech!D434&gt;=PLT!$F$4:$F$8886)*(PLT!$V$4:$V$8886&lt;&gt;AD434)*(PLT!$V$4:$V$8886&lt;&gt;AE434)*("Valid"=PLT!$P$4:$P$7190),PLT!$V$4:$V$8886),"")</f>
        <v/>
      </c>
      <c r="AG434" s="162" t="str">
        <f>IFERROR(IF(AVERAGE(AD434:AF434)&gt;References!$BO$23,References!$BP$23,
IF(AVERAGE(AD434:AF434)&gt;References!$BO$22,References!$BP$22,
IF(AVERAGE(AD434:AF434)&gt;References!$BO$21,References!$BP$21,
IF(AVERAGE(AD434:AF434)&gt;References!$BO$20,References!$BP$20,
IF(AVERAGE(AD434:AF434)&gt;References!$BO$19,References!$BP$19,
IF(AVERAGE(AD434:AF434)&gt;References!$BO$18,References!$BP$18,
0)))))),"")</f>
        <v/>
      </c>
      <c r="AH434" s="163" t="e">
        <f>VLOOKUP(Data_Geotech[[#This Row],[Field Intact Rock Strength]],Table_RMR76_Strength[],2,FALSE)</f>
        <v>#N/A</v>
      </c>
      <c r="AI434" s="163" t="e">
        <f>IF(Data_Geotech[[#This Row],[RQD (%)]]&lt;=25,3,IF(Data_Geotech[[#This Row],[RQD (%)]]&lt;=50,8,IF(Data_Geotech[[#This Row],[RQD (%)]]&lt;=75,13,IF(Data_Geotech[[#This Row],[RQD (%)]]&lt;=90,17,20))))</f>
        <v>#DIV/0!</v>
      </c>
      <c r="AJ434" s="136">
        <f>IF(Data_Geotech[[#This Row],[Joint spacing (m)]]&lt;=0.05,5,IF(Data_Geotech[[#This Row],[Joint spacing (m)]]&lt;=0.3,10,IF(Data_Geotech[[#This Row],[Joint spacing (m)]]&lt;=1,20,IF(Data_Geotech[[#This Row],[Joint spacing (m)]]&lt;=3,25,30))))</f>
        <v>30</v>
      </c>
      <c r="AK43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4" s="6"/>
      <c r="AM434" s="137" t="str">
        <f>IF(Data_Geotech[[#This Row],[FIRS Code]]="R",IFERROR(SUM(Data_Geotech[[#This Row],[RMR76 - Strength rating]:[RMR76 - Ground water rating]]),""),"")</f>
        <v/>
      </c>
      <c r="AN434" s="164" t="str">
        <f>IF(Data_Geotech[[#This Row],[FIRS Code]]="R",(2*Data_Geotech[[#This Row],[RMR76 - Joint condition rating]])+(IF(Data_Geotech[[#This Row],[RQD (%)]]&gt;80,80/2,Data_Geotech[[#This Row],[RQD (%)]]/2)),"")</f>
        <v/>
      </c>
      <c r="AO434" s="136" t="e">
        <f>LEFT(Data_Geotech[[#This Row],[Joint Set Rating]],FIND("-",Data_Geotech[[#This Row],[Joint Set Rating]],1)-2)</f>
        <v>#VALUE!</v>
      </c>
      <c r="AP43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4" s="143">
        <f t="shared" si="10"/>
        <v>1</v>
      </c>
      <c r="AR434" s="165" t="str">
        <f>IF(Data_Geotech[[#This Row],[FIRS Code]]="R",IFERROR((IF(Data_Geotech[[#This Row],[RQD (%)]]&lt;10,10,Data_Geotech[[#This Row],[RQD (%)]])/Data_Geotech[[#This Row],[Jn rating]])*Data_Geotech[[#This Row],[Jr/Ja]],""),"")</f>
        <v/>
      </c>
      <c r="AS434" s="138" t="str">
        <f>IF(Data_Geotech[[#This Row],[FIRS Code]]="R",IFERROR((IF(Data_Geotech[[#This Row],[RQD (%)]]&lt;10,10,Data_Geotech[[#This Row],[RQD (%)]])/Data_Geotech[[#This Row],[Jn rating]])*Data_Geotech[[#This Row],[Jr/Ja]]*Data_Geotech[[#This Row],[Jw/SRF]],""),"")</f>
        <v/>
      </c>
      <c r="AT434" s="12"/>
      <c r="AU434" s="13" t="e">
        <f>100-Data_Geotech[[#This Row],[RQD (%)]]</f>
        <v>#DIV/0!</v>
      </c>
      <c r="AV434" s="13" t="e">
        <f>100-Data_Geotech[[#This Row],[TCR (%)]]</f>
        <v>#DIV/0!</v>
      </c>
      <c r="AW434" s="62" t="e">
        <f>(Data_Geotech[[#This Row],[Fracture per interval]]+Data_Geotech[[#This Row],[Added fractures 
(BC, FLT, LC)]])/Data_Geotech[[#This Row],[TCR (m)]]</f>
        <v>#DIV/0!</v>
      </c>
      <c r="AX434" s="62" t="str">
        <f>MID(Data_Geotech[[#This Row],[Field Intact Rock Strength]],2,1)</f>
        <v/>
      </c>
      <c r="AY434" s="63" t="e">
        <f>7-MID(Data_Geotech[[#This Row],[Field Intact Rock Strength]],2,1)</f>
        <v>#VALUE!</v>
      </c>
      <c r="AZ434" s="63" t="e">
        <f>VLOOKUP(Data_Geotech[[#This Row],[Field Intact Rock Strength]],Table_FieldStrength[],2,FALSE)</f>
        <v>#N/A</v>
      </c>
      <c r="BA434" s="63" t="e">
        <f>VLOOKUP(Data_Geotech[[#This Row],[Field Intact Rock Strength]],Table_FieldStrength[],3,FALSE)</f>
        <v>#N/A</v>
      </c>
      <c r="BB434" s="63" t="e">
        <f>VLOOKUP(Data_Geotech[[#This Row],[Field Intact Rock Strength]],Table_FieldStrength[],4,FALSE)</f>
        <v>#N/A</v>
      </c>
      <c r="BC434" s="63" t="e">
        <f>100-Data_Geotech[[#This Row],[RMR76]]</f>
        <v>#VALUE!</v>
      </c>
      <c r="BD434" s="63" t="e">
        <f>LEFT(Data_Geotech[[#This Row],[Weathering/Alteration]],FIND("-",Data_Geotech[[#This Row],[Weathering/Alteration]])-2)</f>
        <v>#VALUE!</v>
      </c>
    </row>
    <row r="435" spans="1:56" hidden="1" x14ac:dyDescent="0.25">
      <c r="A435" s="14"/>
      <c r="B435" s="166" t="e">
        <f>VLOOKUP(Data_Geotech[[#This Row],[Hole ID]],Data_Log[],2,FALSE)</f>
        <v>#N/A</v>
      </c>
      <c r="C435" s="5"/>
      <c r="D435" s="5"/>
      <c r="E435" s="5">
        <f>(Data_Geotech[[#This Row],[To (m)]]-Data_Geotech[[#This Row],[From (m)]])/2+Data_Geotech[[#This Row],[From (m)]]</f>
        <v>0</v>
      </c>
      <c r="F435" s="13">
        <f>Data_Geotech[[#This Row],[To (m)]]-Data_Geotech[[#This Row],[From (m)]]</f>
        <v>0</v>
      </c>
      <c r="G435" s="5"/>
      <c r="H435" s="13" t="e">
        <f>Data_Geotech[[#This Row],[TCR (m)]]/Data_Geotech[[#This Row],[Run (m)]]*100</f>
        <v>#DIV/0!</v>
      </c>
      <c r="I435" s="5"/>
      <c r="J435" s="5"/>
      <c r="K435" s="5"/>
      <c r="L435" s="13" t="e">
        <f>Data_Geotech[[#This Row],[RQD (m)]]/Data_Geotech[[#This Row],[Run Reel (m)]]*100</f>
        <v>#DIV/0!</v>
      </c>
      <c r="P435" s="115"/>
      <c r="Q435" s="5"/>
      <c r="R435" s="5"/>
      <c r="S435" s="5"/>
      <c r="T435" s="5"/>
      <c r="U435" s="5"/>
      <c r="V435" s="6"/>
      <c r="W435" s="92">
        <f>SUMIFS(Discontinuities!$D$4:$D$9664,Discontinuities!$A$4:$A$9664,A435,Discontinuities!$C$4:$C$9664,"&gt;="&amp;C435,Discontinuities!$C$4:$C$9664,"&lt;"&amp;D435)
-SUMIFS(Discontinuities!$D$4:$D$9664,Discontinuities!$A$4:$A$9664,A435,Discontinuities!$C$4:$C$9664,"&gt;="&amp;C435,Discontinuities!$C$4:$C$9664,"&lt;"&amp;D435,Discontinuities!$E$4:$E$9664,"=BC")
-SUMIFS(Discontinuities!$D$4:$D$9664,Discontinuities!$A$4:$A$9664,A435,Discontinuities!$C$4:$C$9664,"&gt;="&amp;C435,Discontinuities!$C$4:$C$9664,"&lt;"&amp;D435,Discontinuities!$E$4:$E$9664,"=LC")
-SUMIFS(Discontinuities!$D$4:$D$9664,Discontinuities!$A$4:$A$9664,A435,Discontinuities!$C$4:$C$9664,"&gt;="&amp;C435,Discontinuities!$C$4:$C$9664,"&lt;"&amp;D435,Discontinuities!$E$4:$E$9664,"=FLT")</f>
        <v>0</v>
      </c>
      <c r="AA435" s="132"/>
      <c r="AB435" s="159">
        <f>IFERROR(ROUND((Data_Geotech[[#This Row],[Fault (m)]]+Data_Geotech[[#This Row],[Broken Core (m)]]+Data_Geotech[[#This Row],[Lost Core (m)]])*30,0),0)</f>
        <v>0</v>
      </c>
      <c r="AC435" s="135">
        <f>IF(Data_Geotech[[#This Row],[Added fractures 
(BC, FLT, LC)]]+Data_Geotech[[#This Row],[Fracture per interval]]=0,99,1/((Data_Geotech[[#This Row],[Fracture per interval]]+Data_Geotech[[#This Row],[Added fractures 
(BC, FLT, LC)]])/Data_Geotech[[#This Row],[Run (m)]]))</f>
        <v>99</v>
      </c>
      <c r="AD435" s="160" t="str" cm="1">
        <f t="array" ref="AD435">IFERROR(_xlfn.XLOOKUP(1,(A435=PLT!$A$4:$A$8886)*(Geotech!C435&lt;=PLT!$F$4:$F$8886)*(Geotech!D435&gt;=PLT!$F$4:$F$8886)*("Valid"=PLT!$P$4:$P$8886),PLT!$V$4:$V$8886),"")</f>
        <v/>
      </c>
      <c r="AE435" s="161" t="str" cm="1">
        <f t="array" ref="AE435">IFERROR(_xlfn.XLOOKUP(1,(A435=PLT!$A$4:$A$8886)*(Geotech!C435&lt;=PLT!$F$4:$F$8886)*(Geotech!D435&gt;=PLT!$F$4:$F$8886)*(PLT!$V$4:$V$8886&lt;&gt;AD435)*("Valid"=PLT!$P$4:$P$7190),PLT!$V$4:$V$8886),"")</f>
        <v/>
      </c>
      <c r="AF435" s="161" t="str" cm="1">
        <f t="array" ref="AF435">IFERROR(_xlfn.XLOOKUP(1,(A435=PLT!$A$4:$A$8886)*(Geotech!C435&lt;=PLT!$F$4:$F$8886)*(Geotech!D435&gt;=PLT!$F$4:$F$8886)*(PLT!$V$4:$V$8886&lt;&gt;AD435)*(PLT!$V$4:$V$8886&lt;&gt;AE435)*("Valid"=PLT!$P$4:$P$7190),PLT!$V$4:$V$8886),"")</f>
        <v/>
      </c>
      <c r="AG435" s="162" t="str">
        <f>IFERROR(IF(AVERAGE(AD435:AF435)&gt;References!$BO$23,References!$BP$23,
IF(AVERAGE(AD435:AF435)&gt;References!$BO$22,References!$BP$22,
IF(AVERAGE(AD435:AF435)&gt;References!$BO$21,References!$BP$21,
IF(AVERAGE(AD435:AF435)&gt;References!$BO$20,References!$BP$20,
IF(AVERAGE(AD435:AF435)&gt;References!$BO$19,References!$BP$19,
IF(AVERAGE(AD435:AF435)&gt;References!$BO$18,References!$BP$18,
0)))))),"")</f>
        <v/>
      </c>
      <c r="AH435" s="163" t="e">
        <f>VLOOKUP(Data_Geotech[[#This Row],[Field Intact Rock Strength]],Table_RMR76_Strength[],2,FALSE)</f>
        <v>#N/A</v>
      </c>
      <c r="AI435" s="163" t="e">
        <f>IF(Data_Geotech[[#This Row],[RQD (%)]]&lt;=25,3,IF(Data_Geotech[[#This Row],[RQD (%)]]&lt;=50,8,IF(Data_Geotech[[#This Row],[RQD (%)]]&lt;=75,13,IF(Data_Geotech[[#This Row],[RQD (%)]]&lt;=90,17,20))))</f>
        <v>#DIV/0!</v>
      </c>
      <c r="AJ435" s="136">
        <f>IF(Data_Geotech[[#This Row],[Joint spacing (m)]]&lt;=0.05,5,IF(Data_Geotech[[#This Row],[Joint spacing (m)]]&lt;=0.3,10,IF(Data_Geotech[[#This Row],[Joint spacing (m)]]&lt;=1,20,IF(Data_Geotech[[#This Row],[Joint spacing (m)]]&lt;=3,25,30))))</f>
        <v>30</v>
      </c>
      <c r="AK43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5" s="6"/>
      <c r="AM435" s="137" t="str">
        <f>IF(Data_Geotech[[#This Row],[FIRS Code]]="R",IFERROR(SUM(Data_Geotech[[#This Row],[RMR76 - Strength rating]:[RMR76 - Ground water rating]]),""),"")</f>
        <v/>
      </c>
      <c r="AN435" s="164" t="str">
        <f>IF(Data_Geotech[[#This Row],[FIRS Code]]="R",(2*Data_Geotech[[#This Row],[RMR76 - Joint condition rating]])+(IF(Data_Geotech[[#This Row],[RQD (%)]]&gt;80,80/2,Data_Geotech[[#This Row],[RQD (%)]]/2)),"")</f>
        <v/>
      </c>
      <c r="AO435" s="136" t="e">
        <f>LEFT(Data_Geotech[[#This Row],[Joint Set Rating]],FIND("-",Data_Geotech[[#This Row],[Joint Set Rating]],1)-2)</f>
        <v>#VALUE!</v>
      </c>
      <c r="AP43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5" s="143">
        <f t="shared" si="10"/>
        <v>1</v>
      </c>
      <c r="AR435" s="165" t="str">
        <f>IF(Data_Geotech[[#This Row],[FIRS Code]]="R",IFERROR((IF(Data_Geotech[[#This Row],[RQD (%)]]&lt;10,10,Data_Geotech[[#This Row],[RQD (%)]])/Data_Geotech[[#This Row],[Jn rating]])*Data_Geotech[[#This Row],[Jr/Ja]],""),"")</f>
        <v/>
      </c>
      <c r="AS435" s="138" t="str">
        <f>IF(Data_Geotech[[#This Row],[FIRS Code]]="R",IFERROR((IF(Data_Geotech[[#This Row],[RQD (%)]]&lt;10,10,Data_Geotech[[#This Row],[RQD (%)]])/Data_Geotech[[#This Row],[Jn rating]])*Data_Geotech[[#This Row],[Jr/Ja]]*Data_Geotech[[#This Row],[Jw/SRF]],""),"")</f>
        <v/>
      </c>
      <c r="AT435" s="12"/>
      <c r="AU435" s="13" t="e">
        <f>100-Data_Geotech[[#This Row],[RQD (%)]]</f>
        <v>#DIV/0!</v>
      </c>
      <c r="AV435" s="13" t="e">
        <f>100-Data_Geotech[[#This Row],[TCR (%)]]</f>
        <v>#DIV/0!</v>
      </c>
      <c r="AW435" s="62" t="e">
        <f>(Data_Geotech[[#This Row],[Fracture per interval]]+Data_Geotech[[#This Row],[Added fractures 
(BC, FLT, LC)]])/Data_Geotech[[#This Row],[TCR (m)]]</f>
        <v>#DIV/0!</v>
      </c>
      <c r="AX435" s="62" t="str">
        <f>MID(Data_Geotech[[#This Row],[Field Intact Rock Strength]],2,1)</f>
        <v/>
      </c>
      <c r="AY435" s="63" t="e">
        <f>7-MID(Data_Geotech[[#This Row],[Field Intact Rock Strength]],2,1)</f>
        <v>#VALUE!</v>
      </c>
      <c r="AZ435" s="63" t="e">
        <f>VLOOKUP(Data_Geotech[[#This Row],[Field Intact Rock Strength]],Table_FieldStrength[],2,FALSE)</f>
        <v>#N/A</v>
      </c>
      <c r="BA435" s="63" t="e">
        <f>VLOOKUP(Data_Geotech[[#This Row],[Field Intact Rock Strength]],Table_FieldStrength[],3,FALSE)</f>
        <v>#N/A</v>
      </c>
      <c r="BB435" s="63" t="e">
        <f>VLOOKUP(Data_Geotech[[#This Row],[Field Intact Rock Strength]],Table_FieldStrength[],4,FALSE)</f>
        <v>#N/A</v>
      </c>
      <c r="BC435" s="63" t="e">
        <f>100-Data_Geotech[[#This Row],[RMR76]]</f>
        <v>#VALUE!</v>
      </c>
      <c r="BD435" s="63" t="e">
        <f>LEFT(Data_Geotech[[#This Row],[Weathering/Alteration]],FIND("-",Data_Geotech[[#This Row],[Weathering/Alteration]])-2)</f>
        <v>#VALUE!</v>
      </c>
    </row>
    <row r="436" spans="1:56" hidden="1" x14ac:dyDescent="0.25">
      <c r="A436" s="14"/>
      <c r="B436" s="166" t="e">
        <f>VLOOKUP(Data_Geotech[[#This Row],[Hole ID]],Data_Log[],2,FALSE)</f>
        <v>#N/A</v>
      </c>
      <c r="C436" s="5"/>
      <c r="D436" s="5"/>
      <c r="E436" s="5">
        <f>(Data_Geotech[[#This Row],[To (m)]]-Data_Geotech[[#This Row],[From (m)]])/2+Data_Geotech[[#This Row],[From (m)]]</f>
        <v>0</v>
      </c>
      <c r="F436" s="13">
        <f>Data_Geotech[[#This Row],[To (m)]]-Data_Geotech[[#This Row],[From (m)]]</f>
        <v>0</v>
      </c>
      <c r="G436" s="5"/>
      <c r="H436" s="13" t="e">
        <f>Data_Geotech[[#This Row],[TCR (m)]]/Data_Geotech[[#This Row],[Run (m)]]*100</f>
        <v>#DIV/0!</v>
      </c>
      <c r="I436" s="5"/>
      <c r="J436" s="5"/>
      <c r="K436" s="5"/>
      <c r="L436" s="13" t="e">
        <f>Data_Geotech[[#This Row],[RQD (m)]]/Data_Geotech[[#This Row],[Run Reel (m)]]*100</f>
        <v>#DIV/0!</v>
      </c>
      <c r="P436" s="115"/>
      <c r="Q436" s="5"/>
      <c r="R436" s="5"/>
      <c r="S436" s="5"/>
      <c r="T436" s="5"/>
      <c r="U436" s="5"/>
      <c r="V436" s="6"/>
      <c r="W436" s="92">
        <f>SUMIFS(Discontinuities!$D$4:$D$9664,Discontinuities!$A$4:$A$9664,A436,Discontinuities!$C$4:$C$9664,"&gt;="&amp;C436,Discontinuities!$C$4:$C$9664,"&lt;"&amp;D436)
-SUMIFS(Discontinuities!$D$4:$D$9664,Discontinuities!$A$4:$A$9664,A436,Discontinuities!$C$4:$C$9664,"&gt;="&amp;C436,Discontinuities!$C$4:$C$9664,"&lt;"&amp;D436,Discontinuities!$E$4:$E$9664,"=BC")
-SUMIFS(Discontinuities!$D$4:$D$9664,Discontinuities!$A$4:$A$9664,A436,Discontinuities!$C$4:$C$9664,"&gt;="&amp;C436,Discontinuities!$C$4:$C$9664,"&lt;"&amp;D436,Discontinuities!$E$4:$E$9664,"=LC")
-SUMIFS(Discontinuities!$D$4:$D$9664,Discontinuities!$A$4:$A$9664,A436,Discontinuities!$C$4:$C$9664,"&gt;="&amp;C436,Discontinuities!$C$4:$C$9664,"&lt;"&amp;D436,Discontinuities!$E$4:$E$9664,"=FLT")</f>
        <v>0</v>
      </c>
      <c r="AA436" s="132"/>
      <c r="AB436" s="159">
        <f>IFERROR(ROUND((Data_Geotech[[#This Row],[Fault (m)]]+Data_Geotech[[#This Row],[Broken Core (m)]]+Data_Geotech[[#This Row],[Lost Core (m)]])*30,0),0)</f>
        <v>0</v>
      </c>
      <c r="AC436" s="135">
        <f>IF(Data_Geotech[[#This Row],[Added fractures 
(BC, FLT, LC)]]+Data_Geotech[[#This Row],[Fracture per interval]]=0,99,1/((Data_Geotech[[#This Row],[Fracture per interval]]+Data_Geotech[[#This Row],[Added fractures 
(BC, FLT, LC)]])/Data_Geotech[[#This Row],[Run (m)]]))</f>
        <v>99</v>
      </c>
      <c r="AD436" s="160" t="str" cm="1">
        <f t="array" ref="AD436">IFERROR(_xlfn.XLOOKUP(1,(A436=PLT!$A$4:$A$8886)*(Geotech!C436&lt;=PLT!$F$4:$F$8886)*(Geotech!D436&gt;=PLT!$F$4:$F$8886)*("Valid"=PLT!$P$4:$P$8886),PLT!$V$4:$V$8886),"")</f>
        <v/>
      </c>
      <c r="AE436" s="161" t="str" cm="1">
        <f t="array" ref="AE436">IFERROR(_xlfn.XLOOKUP(1,(A436=PLT!$A$4:$A$8886)*(Geotech!C436&lt;=PLT!$F$4:$F$8886)*(Geotech!D436&gt;=PLT!$F$4:$F$8886)*(PLT!$V$4:$V$8886&lt;&gt;AD436)*("Valid"=PLT!$P$4:$P$7190),PLT!$V$4:$V$8886),"")</f>
        <v/>
      </c>
      <c r="AF436" s="161" t="str" cm="1">
        <f t="array" ref="AF436">IFERROR(_xlfn.XLOOKUP(1,(A436=PLT!$A$4:$A$8886)*(Geotech!C436&lt;=PLT!$F$4:$F$8886)*(Geotech!D436&gt;=PLT!$F$4:$F$8886)*(PLT!$V$4:$V$8886&lt;&gt;AD436)*(PLT!$V$4:$V$8886&lt;&gt;AE436)*("Valid"=PLT!$P$4:$P$7190),PLT!$V$4:$V$8886),"")</f>
        <v/>
      </c>
      <c r="AG436" s="162" t="str">
        <f>IFERROR(IF(AVERAGE(AD436:AF436)&gt;References!$BO$23,References!$BP$23,
IF(AVERAGE(AD436:AF436)&gt;References!$BO$22,References!$BP$22,
IF(AVERAGE(AD436:AF436)&gt;References!$BO$21,References!$BP$21,
IF(AVERAGE(AD436:AF436)&gt;References!$BO$20,References!$BP$20,
IF(AVERAGE(AD436:AF436)&gt;References!$BO$19,References!$BP$19,
IF(AVERAGE(AD436:AF436)&gt;References!$BO$18,References!$BP$18,
0)))))),"")</f>
        <v/>
      </c>
      <c r="AH436" s="163" t="e">
        <f>VLOOKUP(Data_Geotech[[#This Row],[Field Intact Rock Strength]],Table_RMR76_Strength[],2,FALSE)</f>
        <v>#N/A</v>
      </c>
      <c r="AI436" s="163" t="e">
        <f>IF(Data_Geotech[[#This Row],[RQD (%)]]&lt;=25,3,IF(Data_Geotech[[#This Row],[RQD (%)]]&lt;=50,8,IF(Data_Geotech[[#This Row],[RQD (%)]]&lt;=75,13,IF(Data_Geotech[[#This Row],[RQD (%)]]&lt;=90,17,20))))</f>
        <v>#DIV/0!</v>
      </c>
      <c r="AJ436" s="136">
        <f>IF(Data_Geotech[[#This Row],[Joint spacing (m)]]&lt;=0.05,5,IF(Data_Geotech[[#This Row],[Joint spacing (m)]]&lt;=0.3,10,IF(Data_Geotech[[#This Row],[Joint spacing (m)]]&lt;=1,20,IF(Data_Geotech[[#This Row],[Joint spacing (m)]]&lt;=3,25,30))))</f>
        <v>30</v>
      </c>
      <c r="AK43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6" s="6"/>
      <c r="AM436" s="137" t="str">
        <f>IF(Data_Geotech[[#This Row],[FIRS Code]]="R",IFERROR(SUM(Data_Geotech[[#This Row],[RMR76 - Strength rating]:[RMR76 - Ground water rating]]),""),"")</f>
        <v/>
      </c>
      <c r="AN436" s="164" t="str">
        <f>IF(Data_Geotech[[#This Row],[FIRS Code]]="R",(2*Data_Geotech[[#This Row],[RMR76 - Joint condition rating]])+(IF(Data_Geotech[[#This Row],[RQD (%)]]&gt;80,80/2,Data_Geotech[[#This Row],[RQD (%)]]/2)),"")</f>
        <v/>
      </c>
      <c r="AO436" s="136" t="e">
        <f>LEFT(Data_Geotech[[#This Row],[Joint Set Rating]],FIND("-",Data_Geotech[[#This Row],[Joint Set Rating]],1)-2)</f>
        <v>#VALUE!</v>
      </c>
      <c r="AP43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6" s="143">
        <f t="shared" si="10"/>
        <v>1</v>
      </c>
      <c r="AR436" s="165" t="str">
        <f>IF(Data_Geotech[[#This Row],[FIRS Code]]="R",IFERROR((IF(Data_Geotech[[#This Row],[RQD (%)]]&lt;10,10,Data_Geotech[[#This Row],[RQD (%)]])/Data_Geotech[[#This Row],[Jn rating]])*Data_Geotech[[#This Row],[Jr/Ja]],""),"")</f>
        <v/>
      </c>
      <c r="AS436" s="138" t="str">
        <f>IF(Data_Geotech[[#This Row],[FIRS Code]]="R",IFERROR((IF(Data_Geotech[[#This Row],[RQD (%)]]&lt;10,10,Data_Geotech[[#This Row],[RQD (%)]])/Data_Geotech[[#This Row],[Jn rating]])*Data_Geotech[[#This Row],[Jr/Ja]]*Data_Geotech[[#This Row],[Jw/SRF]],""),"")</f>
        <v/>
      </c>
      <c r="AT436" s="12"/>
      <c r="AU436" s="13" t="e">
        <f>100-Data_Geotech[[#This Row],[RQD (%)]]</f>
        <v>#DIV/0!</v>
      </c>
      <c r="AV436" s="13" t="e">
        <f>100-Data_Geotech[[#This Row],[TCR (%)]]</f>
        <v>#DIV/0!</v>
      </c>
      <c r="AW436" s="62" t="e">
        <f>(Data_Geotech[[#This Row],[Fracture per interval]]+Data_Geotech[[#This Row],[Added fractures 
(BC, FLT, LC)]])/Data_Geotech[[#This Row],[TCR (m)]]</f>
        <v>#DIV/0!</v>
      </c>
      <c r="AX436" s="62" t="str">
        <f>MID(Data_Geotech[[#This Row],[Field Intact Rock Strength]],2,1)</f>
        <v/>
      </c>
      <c r="AY436" s="63" t="e">
        <f>7-MID(Data_Geotech[[#This Row],[Field Intact Rock Strength]],2,1)</f>
        <v>#VALUE!</v>
      </c>
      <c r="AZ436" s="63" t="e">
        <f>VLOOKUP(Data_Geotech[[#This Row],[Field Intact Rock Strength]],Table_FieldStrength[],2,FALSE)</f>
        <v>#N/A</v>
      </c>
      <c r="BA436" s="63" t="e">
        <f>VLOOKUP(Data_Geotech[[#This Row],[Field Intact Rock Strength]],Table_FieldStrength[],3,FALSE)</f>
        <v>#N/A</v>
      </c>
      <c r="BB436" s="63" t="e">
        <f>VLOOKUP(Data_Geotech[[#This Row],[Field Intact Rock Strength]],Table_FieldStrength[],4,FALSE)</f>
        <v>#N/A</v>
      </c>
      <c r="BC436" s="63" t="e">
        <f>100-Data_Geotech[[#This Row],[RMR76]]</f>
        <v>#VALUE!</v>
      </c>
      <c r="BD436" s="63" t="e">
        <f>LEFT(Data_Geotech[[#This Row],[Weathering/Alteration]],FIND("-",Data_Geotech[[#This Row],[Weathering/Alteration]])-2)</f>
        <v>#VALUE!</v>
      </c>
    </row>
    <row r="437" spans="1:56" hidden="1" x14ac:dyDescent="0.25">
      <c r="A437" s="14"/>
      <c r="B437" s="166" t="e">
        <f>VLOOKUP(Data_Geotech[[#This Row],[Hole ID]],Data_Log[],2,FALSE)</f>
        <v>#N/A</v>
      </c>
      <c r="C437" s="5"/>
      <c r="D437" s="5"/>
      <c r="E437" s="5">
        <f>(Data_Geotech[[#This Row],[To (m)]]-Data_Geotech[[#This Row],[From (m)]])/2+Data_Geotech[[#This Row],[From (m)]]</f>
        <v>0</v>
      </c>
      <c r="F437" s="13">
        <f>Data_Geotech[[#This Row],[To (m)]]-Data_Geotech[[#This Row],[From (m)]]</f>
        <v>0</v>
      </c>
      <c r="G437" s="5"/>
      <c r="H437" s="13" t="e">
        <f>Data_Geotech[[#This Row],[TCR (m)]]/Data_Geotech[[#This Row],[Run (m)]]*100</f>
        <v>#DIV/0!</v>
      </c>
      <c r="I437" s="5"/>
      <c r="J437" s="5"/>
      <c r="K437" s="5"/>
      <c r="L437" s="13" t="e">
        <f>Data_Geotech[[#This Row],[RQD (m)]]/Data_Geotech[[#This Row],[Run Reel (m)]]*100</f>
        <v>#DIV/0!</v>
      </c>
      <c r="P437" s="115"/>
      <c r="Q437" s="5"/>
      <c r="R437" s="5"/>
      <c r="S437" s="5"/>
      <c r="T437" s="5"/>
      <c r="U437" s="5"/>
      <c r="V437" s="6"/>
      <c r="W437" s="92">
        <f>SUMIFS(Discontinuities!$D$4:$D$9664,Discontinuities!$A$4:$A$9664,A437,Discontinuities!$C$4:$C$9664,"&gt;="&amp;C437,Discontinuities!$C$4:$C$9664,"&lt;"&amp;D437)
-SUMIFS(Discontinuities!$D$4:$D$9664,Discontinuities!$A$4:$A$9664,A437,Discontinuities!$C$4:$C$9664,"&gt;="&amp;C437,Discontinuities!$C$4:$C$9664,"&lt;"&amp;D437,Discontinuities!$E$4:$E$9664,"=BC")
-SUMIFS(Discontinuities!$D$4:$D$9664,Discontinuities!$A$4:$A$9664,A437,Discontinuities!$C$4:$C$9664,"&gt;="&amp;C437,Discontinuities!$C$4:$C$9664,"&lt;"&amp;D437,Discontinuities!$E$4:$E$9664,"=LC")
-SUMIFS(Discontinuities!$D$4:$D$9664,Discontinuities!$A$4:$A$9664,A437,Discontinuities!$C$4:$C$9664,"&gt;="&amp;C437,Discontinuities!$C$4:$C$9664,"&lt;"&amp;D437,Discontinuities!$E$4:$E$9664,"=FLT")</f>
        <v>0</v>
      </c>
      <c r="AA437" s="132"/>
      <c r="AB437" s="159">
        <f>IFERROR(ROUND((Data_Geotech[[#This Row],[Fault (m)]]+Data_Geotech[[#This Row],[Broken Core (m)]]+Data_Geotech[[#This Row],[Lost Core (m)]])*30,0),0)</f>
        <v>0</v>
      </c>
      <c r="AC437" s="135">
        <f>IF(Data_Geotech[[#This Row],[Added fractures 
(BC, FLT, LC)]]+Data_Geotech[[#This Row],[Fracture per interval]]=0,99,1/((Data_Geotech[[#This Row],[Fracture per interval]]+Data_Geotech[[#This Row],[Added fractures 
(BC, FLT, LC)]])/Data_Geotech[[#This Row],[Run (m)]]))</f>
        <v>99</v>
      </c>
      <c r="AD437" s="160" t="str" cm="1">
        <f t="array" ref="AD437">IFERROR(_xlfn.XLOOKUP(1,(A437=PLT!$A$4:$A$8886)*(Geotech!C437&lt;=PLT!$F$4:$F$8886)*(Geotech!D437&gt;=PLT!$F$4:$F$8886)*("Valid"=PLT!$P$4:$P$8886),PLT!$V$4:$V$8886),"")</f>
        <v/>
      </c>
      <c r="AE437" s="161" t="str" cm="1">
        <f t="array" ref="AE437">IFERROR(_xlfn.XLOOKUP(1,(A437=PLT!$A$4:$A$8886)*(Geotech!C437&lt;=PLT!$F$4:$F$8886)*(Geotech!D437&gt;=PLT!$F$4:$F$8886)*(PLT!$V$4:$V$8886&lt;&gt;AD437)*("Valid"=PLT!$P$4:$P$7190),PLT!$V$4:$V$8886),"")</f>
        <v/>
      </c>
      <c r="AF437" s="161" t="str" cm="1">
        <f t="array" ref="AF437">IFERROR(_xlfn.XLOOKUP(1,(A437=PLT!$A$4:$A$8886)*(Geotech!C437&lt;=PLT!$F$4:$F$8886)*(Geotech!D437&gt;=PLT!$F$4:$F$8886)*(PLT!$V$4:$V$8886&lt;&gt;AD437)*(PLT!$V$4:$V$8886&lt;&gt;AE437)*("Valid"=PLT!$P$4:$P$7190),PLT!$V$4:$V$8886),"")</f>
        <v/>
      </c>
      <c r="AG437" s="162" t="str">
        <f>IFERROR(IF(AVERAGE(AD437:AF437)&gt;References!$BO$23,References!$BP$23,
IF(AVERAGE(AD437:AF437)&gt;References!$BO$22,References!$BP$22,
IF(AVERAGE(AD437:AF437)&gt;References!$BO$21,References!$BP$21,
IF(AVERAGE(AD437:AF437)&gt;References!$BO$20,References!$BP$20,
IF(AVERAGE(AD437:AF437)&gt;References!$BO$19,References!$BP$19,
IF(AVERAGE(AD437:AF437)&gt;References!$BO$18,References!$BP$18,
0)))))),"")</f>
        <v/>
      </c>
      <c r="AH437" s="163" t="e">
        <f>VLOOKUP(Data_Geotech[[#This Row],[Field Intact Rock Strength]],Table_RMR76_Strength[],2,FALSE)</f>
        <v>#N/A</v>
      </c>
      <c r="AI437" s="163" t="e">
        <f>IF(Data_Geotech[[#This Row],[RQD (%)]]&lt;=25,3,IF(Data_Geotech[[#This Row],[RQD (%)]]&lt;=50,8,IF(Data_Geotech[[#This Row],[RQD (%)]]&lt;=75,13,IF(Data_Geotech[[#This Row],[RQD (%)]]&lt;=90,17,20))))</f>
        <v>#DIV/0!</v>
      </c>
      <c r="AJ437" s="136">
        <f>IF(Data_Geotech[[#This Row],[Joint spacing (m)]]&lt;=0.05,5,IF(Data_Geotech[[#This Row],[Joint spacing (m)]]&lt;=0.3,10,IF(Data_Geotech[[#This Row],[Joint spacing (m)]]&lt;=1,20,IF(Data_Geotech[[#This Row],[Joint spacing (m)]]&lt;=3,25,30))))</f>
        <v>30</v>
      </c>
      <c r="AK43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7" s="6"/>
      <c r="AM437" s="137" t="str">
        <f>IF(Data_Geotech[[#This Row],[FIRS Code]]="R",IFERROR(SUM(Data_Geotech[[#This Row],[RMR76 - Strength rating]:[RMR76 - Ground water rating]]),""),"")</f>
        <v/>
      </c>
      <c r="AN437" s="164" t="str">
        <f>IF(Data_Geotech[[#This Row],[FIRS Code]]="R",(2*Data_Geotech[[#This Row],[RMR76 - Joint condition rating]])+(IF(Data_Geotech[[#This Row],[RQD (%)]]&gt;80,80/2,Data_Geotech[[#This Row],[RQD (%)]]/2)),"")</f>
        <v/>
      </c>
      <c r="AO437" s="136" t="e">
        <f>LEFT(Data_Geotech[[#This Row],[Joint Set Rating]],FIND("-",Data_Geotech[[#This Row],[Joint Set Rating]],1)-2)</f>
        <v>#VALUE!</v>
      </c>
      <c r="AP43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7" s="143">
        <f t="shared" si="10"/>
        <v>1</v>
      </c>
      <c r="AR437" s="165" t="str">
        <f>IF(Data_Geotech[[#This Row],[FIRS Code]]="R",IFERROR((IF(Data_Geotech[[#This Row],[RQD (%)]]&lt;10,10,Data_Geotech[[#This Row],[RQD (%)]])/Data_Geotech[[#This Row],[Jn rating]])*Data_Geotech[[#This Row],[Jr/Ja]],""),"")</f>
        <v/>
      </c>
      <c r="AS437" s="138" t="str">
        <f>IF(Data_Geotech[[#This Row],[FIRS Code]]="R",IFERROR((IF(Data_Geotech[[#This Row],[RQD (%)]]&lt;10,10,Data_Geotech[[#This Row],[RQD (%)]])/Data_Geotech[[#This Row],[Jn rating]])*Data_Geotech[[#This Row],[Jr/Ja]]*Data_Geotech[[#This Row],[Jw/SRF]],""),"")</f>
        <v/>
      </c>
      <c r="AT437" s="12"/>
      <c r="AU437" s="13" t="e">
        <f>100-Data_Geotech[[#This Row],[RQD (%)]]</f>
        <v>#DIV/0!</v>
      </c>
      <c r="AV437" s="13" t="e">
        <f>100-Data_Geotech[[#This Row],[TCR (%)]]</f>
        <v>#DIV/0!</v>
      </c>
      <c r="AW437" s="62" t="e">
        <f>(Data_Geotech[[#This Row],[Fracture per interval]]+Data_Geotech[[#This Row],[Added fractures 
(BC, FLT, LC)]])/Data_Geotech[[#This Row],[TCR (m)]]</f>
        <v>#DIV/0!</v>
      </c>
      <c r="AX437" s="62" t="str">
        <f>MID(Data_Geotech[[#This Row],[Field Intact Rock Strength]],2,1)</f>
        <v/>
      </c>
      <c r="AY437" s="63" t="e">
        <f>7-MID(Data_Geotech[[#This Row],[Field Intact Rock Strength]],2,1)</f>
        <v>#VALUE!</v>
      </c>
      <c r="AZ437" s="63" t="e">
        <f>VLOOKUP(Data_Geotech[[#This Row],[Field Intact Rock Strength]],Table_FieldStrength[],2,FALSE)</f>
        <v>#N/A</v>
      </c>
      <c r="BA437" s="63" t="e">
        <f>VLOOKUP(Data_Geotech[[#This Row],[Field Intact Rock Strength]],Table_FieldStrength[],3,FALSE)</f>
        <v>#N/A</v>
      </c>
      <c r="BB437" s="63" t="e">
        <f>VLOOKUP(Data_Geotech[[#This Row],[Field Intact Rock Strength]],Table_FieldStrength[],4,FALSE)</f>
        <v>#N/A</v>
      </c>
      <c r="BC437" s="63" t="e">
        <f>100-Data_Geotech[[#This Row],[RMR76]]</f>
        <v>#VALUE!</v>
      </c>
      <c r="BD437" s="63" t="e">
        <f>LEFT(Data_Geotech[[#This Row],[Weathering/Alteration]],FIND("-",Data_Geotech[[#This Row],[Weathering/Alteration]])-2)</f>
        <v>#VALUE!</v>
      </c>
    </row>
    <row r="438" spans="1:56" hidden="1" x14ac:dyDescent="0.25">
      <c r="A438" s="14"/>
      <c r="B438" s="166" t="e">
        <f>VLOOKUP(Data_Geotech[[#This Row],[Hole ID]],Data_Log[],2,FALSE)</f>
        <v>#N/A</v>
      </c>
      <c r="C438" s="5"/>
      <c r="D438" s="5"/>
      <c r="E438" s="5">
        <f>(Data_Geotech[[#This Row],[To (m)]]-Data_Geotech[[#This Row],[From (m)]])/2+Data_Geotech[[#This Row],[From (m)]]</f>
        <v>0</v>
      </c>
      <c r="F438" s="13">
        <f>Data_Geotech[[#This Row],[To (m)]]-Data_Geotech[[#This Row],[From (m)]]</f>
        <v>0</v>
      </c>
      <c r="G438" s="5"/>
      <c r="H438" s="13" t="e">
        <f>Data_Geotech[[#This Row],[TCR (m)]]/Data_Geotech[[#This Row],[Run (m)]]*100</f>
        <v>#DIV/0!</v>
      </c>
      <c r="I438" s="5"/>
      <c r="J438" s="5"/>
      <c r="K438" s="5"/>
      <c r="L438" s="13" t="e">
        <f>Data_Geotech[[#This Row],[RQD (m)]]/Data_Geotech[[#This Row],[Run Reel (m)]]*100</f>
        <v>#DIV/0!</v>
      </c>
      <c r="P438" s="115"/>
      <c r="Q438" s="5"/>
      <c r="R438" s="5"/>
      <c r="S438" s="5"/>
      <c r="T438" s="5"/>
      <c r="U438" s="5"/>
      <c r="V438" s="6"/>
      <c r="W438" s="92">
        <f>SUMIFS(Discontinuities!$D$4:$D$9664,Discontinuities!$A$4:$A$9664,A438,Discontinuities!$C$4:$C$9664,"&gt;="&amp;C438,Discontinuities!$C$4:$C$9664,"&lt;"&amp;D438)
-SUMIFS(Discontinuities!$D$4:$D$9664,Discontinuities!$A$4:$A$9664,A438,Discontinuities!$C$4:$C$9664,"&gt;="&amp;C438,Discontinuities!$C$4:$C$9664,"&lt;"&amp;D438,Discontinuities!$E$4:$E$9664,"=BC")
-SUMIFS(Discontinuities!$D$4:$D$9664,Discontinuities!$A$4:$A$9664,A438,Discontinuities!$C$4:$C$9664,"&gt;="&amp;C438,Discontinuities!$C$4:$C$9664,"&lt;"&amp;D438,Discontinuities!$E$4:$E$9664,"=LC")
-SUMIFS(Discontinuities!$D$4:$D$9664,Discontinuities!$A$4:$A$9664,A438,Discontinuities!$C$4:$C$9664,"&gt;="&amp;C438,Discontinuities!$C$4:$C$9664,"&lt;"&amp;D438,Discontinuities!$E$4:$E$9664,"=FLT")</f>
        <v>0</v>
      </c>
      <c r="AA438" s="132"/>
      <c r="AB438" s="159">
        <f>IFERROR(ROUND((Data_Geotech[[#This Row],[Fault (m)]]+Data_Geotech[[#This Row],[Broken Core (m)]]+Data_Geotech[[#This Row],[Lost Core (m)]])*30,0),0)</f>
        <v>0</v>
      </c>
      <c r="AC438" s="135">
        <f>IF(Data_Geotech[[#This Row],[Added fractures 
(BC, FLT, LC)]]+Data_Geotech[[#This Row],[Fracture per interval]]=0,99,1/((Data_Geotech[[#This Row],[Fracture per interval]]+Data_Geotech[[#This Row],[Added fractures 
(BC, FLT, LC)]])/Data_Geotech[[#This Row],[Run (m)]]))</f>
        <v>99</v>
      </c>
      <c r="AD438" s="160" t="str" cm="1">
        <f t="array" ref="AD438">IFERROR(_xlfn.XLOOKUP(1,(A438=PLT!$A$4:$A$8886)*(Geotech!C438&lt;=PLT!$F$4:$F$8886)*(Geotech!D438&gt;=PLT!$F$4:$F$8886)*("Valid"=PLT!$P$4:$P$8886),PLT!$V$4:$V$8886),"")</f>
        <v/>
      </c>
      <c r="AE438" s="161" t="str" cm="1">
        <f t="array" ref="AE438">IFERROR(_xlfn.XLOOKUP(1,(A438=PLT!$A$4:$A$8886)*(Geotech!C438&lt;=PLT!$F$4:$F$8886)*(Geotech!D438&gt;=PLT!$F$4:$F$8886)*(PLT!$V$4:$V$8886&lt;&gt;AD438)*("Valid"=PLT!$P$4:$P$7190),PLT!$V$4:$V$8886),"")</f>
        <v/>
      </c>
      <c r="AF438" s="161" t="str" cm="1">
        <f t="array" ref="AF438">IFERROR(_xlfn.XLOOKUP(1,(A438=PLT!$A$4:$A$8886)*(Geotech!C438&lt;=PLT!$F$4:$F$8886)*(Geotech!D438&gt;=PLT!$F$4:$F$8886)*(PLT!$V$4:$V$8886&lt;&gt;AD438)*(PLT!$V$4:$V$8886&lt;&gt;AE438)*("Valid"=PLT!$P$4:$P$7190),PLT!$V$4:$V$8886),"")</f>
        <v/>
      </c>
      <c r="AG438" s="162" t="str">
        <f>IFERROR(IF(AVERAGE(AD438:AF438)&gt;References!$BO$23,References!$BP$23,
IF(AVERAGE(AD438:AF438)&gt;References!$BO$22,References!$BP$22,
IF(AVERAGE(AD438:AF438)&gt;References!$BO$21,References!$BP$21,
IF(AVERAGE(AD438:AF438)&gt;References!$BO$20,References!$BP$20,
IF(AVERAGE(AD438:AF438)&gt;References!$BO$19,References!$BP$19,
IF(AVERAGE(AD438:AF438)&gt;References!$BO$18,References!$BP$18,
0)))))),"")</f>
        <v/>
      </c>
      <c r="AH438" s="163" t="e">
        <f>VLOOKUP(Data_Geotech[[#This Row],[Field Intact Rock Strength]],Table_RMR76_Strength[],2,FALSE)</f>
        <v>#N/A</v>
      </c>
      <c r="AI438" s="163" t="e">
        <f>IF(Data_Geotech[[#This Row],[RQD (%)]]&lt;=25,3,IF(Data_Geotech[[#This Row],[RQD (%)]]&lt;=50,8,IF(Data_Geotech[[#This Row],[RQD (%)]]&lt;=75,13,IF(Data_Geotech[[#This Row],[RQD (%)]]&lt;=90,17,20))))</f>
        <v>#DIV/0!</v>
      </c>
      <c r="AJ438" s="136">
        <f>IF(Data_Geotech[[#This Row],[Joint spacing (m)]]&lt;=0.05,5,IF(Data_Geotech[[#This Row],[Joint spacing (m)]]&lt;=0.3,10,IF(Data_Geotech[[#This Row],[Joint spacing (m)]]&lt;=1,20,IF(Data_Geotech[[#This Row],[Joint spacing (m)]]&lt;=3,25,30))))</f>
        <v>30</v>
      </c>
      <c r="AK43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8" s="6"/>
      <c r="AM438" s="137" t="str">
        <f>IF(Data_Geotech[[#This Row],[FIRS Code]]="R",IFERROR(SUM(Data_Geotech[[#This Row],[RMR76 - Strength rating]:[RMR76 - Ground water rating]]),""),"")</f>
        <v/>
      </c>
      <c r="AN438" s="164" t="str">
        <f>IF(Data_Geotech[[#This Row],[FIRS Code]]="R",(2*Data_Geotech[[#This Row],[RMR76 - Joint condition rating]])+(IF(Data_Geotech[[#This Row],[RQD (%)]]&gt;80,80/2,Data_Geotech[[#This Row],[RQD (%)]]/2)),"")</f>
        <v/>
      </c>
      <c r="AO438" s="136" t="e">
        <f>LEFT(Data_Geotech[[#This Row],[Joint Set Rating]],FIND("-",Data_Geotech[[#This Row],[Joint Set Rating]],1)-2)</f>
        <v>#VALUE!</v>
      </c>
      <c r="AP43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8" s="143">
        <f t="shared" si="10"/>
        <v>1</v>
      </c>
      <c r="AR438" s="165" t="str">
        <f>IF(Data_Geotech[[#This Row],[FIRS Code]]="R",IFERROR((IF(Data_Geotech[[#This Row],[RQD (%)]]&lt;10,10,Data_Geotech[[#This Row],[RQD (%)]])/Data_Geotech[[#This Row],[Jn rating]])*Data_Geotech[[#This Row],[Jr/Ja]],""),"")</f>
        <v/>
      </c>
      <c r="AS438" s="138" t="str">
        <f>IF(Data_Geotech[[#This Row],[FIRS Code]]="R",IFERROR((IF(Data_Geotech[[#This Row],[RQD (%)]]&lt;10,10,Data_Geotech[[#This Row],[RQD (%)]])/Data_Geotech[[#This Row],[Jn rating]])*Data_Geotech[[#This Row],[Jr/Ja]]*Data_Geotech[[#This Row],[Jw/SRF]],""),"")</f>
        <v/>
      </c>
      <c r="AT438" s="12"/>
      <c r="AU438" s="13" t="e">
        <f>100-Data_Geotech[[#This Row],[RQD (%)]]</f>
        <v>#DIV/0!</v>
      </c>
      <c r="AV438" s="13" t="e">
        <f>100-Data_Geotech[[#This Row],[TCR (%)]]</f>
        <v>#DIV/0!</v>
      </c>
      <c r="AW438" s="62" t="e">
        <f>(Data_Geotech[[#This Row],[Fracture per interval]]+Data_Geotech[[#This Row],[Added fractures 
(BC, FLT, LC)]])/Data_Geotech[[#This Row],[TCR (m)]]</f>
        <v>#DIV/0!</v>
      </c>
      <c r="AX438" s="62" t="str">
        <f>MID(Data_Geotech[[#This Row],[Field Intact Rock Strength]],2,1)</f>
        <v/>
      </c>
      <c r="AY438" s="63" t="e">
        <f>7-MID(Data_Geotech[[#This Row],[Field Intact Rock Strength]],2,1)</f>
        <v>#VALUE!</v>
      </c>
      <c r="AZ438" s="63" t="e">
        <f>VLOOKUP(Data_Geotech[[#This Row],[Field Intact Rock Strength]],Table_FieldStrength[],2,FALSE)</f>
        <v>#N/A</v>
      </c>
      <c r="BA438" s="63" t="e">
        <f>VLOOKUP(Data_Geotech[[#This Row],[Field Intact Rock Strength]],Table_FieldStrength[],3,FALSE)</f>
        <v>#N/A</v>
      </c>
      <c r="BB438" s="63" t="e">
        <f>VLOOKUP(Data_Geotech[[#This Row],[Field Intact Rock Strength]],Table_FieldStrength[],4,FALSE)</f>
        <v>#N/A</v>
      </c>
      <c r="BC438" s="63" t="e">
        <f>100-Data_Geotech[[#This Row],[RMR76]]</f>
        <v>#VALUE!</v>
      </c>
      <c r="BD438" s="63" t="e">
        <f>LEFT(Data_Geotech[[#This Row],[Weathering/Alteration]],FIND("-",Data_Geotech[[#This Row],[Weathering/Alteration]])-2)</f>
        <v>#VALUE!</v>
      </c>
    </row>
    <row r="439" spans="1:56" hidden="1" x14ac:dyDescent="0.25">
      <c r="A439" s="14"/>
      <c r="B439" s="166" t="e">
        <f>VLOOKUP(Data_Geotech[[#This Row],[Hole ID]],Data_Log[],2,FALSE)</f>
        <v>#N/A</v>
      </c>
      <c r="C439" s="5"/>
      <c r="D439" s="5"/>
      <c r="E439" s="5">
        <f>(Data_Geotech[[#This Row],[To (m)]]-Data_Geotech[[#This Row],[From (m)]])/2+Data_Geotech[[#This Row],[From (m)]]</f>
        <v>0</v>
      </c>
      <c r="F439" s="13">
        <f>Data_Geotech[[#This Row],[To (m)]]-Data_Geotech[[#This Row],[From (m)]]</f>
        <v>0</v>
      </c>
      <c r="G439" s="5"/>
      <c r="H439" s="13" t="e">
        <f>Data_Geotech[[#This Row],[TCR (m)]]/Data_Geotech[[#This Row],[Run (m)]]*100</f>
        <v>#DIV/0!</v>
      </c>
      <c r="I439" s="5"/>
      <c r="J439" s="5"/>
      <c r="K439" s="5"/>
      <c r="L439" s="13" t="e">
        <f>Data_Geotech[[#This Row],[RQD (m)]]/Data_Geotech[[#This Row],[Run Reel (m)]]*100</f>
        <v>#DIV/0!</v>
      </c>
      <c r="P439" s="115"/>
      <c r="Q439" s="5"/>
      <c r="R439" s="5"/>
      <c r="S439" s="5"/>
      <c r="T439" s="5"/>
      <c r="U439" s="5"/>
      <c r="V439" s="6"/>
      <c r="W439" s="92">
        <f>SUMIFS(Discontinuities!$D$4:$D$9664,Discontinuities!$A$4:$A$9664,A439,Discontinuities!$C$4:$C$9664,"&gt;="&amp;C439,Discontinuities!$C$4:$C$9664,"&lt;"&amp;D439)
-SUMIFS(Discontinuities!$D$4:$D$9664,Discontinuities!$A$4:$A$9664,A439,Discontinuities!$C$4:$C$9664,"&gt;="&amp;C439,Discontinuities!$C$4:$C$9664,"&lt;"&amp;D439,Discontinuities!$E$4:$E$9664,"=BC")
-SUMIFS(Discontinuities!$D$4:$D$9664,Discontinuities!$A$4:$A$9664,A439,Discontinuities!$C$4:$C$9664,"&gt;="&amp;C439,Discontinuities!$C$4:$C$9664,"&lt;"&amp;D439,Discontinuities!$E$4:$E$9664,"=LC")
-SUMIFS(Discontinuities!$D$4:$D$9664,Discontinuities!$A$4:$A$9664,A439,Discontinuities!$C$4:$C$9664,"&gt;="&amp;C439,Discontinuities!$C$4:$C$9664,"&lt;"&amp;D439,Discontinuities!$E$4:$E$9664,"=FLT")</f>
        <v>0</v>
      </c>
      <c r="AA439" s="132"/>
      <c r="AB439" s="159">
        <f>IFERROR(ROUND((Data_Geotech[[#This Row],[Fault (m)]]+Data_Geotech[[#This Row],[Broken Core (m)]]+Data_Geotech[[#This Row],[Lost Core (m)]])*30,0),0)</f>
        <v>0</v>
      </c>
      <c r="AC439" s="135">
        <f>IF(Data_Geotech[[#This Row],[Added fractures 
(BC, FLT, LC)]]+Data_Geotech[[#This Row],[Fracture per interval]]=0,99,1/((Data_Geotech[[#This Row],[Fracture per interval]]+Data_Geotech[[#This Row],[Added fractures 
(BC, FLT, LC)]])/Data_Geotech[[#This Row],[Run (m)]]))</f>
        <v>99</v>
      </c>
      <c r="AD439" s="160" t="str" cm="1">
        <f t="array" ref="AD439">IFERROR(_xlfn.XLOOKUP(1,(A439=PLT!$A$4:$A$8886)*(Geotech!C439&lt;=PLT!$F$4:$F$8886)*(Geotech!D439&gt;=PLT!$F$4:$F$8886)*("Valid"=PLT!$P$4:$P$8886),PLT!$V$4:$V$8886),"")</f>
        <v/>
      </c>
      <c r="AE439" s="161" t="str" cm="1">
        <f t="array" ref="AE439">IFERROR(_xlfn.XLOOKUP(1,(A439=PLT!$A$4:$A$8886)*(Geotech!C439&lt;=PLT!$F$4:$F$8886)*(Geotech!D439&gt;=PLT!$F$4:$F$8886)*(PLT!$V$4:$V$8886&lt;&gt;AD439)*("Valid"=PLT!$P$4:$P$7190),PLT!$V$4:$V$8886),"")</f>
        <v/>
      </c>
      <c r="AF439" s="161" t="str" cm="1">
        <f t="array" ref="AF439">IFERROR(_xlfn.XLOOKUP(1,(A439=PLT!$A$4:$A$8886)*(Geotech!C439&lt;=PLT!$F$4:$F$8886)*(Geotech!D439&gt;=PLT!$F$4:$F$8886)*(PLT!$V$4:$V$8886&lt;&gt;AD439)*(PLT!$V$4:$V$8886&lt;&gt;AE439)*("Valid"=PLT!$P$4:$P$7190),PLT!$V$4:$V$8886),"")</f>
        <v/>
      </c>
      <c r="AG439" s="162" t="str">
        <f>IFERROR(IF(AVERAGE(AD439:AF439)&gt;References!$BO$23,References!$BP$23,
IF(AVERAGE(AD439:AF439)&gt;References!$BO$22,References!$BP$22,
IF(AVERAGE(AD439:AF439)&gt;References!$BO$21,References!$BP$21,
IF(AVERAGE(AD439:AF439)&gt;References!$BO$20,References!$BP$20,
IF(AVERAGE(AD439:AF439)&gt;References!$BO$19,References!$BP$19,
IF(AVERAGE(AD439:AF439)&gt;References!$BO$18,References!$BP$18,
0)))))),"")</f>
        <v/>
      </c>
      <c r="AH439" s="163" t="e">
        <f>VLOOKUP(Data_Geotech[[#This Row],[Field Intact Rock Strength]],Table_RMR76_Strength[],2,FALSE)</f>
        <v>#N/A</v>
      </c>
      <c r="AI439" s="163" t="e">
        <f>IF(Data_Geotech[[#This Row],[RQD (%)]]&lt;=25,3,IF(Data_Geotech[[#This Row],[RQD (%)]]&lt;=50,8,IF(Data_Geotech[[#This Row],[RQD (%)]]&lt;=75,13,IF(Data_Geotech[[#This Row],[RQD (%)]]&lt;=90,17,20))))</f>
        <v>#DIV/0!</v>
      </c>
      <c r="AJ439" s="136">
        <f>IF(Data_Geotech[[#This Row],[Joint spacing (m)]]&lt;=0.05,5,IF(Data_Geotech[[#This Row],[Joint spacing (m)]]&lt;=0.3,10,IF(Data_Geotech[[#This Row],[Joint spacing (m)]]&lt;=1,20,IF(Data_Geotech[[#This Row],[Joint spacing (m)]]&lt;=3,25,30))))</f>
        <v>30</v>
      </c>
      <c r="AK43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39" s="6"/>
      <c r="AM439" s="137" t="str">
        <f>IF(Data_Geotech[[#This Row],[FIRS Code]]="R",IFERROR(SUM(Data_Geotech[[#This Row],[RMR76 - Strength rating]:[RMR76 - Ground water rating]]),""),"")</f>
        <v/>
      </c>
      <c r="AN439" s="164" t="str">
        <f>IF(Data_Geotech[[#This Row],[FIRS Code]]="R",(2*Data_Geotech[[#This Row],[RMR76 - Joint condition rating]])+(IF(Data_Geotech[[#This Row],[RQD (%)]]&gt;80,80/2,Data_Geotech[[#This Row],[RQD (%)]]/2)),"")</f>
        <v/>
      </c>
      <c r="AO439" s="136" t="e">
        <f>LEFT(Data_Geotech[[#This Row],[Joint Set Rating]],FIND("-",Data_Geotech[[#This Row],[Joint Set Rating]],1)-2)</f>
        <v>#VALUE!</v>
      </c>
      <c r="AP43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39" s="143">
        <f t="shared" si="10"/>
        <v>1</v>
      </c>
      <c r="AR439" s="165" t="str">
        <f>IF(Data_Geotech[[#This Row],[FIRS Code]]="R",IFERROR((IF(Data_Geotech[[#This Row],[RQD (%)]]&lt;10,10,Data_Geotech[[#This Row],[RQD (%)]])/Data_Geotech[[#This Row],[Jn rating]])*Data_Geotech[[#This Row],[Jr/Ja]],""),"")</f>
        <v/>
      </c>
      <c r="AS439" s="138" t="str">
        <f>IF(Data_Geotech[[#This Row],[FIRS Code]]="R",IFERROR((IF(Data_Geotech[[#This Row],[RQD (%)]]&lt;10,10,Data_Geotech[[#This Row],[RQD (%)]])/Data_Geotech[[#This Row],[Jn rating]])*Data_Geotech[[#This Row],[Jr/Ja]]*Data_Geotech[[#This Row],[Jw/SRF]],""),"")</f>
        <v/>
      </c>
      <c r="AT439" s="12"/>
      <c r="AU439" s="13" t="e">
        <f>100-Data_Geotech[[#This Row],[RQD (%)]]</f>
        <v>#DIV/0!</v>
      </c>
      <c r="AV439" s="13" t="e">
        <f>100-Data_Geotech[[#This Row],[TCR (%)]]</f>
        <v>#DIV/0!</v>
      </c>
      <c r="AW439" s="62" t="e">
        <f>(Data_Geotech[[#This Row],[Fracture per interval]]+Data_Geotech[[#This Row],[Added fractures 
(BC, FLT, LC)]])/Data_Geotech[[#This Row],[TCR (m)]]</f>
        <v>#DIV/0!</v>
      </c>
      <c r="AX439" s="62" t="str">
        <f>MID(Data_Geotech[[#This Row],[Field Intact Rock Strength]],2,1)</f>
        <v/>
      </c>
      <c r="AY439" s="63" t="e">
        <f>7-MID(Data_Geotech[[#This Row],[Field Intact Rock Strength]],2,1)</f>
        <v>#VALUE!</v>
      </c>
      <c r="AZ439" s="63" t="e">
        <f>VLOOKUP(Data_Geotech[[#This Row],[Field Intact Rock Strength]],Table_FieldStrength[],2,FALSE)</f>
        <v>#N/A</v>
      </c>
      <c r="BA439" s="63" t="e">
        <f>VLOOKUP(Data_Geotech[[#This Row],[Field Intact Rock Strength]],Table_FieldStrength[],3,FALSE)</f>
        <v>#N/A</v>
      </c>
      <c r="BB439" s="63" t="e">
        <f>VLOOKUP(Data_Geotech[[#This Row],[Field Intact Rock Strength]],Table_FieldStrength[],4,FALSE)</f>
        <v>#N/A</v>
      </c>
      <c r="BC439" s="63" t="e">
        <f>100-Data_Geotech[[#This Row],[RMR76]]</f>
        <v>#VALUE!</v>
      </c>
      <c r="BD439" s="63" t="e">
        <f>LEFT(Data_Geotech[[#This Row],[Weathering/Alteration]],FIND("-",Data_Geotech[[#This Row],[Weathering/Alteration]])-2)</f>
        <v>#VALUE!</v>
      </c>
    </row>
    <row r="440" spans="1:56" hidden="1" x14ac:dyDescent="0.25">
      <c r="A440" s="14"/>
      <c r="B440" s="166" t="e">
        <f>VLOOKUP(Data_Geotech[[#This Row],[Hole ID]],Data_Log[],2,FALSE)</f>
        <v>#N/A</v>
      </c>
      <c r="C440" s="5"/>
      <c r="D440" s="5"/>
      <c r="E440" s="5">
        <f>(Data_Geotech[[#This Row],[To (m)]]-Data_Geotech[[#This Row],[From (m)]])/2+Data_Geotech[[#This Row],[From (m)]]</f>
        <v>0</v>
      </c>
      <c r="F440" s="13">
        <f>Data_Geotech[[#This Row],[To (m)]]-Data_Geotech[[#This Row],[From (m)]]</f>
        <v>0</v>
      </c>
      <c r="G440" s="5"/>
      <c r="H440" s="13" t="e">
        <f>Data_Geotech[[#This Row],[TCR (m)]]/Data_Geotech[[#This Row],[Run (m)]]*100</f>
        <v>#DIV/0!</v>
      </c>
      <c r="I440" s="5"/>
      <c r="J440" s="5"/>
      <c r="K440" s="5"/>
      <c r="L440" s="13" t="e">
        <f>Data_Geotech[[#This Row],[RQD (m)]]/Data_Geotech[[#This Row],[Run Reel (m)]]*100</f>
        <v>#DIV/0!</v>
      </c>
      <c r="P440" s="115"/>
      <c r="Q440" s="5"/>
      <c r="R440" s="5"/>
      <c r="S440" s="5"/>
      <c r="T440" s="5"/>
      <c r="U440" s="5"/>
      <c r="V440" s="6"/>
      <c r="W440" s="92">
        <f>SUMIFS(Discontinuities!$D$4:$D$9664,Discontinuities!$A$4:$A$9664,A440,Discontinuities!$C$4:$C$9664,"&gt;="&amp;C440,Discontinuities!$C$4:$C$9664,"&lt;"&amp;D440)
-SUMIFS(Discontinuities!$D$4:$D$9664,Discontinuities!$A$4:$A$9664,A440,Discontinuities!$C$4:$C$9664,"&gt;="&amp;C440,Discontinuities!$C$4:$C$9664,"&lt;"&amp;D440,Discontinuities!$E$4:$E$9664,"=BC")
-SUMIFS(Discontinuities!$D$4:$D$9664,Discontinuities!$A$4:$A$9664,A440,Discontinuities!$C$4:$C$9664,"&gt;="&amp;C440,Discontinuities!$C$4:$C$9664,"&lt;"&amp;D440,Discontinuities!$E$4:$E$9664,"=LC")
-SUMIFS(Discontinuities!$D$4:$D$9664,Discontinuities!$A$4:$A$9664,A440,Discontinuities!$C$4:$C$9664,"&gt;="&amp;C440,Discontinuities!$C$4:$C$9664,"&lt;"&amp;D440,Discontinuities!$E$4:$E$9664,"=FLT")</f>
        <v>0</v>
      </c>
      <c r="AA440" s="132"/>
      <c r="AB440" s="159">
        <f>IFERROR(ROUND((Data_Geotech[[#This Row],[Fault (m)]]+Data_Geotech[[#This Row],[Broken Core (m)]]+Data_Geotech[[#This Row],[Lost Core (m)]])*30,0),0)</f>
        <v>0</v>
      </c>
      <c r="AC440" s="135">
        <f>IF(Data_Geotech[[#This Row],[Added fractures 
(BC, FLT, LC)]]+Data_Geotech[[#This Row],[Fracture per interval]]=0,99,1/((Data_Geotech[[#This Row],[Fracture per interval]]+Data_Geotech[[#This Row],[Added fractures 
(BC, FLT, LC)]])/Data_Geotech[[#This Row],[Run (m)]]))</f>
        <v>99</v>
      </c>
      <c r="AD440" s="160" t="str" cm="1">
        <f t="array" ref="AD440">IFERROR(_xlfn.XLOOKUP(1,(A440=PLT!$A$4:$A$8886)*(Geotech!C440&lt;=PLT!$F$4:$F$8886)*(Geotech!D440&gt;=PLT!$F$4:$F$8886)*("Valid"=PLT!$P$4:$P$8886),PLT!$V$4:$V$8886),"")</f>
        <v/>
      </c>
      <c r="AE440" s="161" t="str" cm="1">
        <f t="array" ref="AE440">IFERROR(_xlfn.XLOOKUP(1,(A440=PLT!$A$4:$A$8886)*(Geotech!C440&lt;=PLT!$F$4:$F$8886)*(Geotech!D440&gt;=PLT!$F$4:$F$8886)*(PLT!$V$4:$V$8886&lt;&gt;AD440)*("Valid"=PLT!$P$4:$P$7190),PLT!$V$4:$V$8886),"")</f>
        <v/>
      </c>
      <c r="AF440" s="161" t="str" cm="1">
        <f t="array" ref="AF440">IFERROR(_xlfn.XLOOKUP(1,(A440=PLT!$A$4:$A$8886)*(Geotech!C440&lt;=PLT!$F$4:$F$8886)*(Geotech!D440&gt;=PLT!$F$4:$F$8886)*(PLT!$V$4:$V$8886&lt;&gt;AD440)*(PLT!$V$4:$V$8886&lt;&gt;AE440)*("Valid"=PLT!$P$4:$P$7190),PLT!$V$4:$V$8886),"")</f>
        <v/>
      </c>
      <c r="AG440" s="162" t="str">
        <f>IFERROR(IF(AVERAGE(AD440:AF440)&gt;References!$BO$23,References!$BP$23,
IF(AVERAGE(AD440:AF440)&gt;References!$BO$22,References!$BP$22,
IF(AVERAGE(AD440:AF440)&gt;References!$BO$21,References!$BP$21,
IF(AVERAGE(AD440:AF440)&gt;References!$BO$20,References!$BP$20,
IF(AVERAGE(AD440:AF440)&gt;References!$BO$19,References!$BP$19,
IF(AVERAGE(AD440:AF440)&gt;References!$BO$18,References!$BP$18,
0)))))),"")</f>
        <v/>
      </c>
      <c r="AH440" s="163" t="e">
        <f>VLOOKUP(Data_Geotech[[#This Row],[Field Intact Rock Strength]],Table_RMR76_Strength[],2,FALSE)</f>
        <v>#N/A</v>
      </c>
      <c r="AI440" s="163" t="e">
        <f>IF(Data_Geotech[[#This Row],[RQD (%)]]&lt;=25,3,IF(Data_Geotech[[#This Row],[RQD (%)]]&lt;=50,8,IF(Data_Geotech[[#This Row],[RQD (%)]]&lt;=75,13,IF(Data_Geotech[[#This Row],[RQD (%)]]&lt;=90,17,20))))</f>
        <v>#DIV/0!</v>
      </c>
      <c r="AJ440" s="136">
        <f>IF(Data_Geotech[[#This Row],[Joint spacing (m)]]&lt;=0.05,5,IF(Data_Geotech[[#This Row],[Joint spacing (m)]]&lt;=0.3,10,IF(Data_Geotech[[#This Row],[Joint spacing (m)]]&lt;=1,20,IF(Data_Geotech[[#This Row],[Joint spacing (m)]]&lt;=3,25,30))))</f>
        <v>30</v>
      </c>
      <c r="AK44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0" s="6"/>
      <c r="AM440" s="137" t="str">
        <f>IF(Data_Geotech[[#This Row],[FIRS Code]]="R",IFERROR(SUM(Data_Geotech[[#This Row],[RMR76 - Strength rating]:[RMR76 - Ground water rating]]),""),"")</f>
        <v/>
      </c>
      <c r="AN440" s="164" t="str">
        <f>IF(Data_Geotech[[#This Row],[FIRS Code]]="R",(2*Data_Geotech[[#This Row],[RMR76 - Joint condition rating]])+(IF(Data_Geotech[[#This Row],[RQD (%)]]&gt;80,80/2,Data_Geotech[[#This Row],[RQD (%)]]/2)),"")</f>
        <v/>
      </c>
      <c r="AO440" s="136" t="e">
        <f>LEFT(Data_Geotech[[#This Row],[Joint Set Rating]],FIND("-",Data_Geotech[[#This Row],[Joint Set Rating]],1)-2)</f>
        <v>#VALUE!</v>
      </c>
      <c r="AP44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0" s="143">
        <f t="shared" si="10"/>
        <v>1</v>
      </c>
      <c r="AR440" s="165" t="str">
        <f>IF(Data_Geotech[[#This Row],[FIRS Code]]="R",IFERROR((IF(Data_Geotech[[#This Row],[RQD (%)]]&lt;10,10,Data_Geotech[[#This Row],[RQD (%)]])/Data_Geotech[[#This Row],[Jn rating]])*Data_Geotech[[#This Row],[Jr/Ja]],""),"")</f>
        <v/>
      </c>
      <c r="AS440" s="138" t="str">
        <f>IF(Data_Geotech[[#This Row],[FIRS Code]]="R",IFERROR((IF(Data_Geotech[[#This Row],[RQD (%)]]&lt;10,10,Data_Geotech[[#This Row],[RQD (%)]])/Data_Geotech[[#This Row],[Jn rating]])*Data_Geotech[[#This Row],[Jr/Ja]]*Data_Geotech[[#This Row],[Jw/SRF]],""),"")</f>
        <v/>
      </c>
      <c r="AT440" s="12"/>
      <c r="AU440" s="13" t="e">
        <f>100-Data_Geotech[[#This Row],[RQD (%)]]</f>
        <v>#DIV/0!</v>
      </c>
      <c r="AV440" s="13" t="e">
        <f>100-Data_Geotech[[#This Row],[TCR (%)]]</f>
        <v>#DIV/0!</v>
      </c>
      <c r="AW440" s="62" t="e">
        <f>(Data_Geotech[[#This Row],[Fracture per interval]]+Data_Geotech[[#This Row],[Added fractures 
(BC, FLT, LC)]])/Data_Geotech[[#This Row],[TCR (m)]]</f>
        <v>#DIV/0!</v>
      </c>
      <c r="AX440" s="62" t="str">
        <f>MID(Data_Geotech[[#This Row],[Field Intact Rock Strength]],2,1)</f>
        <v/>
      </c>
      <c r="AY440" s="63" t="e">
        <f>7-MID(Data_Geotech[[#This Row],[Field Intact Rock Strength]],2,1)</f>
        <v>#VALUE!</v>
      </c>
      <c r="AZ440" s="63" t="e">
        <f>VLOOKUP(Data_Geotech[[#This Row],[Field Intact Rock Strength]],Table_FieldStrength[],2,FALSE)</f>
        <v>#N/A</v>
      </c>
      <c r="BA440" s="63" t="e">
        <f>VLOOKUP(Data_Geotech[[#This Row],[Field Intact Rock Strength]],Table_FieldStrength[],3,FALSE)</f>
        <v>#N/A</v>
      </c>
      <c r="BB440" s="63" t="e">
        <f>VLOOKUP(Data_Geotech[[#This Row],[Field Intact Rock Strength]],Table_FieldStrength[],4,FALSE)</f>
        <v>#N/A</v>
      </c>
      <c r="BC440" s="63" t="e">
        <f>100-Data_Geotech[[#This Row],[RMR76]]</f>
        <v>#VALUE!</v>
      </c>
      <c r="BD440" s="63" t="e">
        <f>LEFT(Data_Geotech[[#This Row],[Weathering/Alteration]],FIND("-",Data_Geotech[[#This Row],[Weathering/Alteration]])-2)</f>
        <v>#VALUE!</v>
      </c>
    </row>
    <row r="441" spans="1:56" hidden="1" x14ac:dyDescent="0.25">
      <c r="A441" s="14"/>
      <c r="B441" s="166" t="e">
        <f>VLOOKUP(Data_Geotech[[#This Row],[Hole ID]],Data_Log[],2,FALSE)</f>
        <v>#N/A</v>
      </c>
      <c r="C441" s="5"/>
      <c r="D441" s="5"/>
      <c r="E441" s="5">
        <f>(Data_Geotech[[#This Row],[To (m)]]-Data_Geotech[[#This Row],[From (m)]])/2+Data_Geotech[[#This Row],[From (m)]]</f>
        <v>0</v>
      </c>
      <c r="F441" s="13">
        <f>Data_Geotech[[#This Row],[To (m)]]-Data_Geotech[[#This Row],[From (m)]]</f>
        <v>0</v>
      </c>
      <c r="G441" s="5"/>
      <c r="H441" s="13" t="e">
        <f>Data_Geotech[[#This Row],[TCR (m)]]/Data_Geotech[[#This Row],[Run (m)]]*100</f>
        <v>#DIV/0!</v>
      </c>
      <c r="I441" s="5"/>
      <c r="J441" s="5"/>
      <c r="K441" s="5"/>
      <c r="L441" s="13" t="e">
        <f>Data_Geotech[[#This Row],[RQD (m)]]/Data_Geotech[[#This Row],[Run Reel (m)]]*100</f>
        <v>#DIV/0!</v>
      </c>
      <c r="P441" s="115"/>
      <c r="Q441" s="5"/>
      <c r="R441" s="5"/>
      <c r="S441" s="5"/>
      <c r="T441" s="5"/>
      <c r="U441" s="5"/>
      <c r="V441" s="6"/>
      <c r="W441" s="92">
        <f>SUMIFS(Discontinuities!$D$4:$D$9664,Discontinuities!$A$4:$A$9664,A441,Discontinuities!$C$4:$C$9664,"&gt;="&amp;C441,Discontinuities!$C$4:$C$9664,"&lt;"&amp;D441)
-SUMIFS(Discontinuities!$D$4:$D$9664,Discontinuities!$A$4:$A$9664,A441,Discontinuities!$C$4:$C$9664,"&gt;="&amp;C441,Discontinuities!$C$4:$C$9664,"&lt;"&amp;D441,Discontinuities!$E$4:$E$9664,"=BC")
-SUMIFS(Discontinuities!$D$4:$D$9664,Discontinuities!$A$4:$A$9664,A441,Discontinuities!$C$4:$C$9664,"&gt;="&amp;C441,Discontinuities!$C$4:$C$9664,"&lt;"&amp;D441,Discontinuities!$E$4:$E$9664,"=LC")
-SUMIFS(Discontinuities!$D$4:$D$9664,Discontinuities!$A$4:$A$9664,A441,Discontinuities!$C$4:$C$9664,"&gt;="&amp;C441,Discontinuities!$C$4:$C$9664,"&lt;"&amp;D441,Discontinuities!$E$4:$E$9664,"=FLT")</f>
        <v>0</v>
      </c>
      <c r="AA441" s="132"/>
      <c r="AB441" s="159">
        <f>IFERROR(ROUND((Data_Geotech[[#This Row],[Fault (m)]]+Data_Geotech[[#This Row],[Broken Core (m)]]+Data_Geotech[[#This Row],[Lost Core (m)]])*30,0),0)</f>
        <v>0</v>
      </c>
      <c r="AC441" s="135">
        <f>IF(Data_Geotech[[#This Row],[Added fractures 
(BC, FLT, LC)]]+Data_Geotech[[#This Row],[Fracture per interval]]=0,99,1/((Data_Geotech[[#This Row],[Fracture per interval]]+Data_Geotech[[#This Row],[Added fractures 
(BC, FLT, LC)]])/Data_Geotech[[#This Row],[Run (m)]]))</f>
        <v>99</v>
      </c>
      <c r="AD441" s="160" t="str" cm="1">
        <f t="array" ref="AD441">IFERROR(_xlfn.XLOOKUP(1,(A441=PLT!$A$4:$A$8886)*(Geotech!C441&lt;=PLT!$F$4:$F$8886)*(Geotech!D441&gt;=PLT!$F$4:$F$8886)*("Valid"=PLT!$P$4:$P$8886),PLT!$V$4:$V$8886),"")</f>
        <v/>
      </c>
      <c r="AE441" s="161" t="str" cm="1">
        <f t="array" ref="AE441">IFERROR(_xlfn.XLOOKUP(1,(A441=PLT!$A$4:$A$8886)*(Geotech!C441&lt;=PLT!$F$4:$F$8886)*(Geotech!D441&gt;=PLT!$F$4:$F$8886)*(PLT!$V$4:$V$8886&lt;&gt;AD441)*("Valid"=PLT!$P$4:$P$7190),PLT!$V$4:$V$8886),"")</f>
        <v/>
      </c>
      <c r="AF441" s="161" t="str" cm="1">
        <f t="array" ref="AF441">IFERROR(_xlfn.XLOOKUP(1,(A441=PLT!$A$4:$A$8886)*(Geotech!C441&lt;=PLT!$F$4:$F$8886)*(Geotech!D441&gt;=PLT!$F$4:$F$8886)*(PLT!$V$4:$V$8886&lt;&gt;AD441)*(PLT!$V$4:$V$8886&lt;&gt;AE441)*("Valid"=PLT!$P$4:$P$7190),PLT!$V$4:$V$8886),"")</f>
        <v/>
      </c>
      <c r="AG441" s="162" t="str">
        <f>IFERROR(IF(AVERAGE(AD441:AF441)&gt;References!$BO$23,References!$BP$23,
IF(AVERAGE(AD441:AF441)&gt;References!$BO$22,References!$BP$22,
IF(AVERAGE(AD441:AF441)&gt;References!$BO$21,References!$BP$21,
IF(AVERAGE(AD441:AF441)&gt;References!$BO$20,References!$BP$20,
IF(AVERAGE(AD441:AF441)&gt;References!$BO$19,References!$BP$19,
IF(AVERAGE(AD441:AF441)&gt;References!$BO$18,References!$BP$18,
0)))))),"")</f>
        <v/>
      </c>
      <c r="AH441" s="163" t="e">
        <f>VLOOKUP(Data_Geotech[[#This Row],[Field Intact Rock Strength]],Table_RMR76_Strength[],2,FALSE)</f>
        <v>#N/A</v>
      </c>
      <c r="AI441" s="163" t="e">
        <f>IF(Data_Geotech[[#This Row],[RQD (%)]]&lt;=25,3,IF(Data_Geotech[[#This Row],[RQD (%)]]&lt;=50,8,IF(Data_Geotech[[#This Row],[RQD (%)]]&lt;=75,13,IF(Data_Geotech[[#This Row],[RQD (%)]]&lt;=90,17,20))))</f>
        <v>#DIV/0!</v>
      </c>
      <c r="AJ441" s="136">
        <f>IF(Data_Geotech[[#This Row],[Joint spacing (m)]]&lt;=0.05,5,IF(Data_Geotech[[#This Row],[Joint spacing (m)]]&lt;=0.3,10,IF(Data_Geotech[[#This Row],[Joint spacing (m)]]&lt;=1,20,IF(Data_Geotech[[#This Row],[Joint spacing (m)]]&lt;=3,25,30))))</f>
        <v>30</v>
      </c>
      <c r="AK44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1" s="6"/>
      <c r="AM441" s="137" t="str">
        <f>IF(Data_Geotech[[#This Row],[FIRS Code]]="R",IFERROR(SUM(Data_Geotech[[#This Row],[RMR76 - Strength rating]:[RMR76 - Ground water rating]]),""),"")</f>
        <v/>
      </c>
      <c r="AN441" s="164" t="str">
        <f>IF(Data_Geotech[[#This Row],[FIRS Code]]="R",(2*Data_Geotech[[#This Row],[RMR76 - Joint condition rating]])+(IF(Data_Geotech[[#This Row],[RQD (%)]]&gt;80,80/2,Data_Geotech[[#This Row],[RQD (%)]]/2)),"")</f>
        <v/>
      </c>
      <c r="AO441" s="136" t="e">
        <f>LEFT(Data_Geotech[[#This Row],[Joint Set Rating]],FIND("-",Data_Geotech[[#This Row],[Joint Set Rating]],1)-2)</f>
        <v>#VALUE!</v>
      </c>
      <c r="AP44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1" s="143">
        <f t="shared" si="10"/>
        <v>1</v>
      </c>
      <c r="AR441" s="165" t="str">
        <f>IF(Data_Geotech[[#This Row],[FIRS Code]]="R",IFERROR((IF(Data_Geotech[[#This Row],[RQD (%)]]&lt;10,10,Data_Geotech[[#This Row],[RQD (%)]])/Data_Geotech[[#This Row],[Jn rating]])*Data_Geotech[[#This Row],[Jr/Ja]],""),"")</f>
        <v/>
      </c>
      <c r="AS441" s="138" t="str">
        <f>IF(Data_Geotech[[#This Row],[FIRS Code]]="R",IFERROR((IF(Data_Geotech[[#This Row],[RQD (%)]]&lt;10,10,Data_Geotech[[#This Row],[RQD (%)]])/Data_Geotech[[#This Row],[Jn rating]])*Data_Geotech[[#This Row],[Jr/Ja]]*Data_Geotech[[#This Row],[Jw/SRF]],""),"")</f>
        <v/>
      </c>
      <c r="AT441" s="12"/>
      <c r="AU441" s="13" t="e">
        <f>100-Data_Geotech[[#This Row],[RQD (%)]]</f>
        <v>#DIV/0!</v>
      </c>
      <c r="AV441" s="13" t="e">
        <f>100-Data_Geotech[[#This Row],[TCR (%)]]</f>
        <v>#DIV/0!</v>
      </c>
      <c r="AW441" s="62" t="e">
        <f>(Data_Geotech[[#This Row],[Fracture per interval]]+Data_Geotech[[#This Row],[Added fractures 
(BC, FLT, LC)]])/Data_Geotech[[#This Row],[TCR (m)]]</f>
        <v>#DIV/0!</v>
      </c>
      <c r="AX441" s="62" t="str">
        <f>MID(Data_Geotech[[#This Row],[Field Intact Rock Strength]],2,1)</f>
        <v/>
      </c>
      <c r="AY441" s="63" t="e">
        <f>7-MID(Data_Geotech[[#This Row],[Field Intact Rock Strength]],2,1)</f>
        <v>#VALUE!</v>
      </c>
      <c r="AZ441" s="63" t="e">
        <f>VLOOKUP(Data_Geotech[[#This Row],[Field Intact Rock Strength]],Table_FieldStrength[],2,FALSE)</f>
        <v>#N/A</v>
      </c>
      <c r="BA441" s="63" t="e">
        <f>VLOOKUP(Data_Geotech[[#This Row],[Field Intact Rock Strength]],Table_FieldStrength[],3,FALSE)</f>
        <v>#N/A</v>
      </c>
      <c r="BB441" s="63" t="e">
        <f>VLOOKUP(Data_Geotech[[#This Row],[Field Intact Rock Strength]],Table_FieldStrength[],4,FALSE)</f>
        <v>#N/A</v>
      </c>
      <c r="BC441" s="63" t="e">
        <f>100-Data_Geotech[[#This Row],[RMR76]]</f>
        <v>#VALUE!</v>
      </c>
      <c r="BD441" s="63" t="e">
        <f>LEFT(Data_Geotech[[#This Row],[Weathering/Alteration]],FIND("-",Data_Geotech[[#This Row],[Weathering/Alteration]])-2)</f>
        <v>#VALUE!</v>
      </c>
    </row>
    <row r="442" spans="1:56" hidden="1" x14ac:dyDescent="0.25">
      <c r="A442" s="14"/>
      <c r="B442" s="166" t="e">
        <f>VLOOKUP(Data_Geotech[[#This Row],[Hole ID]],Data_Log[],2,FALSE)</f>
        <v>#N/A</v>
      </c>
      <c r="C442" s="5"/>
      <c r="D442" s="5"/>
      <c r="E442" s="5">
        <f>(Data_Geotech[[#This Row],[To (m)]]-Data_Geotech[[#This Row],[From (m)]])/2+Data_Geotech[[#This Row],[From (m)]]</f>
        <v>0</v>
      </c>
      <c r="F442" s="13">
        <f>Data_Geotech[[#This Row],[To (m)]]-Data_Geotech[[#This Row],[From (m)]]</f>
        <v>0</v>
      </c>
      <c r="G442" s="5"/>
      <c r="H442" s="13" t="e">
        <f>Data_Geotech[[#This Row],[TCR (m)]]/Data_Geotech[[#This Row],[Run (m)]]*100</f>
        <v>#DIV/0!</v>
      </c>
      <c r="I442" s="5"/>
      <c r="J442" s="5"/>
      <c r="K442" s="5"/>
      <c r="L442" s="13" t="e">
        <f>Data_Geotech[[#This Row],[RQD (m)]]/Data_Geotech[[#This Row],[Run Reel (m)]]*100</f>
        <v>#DIV/0!</v>
      </c>
      <c r="P442" s="115"/>
      <c r="Q442" s="5"/>
      <c r="R442" s="5"/>
      <c r="S442" s="5"/>
      <c r="T442" s="5"/>
      <c r="U442" s="5"/>
      <c r="V442" s="6"/>
      <c r="W442" s="92">
        <f>SUMIFS(Discontinuities!$D$4:$D$9664,Discontinuities!$A$4:$A$9664,A442,Discontinuities!$C$4:$C$9664,"&gt;="&amp;C442,Discontinuities!$C$4:$C$9664,"&lt;"&amp;D442)
-SUMIFS(Discontinuities!$D$4:$D$9664,Discontinuities!$A$4:$A$9664,A442,Discontinuities!$C$4:$C$9664,"&gt;="&amp;C442,Discontinuities!$C$4:$C$9664,"&lt;"&amp;D442,Discontinuities!$E$4:$E$9664,"=BC")
-SUMIFS(Discontinuities!$D$4:$D$9664,Discontinuities!$A$4:$A$9664,A442,Discontinuities!$C$4:$C$9664,"&gt;="&amp;C442,Discontinuities!$C$4:$C$9664,"&lt;"&amp;D442,Discontinuities!$E$4:$E$9664,"=LC")
-SUMIFS(Discontinuities!$D$4:$D$9664,Discontinuities!$A$4:$A$9664,A442,Discontinuities!$C$4:$C$9664,"&gt;="&amp;C442,Discontinuities!$C$4:$C$9664,"&lt;"&amp;D442,Discontinuities!$E$4:$E$9664,"=FLT")</f>
        <v>0</v>
      </c>
      <c r="AA442" s="132"/>
      <c r="AB442" s="159">
        <f>IFERROR(ROUND((Data_Geotech[[#This Row],[Fault (m)]]+Data_Geotech[[#This Row],[Broken Core (m)]]+Data_Geotech[[#This Row],[Lost Core (m)]])*30,0),0)</f>
        <v>0</v>
      </c>
      <c r="AC442" s="135">
        <f>IF(Data_Geotech[[#This Row],[Added fractures 
(BC, FLT, LC)]]+Data_Geotech[[#This Row],[Fracture per interval]]=0,99,1/((Data_Geotech[[#This Row],[Fracture per interval]]+Data_Geotech[[#This Row],[Added fractures 
(BC, FLT, LC)]])/Data_Geotech[[#This Row],[Run (m)]]))</f>
        <v>99</v>
      </c>
      <c r="AD442" s="160" t="str" cm="1">
        <f t="array" ref="AD442">IFERROR(_xlfn.XLOOKUP(1,(A442=PLT!$A$4:$A$8886)*(Geotech!C442&lt;=PLT!$F$4:$F$8886)*(Geotech!D442&gt;=PLT!$F$4:$F$8886)*("Valid"=PLT!$P$4:$P$8886),PLT!$V$4:$V$8886),"")</f>
        <v/>
      </c>
      <c r="AE442" s="161" t="str" cm="1">
        <f t="array" ref="AE442">IFERROR(_xlfn.XLOOKUP(1,(A442=PLT!$A$4:$A$8886)*(Geotech!C442&lt;=PLT!$F$4:$F$8886)*(Geotech!D442&gt;=PLT!$F$4:$F$8886)*(PLT!$V$4:$V$8886&lt;&gt;AD442)*("Valid"=PLT!$P$4:$P$7190),PLT!$V$4:$V$8886),"")</f>
        <v/>
      </c>
      <c r="AF442" s="161" t="str" cm="1">
        <f t="array" ref="AF442">IFERROR(_xlfn.XLOOKUP(1,(A442=PLT!$A$4:$A$8886)*(Geotech!C442&lt;=PLT!$F$4:$F$8886)*(Geotech!D442&gt;=PLT!$F$4:$F$8886)*(PLT!$V$4:$V$8886&lt;&gt;AD442)*(PLT!$V$4:$V$8886&lt;&gt;AE442)*("Valid"=PLT!$P$4:$P$7190),PLT!$V$4:$V$8886),"")</f>
        <v/>
      </c>
      <c r="AG442" s="162" t="str">
        <f>IFERROR(IF(AVERAGE(AD442:AF442)&gt;References!$BO$23,References!$BP$23,
IF(AVERAGE(AD442:AF442)&gt;References!$BO$22,References!$BP$22,
IF(AVERAGE(AD442:AF442)&gt;References!$BO$21,References!$BP$21,
IF(AVERAGE(AD442:AF442)&gt;References!$BO$20,References!$BP$20,
IF(AVERAGE(AD442:AF442)&gt;References!$BO$19,References!$BP$19,
IF(AVERAGE(AD442:AF442)&gt;References!$BO$18,References!$BP$18,
0)))))),"")</f>
        <v/>
      </c>
      <c r="AH442" s="163" t="e">
        <f>VLOOKUP(Data_Geotech[[#This Row],[Field Intact Rock Strength]],Table_RMR76_Strength[],2,FALSE)</f>
        <v>#N/A</v>
      </c>
      <c r="AI442" s="163" t="e">
        <f>IF(Data_Geotech[[#This Row],[RQD (%)]]&lt;=25,3,IF(Data_Geotech[[#This Row],[RQD (%)]]&lt;=50,8,IF(Data_Geotech[[#This Row],[RQD (%)]]&lt;=75,13,IF(Data_Geotech[[#This Row],[RQD (%)]]&lt;=90,17,20))))</f>
        <v>#DIV/0!</v>
      </c>
      <c r="AJ442" s="136">
        <f>IF(Data_Geotech[[#This Row],[Joint spacing (m)]]&lt;=0.05,5,IF(Data_Geotech[[#This Row],[Joint spacing (m)]]&lt;=0.3,10,IF(Data_Geotech[[#This Row],[Joint spacing (m)]]&lt;=1,20,IF(Data_Geotech[[#This Row],[Joint spacing (m)]]&lt;=3,25,30))))</f>
        <v>30</v>
      </c>
      <c r="AK44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2" s="6"/>
      <c r="AM442" s="137" t="str">
        <f>IF(Data_Geotech[[#This Row],[FIRS Code]]="R",IFERROR(SUM(Data_Geotech[[#This Row],[RMR76 - Strength rating]:[RMR76 - Ground water rating]]),""),"")</f>
        <v/>
      </c>
      <c r="AN442" s="164" t="str">
        <f>IF(Data_Geotech[[#This Row],[FIRS Code]]="R",(2*Data_Geotech[[#This Row],[RMR76 - Joint condition rating]])+(IF(Data_Geotech[[#This Row],[RQD (%)]]&gt;80,80/2,Data_Geotech[[#This Row],[RQD (%)]]/2)),"")</f>
        <v/>
      </c>
      <c r="AO442" s="136" t="e">
        <f>LEFT(Data_Geotech[[#This Row],[Joint Set Rating]],FIND("-",Data_Geotech[[#This Row],[Joint Set Rating]],1)-2)</f>
        <v>#VALUE!</v>
      </c>
      <c r="AP44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2" s="143">
        <f t="shared" si="10"/>
        <v>1</v>
      </c>
      <c r="AR442" s="165" t="str">
        <f>IF(Data_Geotech[[#This Row],[FIRS Code]]="R",IFERROR((IF(Data_Geotech[[#This Row],[RQD (%)]]&lt;10,10,Data_Geotech[[#This Row],[RQD (%)]])/Data_Geotech[[#This Row],[Jn rating]])*Data_Geotech[[#This Row],[Jr/Ja]],""),"")</f>
        <v/>
      </c>
      <c r="AS442" s="138" t="str">
        <f>IF(Data_Geotech[[#This Row],[FIRS Code]]="R",IFERROR((IF(Data_Geotech[[#This Row],[RQD (%)]]&lt;10,10,Data_Geotech[[#This Row],[RQD (%)]])/Data_Geotech[[#This Row],[Jn rating]])*Data_Geotech[[#This Row],[Jr/Ja]]*Data_Geotech[[#This Row],[Jw/SRF]],""),"")</f>
        <v/>
      </c>
      <c r="AT442" s="12"/>
      <c r="AU442" s="13" t="e">
        <f>100-Data_Geotech[[#This Row],[RQD (%)]]</f>
        <v>#DIV/0!</v>
      </c>
      <c r="AV442" s="13" t="e">
        <f>100-Data_Geotech[[#This Row],[TCR (%)]]</f>
        <v>#DIV/0!</v>
      </c>
      <c r="AW442" s="62" t="e">
        <f>(Data_Geotech[[#This Row],[Fracture per interval]]+Data_Geotech[[#This Row],[Added fractures 
(BC, FLT, LC)]])/Data_Geotech[[#This Row],[TCR (m)]]</f>
        <v>#DIV/0!</v>
      </c>
      <c r="AX442" s="62" t="str">
        <f>MID(Data_Geotech[[#This Row],[Field Intact Rock Strength]],2,1)</f>
        <v/>
      </c>
      <c r="AY442" s="63" t="e">
        <f>7-MID(Data_Geotech[[#This Row],[Field Intact Rock Strength]],2,1)</f>
        <v>#VALUE!</v>
      </c>
      <c r="AZ442" s="63" t="e">
        <f>VLOOKUP(Data_Geotech[[#This Row],[Field Intact Rock Strength]],Table_FieldStrength[],2,FALSE)</f>
        <v>#N/A</v>
      </c>
      <c r="BA442" s="63" t="e">
        <f>VLOOKUP(Data_Geotech[[#This Row],[Field Intact Rock Strength]],Table_FieldStrength[],3,FALSE)</f>
        <v>#N/A</v>
      </c>
      <c r="BB442" s="63" t="e">
        <f>VLOOKUP(Data_Geotech[[#This Row],[Field Intact Rock Strength]],Table_FieldStrength[],4,FALSE)</f>
        <v>#N/A</v>
      </c>
      <c r="BC442" s="63" t="e">
        <f>100-Data_Geotech[[#This Row],[RMR76]]</f>
        <v>#VALUE!</v>
      </c>
      <c r="BD442" s="63" t="e">
        <f>LEFT(Data_Geotech[[#This Row],[Weathering/Alteration]],FIND("-",Data_Geotech[[#This Row],[Weathering/Alteration]])-2)</f>
        <v>#VALUE!</v>
      </c>
    </row>
    <row r="443" spans="1:56" hidden="1" x14ac:dyDescent="0.25">
      <c r="A443" s="14"/>
      <c r="B443" s="166" t="e">
        <f>VLOOKUP(Data_Geotech[[#This Row],[Hole ID]],Data_Log[],2,FALSE)</f>
        <v>#N/A</v>
      </c>
      <c r="C443" s="5"/>
      <c r="D443" s="5"/>
      <c r="E443" s="5">
        <f>(Data_Geotech[[#This Row],[To (m)]]-Data_Geotech[[#This Row],[From (m)]])/2+Data_Geotech[[#This Row],[From (m)]]</f>
        <v>0</v>
      </c>
      <c r="F443" s="13">
        <f>Data_Geotech[[#This Row],[To (m)]]-Data_Geotech[[#This Row],[From (m)]]</f>
        <v>0</v>
      </c>
      <c r="G443" s="5"/>
      <c r="H443" s="13" t="e">
        <f>Data_Geotech[[#This Row],[TCR (m)]]/Data_Geotech[[#This Row],[Run (m)]]*100</f>
        <v>#DIV/0!</v>
      </c>
      <c r="I443" s="5"/>
      <c r="J443" s="5"/>
      <c r="K443" s="5"/>
      <c r="L443" s="13" t="e">
        <f>Data_Geotech[[#This Row],[RQD (m)]]/Data_Geotech[[#This Row],[Run Reel (m)]]*100</f>
        <v>#DIV/0!</v>
      </c>
      <c r="P443" s="115"/>
      <c r="Q443" s="5"/>
      <c r="R443" s="5"/>
      <c r="S443" s="5"/>
      <c r="T443" s="5"/>
      <c r="U443" s="5"/>
      <c r="V443" s="6"/>
      <c r="W443" s="92">
        <f>SUMIFS(Discontinuities!$D$4:$D$9664,Discontinuities!$A$4:$A$9664,A443,Discontinuities!$C$4:$C$9664,"&gt;="&amp;C443,Discontinuities!$C$4:$C$9664,"&lt;"&amp;D443)
-SUMIFS(Discontinuities!$D$4:$D$9664,Discontinuities!$A$4:$A$9664,A443,Discontinuities!$C$4:$C$9664,"&gt;="&amp;C443,Discontinuities!$C$4:$C$9664,"&lt;"&amp;D443,Discontinuities!$E$4:$E$9664,"=BC")
-SUMIFS(Discontinuities!$D$4:$D$9664,Discontinuities!$A$4:$A$9664,A443,Discontinuities!$C$4:$C$9664,"&gt;="&amp;C443,Discontinuities!$C$4:$C$9664,"&lt;"&amp;D443,Discontinuities!$E$4:$E$9664,"=LC")
-SUMIFS(Discontinuities!$D$4:$D$9664,Discontinuities!$A$4:$A$9664,A443,Discontinuities!$C$4:$C$9664,"&gt;="&amp;C443,Discontinuities!$C$4:$C$9664,"&lt;"&amp;D443,Discontinuities!$E$4:$E$9664,"=FLT")</f>
        <v>0</v>
      </c>
      <c r="AA443" s="132"/>
      <c r="AB443" s="159">
        <f>IFERROR(ROUND((Data_Geotech[[#This Row],[Fault (m)]]+Data_Geotech[[#This Row],[Broken Core (m)]]+Data_Geotech[[#This Row],[Lost Core (m)]])*30,0),0)</f>
        <v>0</v>
      </c>
      <c r="AC443" s="135">
        <f>IF(Data_Geotech[[#This Row],[Added fractures 
(BC, FLT, LC)]]+Data_Geotech[[#This Row],[Fracture per interval]]=0,99,1/((Data_Geotech[[#This Row],[Fracture per interval]]+Data_Geotech[[#This Row],[Added fractures 
(BC, FLT, LC)]])/Data_Geotech[[#This Row],[Run (m)]]))</f>
        <v>99</v>
      </c>
      <c r="AD443" s="160" t="str" cm="1">
        <f t="array" ref="AD443">IFERROR(_xlfn.XLOOKUP(1,(A443=PLT!$A$4:$A$8886)*(Geotech!C443&lt;=PLT!$F$4:$F$8886)*(Geotech!D443&gt;=PLT!$F$4:$F$8886)*("Valid"=PLT!$P$4:$P$8886),PLT!$V$4:$V$8886),"")</f>
        <v/>
      </c>
      <c r="AE443" s="161" t="str" cm="1">
        <f t="array" ref="AE443">IFERROR(_xlfn.XLOOKUP(1,(A443=PLT!$A$4:$A$8886)*(Geotech!C443&lt;=PLT!$F$4:$F$8886)*(Geotech!D443&gt;=PLT!$F$4:$F$8886)*(PLT!$V$4:$V$8886&lt;&gt;AD443)*("Valid"=PLT!$P$4:$P$7190),PLT!$V$4:$V$8886),"")</f>
        <v/>
      </c>
      <c r="AF443" s="161" t="str" cm="1">
        <f t="array" ref="AF443">IFERROR(_xlfn.XLOOKUP(1,(A443=PLT!$A$4:$A$8886)*(Geotech!C443&lt;=PLT!$F$4:$F$8886)*(Geotech!D443&gt;=PLT!$F$4:$F$8886)*(PLT!$V$4:$V$8886&lt;&gt;AD443)*(PLT!$V$4:$V$8886&lt;&gt;AE443)*("Valid"=PLT!$P$4:$P$7190),PLT!$V$4:$V$8886),"")</f>
        <v/>
      </c>
      <c r="AG443" s="162" t="str">
        <f>IFERROR(IF(AVERAGE(AD443:AF443)&gt;References!$BO$23,References!$BP$23,
IF(AVERAGE(AD443:AF443)&gt;References!$BO$22,References!$BP$22,
IF(AVERAGE(AD443:AF443)&gt;References!$BO$21,References!$BP$21,
IF(AVERAGE(AD443:AF443)&gt;References!$BO$20,References!$BP$20,
IF(AVERAGE(AD443:AF443)&gt;References!$BO$19,References!$BP$19,
IF(AVERAGE(AD443:AF443)&gt;References!$BO$18,References!$BP$18,
0)))))),"")</f>
        <v/>
      </c>
      <c r="AH443" s="163" t="e">
        <f>VLOOKUP(Data_Geotech[[#This Row],[Field Intact Rock Strength]],Table_RMR76_Strength[],2,FALSE)</f>
        <v>#N/A</v>
      </c>
      <c r="AI443" s="163" t="e">
        <f>IF(Data_Geotech[[#This Row],[RQD (%)]]&lt;=25,3,IF(Data_Geotech[[#This Row],[RQD (%)]]&lt;=50,8,IF(Data_Geotech[[#This Row],[RQD (%)]]&lt;=75,13,IF(Data_Geotech[[#This Row],[RQD (%)]]&lt;=90,17,20))))</f>
        <v>#DIV/0!</v>
      </c>
      <c r="AJ443" s="136">
        <f>IF(Data_Geotech[[#This Row],[Joint spacing (m)]]&lt;=0.05,5,IF(Data_Geotech[[#This Row],[Joint spacing (m)]]&lt;=0.3,10,IF(Data_Geotech[[#This Row],[Joint spacing (m)]]&lt;=1,20,IF(Data_Geotech[[#This Row],[Joint spacing (m)]]&lt;=3,25,30))))</f>
        <v>30</v>
      </c>
      <c r="AK44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3" s="6"/>
      <c r="AM443" s="137" t="str">
        <f>IF(Data_Geotech[[#This Row],[FIRS Code]]="R",IFERROR(SUM(Data_Geotech[[#This Row],[RMR76 - Strength rating]:[RMR76 - Ground water rating]]),""),"")</f>
        <v/>
      </c>
      <c r="AN443" s="164" t="str">
        <f>IF(Data_Geotech[[#This Row],[FIRS Code]]="R",(2*Data_Geotech[[#This Row],[RMR76 - Joint condition rating]])+(IF(Data_Geotech[[#This Row],[RQD (%)]]&gt;80,80/2,Data_Geotech[[#This Row],[RQD (%)]]/2)),"")</f>
        <v/>
      </c>
      <c r="AO443" s="136" t="e">
        <f>LEFT(Data_Geotech[[#This Row],[Joint Set Rating]],FIND("-",Data_Geotech[[#This Row],[Joint Set Rating]],1)-2)</f>
        <v>#VALUE!</v>
      </c>
      <c r="AP44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3" s="143">
        <f t="shared" si="10"/>
        <v>1</v>
      </c>
      <c r="AR443" s="165" t="str">
        <f>IF(Data_Geotech[[#This Row],[FIRS Code]]="R",IFERROR((IF(Data_Geotech[[#This Row],[RQD (%)]]&lt;10,10,Data_Geotech[[#This Row],[RQD (%)]])/Data_Geotech[[#This Row],[Jn rating]])*Data_Geotech[[#This Row],[Jr/Ja]],""),"")</f>
        <v/>
      </c>
      <c r="AS443" s="138" t="str">
        <f>IF(Data_Geotech[[#This Row],[FIRS Code]]="R",IFERROR((IF(Data_Geotech[[#This Row],[RQD (%)]]&lt;10,10,Data_Geotech[[#This Row],[RQD (%)]])/Data_Geotech[[#This Row],[Jn rating]])*Data_Geotech[[#This Row],[Jr/Ja]]*Data_Geotech[[#This Row],[Jw/SRF]],""),"")</f>
        <v/>
      </c>
      <c r="AT443" s="12"/>
      <c r="AU443" s="13" t="e">
        <f>100-Data_Geotech[[#This Row],[RQD (%)]]</f>
        <v>#DIV/0!</v>
      </c>
      <c r="AV443" s="13" t="e">
        <f>100-Data_Geotech[[#This Row],[TCR (%)]]</f>
        <v>#DIV/0!</v>
      </c>
      <c r="AW443" s="62" t="e">
        <f>(Data_Geotech[[#This Row],[Fracture per interval]]+Data_Geotech[[#This Row],[Added fractures 
(BC, FLT, LC)]])/Data_Geotech[[#This Row],[TCR (m)]]</f>
        <v>#DIV/0!</v>
      </c>
      <c r="AX443" s="62" t="str">
        <f>MID(Data_Geotech[[#This Row],[Field Intact Rock Strength]],2,1)</f>
        <v/>
      </c>
      <c r="AY443" s="63" t="e">
        <f>7-MID(Data_Geotech[[#This Row],[Field Intact Rock Strength]],2,1)</f>
        <v>#VALUE!</v>
      </c>
      <c r="AZ443" s="63" t="e">
        <f>VLOOKUP(Data_Geotech[[#This Row],[Field Intact Rock Strength]],Table_FieldStrength[],2,FALSE)</f>
        <v>#N/A</v>
      </c>
      <c r="BA443" s="63" t="e">
        <f>VLOOKUP(Data_Geotech[[#This Row],[Field Intact Rock Strength]],Table_FieldStrength[],3,FALSE)</f>
        <v>#N/A</v>
      </c>
      <c r="BB443" s="63" t="e">
        <f>VLOOKUP(Data_Geotech[[#This Row],[Field Intact Rock Strength]],Table_FieldStrength[],4,FALSE)</f>
        <v>#N/A</v>
      </c>
      <c r="BC443" s="63" t="e">
        <f>100-Data_Geotech[[#This Row],[RMR76]]</f>
        <v>#VALUE!</v>
      </c>
      <c r="BD443" s="63" t="e">
        <f>LEFT(Data_Geotech[[#This Row],[Weathering/Alteration]],FIND("-",Data_Geotech[[#This Row],[Weathering/Alteration]])-2)</f>
        <v>#VALUE!</v>
      </c>
    </row>
    <row r="444" spans="1:56" hidden="1" x14ac:dyDescent="0.25">
      <c r="A444" s="14"/>
      <c r="B444" s="166" t="e">
        <f>VLOOKUP(Data_Geotech[[#This Row],[Hole ID]],Data_Log[],2,FALSE)</f>
        <v>#N/A</v>
      </c>
      <c r="C444" s="5"/>
      <c r="D444" s="5"/>
      <c r="E444" s="5">
        <f>(Data_Geotech[[#This Row],[To (m)]]-Data_Geotech[[#This Row],[From (m)]])/2+Data_Geotech[[#This Row],[From (m)]]</f>
        <v>0</v>
      </c>
      <c r="F444" s="13">
        <f>Data_Geotech[[#This Row],[To (m)]]-Data_Geotech[[#This Row],[From (m)]]</f>
        <v>0</v>
      </c>
      <c r="G444" s="5"/>
      <c r="H444" s="13" t="e">
        <f>Data_Geotech[[#This Row],[TCR (m)]]/Data_Geotech[[#This Row],[Run (m)]]*100</f>
        <v>#DIV/0!</v>
      </c>
      <c r="I444" s="5"/>
      <c r="J444" s="5"/>
      <c r="K444" s="5"/>
      <c r="L444" s="13" t="e">
        <f>Data_Geotech[[#This Row],[RQD (m)]]/Data_Geotech[[#This Row],[Run Reel (m)]]*100</f>
        <v>#DIV/0!</v>
      </c>
      <c r="P444" s="115"/>
      <c r="Q444" s="5"/>
      <c r="R444" s="5"/>
      <c r="S444" s="5"/>
      <c r="T444" s="5"/>
      <c r="U444" s="5"/>
      <c r="V444" s="6"/>
      <c r="W444" s="92">
        <f>SUMIFS(Discontinuities!$D$4:$D$9664,Discontinuities!$A$4:$A$9664,A444,Discontinuities!$C$4:$C$9664,"&gt;="&amp;C444,Discontinuities!$C$4:$C$9664,"&lt;"&amp;D444)
-SUMIFS(Discontinuities!$D$4:$D$9664,Discontinuities!$A$4:$A$9664,A444,Discontinuities!$C$4:$C$9664,"&gt;="&amp;C444,Discontinuities!$C$4:$C$9664,"&lt;"&amp;D444,Discontinuities!$E$4:$E$9664,"=BC")
-SUMIFS(Discontinuities!$D$4:$D$9664,Discontinuities!$A$4:$A$9664,A444,Discontinuities!$C$4:$C$9664,"&gt;="&amp;C444,Discontinuities!$C$4:$C$9664,"&lt;"&amp;D444,Discontinuities!$E$4:$E$9664,"=LC")
-SUMIFS(Discontinuities!$D$4:$D$9664,Discontinuities!$A$4:$A$9664,A444,Discontinuities!$C$4:$C$9664,"&gt;="&amp;C444,Discontinuities!$C$4:$C$9664,"&lt;"&amp;D444,Discontinuities!$E$4:$E$9664,"=FLT")</f>
        <v>0</v>
      </c>
      <c r="AA444" s="132"/>
      <c r="AB444" s="159">
        <f>IFERROR(ROUND((Data_Geotech[[#This Row],[Fault (m)]]+Data_Geotech[[#This Row],[Broken Core (m)]]+Data_Geotech[[#This Row],[Lost Core (m)]])*30,0),0)</f>
        <v>0</v>
      </c>
      <c r="AC444" s="135">
        <f>IF(Data_Geotech[[#This Row],[Added fractures 
(BC, FLT, LC)]]+Data_Geotech[[#This Row],[Fracture per interval]]=0,99,1/((Data_Geotech[[#This Row],[Fracture per interval]]+Data_Geotech[[#This Row],[Added fractures 
(BC, FLT, LC)]])/Data_Geotech[[#This Row],[Run (m)]]))</f>
        <v>99</v>
      </c>
      <c r="AD444" s="160" t="str" cm="1">
        <f t="array" ref="AD444">IFERROR(_xlfn.XLOOKUP(1,(A444=PLT!$A$4:$A$8886)*(Geotech!C444&lt;=PLT!$F$4:$F$8886)*(Geotech!D444&gt;=PLT!$F$4:$F$8886)*("Valid"=PLT!$P$4:$P$8886),PLT!$V$4:$V$8886),"")</f>
        <v/>
      </c>
      <c r="AE444" s="161" t="str" cm="1">
        <f t="array" ref="AE444">IFERROR(_xlfn.XLOOKUP(1,(A444=PLT!$A$4:$A$8886)*(Geotech!C444&lt;=PLT!$F$4:$F$8886)*(Geotech!D444&gt;=PLT!$F$4:$F$8886)*(PLT!$V$4:$V$8886&lt;&gt;AD444)*("Valid"=PLT!$P$4:$P$7190),PLT!$V$4:$V$8886),"")</f>
        <v/>
      </c>
      <c r="AF444" s="161" t="str" cm="1">
        <f t="array" ref="AF444">IFERROR(_xlfn.XLOOKUP(1,(A444=PLT!$A$4:$A$8886)*(Geotech!C444&lt;=PLT!$F$4:$F$8886)*(Geotech!D444&gt;=PLT!$F$4:$F$8886)*(PLT!$V$4:$V$8886&lt;&gt;AD444)*(PLT!$V$4:$V$8886&lt;&gt;AE444)*("Valid"=PLT!$P$4:$P$7190),PLT!$V$4:$V$8886),"")</f>
        <v/>
      </c>
      <c r="AG444" s="162" t="str">
        <f>IFERROR(IF(AVERAGE(AD444:AF444)&gt;References!$BO$23,References!$BP$23,
IF(AVERAGE(AD444:AF444)&gt;References!$BO$22,References!$BP$22,
IF(AVERAGE(AD444:AF444)&gt;References!$BO$21,References!$BP$21,
IF(AVERAGE(AD444:AF444)&gt;References!$BO$20,References!$BP$20,
IF(AVERAGE(AD444:AF444)&gt;References!$BO$19,References!$BP$19,
IF(AVERAGE(AD444:AF444)&gt;References!$BO$18,References!$BP$18,
0)))))),"")</f>
        <v/>
      </c>
      <c r="AH444" s="163" t="e">
        <f>VLOOKUP(Data_Geotech[[#This Row],[Field Intact Rock Strength]],Table_RMR76_Strength[],2,FALSE)</f>
        <v>#N/A</v>
      </c>
      <c r="AI444" s="163" t="e">
        <f>IF(Data_Geotech[[#This Row],[RQD (%)]]&lt;=25,3,IF(Data_Geotech[[#This Row],[RQD (%)]]&lt;=50,8,IF(Data_Geotech[[#This Row],[RQD (%)]]&lt;=75,13,IF(Data_Geotech[[#This Row],[RQD (%)]]&lt;=90,17,20))))</f>
        <v>#DIV/0!</v>
      </c>
      <c r="AJ444" s="136">
        <f>IF(Data_Geotech[[#This Row],[Joint spacing (m)]]&lt;=0.05,5,IF(Data_Geotech[[#This Row],[Joint spacing (m)]]&lt;=0.3,10,IF(Data_Geotech[[#This Row],[Joint spacing (m)]]&lt;=1,20,IF(Data_Geotech[[#This Row],[Joint spacing (m)]]&lt;=3,25,30))))</f>
        <v>30</v>
      </c>
      <c r="AK44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4" s="6"/>
      <c r="AM444" s="137" t="str">
        <f>IF(Data_Geotech[[#This Row],[FIRS Code]]="R",IFERROR(SUM(Data_Geotech[[#This Row],[RMR76 - Strength rating]:[RMR76 - Ground water rating]]),""),"")</f>
        <v/>
      </c>
      <c r="AN444" s="164" t="str">
        <f>IF(Data_Geotech[[#This Row],[FIRS Code]]="R",(2*Data_Geotech[[#This Row],[RMR76 - Joint condition rating]])+(IF(Data_Geotech[[#This Row],[RQD (%)]]&gt;80,80/2,Data_Geotech[[#This Row],[RQD (%)]]/2)),"")</f>
        <v/>
      </c>
      <c r="AO444" s="136" t="e">
        <f>LEFT(Data_Geotech[[#This Row],[Joint Set Rating]],FIND("-",Data_Geotech[[#This Row],[Joint Set Rating]],1)-2)</f>
        <v>#VALUE!</v>
      </c>
      <c r="AP44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4" s="143">
        <f t="shared" si="10"/>
        <v>1</v>
      </c>
      <c r="AR444" s="165" t="str">
        <f>IF(Data_Geotech[[#This Row],[FIRS Code]]="R",IFERROR((IF(Data_Geotech[[#This Row],[RQD (%)]]&lt;10,10,Data_Geotech[[#This Row],[RQD (%)]])/Data_Geotech[[#This Row],[Jn rating]])*Data_Geotech[[#This Row],[Jr/Ja]],""),"")</f>
        <v/>
      </c>
      <c r="AS444" s="138" t="str">
        <f>IF(Data_Geotech[[#This Row],[FIRS Code]]="R",IFERROR((IF(Data_Geotech[[#This Row],[RQD (%)]]&lt;10,10,Data_Geotech[[#This Row],[RQD (%)]])/Data_Geotech[[#This Row],[Jn rating]])*Data_Geotech[[#This Row],[Jr/Ja]]*Data_Geotech[[#This Row],[Jw/SRF]],""),"")</f>
        <v/>
      </c>
      <c r="AT444" s="12"/>
      <c r="AU444" s="13" t="e">
        <f>100-Data_Geotech[[#This Row],[RQD (%)]]</f>
        <v>#DIV/0!</v>
      </c>
      <c r="AV444" s="13" t="e">
        <f>100-Data_Geotech[[#This Row],[TCR (%)]]</f>
        <v>#DIV/0!</v>
      </c>
      <c r="AW444" s="62" t="e">
        <f>(Data_Geotech[[#This Row],[Fracture per interval]]+Data_Geotech[[#This Row],[Added fractures 
(BC, FLT, LC)]])/Data_Geotech[[#This Row],[TCR (m)]]</f>
        <v>#DIV/0!</v>
      </c>
      <c r="AX444" s="62" t="str">
        <f>MID(Data_Geotech[[#This Row],[Field Intact Rock Strength]],2,1)</f>
        <v/>
      </c>
      <c r="AY444" s="63" t="e">
        <f>7-MID(Data_Geotech[[#This Row],[Field Intact Rock Strength]],2,1)</f>
        <v>#VALUE!</v>
      </c>
      <c r="AZ444" s="63" t="e">
        <f>VLOOKUP(Data_Geotech[[#This Row],[Field Intact Rock Strength]],Table_FieldStrength[],2,FALSE)</f>
        <v>#N/A</v>
      </c>
      <c r="BA444" s="63" t="e">
        <f>VLOOKUP(Data_Geotech[[#This Row],[Field Intact Rock Strength]],Table_FieldStrength[],3,FALSE)</f>
        <v>#N/A</v>
      </c>
      <c r="BB444" s="63" t="e">
        <f>VLOOKUP(Data_Geotech[[#This Row],[Field Intact Rock Strength]],Table_FieldStrength[],4,FALSE)</f>
        <v>#N/A</v>
      </c>
      <c r="BC444" s="63" t="e">
        <f>100-Data_Geotech[[#This Row],[RMR76]]</f>
        <v>#VALUE!</v>
      </c>
      <c r="BD444" s="63" t="e">
        <f>LEFT(Data_Geotech[[#This Row],[Weathering/Alteration]],FIND("-",Data_Geotech[[#This Row],[Weathering/Alteration]])-2)</f>
        <v>#VALUE!</v>
      </c>
    </row>
    <row r="445" spans="1:56" hidden="1" x14ac:dyDescent="0.25">
      <c r="A445" s="14"/>
      <c r="B445" s="166" t="e">
        <f>VLOOKUP(Data_Geotech[[#This Row],[Hole ID]],Data_Log[],2,FALSE)</f>
        <v>#N/A</v>
      </c>
      <c r="C445" s="5"/>
      <c r="D445" s="5"/>
      <c r="E445" s="5">
        <f>(Data_Geotech[[#This Row],[To (m)]]-Data_Geotech[[#This Row],[From (m)]])/2+Data_Geotech[[#This Row],[From (m)]]</f>
        <v>0</v>
      </c>
      <c r="F445" s="13">
        <f>Data_Geotech[[#This Row],[To (m)]]-Data_Geotech[[#This Row],[From (m)]]</f>
        <v>0</v>
      </c>
      <c r="G445" s="5"/>
      <c r="H445" s="13" t="e">
        <f>Data_Geotech[[#This Row],[TCR (m)]]/Data_Geotech[[#This Row],[Run (m)]]*100</f>
        <v>#DIV/0!</v>
      </c>
      <c r="I445" s="5"/>
      <c r="J445" s="5"/>
      <c r="K445" s="5"/>
      <c r="L445" s="13" t="e">
        <f>Data_Geotech[[#This Row],[RQD (m)]]/Data_Geotech[[#This Row],[Run Reel (m)]]*100</f>
        <v>#DIV/0!</v>
      </c>
      <c r="P445" s="115"/>
      <c r="Q445" s="5"/>
      <c r="R445" s="5"/>
      <c r="S445" s="5"/>
      <c r="T445" s="5"/>
      <c r="U445" s="5"/>
      <c r="V445" s="6"/>
      <c r="W445" s="92">
        <f>SUMIFS(Discontinuities!$D$4:$D$9664,Discontinuities!$A$4:$A$9664,A445,Discontinuities!$C$4:$C$9664,"&gt;="&amp;C445,Discontinuities!$C$4:$C$9664,"&lt;"&amp;D445)
-SUMIFS(Discontinuities!$D$4:$D$9664,Discontinuities!$A$4:$A$9664,A445,Discontinuities!$C$4:$C$9664,"&gt;="&amp;C445,Discontinuities!$C$4:$C$9664,"&lt;"&amp;D445,Discontinuities!$E$4:$E$9664,"=BC")
-SUMIFS(Discontinuities!$D$4:$D$9664,Discontinuities!$A$4:$A$9664,A445,Discontinuities!$C$4:$C$9664,"&gt;="&amp;C445,Discontinuities!$C$4:$C$9664,"&lt;"&amp;D445,Discontinuities!$E$4:$E$9664,"=LC")
-SUMIFS(Discontinuities!$D$4:$D$9664,Discontinuities!$A$4:$A$9664,A445,Discontinuities!$C$4:$C$9664,"&gt;="&amp;C445,Discontinuities!$C$4:$C$9664,"&lt;"&amp;D445,Discontinuities!$E$4:$E$9664,"=FLT")</f>
        <v>0</v>
      </c>
      <c r="AA445" s="132"/>
      <c r="AB445" s="159">
        <f>IFERROR(ROUND((Data_Geotech[[#This Row],[Fault (m)]]+Data_Geotech[[#This Row],[Broken Core (m)]]+Data_Geotech[[#This Row],[Lost Core (m)]])*30,0),0)</f>
        <v>0</v>
      </c>
      <c r="AC445" s="135">
        <f>IF(Data_Geotech[[#This Row],[Added fractures 
(BC, FLT, LC)]]+Data_Geotech[[#This Row],[Fracture per interval]]=0,99,1/((Data_Geotech[[#This Row],[Fracture per interval]]+Data_Geotech[[#This Row],[Added fractures 
(BC, FLT, LC)]])/Data_Geotech[[#This Row],[Run (m)]]))</f>
        <v>99</v>
      </c>
      <c r="AD445" s="160" t="str" cm="1">
        <f t="array" ref="AD445">IFERROR(_xlfn.XLOOKUP(1,(A445=PLT!$A$4:$A$8886)*(Geotech!C445&lt;=PLT!$F$4:$F$8886)*(Geotech!D445&gt;=PLT!$F$4:$F$8886)*("Valid"=PLT!$P$4:$P$8886),PLT!$V$4:$V$8886),"")</f>
        <v/>
      </c>
      <c r="AE445" s="161" t="str" cm="1">
        <f t="array" ref="AE445">IFERROR(_xlfn.XLOOKUP(1,(A445=PLT!$A$4:$A$8886)*(Geotech!C445&lt;=PLT!$F$4:$F$8886)*(Geotech!D445&gt;=PLT!$F$4:$F$8886)*(PLT!$V$4:$V$8886&lt;&gt;AD445)*("Valid"=PLT!$P$4:$P$7190),PLT!$V$4:$V$8886),"")</f>
        <v/>
      </c>
      <c r="AF445" s="161" t="str" cm="1">
        <f t="array" ref="AF445">IFERROR(_xlfn.XLOOKUP(1,(A445=PLT!$A$4:$A$8886)*(Geotech!C445&lt;=PLT!$F$4:$F$8886)*(Geotech!D445&gt;=PLT!$F$4:$F$8886)*(PLT!$V$4:$V$8886&lt;&gt;AD445)*(PLT!$V$4:$V$8886&lt;&gt;AE445)*("Valid"=PLT!$P$4:$P$7190),PLT!$V$4:$V$8886),"")</f>
        <v/>
      </c>
      <c r="AG445" s="162" t="str">
        <f>IFERROR(IF(AVERAGE(AD445:AF445)&gt;References!$BO$23,References!$BP$23,
IF(AVERAGE(AD445:AF445)&gt;References!$BO$22,References!$BP$22,
IF(AVERAGE(AD445:AF445)&gt;References!$BO$21,References!$BP$21,
IF(AVERAGE(AD445:AF445)&gt;References!$BO$20,References!$BP$20,
IF(AVERAGE(AD445:AF445)&gt;References!$BO$19,References!$BP$19,
IF(AVERAGE(AD445:AF445)&gt;References!$BO$18,References!$BP$18,
0)))))),"")</f>
        <v/>
      </c>
      <c r="AH445" s="163" t="e">
        <f>VLOOKUP(Data_Geotech[[#This Row],[Field Intact Rock Strength]],Table_RMR76_Strength[],2,FALSE)</f>
        <v>#N/A</v>
      </c>
      <c r="AI445" s="163" t="e">
        <f>IF(Data_Geotech[[#This Row],[RQD (%)]]&lt;=25,3,IF(Data_Geotech[[#This Row],[RQD (%)]]&lt;=50,8,IF(Data_Geotech[[#This Row],[RQD (%)]]&lt;=75,13,IF(Data_Geotech[[#This Row],[RQD (%)]]&lt;=90,17,20))))</f>
        <v>#DIV/0!</v>
      </c>
      <c r="AJ445" s="136">
        <f>IF(Data_Geotech[[#This Row],[Joint spacing (m)]]&lt;=0.05,5,IF(Data_Geotech[[#This Row],[Joint spacing (m)]]&lt;=0.3,10,IF(Data_Geotech[[#This Row],[Joint spacing (m)]]&lt;=1,20,IF(Data_Geotech[[#This Row],[Joint spacing (m)]]&lt;=3,25,30))))</f>
        <v>30</v>
      </c>
      <c r="AK44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5" s="6"/>
      <c r="AM445" s="137" t="str">
        <f>IF(Data_Geotech[[#This Row],[FIRS Code]]="R",IFERROR(SUM(Data_Geotech[[#This Row],[RMR76 - Strength rating]:[RMR76 - Ground water rating]]),""),"")</f>
        <v/>
      </c>
      <c r="AN445" s="164" t="str">
        <f>IF(Data_Geotech[[#This Row],[FIRS Code]]="R",(2*Data_Geotech[[#This Row],[RMR76 - Joint condition rating]])+(IF(Data_Geotech[[#This Row],[RQD (%)]]&gt;80,80/2,Data_Geotech[[#This Row],[RQD (%)]]/2)),"")</f>
        <v/>
      </c>
      <c r="AO445" s="136" t="e">
        <f>LEFT(Data_Geotech[[#This Row],[Joint Set Rating]],FIND("-",Data_Geotech[[#This Row],[Joint Set Rating]],1)-2)</f>
        <v>#VALUE!</v>
      </c>
      <c r="AP44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5" s="143">
        <f t="shared" si="10"/>
        <v>1</v>
      </c>
      <c r="AR445" s="165" t="str">
        <f>IF(Data_Geotech[[#This Row],[FIRS Code]]="R",IFERROR((IF(Data_Geotech[[#This Row],[RQD (%)]]&lt;10,10,Data_Geotech[[#This Row],[RQD (%)]])/Data_Geotech[[#This Row],[Jn rating]])*Data_Geotech[[#This Row],[Jr/Ja]],""),"")</f>
        <v/>
      </c>
      <c r="AS445" s="138" t="str">
        <f>IF(Data_Geotech[[#This Row],[FIRS Code]]="R",IFERROR((IF(Data_Geotech[[#This Row],[RQD (%)]]&lt;10,10,Data_Geotech[[#This Row],[RQD (%)]])/Data_Geotech[[#This Row],[Jn rating]])*Data_Geotech[[#This Row],[Jr/Ja]]*Data_Geotech[[#This Row],[Jw/SRF]],""),"")</f>
        <v/>
      </c>
      <c r="AT445" s="12"/>
      <c r="AU445" s="13" t="e">
        <f>100-Data_Geotech[[#This Row],[RQD (%)]]</f>
        <v>#DIV/0!</v>
      </c>
      <c r="AV445" s="13" t="e">
        <f>100-Data_Geotech[[#This Row],[TCR (%)]]</f>
        <v>#DIV/0!</v>
      </c>
      <c r="AW445" s="62" t="e">
        <f>(Data_Geotech[[#This Row],[Fracture per interval]]+Data_Geotech[[#This Row],[Added fractures 
(BC, FLT, LC)]])/Data_Geotech[[#This Row],[TCR (m)]]</f>
        <v>#DIV/0!</v>
      </c>
      <c r="AX445" s="62" t="str">
        <f>MID(Data_Geotech[[#This Row],[Field Intact Rock Strength]],2,1)</f>
        <v/>
      </c>
      <c r="AY445" s="63" t="e">
        <f>7-MID(Data_Geotech[[#This Row],[Field Intact Rock Strength]],2,1)</f>
        <v>#VALUE!</v>
      </c>
      <c r="AZ445" s="63" t="e">
        <f>VLOOKUP(Data_Geotech[[#This Row],[Field Intact Rock Strength]],Table_FieldStrength[],2,FALSE)</f>
        <v>#N/A</v>
      </c>
      <c r="BA445" s="63" t="e">
        <f>VLOOKUP(Data_Geotech[[#This Row],[Field Intact Rock Strength]],Table_FieldStrength[],3,FALSE)</f>
        <v>#N/A</v>
      </c>
      <c r="BB445" s="63" t="e">
        <f>VLOOKUP(Data_Geotech[[#This Row],[Field Intact Rock Strength]],Table_FieldStrength[],4,FALSE)</f>
        <v>#N/A</v>
      </c>
      <c r="BC445" s="63" t="e">
        <f>100-Data_Geotech[[#This Row],[RMR76]]</f>
        <v>#VALUE!</v>
      </c>
      <c r="BD445" s="63" t="e">
        <f>LEFT(Data_Geotech[[#This Row],[Weathering/Alteration]],FIND("-",Data_Geotech[[#This Row],[Weathering/Alteration]])-2)</f>
        <v>#VALUE!</v>
      </c>
    </row>
    <row r="446" spans="1:56" hidden="1" x14ac:dyDescent="0.25">
      <c r="A446" s="14"/>
      <c r="B446" s="166" t="e">
        <f>VLOOKUP(Data_Geotech[[#This Row],[Hole ID]],Data_Log[],2,FALSE)</f>
        <v>#N/A</v>
      </c>
      <c r="C446" s="5"/>
      <c r="D446" s="5"/>
      <c r="E446" s="5">
        <f>(Data_Geotech[[#This Row],[To (m)]]-Data_Geotech[[#This Row],[From (m)]])/2+Data_Geotech[[#This Row],[From (m)]]</f>
        <v>0</v>
      </c>
      <c r="F446" s="13">
        <f>Data_Geotech[[#This Row],[To (m)]]-Data_Geotech[[#This Row],[From (m)]]</f>
        <v>0</v>
      </c>
      <c r="G446" s="5"/>
      <c r="H446" s="13" t="e">
        <f>Data_Geotech[[#This Row],[TCR (m)]]/Data_Geotech[[#This Row],[Run (m)]]*100</f>
        <v>#DIV/0!</v>
      </c>
      <c r="I446" s="5"/>
      <c r="J446" s="5"/>
      <c r="K446" s="5"/>
      <c r="L446" s="13" t="e">
        <f>Data_Geotech[[#This Row],[RQD (m)]]/Data_Geotech[[#This Row],[Run Reel (m)]]*100</f>
        <v>#DIV/0!</v>
      </c>
      <c r="P446" s="115"/>
      <c r="Q446" s="5"/>
      <c r="R446" s="5"/>
      <c r="S446" s="5"/>
      <c r="T446" s="5"/>
      <c r="U446" s="5"/>
      <c r="V446" s="6"/>
      <c r="W446" s="92">
        <f>SUMIFS(Discontinuities!$D$4:$D$9664,Discontinuities!$A$4:$A$9664,A446,Discontinuities!$C$4:$C$9664,"&gt;="&amp;C446,Discontinuities!$C$4:$C$9664,"&lt;"&amp;D446)
-SUMIFS(Discontinuities!$D$4:$D$9664,Discontinuities!$A$4:$A$9664,A446,Discontinuities!$C$4:$C$9664,"&gt;="&amp;C446,Discontinuities!$C$4:$C$9664,"&lt;"&amp;D446,Discontinuities!$E$4:$E$9664,"=BC")
-SUMIFS(Discontinuities!$D$4:$D$9664,Discontinuities!$A$4:$A$9664,A446,Discontinuities!$C$4:$C$9664,"&gt;="&amp;C446,Discontinuities!$C$4:$C$9664,"&lt;"&amp;D446,Discontinuities!$E$4:$E$9664,"=LC")
-SUMIFS(Discontinuities!$D$4:$D$9664,Discontinuities!$A$4:$A$9664,A446,Discontinuities!$C$4:$C$9664,"&gt;="&amp;C446,Discontinuities!$C$4:$C$9664,"&lt;"&amp;D446,Discontinuities!$E$4:$E$9664,"=FLT")</f>
        <v>0</v>
      </c>
      <c r="AA446" s="132"/>
      <c r="AB446" s="159">
        <f>IFERROR(ROUND((Data_Geotech[[#This Row],[Fault (m)]]+Data_Geotech[[#This Row],[Broken Core (m)]]+Data_Geotech[[#This Row],[Lost Core (m)]])*30,0),0)</f>
        <v>0</v>
      </c>
      <c r="AC446" s="135">
        <f>IF(Data_Geotech[[#This Row],[Added fractures 
(BC, FLT, LC)]]+Data_Geotech[[#This Row],[Fracture per interval]]=0,99,1/((Data_Geotech[[#This Row],[Fracture per interval]]+Data_Geotech[[#This Row],[Added fractures 
(BC, FLT, LC)]])/Data_Geotech[[#This Row],[Run (m)]]))</f>
        <v>99</v>
      </c>
      <c r="AD446" s="160" t="str" cm="1">
        <f t="array" ref="AD446">IFERROR(_xlfn.XLOOKUP(1,(A446=PLT!$A$4:$A$8886)*(Geotech!C446&lt;=PLT!$F$4:$F$8886)*(Geotech!D446&gt;=PLT!$F$4:$F$8886)*("Valid"=PLT!$P$4:$P$8886),PLT!$V$4:$V$8886),"")</f>
        <v/>
      </c>
      <c r="AE446" s="161" t="str" cm="1">
        <f t="array" ref="AE446">IFERROR(_xlfn.XLOOKUP(1,(A446=PLT!$A$4:$A$8886)*(Geotech!C446&lt;=PLT!$F$4:$F$8886)*(Geotech!D446&gt;=PLT!$F$4:$F$8886)*(PLT!$V$4:$V$8886&lt;&gt;AD446)*("Valid"=PLT!$P$4:$P$7190),PLT!$V$4:$V$8886),"")</f>
        <v/>
      </c>
      <c r="AF446" s="161" t="str" cm="1">
        <f t="array" ref="AF446">IFERROR(_xlfn.XLOOKUP(1,(A446=PLT!$A$4:$A$8886)*(Geotech!C446&lt;=PLT!$F$4:$F$8886)*(Geotech!D446&gt;=PLT!$F$4:$F$8886)*(PLT!$V$4:$V$8886&lt;&gt;AD446)*(PLT!$V$4:$V$8886&lt;&gt;AE446)*("Valid"=PLT!$P$4:$P$7190),PLT!$V$4:$V$8886),"")</f>
        <v/>
      </c>
      <c r="AG446" s="162" t="str">
        <f>IFERROR(IF(AVERAGE(AD446:AF446)&gt;References!$BO$23,References!$BP$23,
IF(AVERAGE(AD446:AF446)&gt;References!$BO$22,References!$BP$22,
IF(AVERAGE(AD446:AF446)&gt;References!$BO$21,References!$BP$21,
IF(AVERAGE(AD446:AF446)&gt;References!$BO$20,References!$BP$20,
IF(AVERAGE(AD446:AF446)&gt;References!$BO$19,References!$BP$19,
IF(AVERAGE(AD446:AF446)&gt;References!$BO$18,References!$BP$18,
0)))))),"")</f>
        <v/>
      </c>
      <c r="AH446" s="163" t="e">
        <f>VLOOKUP(Data_Geotech[[#This Row],[Field Intact Rock Strength]],Table_RMR76_Strength[],2,FALSE)</f>
        <v>#N/A</v>
      </c>
      <c r="AI446" s="163" t="e">
        <f>IF(Data_Geotech[[#This Row],[RQD (%)]]&lt;=25,3,IF(Data_Geotech[[#This Row],[RQD (%)]]&lt;=50,8,IF(Data_Geotech[[#This Row],[RQD (%)]]&lt;=75,13,IF(Data_Geotech[[#This Row],[RQD (%)]]&lt;=90,17,20))))</f>
        <v>#DIV/0!</v>
      </c>
      <c r="AJ446" s="136">
        <f>IF(Data_Geotech[[#This Row],[Joint spacing (m)]]&lt;=0.05,5,IF(Data_Geotech[[#This Row],[Joint spacing (m)]]&lt;=0.3,10,IF(Data_Geotech[[#This Row],[Joint spacing (m)]]&lt;=1,20,IF(Data_Geotech[[#This Row],[Joint spacing (m)]]&lt;=3,25,30))))</f>
        <v>30</v>
      </c>
      <c r="AK44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6" s="6"/>
      <c r="AM446" s="137" t="str">
        <f>IF(Data_Geotech[[#This Row],[FIRS Code]]="R",IFERROR(SUM(Data_Geotech[[#This Row],[RMR76 - Strength rating]:[RMR76 - Ground water rating]]),""),"")</f>
        <v/>
      </c>
      <c r="AN446" s="164" t="str">
        <f>IF(Data_Geotech[[#This Row],[FIRS Code]]="R",(2*Data_Geotech[[#This Row],[RMR76 - Joint condition rating]])+(IF(Data_Geotech[[#This Row],[RQD (%)]]&gt;80,80/2,Data_Geotech[[#This Row],[RQD (%)]]/2)),"")</f>
        <v/>
      </c>
      <c r="AO446" s="136" t="e">
        <f>LEFT(Data_Geotech[[#This Row],[Joint Set Rating]],FIND("-",Data_Geotech[[#This Row],[Joint Set Rating]],1)-2)</f>
        <v>#VALUE!</v>
      </c>
      <c r="AP44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6" s="143">
        <f t="shared" si="10"/>
        <v>1</v>
      </c>
      <c r="AR446" s="165" t="str">
        <f>IF(Data_Geotech[[#This Row],[FIRS Code]]="R",IFERROR((IF(Data_Geotech[[#This Row],[RQD (%)]]&lt;10,10,Data_Geotech[[#This Row],[RQD (%)]])/Data_Geotech[[#This Row],[Jn rating]])*Data_Geotech[[#This Row],[Jr/Ja]],""),"")</f>
        <v/>
      </c>
      <c r="AS446" s="138" t="str">
        <f>IF(Data_Geotech[[#This Row],[FIRS Code]]="R",IFERROR((IF(Data_Geotech[[#This Row],[RQD (%)]]&lt;10,10,Data_Geotech[[#This Row],[RQD (%)]])/Data_Geotech[[#This Row],[Jn rating]])*Data_Geotech[[#This Row],[Jr/Ja]]*Data_Geotech[[#This Row],[Jw/SRF]],""),"")</f>
        <v/>
      </c>
      <c r="AT446" s="12"/>
      <c r="AU446" s="13" t="e">
        <f>100-Data_Geotech[[#This Row],[RQD (%)]]</f>
        <v>#DIV/0!</v>
      </c>
      <c r="AV446" s="13" t="e">
        <f>100-Data_Geotech[[#This Row],[TCR (%)]]</f>
        <v>#DIV/0!</v>
      </c>
      <c r="AW446" s="62" t="e">
        <f>(Data_Geotech[[#This Row],[Fracture per interval]]+Data_Geotech[[#This Row],[Added fractures 
(BC, FLT, LC)]])/Data_Geotech[[#This Row],[TCR (m)]]</f>
        <v>#DIV/0!</v>
      </c>
      <c r="AX446" s="62" t="str">
        <f>MID(Data_Geotech[[#This Row],[Field Intact Rock Strength]],2,1)</f>
        <v/>
      </c>
      <c r="AY446" s="63" t="e">
        <f>7-MID(Data_Geotech[[#This Row],[Field Intact Rock Strength]],2,1)</f>
        <v>#VALUE!</v>
      </c>
      <c r="AZ446" s="63" t="e">
        <f>VLOOKUP(Data_Geotech[[#This Row],[Field Intact Rock Strength]],Table_FieldStrength[],2,FALSE)</f>
        <v>#N/A</v>
      </c>
      <c r="BA446" s="63" t="e">
        <f>VLOOKUP(Data_Geotech[[#This Row],[Field Intact Rock Strength]],Table_FieldStrength[],3,FALSE)</f>
        <v>#N/A</v>
      </c>
      <c r="BB446" s="63" t="e">
        <f>VLOOKUP(Data_Geotech[[#This Row],[Field Intact Rock Strength]],Table_FieldStrength[],4,FALSE)</f>
        <v>#N/A</v>
      </c>
      <c r="BC446" s="63" t="e">
        <f>100-Data_Geotech[[#This Row],[RMR76]]</f>
        <v>#VALUE!</v>
      </c>
      <c r="BD446" s="63" t="e">
        <f>LEFT(Data_Geotech[[#This Row],[Weathering/Alteration]],FIND("-",Data_Geotech[[#This Row],[Weathering/Alteration]])-2)</f>
        <v>#VALUE!</v>
      </c>
    </row>
    <row r="447" spans="1:56" hidden="1" x14ac:dyDescent="0.25">
      <c r="A447" s="14"/>
      <c r="B447" s="166" t="e">
        <f>VLOOKUP(Data_Geotech[[#This Row],[Hole ID]],Data_Log[],2,FALSE)</f>
        <v>#N/A</v>
      </c>
      <c r="C447" s="5"/>
      <c r="D447" s="5"/>
      <c r="E447" s="5">
        <f>(Data_Geotech[[#This Row],[To (m)]]-Data_Geotech[[#This Row],[From (m)]])/2+Data_Geotech[[#This Row],[From (m)]]</f>
        <v>0</v>
      </c>
      <c r="F447" s="13">
        <f>Data_Geotech[[#This Row],[To (m)]]-Data_Geotech[[#This Row],[From (m)]]</f>
        <v>0</v>
      </c>
      <c r="G447" s="5"/>
      <c r="H447" s="13" t="e">
        <f>Data_Geotech[[#This Row],[TCR (m)]]/Data_Geotech[[#This Row],[Run (m)]]*100</f>
        <v>#DIV/0!</v>
      </c>
      <c r="I447" s="5"/>
      <c r="J447" s="5"/>
      <c r="K447" s="5"/>
      <c r="L447" s="13" t="e">
        <f>Data_Geotech[[#This Row],[RQD (m)]]/Data_Geotech[[#This Row],[Run Reel (m)]]*100</f>
        <v>#DIV/0!</v>
      </c>
      <c r="P447" s="115"/>
      <c r="Q447" s="5"/>
      <c r="R447" s="5"/>
      <c r="S447" s="5"/>
      <c r="T447" s="5"/>
      <c r="U447" s="5"/>
      <c r="V447" s="6"/>
      <c r="W447" s="92">
        <f>SUMIFS(Discontinuities!$D$4:$D$9664,Discontinuities!$A$4:$A$9664,A447,Discontinuities!$C$4:$C$9664,"&gt;="&amp;C447,Discontinuities!$C$4:$C$9664,"&lt;"&amp;D447)
-SUMIFS(Discontinuities!$D$4:$D$9664,Discontinuities!$A$4:$A$9664,A447,Discontinuities!$C$4:$C$9664,"&gt;="&amp;C447,Discontinuities!$C$4:$C$9664,"&lt;"&amp;D447,Discontinuities!$E$4:$E$9664,"=BC")
-SUMIFS(Discontinuities!$D$4:$D$9664,Discontinuities!$A$4:$A$9664,A447,Discontinuities!$C$4:$C$9664,"&gt;="&amp;C447,Discontinuities!$C$4:$C$9664,"&lt;"&amp;D447,Discontinuities!$E$4:$E$9664,"=LC")
-SUMIFS(Discontinuities!$D$4:$D$9664,Discontinuities!$A$4:$A$9664,A447,Discontinuities!$C$4:$C$9664,"&gt;="&amp;C447,Discontinuities!$C$4:$C$9664,"&lt;"&amp;D447,Discontinuities!$E$4:$E$9664,"=FLT")</f>
        <v>0</v>
      </c>
      <c r="AA447" s="132"/>
      <c r="AB447" s="159">
        <f>IFERROR(ROUND((Data_Geotech[[#This Row],[Fault (m)]]+Data_Geotech[[#This Row],[Broken Core (m)]]+Data_Geotech[[#This Row],[Lost Core (m)]])*30,0),0)</f>
        <v>0</v>
      </c>
      <c r="AC447" s="135">
        <f>IF(Data_Geotech[[#This Row],[Added fractures 
(BC, FLT, LC)]]+Data_Geotech[[#This Row],[Fracture per interval]]=0,99,1/((Data_Geotech[[#This Row],[Fracture per interval]]+Data_Geotech[[#This Row],[Added fractures 
(BC, FLT, LC)]])/Data_Geotech[[#This Row],[Run (m)]]))</f>
        <v>99</v>
      </c>
      <c r="AD447" s="160" t="str" cm="1">
        <f t="array" ref="AD447">IFERROR(_xlfn.XLOOKUP(1,(A447=PLT!$A$4:$A$8886)*(Geotech!C447&lt;=PLT!$F$4:$F$8886)*(Geotech!D447&gt;=PLT!$F$4:$F$8886)*("Valid"=PLT!$P$4:$P$8886),PLT!$V$4:$V$8886),"")</f>
        <v/>
      </c>
      <c r="AE447" s="161" t="str" cm="1">
        <f t="array" ref="AE447">IFERROR(_xlfn.XLOOKUP(1,(A447=PLT!$A$4:$A$8886)*(Geotech!C447&lt;=PLT!$F$4:$F$8886)*(Geotech!D447&gt;=PLT!$F$4:$F$8886)*(PLT!$V$4:$V$8886&lt;&gt;AD447)*("Valid"=PLT!$P$4:$P$7190),PLT!$V$4:$V$8886),"")</f>
        <v/>
      </c>
      <c r="AF447" s="161" t="str" cm="1">
        <f t="array" ref="AF447">IFERROR(_xlfn.XLOOKUP(1,(A447=PLT!$A$4:$A$8886)*(Geotech!C447&lt;=PLT!$F$4:$F$8886)*(Geotech!D447&gt;=PLT!$F$4:$F$8886)*(PLT!$V$4:$V$8886&lt;&gt;AD447)*(PLT!$V$4:$V$8886&lt;&gt;AE447)*("Valid"=PLT!$P$4:$P$7190),PLT!$V$4:$V$8886),"")</f>
        <v/>
      </c>
      <c r="AG447" s="162" t="str">
        <f>IFERROR(IF(AVERAGE(AD447:AF447)&gt;References!$BO$23,References!$BP$23,
IF(AVERAGE(AD447:AF447)&gt;References!$BO$22,References!$BP$22,
IF(AVERAGE(AD447:AF447)&gt;References!$BO$21,References!$BP$21,
IF(AVERAGE(AD447:AF447)&gt;References!$BO$20,References!$BP$20,
IF(AVERAGE(AD447:AF447)&gt;References!$BO$19,References!$BP$19,
IF(AVERAGE(AD447:AF447)&gt;References!$BO$18,References!$BP$18,
0)))))),"")</f>
        <v/>
      </c>
      <c r="AH447" s="163" t="e">
        <f>VLOOKUP(Data_Geotech[[#This Row],[Field Intact Rock Strength]],Table_RMR76_Strength[],2,FALSE)</f>
        <v>#N/A</v>
      </c>
      <c r="AI447" s="163" t="e">
        <f>IF(Data_Geotech[[#This Row],[RQD (%)]]&lt;=25,3,IF(Data_Geotech[[#This Row],[RQD (%)]]&lt;=50,8,IF(Data_Geotech[[#This Row],[RQD (%)]]&lt;=75,13,IF(Data_Geotech[[#This Row],[RQD (%)]]&lt;=90,17,20))))</f>
        <v>#DIV/0!</v>
      </c>
      <c r="AJ447" s="136">
        <f>IF(Data_Geotech[[#This Row],[Joint spacing (m)]]&lt;=0.05,5,IF(Data_Geotech[[#This Row],[Joint spacing (m)]]&lt;=0.3,10,IF(Data_Geotech[[#This Row],[Joint spacing (m)]]&lt;=1,20,IF(Data_Geotech[[#This Row],[Joint spacing (m)]]&lt;=3,25,30))))</f>
        <v>30</v>
      </c>
      <c r="AK44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7" s="6"/>
      <c r="AM447" s="137" t="str">
        <f>IF(Data_Geotech[[#This Row],[FIRS Code]]="R",IFERROR(SUM(Data_Geotech[[#This Row],[RMR76 - Strength rating]:[RMR76 - Ground water rating]]),""),"")</f>
        <v/>
      </c>
      <c r="AN447" s="164" t="str">
        <f>IF(Data_Geotech[[#This Row],[FIRS Code]]="R",(2*Data_Geotech[[#This Row],[RMR76 - Joint condition rating]])+(IF(Data_Geotech[[#This Row],[RQD (%)]]&gt;80,80/2,Data_Geotech[[#This Row],[RQD (%)]]/2)),"")</f>
        <v/>
      </c>
      <c r="AO447" s="136" t="e">
        <f>LEFT(Data_Geotech[[#This Row],[Joint Set Rating]],FIND("-",Data_Geotech[[#This Row],[Joint Set Rating]],1)-2)</f>
        <v>#VALUE!</v>
      </c>
      <c r="AP44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7" s="143">
        <f t="shared" si="10"/>
        <v>1</v>
      </c>
      <c r="AR447" s="165" t="str">
        <f>IF(Data_Geotech[[#This Row],[FIRS Code]]="R",IFERROR((IF(Data_Geotech[[#This Row],[RQD (%)]]&lt;10,10,Data_Geotech[[#This Row],[RQD (%)]])/Data_Geotech[[#This Row],[Jn rating]])*Data_Geotech[[#This Row],[Jr/Ja]],""),"")</f>
        <v/>
      </c>
      <c r="AS447" s="138" t="str">
        <f>IF(Data_Geotech[[#This Row],[FIRS Code]]="R",IFERROR((IF(Data_Geotech[[#This Row],[RQD (%)]]&lt;10,10,Data_Geotech[[#This Row],[RQD (%)]])/Data_Geotech[[#This Row],[Jn rating]])*Data_Geotech[[#This Row],[Jr/Ja]]*Data_Geotech[[#This Row],[Jw/SRF]],""),"")</f>
        <v/>
      </c>
      <c r="AT447" s="12"/>
      <c r="AU447" s="13" t="e">
        <f>100-Data_Geotech[[#This Row],[RQD (%)]]</f>
        <v>#DIV/0!</v>
      </c>
      <c r="AV447" s="13" t="e">
        <f>100-Data_Geotech[[#This Row],[TCR (%)]]</f>
        <v>#DIV/0!</v>
      </c>
      <c r="AW447" s="62" t="e">
        <f>(Data_Geotech[[#This Row],[Fracture per interval]]+Data_Geotech[[#This Row],[Added fractures 
(BC, FLT, LC)]])/Data_Geotech[[#This Row],[TCR (m)]]</f>
        <v>#DIV/0!</v>
      </c>
      <c r="AX447" s="62" t="str">
        <f>MID(Data_Geotech[[#This Row],[Field Intact Rock Strength]],2,1)</f>
        <v/>
      </c>
      <c r="AY447" s="63" t="e">
        <f>7-MID(Data_Geotech[[#This Row],[Field Intact Rock Strength]],2,1)</f>
        <v>#VALUE!</v>
      </c>
      <c r="AZ447" s="63" t="e">
        <f>VLOOKUP(Data_Geotech[[#This Row],[Field Intact Rock Strength]],Table_FieldStrength[],2,FALSE)</f>
        <v>#N/A</v>
      </c>
      <c r="BA447" s="63" t="e">
        <f>VLOOKUP(Data_Geotech[[#This Row],[Field Intact Rock Strength]],Table_FieldStrength[],3,FALSE)</f>
        <v>#N/A</v>
      </c>
      <c r="BB447" s="63" t="e">
        <f>VLOOKUP(Data_Geotech[[#This Row],[Field Intact Rock Strength]],Table_FieldStrength[],4,FALSE)</f>
        <v>#N/A</v>
      </c>
      <c r="BC447" s="63" t="e">
        <f>100-Data_Geotech[[#This Row],[RMR76]]</f>
        <v>#VALUE!</v>
      </c>
      <c r="BD447" s="63" t="e">
        <f>LEFT(Data_Geotech[[#This Row],[Weathering/Alteration]],FIND("-",Data_Geotech[[#This Row],[Weathering/Alteration]])-2)</f>
        <v>#VALUE!</v>
      </c>
    </row>
    <row r="448" spans="1:56" hidden="1" x14ac:dyDescent="0.25">
      <c r="A448" s="14"/>
      <c r="B448" s="166" t="e">
        <f>VLOOKUP(Data_Geotech[[#This Row],[Hole ID]],Data_Log[],2,FALSE)</f>
        <v>#N/A</v>
      </c>
      <c r="C448" s="5"/>
      <c r="D448" s="5"/>
      <c r="E448" s="5">
        <f>(Data_Geotech[[#This Row],[To (m)]]-Data_Geotech[[#This Row],[From (m)]])/2+Data_Geotech[[#This Row],[From (m)]]</f>
        <v>0</v>
      </c>
      <c r="F448" s="13">
        <f>Data_Geotech[[#This Row],[To (m)]]-Data_Geotech[[#This Row],[From (m)]]</f>
        <v>0</v>
      </c>
      <c r="G448" s="5"/>
      <c r="H448" s="13" t="e">
        <f>Data_Geotech[[#This Row],[TCR (m)]]/Data_Geotech[[#This Row],[Run (m)]]*100</f>
        <v>#DIV/0!</v>
      </c>
      <c r="I448" s="5"/>
      <c r="J448" s="5"/>
      <c r="K448" s="5"/>
      <c r="L448" s="13" t="e">
        <f>Data_Geotech[[#This Row],[RQD (m)]]/Data_Geotech[[#This Row],[Run Reel (m)]]*100</f>
        <v>#DIV/0!</v>
      </c>
      <c r="P448" s="115"/>
      <c r="Q448" s="5"/>
      <c r="R448" s="5"/>
      <c r="S448" s="5"/>
      <c r="T448" s="5"/>
      <c r="U448" s="5"/>
      <c r="V448" s="6"/>
      <c r="W448" s="92">
        <f>SUMIFS(Discontinuities!$D$4:$D$9664,Discontinuities!$A$4:$A$9664,A448,Discontinuities!$C$4:$C$9664,"&gt;="&amp;C448,Discontinuities!$C$4:$C$9664,"&lt;"&amp;D448)
-SUMIFS(Discontinuities!$D$4:$D$9664,Discontinuities!$A$4:$A$9664,A448,Discontinuities!$C$4:$C$9664,"&gt;="&amp;C448,Discontinuities!$C$4:$C$9664,"&lt;"&amp;D448,Discontinuities!$E$4:$E$9664,"=BC")
-SUMIFS(Discontinuities!$D$4:$D$9664,Discontinuities!$A$4:$A$9664,A448,Discontinuities!$C$4:$C$9664,"&gt;="&amp;C448,Discontinuities!$C$4:$C$9664,"&lt;"&amp;D448,Discontinuities!$E$4:$E$9664,"=LC")
-SUMIFS(Discontinuities!$D$4:$D$9664,Discontinuities!$A$4:$A$9664,A448,Discontinuities!$C$4:$C$9664,"&gt;="&amp;C448,Discontinuities!$C$4:$C$9664,"&lt;"&amp;D448,Discontinuities!$E$4:$E$9664,"=FLT")</f>
        <v>0</v>
      </c>
      <c r="AA448" s="132"/>
      <c r="AB448" s="159">
        <f>IFERROR(ROUND((Data_Geotech[[#This Row],[Fault (m)]]+Data_Geotech[[#This Row],[Broken Core (m)]]+Data_Geotech[[#This Row],[Lost Core (m)]])*30,0),0)</f>
        <v>0</v>
      </c>
      <c r="AC448" s="135">
        <f>IF(Data_Geotech[[#This Row],[Added fractures 
(BC, FLT, LC)]]+Data_Geotech[[#This Row],[Fracture per interval]]=0,99,1/((Data_Geotech[[#This Row],[Fracture per interval]]+Data_Geotech[[#This Row],[Added fractures 
(BC, FLT, LC)]])/Data_Geotech[[#This Row],[Run (m)]]))</f>
        <v>99</v>
      </c>
      <c r="AD448" s="160" t="str" cm="1">
        <f t="array" ref="AD448">IFERROR(_xlfn.XLOOKUP(1,(A448=PLT!$A$4:$A$8886)*(Geotech!C448&lt;=PLT!$F$4:$F$8886)*(Geotech!D448&gt;=PLT!$F$4:$F$8886)*("Valid"=PLT!$P$4:$P$8886),PLT!$V$4:$V$8886),"")</f>
        <v/>
      </c>
      <c r="AE448" s="161" t="str" cm="1">
        <f t="array" ref="AE448">IFERROR(_xlfn.XLOOKUP(1,(A448=PLT!$A$4:$A$8886)*(Geotech!C448&lt;=PLT!$F$4:$F$8886)*(Geotech!D448&gt;=PLT!$F$4:$F$8886)*(PLT!$V$4:$V$8886&lt;&gt;AD448)*("Valid"=PLT!$P$4:$P$7190),PLT!$V$4:$V$8886),"")</f>
        <v/>
      </c>
      <c r="AF448" s="161" t="str" cm="1">
        <f t="array" ref="AF448">IFERROR(_xlfn.XLOOKUP(1,(A448=PLT!$A$4:$A$8886)*(Geotech!C448&lt;=PLT!$F$4:$F$8886)*(Geotech!D448&gt;=PLT!$F$4:$F$8886)*(PLT!$V$4:$V$8886&lt;&gt;AD448)*(PLT!$V$4:$V$8886&lt;&gt;AE448)*("Valid"=PLT!$P$4:$P$7190),PLT!$V$4:$V$8886),"")</f>
        <v/>
      </c>
      <c r="AG448" s="162" t="str">
        <f>IFERROR(IF(AVERAGE(AD448:AF448)&gt;References!$BO$23,References!$BP$23,
IF(AVERAGE(AD448:AF448)&gt;References!$BO$22,References!$BP$22,
IF(AVERAGE(AD448:AF448)&gt;References!$BO$21,References!$BP$21,
IF(AVERAGE(AD448:AF448)&gt;References!$BO$20,References!$BP$20,
IF(AVERAGE(AD448:AF448)&gt;References!$BO$19,References!$BP$19,
IF(AVERAGE(AD448:AF448)&gt;References!$BO$18,References!$BP$18,
0)))))),"")</f>
        <v/>
      </c>
      <c r="AH448" s="163" t="e">
        <f>VLOOKUP(Data_Geotech[[#This Row],[Field Intact Rock Strength]],Table_RMR76_Strength[],2,FALSE)</f>
        <v>#N/A</v>
      </c>
      <c r="AI448" s="163" t="e">
        <f>IF(Data_Geotech[[#This Row],[RQD (%)]]&lt;=25,3,IF(Data_Geotech[[#This Row],[RQD (%)]]&lt;=50,8,IF(Data_Geotech[[#This Row],[RQD (%)]]&lt;=75,13,IF(Data_Geotech[[#This Row],[RQD (%)]]&lt;=90,17,20))))</f>
        <v>#DIV/0!</v>
      </c>
      <c r="AJ448" s="136">
        <f>IF(Data_Geotech[[#This Row],[Joint spacing (m)]]&lt;=0.05,5,IF(Data_Geotech[[#This Row],[Joint spacing (m)]]&lt;=0.3,10,IF(Data_Geotech[[#This Row],[Joint spacing (m)]]&lt;=1,20,IF(Data_Geotech[[#This Row],[Joint spacing (m)]]&lt;=3,25,30))))</f>
        <v>30</v>
      </c>
      <c r="AK44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8" s="6"/>
      <c r="AM448" s="137" t="str">
        <f>IF(Data_Geotech[[#This Row],[FIRS Code]]="R",IFERROR(SUM(Data_Geotech[[#This Row],[RMR76 - Strength rating]:[RMR76 - Ground water rating]]),""),"")</f>
        <v/>
      </c>
      <c r="AN448" s="164" t="str">
        <f>IF(Data_Geotech[[#This Row],[FIRS Code]]="R",(2*Data_Geotech[[#This Row],[RMR76 - Joint condition rating]])+(IF(Data_Geotech[[#This Row],[RQD (%)]]&gt;80,80/2,Data_Geotech[[#This Row],[RQD (%)]]/2)),"")</f>
        <v/>
      </c>
      <c r="AO448" s="136" t="e">
        <f>LEFT(Data_Geotech[[#This Row],[Joint Set Rating]],FIND("-",Data_Geotech[[#This Row],[Joint Set Rating]],1)-2)</f>
        <v>#VALUE!</v>
      </c>
      <c r="AP44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8" s="143">
        <f t="shared" si="10"/>
        <v>1</v>
      </c>
      <c r="AR448" s="165" t="str">
        <f>IF(Data_Geotech[[#This Row],[FIRS Code]]="R",IFERROR((IF(Data_Geotech[[#This Row],[RQD (%)]]&lt;10,10,Data_Geotech[[#This Row],[RQD (%)]])/Data_Geotech[[#This Row],[Jn rating]])*Data_Geotech[[#This Row],[Jr/Ja]],""),"")</f>
        <v/>
      </c>
      <c r="AS448" s="138" t="str">
        <f>IF(Data_Geotech[[#This Row],[FIRS Code]]="R",IFERROR((IF(Data_Geotech[[#This Row],[RQD (%)]]&lt;10,10,Data_Geotech[[#This Row],[RQD (%)]])/Data_Geotech[[#This Row],[Jn rating]])*Data_Geotech[[#This Row],[Jr/Ja]]*Data_Geotech[[#This Row],[Jw/SRF]],""),"")</f>
        <v/>
      </c>
      <c r="AT448" s="12"/>
      <c r="AU448" s="13" t="e">
        <f>100-Data_Geotech[[#This Row],[RQD (%)]]</f>
        <v>#DIV/0!</v>
      </c>
      <c r="AV448" s="13" t="e">
        <f>100-Data_Geotech[[#This Row],[TCR (%)]]</f>
        <v>#DIV/0!</v>
      </c>
      <c r="AW448" s="62" t="e">
        <f>(Data_Geotech[[#This Row],[Fracture per interval]]+Data_Geotech[[#This Row],[Added fractures 
(BC, FLT, LC)]])/Data_Geotech[[#This Row],[TCR (m)]]</f>
        <v>#DIV/0!</v>
      </c>
      <c r="AX448" s="62" t="str">
        <f>MID(Data_Geotech[[#This Row],[Field Intact Rock Strength]],2,1)</f>
        <v/>
      </c>
      <c r="AY448" s="63" t="e">
        <f>7-MID(Data_Geotech[[#This Row],[Field Intact Rock Strength]],2,1)</f>
        <v>#VALUE!</v>
      </c>
      <c r="AZ448" s="63" t="e">
        <f>VLOOKUP(Data_Geotech[[#This Row],[Field Intact Rock Strength]],Table_FieldStrength[],2,FALSE)</f>
        <v>#N/A</v>
      </c>
      <c r="BA448" s="63" t="e">
        <f>VLOOKUP(Data_Geotech[[#This Row],[Field Intact Rock Strength]],Table_FieldStrength[],3,FALSE)</f>
        <v>#N/A</v>
      </c>
      <c r="BB448" s="63" t="e">
        <f>VLOOKUP(Data_Geotech[[#This Row],[Field Intact Rock Strength]],Table_FieldStrength[],4,FALSE)</f>
        <v>#N/A</v>
      </c>
      <c r="BC448" s="63" t="e">
        <f>100-Data_Geotech[[#This Row],[RMR76]]</f>
        <v>#VALUE!</v>
      </c>
      <c r="BD448" s="63" t="e">
        <f>LEFT(Data_Geotech[[#This Row],[Weathering/Alteration]],FIND("-",Data_Geotech[[#This Row],[Weathering/Alteration]])-2)</f>
        <v>#VALUE!</v>
      </c>
    </row>
    <row r="449" spans="1:56" hidden="1" x14ac:dyDescent="0.25">
      <c r="A449" s="14"/>
      <c r="B449" s="166" t="e">
        <f>VLOOKUP(Data_Geotech[[#This Row],[Hole ID]],Data_Log[],2,FALSE)</f>
        <v>#N/A</v>
      </c>
      <c r="C449" s="5"/>
      <c r="D449" s="5"/>
      <c r="E449" s="5">
        <f>(Data_Geotech[[#This Row],[To (m)]]-Data_Geotech[[#This Row],[From (m)]])/2+Data_Geotech[[#This Row],[From (m)]]</f>
        <v>0</v>
      </c>
      <c r="F449" s="13">
        <f>Data_Geotech[[#This Row],[To (m)]]-Data_Geotech[[#This Row],[From (m)]]</f>
        <v>0</v>
      </c>
      <c r="G449" s="5"/>
      <c r="H449" s="13" t="e">
        <f>Data_Geotech[[#This Row],[TCR (m)]]/Data_Geotech[[#This Row],[Run (m)]]*100</f>
        <v>#DIV/0!</v>
      </c>
      <c r="I449" s="5"/>
      <c r="J449" s="5"/>
      <c r="K449" s="5"/>
      <c r="L449" s="13" t="e">
        <f>Data_Geotech[[#This Row],[RQD (m)]]/Data_Geotech[[#This Row],[Run Reel (m)]]*100</f>
        <v>#DIV/0!</v>
      </c>
      <c r="P449" s="115"/>
      <c r="Q449" s="5"/>
      <c r="R449" s="5"/>
      <c r="S449" s="5"/>
      <c r="T449" s="5"/>
      <c r="U449" s="5"/>
      <c r="V449" s="6"/>
      <c r="W449" s="92">
        <f>SUMIFS(Discontinuities!$D$4:$D$9664,Discontinuities!$A$4:$A$9664,A449,Discontinuities!$C$4:$C$9664,"&gt;="&amp;C449,Discontinuities!$C$4:$C$9664,"&lt;"&amp;D449)
-SUMIFS(Discontinuities!$D$4:$D$9664,Discontinuities!$A$4:$A$9664,A449,Discontinuities!$C$4:$C$9664,"&gt;="&amp;C449,Discontinuities!$C$4:$C$9664,"&lt;"&amp;D449,Discontinuities!$E$4:$E$9664,"=BC")
-SUMIFS(Discontinuities!$D$4:$D$9664,Discontinuities!$A$4:$A$9664,A449,Discontinuities!$C$4:$C$9664,"&gt;="&amp;C449,Discontinuities!$C$4:$C$9664,"&lt;"&amp;D449,Discontinuities!$E$4:$E$9664,"=LC")
-SUMIFS(Discontinuities!$D$4:$D$9664,Discontinuities!$A$4:$A$9664,A449,Discontinuities!$C$4:$C$9664,"&gt;="&amp;C449,Discontinuities!$C$4:$C$9664,"&lt;"&amp;D449,Discontinuities!$E$4:$E$9664,"=FLT")</f>
        <v>0</v>
      </c>
      <c r="AA449" s="132"/>
      <c r="AB449" s="159">
        <f>IFERROR(ROUND((Data_Geotech[[#This Row],[Fault (m)]]+Data_Geotech[[#This Row],[Broken Core (m)]]+Data_Geotech[[#This Row],[Lost Core (m)]])*30,0),0)</f>
        <v>0</v>
      </c>
      <c r="AC449" s="135">
        <f>IF(Data_Geotech[[#This Row],[Added fractures 
(BC, FLT, LC)]]+Data_Geotech[[#This Row],[Fracture per interval]]=0,99,1/((Data_Geotech[[#This Row],[Fracture per interval]]+Data_Geotech[[#This Row],[Added fractures 
(BC, FLT, LC)]])/Data_Geotech[[#This Row],[Run (m)]]))</f>
        <v>99</v>
      </c>
      <c r="AD449" s="160" t="str" cm="1">
        <f t="array" ref="AD449">IFERROR(_xlfn.XLOOKUP(1,(A449=PLT!$A$4:$A$8886)*(Geotech!C449&lt;=PLT!$F$4:$F$8886)*(Geotech!D449&gt;=PLT!$F$4:$F$8886)*("Valid"=PLT!$P$4:$P$8886),PLT!$V$4:$V$8886),"")</f>
        <v/>
      </c>
      <c r="AE449" s="161" t="str" cm="1">
        <f t="array" ref="AE449">IFERROR(_xlfn.XLOOKUP(1,(A449=PLT!$A$4:$A$8886)*(Geotech!C449&lt;=PLT!$F$4:$F$8886)*(Geotech!D449&gt;=PLT!$F$4:$F$8886)*(PLT!$V$4:$V$8886&lt;&gt;AD449)*("Valid"=PLT!$P$4:$P$7190),PLT!$V$4:$V$8886),"")</f>
        <v/>
      </c>
      <c r="AF449" s="161" t="str" cm="1">
        <f t="array" ref="AF449">IFERROR(_xlfn.XLOOKUP(1,(A449=PLT!$A$4:$A$8886)*(Geotech!C449&lt;=PLT!$F$4:$F$8886)*(Geotech!D449&gt;=PLT!$F$4:$F$8886)*(PLT!$V$4:$V$8886&lt;&gt;AD449)*(PLT!$V$4:$V$8886&lt;&gt;AE449)*("Valid"=PLT!$P$4:$P$7190),PLT!$V$4:$V$8886),"")</f>
        <v/>
      </c>
      <c r="AG449" s="162" t="str">
        <f>IFERROR(IF(AVERAGE(AD449:AF449)&gt;References!$BO$23,References!$BP$23,
IF(AVERAGE(AD449:AF449)&gt;References!$BO$22,References!$BP$22,
IF(AVERAGE(AD449:AF449)&gt;References!$BO$21,References!$BP$21,
IF(AVERAGE(AD449:AF449)&gt;References!$BO$20,References!$BP$20,
IF(AVERAGE(AD449:AF449)&gt;References!$BO$19,References!$BP$19,
IF(AVERAGE(AD449:AF449)&gt;References!$BO$18,References!$BP$18,
0)))))),"")</f>
        <v/>
      </c>
      <c r="AH449" s="163" t="e">
        <f>VLOOKUP(Data_Geotech[[#This Row],[Field Intact Rock Strength]],Table_RMR76_Strength[],2,FALSE)</f>
        <v>#N/A</v>
      </c>
      <c r="AI449" s="163" t="e">
        <f>IF(Data_Geotech[[#This Row],[RQD (%)]]&lt;=25,3,IF(Data_Geotech[[#This Row],[RQD (%)]]&lt;=50,8,IF(Data_Geotech[[#This Row],[RQD (%)]]&lt;=75,13,IF(Data_Geotech[[#This Row],[RQD (%)]]&lt;=90,17,20))))</f>
        <v>#DIV/0!</v>
      </c>
      <c r="AJ449" s="136">
        <f>IF(Data_Geotech[[#This Row],[Joint spacing (m)]]&lt;=0.05,5,IF(Data_Geotech[[#This Row],[Joint spacing (m)]]&lt;=0.3,10,IF(Data_Geotech[[#This Row],[Joint spacing (m)]]&lt;=1,20,IF(Data_Geotech[[#This Row],[Joint spacing (m)]]&lt;=3,25,30))))</f>
        <v>30</v>
      </c>
      <c r="AK44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49" s="6"/>
      <c r="AM449" s="137" t="str">
        <f>IF(Data_Geotech[[#This Row],[FIRS Code]]="R",IFERROR(SUM(Data_Geotech[[#This Row],[RMR76 - Strength rating]:[RMR76 - Ground water rating]]),""),"")</f>
        <v/>
      </c>
      <c r="AN449" s="164" t="str">
        <f>IF(Data_Geotech[[#This Row],[FIRS Code]]="R",(2*Data_Geotech[[#This Row],[RMR76 - Joint condition rating]])+(IF(Data_Geotech[[#This Row],[RQD (%)]]&gt;80,80/2,Data_Geotech[[#This Row],[RQD (%)]]/2)),"")</f>
        <v/>
      </c>
      <c r="AO449" s="136" t="e">
        <f>LEFT(Data_Geotech[[#This Row],[Joint Set Rating]],FIND("-",Data_Geotech[[#This Row],[Joint Set Rating]],1)-2)</f>
        <v>#VALUE!</v>
      </c>
      <c r="AP44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49" s="143">
        <f t="shared" si="10"/>
        <v>1</v>
      </c>
      <c r="AR449" s="165" t="str">
        <f>IF(Data_Geotech[[#This Row],[FIRS Code]]="R",IFERROR((IF(Data_Geotech[[#This Row],[RQD (%)]]&lt;10,10,Data_Geotech[[#This Row],[RQD (%)]])/Data_Geotech[[#This Row],[Jn rating]])*Data_Geotech[[#This Row],[Jr/Ja]],""),"")</f>
        <v/>
      </c>
      <c r="AS449" s="138" t="str">
        <f>IF(Data_Geotech[[#This Row],[FIRS Code]]="R",IFERROR((IF(Data_Geotech[[#This Row],[RQD (%)]]&lt;10,10,Data_Geotech[[#This Row],[RQD (%)]])/Data_Geotech[[#This Row],[Jn rating]])*Data_Geotech[[#This Row],[Jr/Ja]]*Data_Geotech[[#This Row],[Jw/SRF]],""),"")</f>
        <v/>
      </c>
      <c r="AT449" s="12"/>
      <c r="AU449" s="13" t="e">
        <f>100-Data_Geotech[[#This Row],[RQD (%)]]</f>
        <v>#DIV/0!</v>
      </c>
      <c r="AV449" s="13" t="e">
        <f>100-Data_Geotech[[#This Row],[TCR (%)]]</f>
        <v>#DIV/0!</v>
      </c>
      <c r="AW449" s="62" t="e">
        <f>(Data_Geotech[[#This Row],[Fracture per interval]]+Data_Geotech[[#This Row],[Added fractures 
(BC, FLT, LC)]])/Data_Geotech[[#This Row],[TCR (m)]]</f>
        <v>#DIV/0!</v>
      </c>
      <c r="AX449" s="62" t="str">
        <f>MID(Data_Geotech[[#This Row],[Field Intact Rock Strength]],2,1)</f>
        <v/>
      </c>
      <c r="AY449" s="63" t="e">
        <f>7-MID(Data_Geotech[[#This Row],[Field Intact Rock Strength]],2,1)</f>
        <v>#VALUE!</v>
      </c>
      <c r="AZ449" s="63" t="e">
        <f>VLOOKUP(Data_Geotech[[#This Row],[Field Intact Rock Strength]],Table_FieldStrength[],2,FALSE)</f>
        <v>#N/A</v>
      </c>
      <c r="BA449" s="63" t="e">
        <f>VLOOKUP(Data_Geotech[[#This Row],[Field Intact Rock Strength]],Table_FieldStrength[],3,FALSE)</f>
        <v>#N/A</v>
      </c>
      <c r="BB449" s="63" t="e">
        <f>VLOOKUP(Data_Geotech[[#This Row],[Field Intact Rock Strength]],Table_FieldStrength[],4,FALSE)</f>
        <v>#N/A</v>
      </c>
      <c r="BC449" s="63" t="e">
        <f>100-Data_Geotech[[#This Row],[RMR76]]</f>
        <v>#VALUE!</v>
      </c>
      <c r="BD449" s="63" t="e">
        <f>LEFT(Data_Geotech[[#This Row],[Weathering/Alteration]],FIND("-",Data_Geotech[[#This Row],[Weathering/Alteration]])-2)</f>
        <v>#VALUE!</v>
      </c>
    </row>
    <row r="450" spans="1:56" hidden="1" x14ac:dyDescent="0.25">
      <c r="A450" s="14"/>
      <c r="B450" s="166" t="e">
        <f>VLOOKUP(Data_Geotech[[#This Row],[Hole ID]],Data_Log[],2,FALSE)</f>
        <v>#N/A</v>
      </c>
      <c r="C450" s="5"/>
      <c r="D450" s="5"/>
      <c r="E450" s="5">
        <f>(Data_Geotech[[#This Row],[To (m)]]-Data_Geotech[[#This Row],[From (m)]])/2+Data_Geotech[[#This Row],[From (m)]]</f>
        <v>0</v>
      </c>
      <c r="F450" s="13">
        <f>Data_Geotech[[#This Row],[To (m)]]-Data_Geotech[[#This Row],[From (m)]]</f>
        <v>0</v>
      </c>
      <c r="G450" s="5"/>
      <c r="H450" s="13" t="e">
        <f>Data_Geotech[[#This Row],[TCR (m)]]/Data_Geotech[[#This Row],[Run (m)]]*100</f>
        <v>#DIV/0!</v>
      </c>
      <c r="I450" s="5"/>
      <c r="J450" s="5"/>
      <c r="K450" s="5"/>
      <c r="L450" s="13" t="e">
        <f>Data_Geotech[[#This Row],[RQD (m)]]/Data_Geotech[[#This Row],[Run Reel (m)]]*100</f>
        <v>#DIV/0!</v>
      </c>
      <c r="P450" s="115"/>
      <c r="Q450" s="5"/>
      <c r="R450" s="5"/>
      <c r="S450" s="5"/>
      <c r="T450" s="5"/>
      <c r="U450" s="5"/>
      <c r="V450" s="6"/>
      <c r="W450" s="92">
        <f>SUMIFS(Discontinuities!$D$4:$D$9664,Discontinuities!$A$4:$A$9664,A450,Discontinuities!$C$4:$C$9664,"&gt;="&amp;C450,Discontinuities!$C$4:$C$9664,"&lt;"&amp;D450)
-SUMIFS(Discontinuities!$D$4:$D$9664,Discontinuities!$A$4:$A$9664,A450,Discontinuities!$C$4:$C$9664,"&gt;="&amp;C450,Discontinuities!$C$4:$C$9664,"&lt;"&amp;D450,Discontinuities!$E$4:$E$9664,"=BC")
-SUMIFS(Discontinuities!$D$4:$D$9664,Discontinuities!$A$4:$A$9664,A450,Discontinuities!$C$4:$C$9664,"&gt;="&amp;C450,Discontinuities!$C$4:$C$9664,"&lt;"&amp;D450,Discontinuities!$E$4:$E$9664,"=LC")
-SUMIFS(Discontinuities!$D$4:$D$9664,Discontinuities!$A$4:$A$9664,A450,Discontinuities!$C$4:$C$9664,"&gt;="&amp;C450,Discontinuities!$C$4:$C$9664,"&lt;"&amp;D450,Discontinuities!$E$4:$E$9664,"=FLT")</f>
        <v>0</v>
      </c>
      <c r="AA450" s="132"/>
      <c r="AB450" s="159">
        <f>IFERROR(ROUND((Data_Geotech[[#This Row],[Fault (m)]]+Data_Geotech[[#This Row],[Broken Core (m)]]+Data_Geotech[[#This Row],[Lost Core (m)]])*30,0),0)</f>
        <v>0</v>
      </c>
      <c r="AC450" s="135">
        <f>IF(Data_Geotech[[#This Row],[Added fractures 
(BC, FLT, LC)]]+Data_Geotech[[#This Row],[Fracture per interval]]=0,99,1/((Data_Geotech[[#This Row],[Fracture per interval]]+Data_Geotech[[#This Row],[Added fractures 
(BC, FLT, LC)]])/Data_Geotech[[#This Row],[Run (m)]]))</f>
        <v>99</v>
      </c>
      <c r="AD450" s="160" t="str" cm="1">
        <f t="array" ref="AD450">IFERROR(_xlfn.XLOOKUP(1,(A450=PLT!$A$4:$A$8886)*(Geotech!C450&lt;=PLT!$F$4:$F$8886)*(Geotech!D450&gt;=PLT!$F$4:$F$8886)*("Valid"=PLT!$P$4:$P$8886),PLT!$V$4:$V$8886),"")</f>
        <v/>
      </c>
      <c r="AE450" s="161" t="str" cm="1">
        <f t="array" ref="AE450">IFERROR(_xlfn.XLOOKUP(1,(A450=PLT!$A$4:$A$8886)*(Geotech!C450&lt;=PLT!$F$4:$F$8886)*(Geotech!D450&gt;=PLT!$F$4:$F$8886)*(PLT!$V$4:$V$8886&lt;&gt;AD450)*("Valid"=PLT!$P$4:$P$7190),PLT!$V$4:$V$8886),"")</f>
        <v/>
      </c>
      <c r="AF450" s="161" t="str" cm="1">
        <f t="array" ref="AF450">IFERROR(_xlfn.XLOOKUP(1,(A450=PLT!$A$4:$A$8886)*(Geotech!C450&lt;=PLT!$F$4:$F$8886)*(Geotech!D450&gt;=PLT!$F$4:$F$8886)*(PLT!$V$4:$V$8886&lt;&gt;AD450)*(PLT!$V$4:$V$8886&lt;&gt;AE450)*("Valid"=PLT!$P$4:$P$7190),PLT!$V$4:$V$8886),"")</f>
        <v/>
      </c>
      <c r="AG450" s="162" t="str">
        <f>IFERROR(IF(AVERAGE(AD450:AF450)&gt;References!$BO$23,References!$BP$23,
IF(AVERAGE(AD450:AF450)&gt;References!$BO$22,References!$BP$22,
IF(AVERAGE(AD450:AF450)&gt;References!$BO$21,References!$BP$21,
IF(AVERAGE(AD450:AF450)&gt;References!$BO$20,References!$BP$20,
IF(AVERAGE(AD450:AF450)&gt;References!$BO$19,References!$BP$19,
IF(AVERAGE(AD450:AF450)&gt;References!$BO$18,References!$BP$18,
0)))))),"")</f>
        <v/>
      </c>
      <c r="AH450" s="163" t="e">
        <f>VLOOKUP(Data_Geotech[[#This Row],[Field Intact Rock Strength]],Table_RMR76_Strength[],2,FALSE)</f>
        <v>#N/A</v>
      </c>
      <c r="AI450" s="163" t="e">
        <f>IF(Data_Geotech[[#This Row],[RQD (%)]]&lt;=25,3,IF(Data_Geotech[[#This Row],[RQD (%)]]&lt;=50,8,IF(Data_Geotech[[#This Row],[RQD (%)]]&lt;=75,13,IF(Data_Geotech[[#This Row],[RQD (%)]]&lt;=90,17,20))))</f>
        <v>#DIV/0!</v>
      </c>
      <c r="AJ450" s="136">
        <f>IF(Data_Geotech[[#This Row],[Joint spacing (m)]]&lt;=0.05,5,IF(Data_Geotech[[#This Row],[Joint spacing (m)]]&lt;=0.3,10,IF(Data_Geotech[[#This Row],[Joint spacing (m)]]&lt;=1,20,IF(Data_Geotech[[#This Row],[Joint spacing (m)]]&lt;=3,25,30))))</f>
        <v>30</v>
      </c>
      <c r="AK45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0" s="6"/>
      <c r="AM450" s="137" t="str">
        <f>IF(Data_Geotech[[#This Row],[FIRS Code]]="R",IFERROR(SUM(Data_Geotech[[#This Row],[RMR76 - Strength rating]:[RMR76 - Ground water rating]]),""),"")</f>
        <v/>
      </c>
      <c r="AN450" s="164" t="str">
        <f>IF(Data_Geotech[[#This Row],[FIRS Code]]="R",(2*Data_Geotech[[#This Row],[RMR76 - Joint condition rating]])+(IF(Data_Geotech[[#This Row],[RQD (%)]]&gt;80,80/2,Data_Geotech[[#This Row],[RQD (%)]]/2)),"")</f>
        <v/>
      </c>
      <c r="AO450" s="136" t="e">
        <f>LEFT(Data_Geotech[[#This Row],[Joint Set Rating]],FIND("-",Data_Geotech[[#This Row],[Joint Set Rating]],1)-2)</f>
        <v>#VALUE!</v>
      </c>
      <c r="AP45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0" s="143">
        <f t="shared" si="10"/>
        <v>1</v>
      </c>
      <c r="AR450" s="165" t="str">
        <f>IF(Data_Geotech[[#This Row],[FIRS Code]]="R",IFERROR((IF(Data_Geotech[[#This Row],[RQD (%)]]&lt;10,10,Data_Geotech[[#This Row],[RQD (%)]])/Data_Geotech[[#This Row],[Jn rating]])*Data_Geotech[[#This Row],[Jr/Ja]],""),"")</f>
        <v/>
      </c>
      <c r="AS450" s="138" t="str">
        <f>IF(Data_Geotech[[#This Row],[FIRS Code]]="R",IFERROR((IF(Data_Geotech[[#This Row],[RQD (%)]]&lt;10,10,Data_Geotech[[#This Row],[RQD (%)]])/Data_Geotech[[#This Row],[Jn rating]])*Data_Geotech[[#This Row],[Jr/Ja]]*Data_Geotech[[#This Row],[Jw/SRF]],""),"")</f>
        <v/>
      </c>
      <c r="AT450" s="12"/>
      <c r="AU450" s="13" t="e">
        <f>100-Data_Geotech[[#This Row],[RQD (%)]]</f>
        <v>#DIV/0!</v>
      </c>
      <c r="AV450" s="13" t="e">
        <f>100-Data_Geotech[[#This Row],[TCR (%)]]</f>
        <v>#DIV/0!</v>
      </c>
      <c r="AW450" s="62" t="e">
        <f>(Data_Geotech[[#This Row],[Fracture per interval]]+Data_Geotech[[#This Row],[Added fractures 
(BC, FLT, LC)]])/Data_Geotech[[#This Row],[TCR (m)]]</f>
        <v>#DIV/0!</v>
      </c>
      <c r="AX450" s="62" t="str">
        <f>MID(Data_Geotech[[#This Row],[Field Intact Rock Strength]],2,1)</f>
        <v/>
      </c>
      <c r="AY450" s="63" t="e">
        <f>7-MID(Data_Geotech[[#This Row],[Field Intact Rock Strength]],2,1)</f>
        <v>#VALUE!</v>
      </c>
      <c r="AZ450" s="63" t="e">
        <f>VLOOKUP(Data_Geotech[[#This Row],[Field Intact Rock Strength]],Table_FieldStrength[],2,FALSE)</f>
        <v>#N/A</v>
      </c>
      <c r="BA450" s="63" t="e">
        <f>VLOOKUP(Data_Geotech[[#This Row],[Field Intact Rock Strength]],Table_FieldStrength[],3,FALSE)</f>
        <v>#N/A</v>
      </c>
      <c r="BB450" s="63" t="e">
        <f>VLOOKUP(Data_Geotech[[#This Row],[Field Intact Rock Strength]],Table_FieldStrength[],4,FALSE)</f>
        <v>#N/A</v>
      </c>
      <c r="BC450" s="63" t="e">
        <f>100-Data_Geotech[[#This Row],[RMR76]]</f>
        <v>#VALUE!</v>
      </c>
      <c r="BD450" s="63" t="e">
        <f>LEFT(Data_Geotech[[#This Row],[Weathering/Alteration]],FIND("-",Data_Geotech[[#This Row],[Weathering/Alteration]])-2)</f>
        <v>#VALUE!</v>
      </c>
    </row>
    <row r="451" spans="1:56" hidden="1" x14ac:dyDescent="0.25">
      <c r="A451" s="14"/>
      <c r="B451" s="166" t="e">
        <f>VLOOKUP(Data_Geotech[[#This Row],[Hole ID]],Data_Log[],2,FALSE)</f>
        <v>#N/A</v>
      </c>
      <c r="C451" s="5"/>
      <c r="D451" s="5"/>
      <c r="E451" s="5">
        <f>(Data_Geotech[[#This Row],[To (m)]]-Data_Geotech[[#This Row],[From (m)]])/2+Data_Geotech[[#This Row],[From (m)]]</f>
        <v>0</v>
      </c>
      <c r="F451" s="13">
        <f>Data_Geotech[[#This Row],[To (m)]]-Data_Geotech[[#This Row],[From (m)]]</f>
        <v>0</v>
      </c>
      <c r="G451" s="5"/>
      <c r="H451" s="13" t="e">
        <f>Data_Geotech[[#This Row],[TCR (m)]]/Data_Geotech[[#This Row],[Run (m)]]*100</f>
        <v>#DIV/0!</v>
      </c>
      <c r="I451" s="5"/>
      <c r="J451" s="5"/>
      <c r="K451" s="5"/>
      <c r="L451" s="13" t="e">
        <f>Data_Geotech[[#This Row],[RQD (m)]]/Data_Geotech[[#This Row],[Run Reel (m)]]*100</f>
        <v>#DIV/0!</v>
      </c>
      <c r="P451" s="115"/>
      <c r="Q451" s="5"/>
      <c r="R451" s="5"/>
      <c r="S451" s="5"/>
      <c r="T451" s="5"/>
      <c r="U451" s="5"/>
      <c r="V451" s="6"/>
      <c r="W451" s="92">
        <f>SUMIFS(Discontinuities!$D$4:$D$9664,Discontinuities!$A$4:$A$9664,A451,Discontinuities!$C$4:$C$9664,"&gt;="&amp;C451,Discontinuities!$C$4:$C$9664,"&lt;"&amp;D451)
-SUMIFS(Discontinuities!$D$4:$D$9664,Discontinuities!$A$4:$A$9664,A451,Discontinuities!$C$4:$C$9664,"&gt;="&amp;C451,Discontinuities!$C$4:$C$9664,"&lt;"&amp;D451,Discontinuities!$E$4:$E$9664,"=BC")
-SUMIFS(Discontinuities!$D$4:$D$9664,Discontinuities!$A$4:$A$9664,A451,Discontinuities!$C$4:$C$9664,"&gt;="&amp;C451,Discontinuities!$C$4:$C$9664,"&lt;"&amp;D451,Discontinuities!$E$4:$E$9664,"=LC")
-SUMIFS(Discontinuities!$D$4:$D$9664,Discontinuities!$A$4:$A$9664,A451,Discontinuities!$C$4:$C$9664,"&gt;="&amp;C451,Discontinuities!$C$4:$C$9664,"&lt;"&amp;D451,Discontinuities!$E$4:$E$9664,"=FLT")</f>
        <v>0</v>
      </c>
      <c r="AA451" s="132"/>
      <c r="AB451" s="159">
        <f>IFERROR(ROUND((Data_Geotech[[#This Row],[Fault (m)]]+Data_Geotech[[#This Row],[Broken Core (m)]]+Data_Geotech[[#This Row],[Lost Core (m)]])*30,0),0)</f>
        <v>0</v>
      </c>
      <c r="AC451" s="135">
        <f>IF(Data_Geotech[[#This Row],[Added fractures 
(BC, FLT, LC)]]+Data_Geotech[[#This Row],[Fracture per interval]]=0,99,1/((Data_Geotech[[#This Row],[Fracture per interval]]+Data_Geotech[[#This Row],[Added fractures 
(BC, FLT, LC)]])/Data_Geotech[[#This Row],[Run (m)]]))</f>
        <v>99</v>
      </c>
      <c r="AD451" s="160" t="str" cm="1">
        <f t="array" ref="AD451">IFERROR(_xlfn.XLOOKUP(1,(A451=PLT!$A$4:$A$8886)*(Geotech!C451&lt;=PLT!$F$4:$F$8886)*(Geotech!D451&gt;=PLT!$F$4:$F$8886)*("Valid"=PLT!$P$4:$P$8886),PLT!$V$4:$V$8886),"")</f>
        <v/>
      </c>
      <c r="AE451" s="161" t="str" cm="1">
        <f t="array" ref="AE451">IFERROR(_xlfn.XLOOKUP(1,(A451=PLT!$A$4:$A$8886)*(Geotech!C451&lt;=PLT!$F$4:$F$8886)*(Geotech!D451&gt;=PLT!$F$4:$F$8886)*(PLT!$V$4:$V$8886&lt;&gt;AD451)*("Valid"=PLT!$P$4:$P$7190),PLT!$V$4:$V$8886),"")</f>
        <v/>
      </c>
      <c r="AF451" s="161" t="str" cm="1">
        <f t="array" ref="AF451">IFERROR(_xlfn.XLOOKUP(1,(A451=PLT!$A$4:$A$8886)*(Geotech!C451&lt;=PLT!$F$4:$F$8886)*(Geotech!D451&gt;=PLT!$F$4:$F$8886)*(PLT!$V$4:$V$8886&lt;&gt;AD451)*(PLT!$V$4:$V$8886&lt;&gt;AE451)*("Valid"=PLT!$P$4:$P$7190),PLT!$V$4:$V$8886),"")</f>
        <v/>
      </c>
      <c r="AG451" s="162" t="str">
        <f>IFERROR(IF(AVERAGE(AD451:AF451)&gt;References!$BO$23,References!$BP$23,
IF(AVERAGE(AD451:AF451)&gt;References!$BO$22,References!$BP$22,
IF(AVERAGE(AD451:AF451)&gt;References!$BO$21,References!$BP$21,
IF(AVERAGE(AD451:AF451)&gt;References!$BO$20,References!$BP$20,
IF(AVERAGE(AD451:AF451)&gt;References!$BO$19,References!$BP$19,
IF(AVERAGE(AD451:AF451)&gt;References!$BO$18,References!$BP$18,
0)))))),"")</f>
        <v/>
      </c>
      <c r="AH451" s="163" t="e">
        <f>VLOOKUP(Data_Geotech[[#This Row],[Field Intact Rock Strength]],Table_RMR76_Strength[],2,FALSE)</f>
        <v>#N/A</v>
      </c>
      <c r="AI451" s="163" t="e">
        <f>IF(Data_Geotech[[#This Row],[RQD (%)]]&lt;=25,3,IF(Data_Geotech[[#This Row],[RQD (%)]]&lt;=50,8,IF(Data_Geotech[[#This Row],[RQD (%)]]&lt;=75,13,IF(Data_Geotech[[#This Row],[RQD (%)]]&lt;=90,17,20))))</f>
        <v>#DIV/0!</v>
      </c>
      <c r="AJ451" s="136">
        <f>IF(Data_Geotech[[#This Row],[Joint spacing (m)]]&lt;=0.05,5,IF(Data_Geotech[[#This Row],[Joint spacing (m)]]&lt;=0.3,10,IF(Data_Geotech[[#This Row],[Joint spacing (m)]]&lt;=1,20,IF(Data_Geotech[[#This Row],[Joint spacing (m)]]&lt;=3,25,30))))</f>
        <v>30</v>
      </c>
      <c r="AK45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1" s="6"/>
      <c r="AM451" s="137" t="str">
        <f>IF(Data_Geotech[[#This Row],[FIRS Code]]="R",IFERROR(SUM(Data_Geotech[[#This Row],[RMR76 - Strength rating]:[RMR76 - Ground water rating]]),""),"")</f>
        <v/>
      </c>
      <c r="AN451" s="164" t="str">
        <f>IF(Data_Geotech[[#This Row],[FIRS Code]]="R",(2*Data_Geotech[[#This Row],[RMR76 - Joint condition rating]])+(IF(Data_Geotech[[#This Row],[RQD (%)]]&gt;80,80/2,Data_Geotech[[#This Row],[RQD (%)]]/2)),"")</f>
        <v/>
      </c>
      <c r="AO451" s="136" t="e">
        <f>LEFT(Data_Geotech[[#This Row],[Joint Set Rating]],FIND("-",Data_Geotech[[#This Row],[Joint Set Rating]],1)-2)</f>
        <v>#VALUE!</v>
      </c>
      <c r="AP45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1" s="143">
        <f t="shared" si="10"/>
        <v>1</v>
      </c>
      <c r="AR451" s="165" t="str">
        <f>IF(Data_Geotech[[#This Row],[FIRS Code]]="R",IFERROR((IF(Data_Geotech[[#This Row],[RQD (%)]]&lt;10,10,Data_Geotech[[#This Row],[RQD (%)]])/Data_Geotech[[#This Row],[Jn rating]])*Data_Geotech[[#This Row],[Jr/Ja]],""),"")</f>
        <v/>
      </c>
      <c r="AS451" s="138" t="str">
        <f>IF(Data_Geotech[[#This Row],[FIRS Code]]="R",IFERROR((IF(Data_Geotech[[#This Row],[RQD (%)]]&lt;10,10,Data_Geotech[[#This Row],[RQD (%)]])/Data_Geotech[[#This Row],[Jn rating]])*Data_Geotech[[#This Row],[Jr/Ja]]*Data_Geotech[[#This Row],[Jw/SRF]],""),"")</f>
        <v/>
      </c>
      <c r="AT451" s="12"/>
      <c r="AU451" s="13" t="e">
        <f>100-Data_Geotech[[#This Row],[RQD (%)]]</f>
        <v>#DIV/0!</v>
      </c>
      <c r="AV451" s="13" t="e">
        <f>100-Data_Geotech[[#This Row],[TCR (%)]]</f>
        <v>#DIV/0!</v>
      </c>
      <c r="AW451" s="62" t="e">
        <f>(Data_Geotech[[#This Row],[Fracture per interval]]+Data_Geotech[[#This Row],[Added fractures 
(BC, FLT, LC)]])/Data_Geotech[[#This Row],[TCR (m)]]</f>
        <v>#DIV/0!</v>
      </c>
      <c r="AX451" s="62" t="str">
        <f>MID(Data_Geotech[[#This Row],[Field Intact Rock Strength]],2,1)</f>
        <v/>
      </c>
      <c r="AY451" s="63" t="e">
        <f>7-MID(Data_Geotech[[#This Row],[Field Intact Rock Strength]],2,1)</f>
        <v>#VALUE!</v>
      </c>
      <c r="AZ451" s="63" t="e">
        <f>VLOOKUP(Data_Geotech[[#This Row],[Field Intact Rock Strength]],Table_FieldStrength[],2,FALSE)</f>
        <v>#N/A</v>
      </c>
      <c r="BA451" s="63" t="e">
        <f>VLOOKUP(Data_Geotech[[#This Row],[Field Intact Rock Strength]],Table_FieldStrength[],3,FALSE)</f>
        <v>#N/A</v>
      </c>
      <c r="BB451" s="63" t="e">
        <f>VLOOKUP(Data_Geotech[[#This Row],[Field Intact Rock Strength]],Table_FieldStrength[],4,FALSE)</f>
        <v>#N/A</v>
      </c>
      <c r="BC451" s="63" t="e">
        <f>100-Data_Geotech[[#This Row],[RMR76]]</f>
        <v>#VALUE!</v>
      </c>
      <c r="BD451" s="63" t="e">
        <f>LEFT(Data_Geotech[[#This Row],[Weathering/Alteration]],FIND("-",Data_Geotech[[#This Row],[Weathering/Alteration]])-2)</f>
        <v>#VALUE!</v>
      </c>
    </row>
    <row r="452" spans="1:56" hidden="1" x14ac:dyDescent="0.25">
      <c r="A452" s="14"/>
      <c r="B452" s="166" t="e">
        <f>VLOOKUP(Data_Geotech[[#This Row],[Hole ID]],Data_Log[],2,FALSE)</f>
        <v>#N/A</v>
      </c>
      <c r="C452" s="5"/>
      <c r="D452" s="5"/>
      <c r="E452" s="5">
        <f>(Data_Geotech[[#This Row],[To (m)]]-Data_Geotech[[#This Row],[From (m)]])/2+Data_Geotech[[#This Row],[From (m)]]</f>
        <v>0</v>
      </c>
      <c r="F452" s="13">
        <f>Data_Geotech[[#This Row],[To (m)]]-Data_Geotech[[#This Row],[From (m)]]</f>
        <v>0</v>
      </c>
      <c r="G452" s="5"/>
      <c r="H452" s="13" t="e">
        <f>Data_Geotech[[#This Row],[TCR (m)]]/Data_Geotech[[#This Row],[Run (m)]]*100</f>
        <v>#DIV/0!</v>
      </c>
      <c r="I452" s="5"/>
      <c r="J452" s="5"/>
      <c r="K452" s="5"/>
      <c r="L452" s="13" t="e">
        <f>Data_Geotech[[#This Row],[RQD (m)]]/Data_Geotech[[#This Row],[Run Reel (m)]]*100</f>
        <v>#DIV/0!</v>
      </c>
      <c r="P452" s="115"/>
      <c r="Q452" s="5"/>
      <c r="R452" s="5"/>
      <c r="S452" s="5"/>
      <c r="T452" s="5"/>
      <c r="U452" s="5"/>
      <c r="V452" s="6"/>
      <c r="W452" s="92">
        <f>SUMIFS(Discontinuities!$D$4:$D$9664,Discontinuities!$A$4:$A$9664,A452,Discontinuities!$C$4:$C$9664,"&gt;="&amp;C452,Discontinuities!$C$4:$C$9664,"&lt;"&amp;D452)
-SUMIFS(Discontinuities!$D$4:$D$9664,Discontinuities!$A$4:$A$9664,A452,Discontinuities!$C$4:$C$9664,"&gt;="&amp;C452,Discontinuities!$C$4:$C$9664,"&lt;"&amp;D452,Discontinuities!$E$4:$E$9664,"=BC")
-SUMIFS(Discontinuities!$D$4:$D$9664,Discontinuities!$A$4:$A$9664,A452,Discontinuities!$C$4:$C$9664,"&gt;="&amp;C452,Discontinuities!$C$4:$C$9664,"&lt;"&amp;D452,Discontinuities!$E$4:$E$9664,"=LC")
-SUMIFS(Discontinuities!$D$4:$D$9664,Discontinuities!$A$4:$A$9664,A452,Discontinuities!$C$4:$C$9664,"&gt;="&amp;C452,Discontinuities!$C$4:$C$9664,"&lt;"&amp;D452,Discontinuities!$E$4:$E$9664,"=FLT")</f>
        <v>0</v>
      </c>
      <c r="AA452" s="132"/>
      <c r="AB452" s="159">
        <f>IFERROR(ROUND((Data_Geotech[[#This Row],[Fault (m)]]+Data_Geotech[[#This Row],[Broken Core (m)]]+Data_Geotech[[#This Row],[Lost Core (m)]])*30,0),0)</f>
        <v>0</v>
      </c>
      <c r="AC452" s="135">
        <f>IF(Data_Geotech[[#This Row],[Added fractures 
(BC, FLT, LC)]]+Data_Geotech[[#This Row],[Fracture per interval]]=0,99,1/((Data_Geotech[[#This Row],[Fracture per interval]]+Data_Geotech[[#This Row],[Added fractures 
(BC, FLT, LC)]])/Data_Geotech[[#This Row],[Run (m)]]))</f>
        <v>99</v>
      </c>
      <c r="AD452" s="160" t="str" cm="1">
        <f t="array" ref="AD452">IFERROR(_xlfn.XLOOKUP(1,(A452=PLT!$A$4:$A$8886)*(Geotech!C452&lt;=PLT!$F$4:$F$8886)*(Geotech!D452&gt;=PLT!$F$4:$F$8886)*("Valid"=PLT!$P$4:$P$8886),PLT!$V$4:$V$8886),"")</f>
        <v/>
      </c>
      <c r="AE452" s="161" t="str" cm="1">
        <f t="array" ref="AE452">IFERROR(_xlfn.XLOOKUP(1,(A452=PLT!$A$4:$A$8886)*(Geotech!C452&lt;=PLT!$F$4:$F$8886)*(Geotech!D452&gt;=PLT!$F$4:$F$8886)*(PLT!$V$4:$V$8886&lt;&gt;AD452)*("Valid"=PLT!$P$4:$P$7190),PLT!$V$4:$V$8886),"")</f>
        <v/>
      </c>
      <c r="AF452" s="161" t="str" cm="1">
        <f t="array" ref="AF452">IFERROR(_xlfn.XLOOKUP(1,(A452=PLT!$A$4:$A$8886)*(Geotech!C452&lt;=PLT!$F$4:$F$8886)*(Geotech!D452&gt;=PLT!$F$4:$F$8886)*(PLT!$V$4:$V$8886&lt;&gt;AD452)*(PLT!$V$4:$V$8886&lt;&gt;AE452)*("Valid"=PLT!$P$4:$P$7190),PLT!$V$4:$V$8886),"")</f>
        <v/>
      </c>
      <c r="AG452" s="162" t="str">
        <f>IFERROR(IF(AVERAGE(AD452:AF452)&gt;References!$BO$23,References!$BP$23,
IF(AVERAGE(AD452:AF452)&gt;References!$BO$22,References!$BP$22,
IF(AVERAGE(AD452:AF452)&gt;References!$BO$21,References!$BP$21,
IF(AVERAGE(AD452:AF452)&gt;References!$BO$20,References!$BP$20,
IF(AVERAGE(AD452:AF452)&gt;References!$BO$19,References!$BP$19,
IF(AVERAGE(AD452:AF452)&gt;References!$BO$18,References!$BP$18,
0)))))),"")</f>
        <v/>
      </c>
      <c r="AH452" s="163" t="e">
        <f>VLOOKUP(Data_Geotech[[#This Row],[Field Intact Rock Strength]],Table_RMR76_Strength[],2,FALSE)</f>
        <v>#N/A</v>
      </c>
      <c r="AI452" s="163" t="e">
        <f>IF(Data_Geotech[[#This Row],[RQD (%)]]&lt;=25,3,IF(Data_Geotech[[#This Row],[RQD (%)]]&lt;=50,8,IF(Data_Geotech[[#This Row],[RQD (%)]]&lt;=75,13,IF(Data_Geotech[[#This Row],[RQD (%)]]&lt;=90,17,20))))</f>
        <v>#DIV/0!</v>
      </c>
      <c r="AJ452" s="136">
        <f>IF(Data_Geotech[[#This Row],[Joint spacing (m)]]&lt;=0.05,5,IF(Data_Geotech[[#This Row],[Joint spacing (m)]]&lt;=0.3,10,IF(Data_Geotech[[#This Row],[Joint spacing (m)]]&lt;=1,20,IF(Data_Geotech[[#This Row],[Joint spacing (m)]]&lt;=3,25,30))))</f>
        <v>30</v>
      </c>
      <c r="AK45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2" s="6"/>
      <c r="AM452" s="137" t="str">
        <f>IF(Data_Geotech[[#This Row],[FIRS Code]]="R",IFERROR(SUM(Data_Geotech[[#This Row],[RMR76 - Strength rating]:[RMR76 - Ground water rating]]),""),"")</f>
        <v/>
      </c>
      <c r="AN452" s="164" t="str">
        <f>IF(Data_Geotech[[#This Row],[FIRS Code]]="R",(2*Data_Geotech[[#This Row],[RMR76 - Joint condition rating]])+(IF(Data_Geotech[[#This Row],[RQD (%)]]&gt;80,80/2,Data_Geotech[[#This Row],[RQD (%)]]/2)),"")</f>
        <v/>
      </c>
      <c r="AO452" s="136" t="e">
        <f>LEFT(Data_Geotech[[#This Row],[Joint Set Rating]],FIND("-",Data_Geotech[[#This Row],[Joint Set Rating]],1)-2)</f>
        <v>#VALUE!</v>
      </c>
      <c r="AP45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2" s="143">
        <f t="shared" si="10"/>
        <v>1</v>
      </c>
      <c r="AR452" s="165" t="str">
        <f>IF(Data_Geotech[[#This Row],[FIRS Code]]="R",IFERROR((IF(Data_Geotech[[#This Row],[RQD (%)]]&lt;10,10,Data_Geotech[[#This Row],[RQD (%)]])/Data_Geotech[[#This Row],[Jn rating]])*Data_Geotech[[#This Row],[Jr/Ja]],""),"")</f>
        <v/>
      </c>
      <c r="AS452" s="138" t="str">
        <f>IF(Data_Geotech[[#This Row],[FIRS Code]]="R",IFERROR((IF(Data_Geotech[[#This Row],[RQD (%)]]&lt;10,10,Data_Geotech[[#This Row],[RQD (%)]])/Data_Geotech[[#This Row],[Jn rating]])*Data_Geotech[[#This Row],[Jr/Ja]]*Data_Geotech[[#This Row],[Jw/SRF]],""),"")</f>
        <v/>
      </c>
      <c r="AT452" s="12"/>
      <c r="AU452" s="13" t="e">
        <f>100-Data_Geotech[[#This Row],[RQD (%)]]</f>
        <v>#DIV/0!</v>
      </c>
      <c r="AV452" s="13" t="e">
        <f>100-Data_Geotech[[#This Row],[TCR (%)]]</f>
        <v>#DIV/0!</v>
      </c>
      <c r="AW452" s="62" t="e">
        <f>(Data_Geotech[[#This Row],[Fracture per interval]]+Data_Geotech[[#This Row],[Added fractures 
(BC, FLT, LC)]])/Data_Geotech[[#This Row],[TCR (m)]]</f>
        <v>#DIV/0!</v>
      </c>
      <c r="AX452" s="62" t="str">
        <f>MID(Data_Geotech[[#This Row],[Field Intact Rock Strength]],2,1)</f>
        <v/>
      </c>
      <c r="AY452" s="63" t="e">
        <f>7-MID(Data_Geotech[[#This Row],[Field Intact Rock Strength]],2,1)</f>
        <v>#VALUE!</v>
      </c>
      <c r="AZ452" s="63" t="e">
        <f>VLOOKUP(Data_Geotech[[#This Row],[Field Intact Rock Strength]],Table_FieldStrength[],2,FALSE)</f>
        <v>#N/A</v>
      </c>
      <c r="BA452" s="63" t="e">
        <f>VLOOKUP(Data_Geotech[[#This Row],[Field Intact Rock Strength]],Table_FieldStrength[],3,FALSE)</f>
        <v>#N/A</v>
      </c>
      <c r="BB452" s="63" t="e">
        <f>VLOOKUP(Data_Geotech[[#This Row],[Field Intact Rock Strength]],Table_FieldStrength[],4,FALSE)</f>
        <v>#N/A</v>
      </c>
      <c r="BC452" s="63" t="e">
        <f>100-Data_Geotech[[#This Row],[RMR76]]</f>
        <v>#VALUE!</v>
      </c>
      <c r="BD452" s="63" t="e">
        <f>LEFT(Data_Geotech[[#This Row],[Weathering/Alteration]],FIND("-",Data_Geotech[[#This Row],[Weathering/Alteration]])-2)</f>
        <v>#VALUE!</v>
      </c>
    </row>
    <row r="453" spans="1:56" hidden="1" x14ac:dyDescent="0.25">
      <c r="A453" s="14"/>
      <c r="B453" s="166" t="e">
        <f>VLOOKUP(Data_Geotech[[#This Row],[Hole ID]],Data_Log[],2,FALSE)</f>
        <v>#N/A</v>
      </c>
      <c r="C453" s="5"/>
      <c r="D453" s="5"/>
      <c r="E453" s="5">
        <f>(Data_Geotech[[#This Row],[To (m)]]-Data_Geotech[[#This Row],[From (m)]])/2+Data_Geotech[[#This Row],[From (m)]]</f>
        <v>0</v>
      </c>
      <c r="F453" s="13">
        <f>Data_Geotech[[#This Row],[To (m)]]-Data_Geotech[[#This Row],[From (m)]]</f>
        <v>0</v>
      </c>
      <c r="G453" s="5"/>
      <c r="H453" s="13" t="e">
        <f>Data_Geotech[[#This Row],[TCR (m)]]/Data_Geotech[[#This Row],[Run (m)]]*100</f>
        <v>#DIV/0!</v>
      </c>
      <c r="I453" s="5"/>
      <c r="J453" s="5"/>
      <c r="K453" s="5"/>
      <c r="L453" s="13" t="e">
        <f>Data_Geotech[[#This Row],[RQD (m)]]/Data_Geotech[[#This Row],[Run Reel (m)]]*100</f>
        <v>#DIV/0!</v>
      </c>
      <c r="P453" s="115"/>
      <c r="Q453" s="5"/>
      <c r="R453" s="5"/>
      <c r="S453" s="5"/>
      <c r="T453" s="5"/>
      <c r="U453" s="5"/>
      <c r="V453" s="6"/>
      <c r="W453" s="92">
        <f>SUMIFS(Discontinuities!$D$4:$D$9664,Discontinuities!$A$4:$A$9664,A453,Discontinuities!$C$4:$C$9664,"&gt;="&amp;C453,Discontinuities!$C$4:$C$9664,"&lt;"&amp;D453)
-SUMIFS(Discontinuities!$D$4:$D$9664,Discontinuities!$A$4:$A$9664,A453,Discontinuities!$C$4:$C$9664,"&gt;="&amp;C453,Discontinuities!$C$4:$C$9664,"&lt;"&amp;D453,Discontinuities!$E$4:$E$9664,"=BC")
-SUMIFS(Discontinuities!$D$4:$D$9664,Discontinuities!$A$4:$A$9664,A453,Discontinuities!$C$4:$C$9664,"&gt;="&amp;C453,Discontinuities!$C$4:$C$9664,"&lt;"&amp;D453,Discontinuities!$E$4:$E$9664,"=LC")
-SUMIFS(Discontinuities!$D$4:$D$9664,Discontinuities!$A$4:$A$9664,A453,Discontinuities!$C$4:$C$9664,"&gt;="&amp;C453,Discontinuities!$C$4:$C$9664,"&lt;"&amp;D453,Discontinuities!$E$4:$E$9664,"=FLT")</f>
        <v>0</v>
      </c>
      <c r="AA453" s="132"/>
      <c r="AB453" s="159">
        <f>IFERROR(ROUND((Data_Geotech[[#This Row],[Fault (m)]]+Data_Geotech[[#This Row],[Broken Core (m)]]+Data_Geotech[[#This Row],[Lost Core (m)]])*30,0),0)</f>
        <v>0</v>
      </c>
      <c r="AC453" s="135">
        <f>IF(Data_Geotech[[#This Row],[Added fractures 
(BC, FLT, LC)]]+Data_Geotech[[#This Row],[Fracture per interval]]=0,99,1/((Data_Geotech[[#This Row],[Fracture per interval]]+Data_Geotech[[#This Row],[Added fractures 
(BC, FLT, LC)]])/Data_Geotech[[#This Row],[Run (m)]]))</f>
        <v>99</v>
      </c>
      <c r="AD453" s="160" t="str" cm="1">
        <f t="array" ref="AD453">IFERROR(_xlfn.XLOOKUP(1,(A453=PLT!$A$4:$A$8886)*(Geotech!C453&lt;=PLT!$F$4:$F$8886)*(Geotech!D453&gt;=PLT!$F$4:$F$8886)*("Valid"=PLT!$P$4:$P$8886),PLT!$V$4:$V$8886),"")</f>
        <v/>
      </c>
      <c r="AE453" s="161" t="str" cm="1">
        <f t="array" ref="AE453">IFERROR(_xlfn.XLOOKUP(1,(A453=PLT!$A$4:$A$8886)*(Geotech!C453&lt;=PLT!$F$4:$F$8886)*(Geotech!D453&gt;=PLT!$F$4:$F$8886)*(PLT!$V$4:$V$8886&lt;&gt;AD453)*("Valid"=PLT!$P$4:$P$7190),PLT!$V$4:$V$8886),"")</f>
        <v/>
      </c>
      <c r="AF453" s="161" t="str" cm="1">
        <f t="array" ref="AF453">IFERROR(_xlfn.XLOOKUP(1,(A453=PLT!$A$4:$A$8886)*(Geotech!C453&lt;=PLT!$F$4:$F$8886)*(Geotech!D453&gt;=PLT!$F$4:$F$8886)*(PLT!$V$4:$V$8886&lt;&gt;AD453)*(PLT!$V$4:$V$8886&lt;&gt;AE453)*("Valid"=PLT!$P$4:$P$7190),PLT!$V$4:$V$8886),"")</f>
        <v/>
      </c>
      <c r="AG453" s="162" t="str">
        <f>IFERROR(IF(AVERAGE(AD453:AF453)&gt;References!$BO$23,References!$BP$23,
IF(AVERAGE(AD453:AF453)&gt;References!$BO$22,References!$BP$22,
IF(AVERAGE(AD453:AF453)&gt;References!$BO$21,References!$BP$21,
IF(AVERAGE(AD453:AF453)&gt;References!$BO$20,References!$BP$20,
IF(AVERAGE(AD453:AF453)&gt;References!$BO$19,References!$BP$19,
IF(AVERAGE(AD453:AF453)&gt;References!$BO$18,References!$BP$18,
0)))))),"")</f>
        <v/>
      </c>
      <c r="AH453" s="163" t="e">
        <f>VLOOKUP(Data_Geotech[[#This Row],[Field Intact Rock Strength]],Table_RMR76_Strength[],2,FALSE)</f>
        <v>#N/A</v>
      </c>
      <c r="AI453" s="163" t="e">
        <f>IF(Data_Geotech[[#This Row],[RQD (%)]]&lt;=25,3,IF(Data_Geotech[[#This Row],[RQD (%)]]&lt;=50,8,IF(Data_Geotech[[#This Row],[RQD (%)]]&lt;=75,13,IF(Data_Geotech[[#This Row],[RQD (%)]]&lt;=90,17,20))))</f>
        <v>#DIV/0!</v>
      </c>
      <c r="AJ453" s="136">
        <f>IF(Data_Geotech[[#This Row],[Joint spacing (m)]]&lt;=0.05,5,IF(Data_Geotech[[#This Row],[Joint spacing (m)]]&lt;=0.3,10,IF(Data_Geotech[[#This Row],[Joint spacing (m)]]&lt;=1,20,IF(Data_Geotech[[#This Row],[Joint spacing (m)]]&lt;=3,25,30))))</f>
        <v>30</v>
      </c>
      <c r="AK45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3" s="6"/>
      <c r="AM453" s="137" t="str">
        <f>IF(Data_Geotech[[#This Row],[FIRS Code]]="R",IFERROR(SUM(Data_Geotech[[#This Row],[RMR76 - Strength rating]:[RMR76 - Ground water rating]]),""),"")</f>
        <v/>
      </c>
      <c r="AN453" s="164" t="str">
        <f>IF(Data_Geotech[[#This Row],[FIRS Code]]="R",(2*Data_Geotech[[#This Row],[RMR76 - Joint condition rating]])+(IF(Data_Geotech[[#This Row],[RQD (%)]]&gt;80,80/2,Data_Geotech[[#This Row],[RQD (%)]]/2)),"")</f>
        <v/>
      </c>
      <c r="AO453" s="136" t="e">
        <f>LEFT(Data_Geotech[[#This Row],[Joint Set Rating]],FIND("-",Data_Geotech[[#This Row],[Joint Set Rating]],1)-2)</f>
        <v>#VALUE!</v>
      </c>
      <c r="AP45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3" s="143">
        <f t="shared" si="10"/>
        <v>1</v>
      </c>
      <c r="AR453" s="165" t="str">
        <f>IF(Data_Geotech[[#This Row],[FIRS Code]]="R",IFERROR((IF(Data_Geotech[[#This Row],[RQD (%)]]&lt;10,10,Data_Geotech[[#This Row],[RQD (%)]])/Data_Geotech[[#This Row],[Jn rating]])*Data_Geotech[[#This Row],[Jr/Ja]],""),"")</f>
        <v/>
      </c>
      <c r="AS453" s="138" t="str">
        <f>IF(Data_Geotech[[#This Row],[FIRS Code]]="R",IFERROR((IF(Data_Geotech[[#This Row],[RQD (%)]]&lt;10,10,Data_Geotech[[#This Row],[RQD (%)]])/Data_Geotech[[#This Row],[Jn rating]])*Data_Geotech[[#This Row],[Jr/Ja]]*Data_Geotech[[#This Row],[Jw/SRF]],""),"")</f>
        <v/>
      </c>
      <c r="AT453" s="12"/>
      <c r="AU453" s="13" t="e">
        <f>100-Data_Geotech[[#This Row],[RQD (%)]]</f>
        <v>#DIV/0!</v>
      </c>
      <c r="AV453" s="13" t="e">
        <f>100-Data_Geotech[[#This Row],[TCR (%)]]</f>
        <v>#DIV/0!</v>
      </c>
      <c r="AW453" s="62" t="e">
        <f>(Data_Geotech[[#This Row],[Fracture per interval]]+Data_Geotech[[#This Row],[Added fractures 
(BC, FLT, LC)]])/Data_Geotech[[#This Row],[TCR (m)]]</f>
        <v>#DIV/0!</v>
      </c>
      <c r="AX453" s="62" t="str">
        <f>MID(Data_Geotech[[#This Row],[Field Intact Rock Strength]],2,1)</f>
        <v/>
      </c>
      <c r="AY453" s="63" t="e">
        <f>7-MID(Data_Geotech[[#This Row],[Field Intact Rock Strength]],2,1)</f>
        <v>#VALUE!</v>
      </c>
      <c r="AZ453" s="63" t="e">
        <f>VLOOKUP(Data_Geotech[[#This Row],[Field Intact Rock Strength]],Table_FieldStrength[],2,FALSE)</f>
        <v>#N/A</v>
      </c>
      <c r="BA453" s="63" t="e">
        <f>VLOOKUP(Data_Geotech[[#This Row],[Field Intact Rock Strength]],Table_FieldStrength[],3,FALSE)</f>
        <v>#N/A</v>
      </c>
      <c r="BB453" s="63" t="e">
        <f>VLOOKUP(Data_Geotech[[#This Row],[Field Intact Rock Strength]],Table_FieldStrength[],4,FALSE)</f>
        <v>#N/A</v>
      </c>
      <c r="BC453" s="63" t="e">
        <f>100-Data_Geotech[[#This Row],[RMR76]]</f>
        <v>#VALUE!</v>
      </c>
      <c r="BD453" s="63" t="e">
        <f>LEFT(Data_Geotech[[#This Row],[Weathering/Alteration]],FIND("-",Data_Geotech[[#This Row],[Weathering/Alteration]])-2)</f>
        <v>#VALUE!</v>
      </c>
    </row>
    <row r="454" spans="1:56" hidden="1" x14ac:dyDescent="0.25">
      <c r="A454" s="14"/>
      <c r="B454" s="166" t="e">
        <f>VLOOKUP(Data_Geotech[[#This Row],[Hole ID]],Data_Log[],2,FALSE)</f>
        <v>#N/A</v>
      </c>
      <c r="C454" s="5"/>
      <c r="D454" s="5"/>
      <c r="E454" s="5">
        <f>(Data_Geotech[[#This Row],[To (m)]]-Data_Geotech[[#This Row],[From (m)]])/2+Data_Geotech[[#This Row],[From (m)]]</f>
        <v>0</v>
      </c>
      <c r="F454" s="13">
        <f>Data_Geotech[[#This Row],[To (m)]]-Data_Geotech[[#This Row],[From (m)]]</f>
        <v>0</v>
      </c>
      <c r="G454" s="5"/>
      <c r="H454" s="13" t="e">
        <f>Data_Geotech[[#This Row],[TCR (m)]]/Data_Geotech[[#This Row],[Run (m)]]*100</f>
        <v>#DIV/0!</v>
      </c>
      <c r="I454" s="5"/>
      <c r="J454" s="5"/>
      <c r="K454" s="5"/>
      <c r="L454" s="13" t="e">
        <f>Data_Geotech[[#This Row],[RQD (m)]]/Data_Geotech[[#This Row],[Run Reel (m)]]*100</f>
        <v>#DIV/0!</v>
      </c>
      <c r="P454" s="115"/>
      <c r="Q454" s="5"/>
      <c r="R454" s="5"/>
      <c r="S454" s="5"/>
      <c r="T454" s="5"/>
      <c r="U454" s="5"/>
      <c r="V454" s="6"/>
      <c r="W454" s="92">
        <f>SUMIFS(Discontinuities!$D$4:$D$9664,Discontinuities!$A$4:$A$9664,A454,Discontinuities!$C$4:$C$9664,"&gt;="&amp;C454,Discontinuities!$C$4:$C$9664,"&lt;"&amp;D454)
-SUMIFS(Discontinuities!$D$4:$D$9664,Discontinuities!$A$4:$A$9664,A454,Discontinuities!$C$4:$C$9664,"&gt;="&amp;C454,Discontinuities!$C$4:$C$9664,"&lt;"&amp;D454,Discontinuities!$E$4:$E$9664,"=BC")
-SUMIFS(Discontinuities!$D$4:$D$9664,Discontinuities!$A$4:$A$9664,A454,Discontinuities!$C$4:$C$9664,"&gt;="&amp;C454,Discontinuities!$C$4:$C$9664,"&lt;"&amp;D454,Discontinuities!$E$4:$E$9664,"=LC")
-SUMIFS(Discontinuities!$D$4:$D$9664,Discontinuities!$A$4:$A$9664,A454,Discontinuities!$C$4:$C$9664,"&gt;="&amp;C454,Discontinuities!$C$4:$C$9664,"&lt;"&amp;D454,Discontinuities!$E$4:$E$9664,"=FLT")</f>
        <v>0</v>
      </c>
      <c r="AA454" s="132"/>
      <c r="AB454" s="159">
        <f>IFERROR(ROUND((Data_Geotech[[#This Row],[Fault (m)]]+Data_Geotech[[#This Row],[Broken Core (m)]]+Data_Geotech[[#This Row],[Lost Core (m)]])*30,0),0)</f>
        <v>0</v>
      </c>
      <c r="AC454" s="135">
        <f>IF(Data_Geotech[[#This Row],[Added fractures 
(BC, FLT, LC)]]+Data_Geotech[[#This Row],[Fracture per interval]]=0,99,1/((Data_Geotech[[#This Row],[Fracture per interval]]+Data_Geotech[[#This Row],[Added fractures 
(BC, FLT, LC)]])/Data_Geotech[[#This Row],[Run (m)]]))</f>
        <v>99</v>
      </c>
      <c r="AD454" s="160" t="str" cm="1">
        <f t="array" ref="AD454">IFERROR(_xlfn.XLOOKUP(1,(A454=PLT!$A$4:$A$8886)*(Geotech!C454&lt;=PLT!$F$4:$F$8886)*(Geotech!D454&gt;=PLT!$F$4:$F$8886)*("Valid"=PLT!$P$4:$P$8886),PLT!$V$4:$V$8886),"")</f>
        <v/>
      </c>
      <c r="AE454" s="161" t="str" cm="1">
        <f t="array" ref="AE454">IFERROR(_xlfn.XLOOKUP(1,(A454=PLT!$A$4:$A$8886)*(Geotech!C454&lt;=PLT!$F$4:$F$8886)*(Geotech!D454&gt;=PLT!$F$4:$F$8886)*(PLT!$V$4:$V$8886&lt;&gt;AD454)*("Valid"=PLT!$P$4:$P$7190),PLT!$V$4:$V$8886),"")</f>
        <v/>
      </c>
      <c r="AF454" s="161" t="str" cm="1">
        <f t="array" ref="AF454">IFERROR(_xlfn.XLOOKUP(1,(A454=PLT!$A$4:$A$8886)*(Geotech!C454&lt;=PLT!$F$4:$F$8886)*(Geotech!D454&gt;=PLT!$F$4:$F$8886)*(PLT!$V$4:$V$8886&lt;&gt;AD454)*(PLT!$V$4:$V$8886&lt;&gt;AE454)*("Valid"=PLT!$P$4:$P$7190),PLT!$V$4:$V$8886),"")</f>
        <v/>
      </c>
      <c r="AG454" s="162" t="str">
        <f>IFERROR(IF(AVERAGE(AD454:AF454)&gt;References!$BO$23,References!$BP$23,
IF(AVERAGE(AD454:AF454)&gt;References!$BO$22,References!$BP$22,
IF(AVERAGE(AD454:AF454)&gt;References!$BO$21,References!$BP$21,
IF(AVERAGE(AD454:AF454)&gt;References!$BO$20,References!$BP$20,
IF(AVERAGE(AD454:AF454)&gt;References!$BO$19,References!$BP$19,
IF(AVERAGE(AD454:AF454)&gt;References!$BO$18,References!$BP$18,
0)))))),"")</f>
        <v/>
      </c>
      <c r="AH454" s="163" t="e">
        <f>VLOOKUP(Data_Geotech[[#This Row],[Field Intact Rock Strength]],Table_RMR76_Strength[],2,FALSE)</f>
        <v>#N/A</v>
      </c>
      <c r="AI454" s="163" t="e">
        <f>IF(Data_Geotech[[#This Row],[RQD (%)]]&lt;=25,3,IF(Data_Geotech[[#This Row],[RQD (%)]]&lt;=50,8,IF(Data_Geotech[[#This Row],[RQD (%)]]&lt;=75,13,IF(Data_Geotech[[#This Row],[RQD (%)]]&lt;=90,17,20))))</f>
        <v>#DIV/0!</v>
      </c>
      <c r="AJ454" s="136">
        <f>IF(Data_Geotech[[#This Row],[Joint spacing (m)]]&lt;=0.05,5,IF(Data_Geotech[[#This Row],[Joint spacing (m)]]&lt;=0.3,10,IF(Data_Geotech[[#This Row],[Joint spacing (m)]]&lt;=1,20,IF(Data_Geotech[[#This Row],[Joint spacing (m)]]&lt;=3,25,30))))</f>
        <v>30</v>
      </c>
      <c r="AK45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4" s="6"/>
      <c r="AM454" s="137" t="str">
        <f>IF(Data_Geotech[[#This Row],[FIRS Code]]="R",IFERROR(SUM(Data_Geotech[[#This Row],[RMR76 - Strength rating]:[RMR76 - Ground water rating]]),""),"")</f>
        <v/>
      </c>
      <c r="AN454" s="164" t="str">
        <f>IF(Data_Geotech[[#This Row],[FIRS Code]]="R",(2*Data_Geotech[[#This Row],[RMR76 - Joint condition rating]])+(IF(Data_Geotech[[#This Row],[RQD (%)]]&gt;80,80/2,Data_Geotech[[#This Row],[RQD (%)]]/2)),"")</f>
        <v/>
      </c>
      <c r="AO454" s="136" t="e">
        <f>LEFT(Data_Geotech[[#This Row],[Joint Set Rating]],FIND("-",Data_Geotech[[#This Row],[Joint Set Rating]],1)-2)</f>
        <v>#VALUE!</v>
      </c>
      <c r="AP45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4" s="143">
        <f t="shared" si="10"/>
        <v>1</v>
      </c>
      <c r="AR454" s="165" t="str">
        <f>IF(Data_Geotech[[#This Row],[FIRS Code]]="R",IFERROR((IF(Data_Geotech[[#This Row],[RQD (%)]]&lt;10,10,Data_Geotech[[#This Row],[RQD (%)]])/Data_Geotech[[#This Row],[Jn rating]])*Data_Geotech[[#This Row],[Jr/Ja]],""),"")</f>
        <v/>
      </c>
      <c r="AS454" s="138" t="str">
        <f>IF(Data_Geotech[[#This Row],[FIRS Code]]="R",IFERROR((IF(Data_Geotech[[#This Row],[RQD (%)]]&lt;10,10,Data_Geotech[[#This Row],[RQD (%)]])/Data_Geotech[[#This Row],[Jn rating]])*Data_Geotech[[#This Row],[Jr/Ja]]*Data_Geotech[[#This Row],[Jw/SRF]],""),"")</f>
        <v/>
      </c>
      <c r="AT454" s="12"/>
      <c r="AU454" s="13" t="e">
        <f>100-Data_Geotech[[#This Row],[RQD (%)]]</f>
        <v>#DIV/0!</v>
      </c>
      <c r="AV454" s="13" t="e">
        <f>100-Data_Geotech[[#This Row],[TCR (%)]]</f>
        <v>#DIV/0!</v>
      </c>
      <c r="AW454" s="62" t="e">
        <f>(Data_Geotech[[#This Row],[Fracture per interval]]+Data_Geotech[[#This Row],[Added fractures 
(BC, FLT, LC)]])/Data_Geotech[[#This Row],[TCR (m)]]</f>
        <v>#DIV/0!</v>
      </c>
      <c r="AX454" s="62" t="str">
        <f>MID(Data_Geotech[[#This Row],[Field Intact Rock Strength]],2,1)</f>
        <v/>
      </c>
      <c r="AY454" s="63" t="e">
        <f>7-MID(Data_Geotech[[#This Row],[Field Intact Rock Strength]],2,1)</f>
        <v>#VALUE!</v>
      </c>
      <c r="AZ454" s="63" t="e">
        <f>VLOOKUP(Data_Geotech[[#This Row],[Field Intact Rock Strength]],Table_FieldStrength[],2,FALSE)</f>
        <v>#N/A</v>
      </c>
      <c r="BA454" s="63" t="e">
        <f>VLOOKUP(Data_Geotech[[#This Row],[Field Intact Rock Strength]],Table_FieldStrength[],3,FALSE)</f>
        <v>#N/A</v>
      </c>
      <c r="BB454" s="63" t="e">
        <f>VLOOKUP(Data_Geotech[[#This Row],[Field Intact Rock Strength]],Table_FieldStrength[],4,FALSE)</f>
        <v>#N/A</v>
      </c>
      <c r="BC454" s="63" t="e">
        <f>100-Data_Geotech[[#This Row],[RMR76]]</f>
        <v>#VALUE!</v>
      </c>
      <c r="BD454" s="63" t="e">
        <f>LEFT(Data_Geotech[[#This Row],[Weathering/Alteration]],FIND("-",Data_Geotech[[#This Row],[Weathering/Alteration]])-2)</f>
        <v>#VALUE!</v>
      </c>
    </row>
    <row r="455" spans="1:56" hidden="1" x14ac:dyDescent="0.25">
      <c r="A455" s="14"/>
      <c r="B455" s="166" t="e">
        <f>VLOOKUP(Data_Geotech[[#This Row],[Hole ID]],Data_Log[],2,FALSE)</f>
        <v>#N/A</v>
      </c>
      <c r="C455" s="5"/>
      <c r="D455" s="5"/>
      <c r="E455" s="5">
        <f>(Data_Geotech[[#This Row],[To (m)]]-Data_Geotech[[#This Row],[From (m)]])/2+Data_Geotech[[#This Row],[From (m)]]</f>
        <v>0</v>
      </c>
      <c r="F455" s="13">
        <f>Data_Geotech[[#This Row],[To (m)]]-Data_Geotech[[#This Row],[From (m)]]</f>
        <v>0</v>
      </c>
      <c r="G455" s="5"/>
      <c r="H455" s="13" t="e">
        <f>Data_Geotech[[#This Row],[TCR (m)]]/Data_Geotech[[#This Row],[Run (m)]]*100</f>
        <v>#DIV/0!</v>
      </c>
      <c r="I455" s="5"/>
      <c r="J455" s="5"/>
      <c r="K455" s="5"/>
      <c r="L455" s="13" t="e">
        <f>Data_Geotech[[#This Row],[RQD (m)]]/Data_Geotech[[#This Row],[Run Reel (m)]]*100</f>
        <v>#DIV/0!</v>
      </c>
      <c r="P455" s="115"/>
      <c r="Q455" s="5"/>
      <c r="R455" s="5"/>
      <c r="S455" s="5"/>
      <c r="T455" s="5"/>
      <c r="U455" s="5"/>
      <c r="V455" s="6"/>
      <c r="W455" s="92">
        <f>SUMIFS(Discontinuities!$D$4:$D$9664,Discontinuities!$A$4:$A$9664,A455,Discontinuities!$C$4:$C$9664,"&gt;="&amp;C455,Discontinuities!$C$4:$C$9664,"&lt;"&amp;D455)
-SUMIFS(Discontinuities!$D$4:$D$9664,Discontinuities!$A$4:$A$9664,A455,Discontinuities!$C$4:$C$9664,"&gt;="&amp;C455,Discontinuities!$C$4:$C$9664,"&lt;"&amp;D455,Discontinuities!$E$4:$E$9664,"=BC")
-SUMIFS(Discontinuities!$D$4:$D$9664,Discontinuities!$A$4:$A$9664,A455,Discontinuities!$C$4:$C$9664,"&gt;="&amp;C455,Discontinuities!$C$4:$C$9664,"&lt;"&amp;D455,Discontinuities!$E$4:$E$9664,"=LC")
-SUMIFS(Discontinuities!$D$4:$D$9664,Discontinuities!$A$4:$A$9664,A455,Discontinuities!$C$4:$C$9664,"&gt;="&amp;C455,Discontinuities!$C$4:$C$9664,"&lt;"&amp;D455,Discontinuities!$E$4:$E$9664,"=FLT")</f>
        <v>0</v>
      </c>
      <c r="AA455" s="132"/>
      <c r="AB455" s="159">
        <f>IFERROR(ROUND((Data_Geotech[[#This Row],[Fault (m)]]+Data_Geotech[[#This Row],[Broken Core (m)]]+Data_Geotech[[#This Row],[Lost Core (m)]])*30,0),0)</f>
        <v>0</v>
      </c>
      <c r="AC455" s="135">
        <f>IF(Data_Geotech[[#This Row],[Added fractures 
(BC, FLT, LC)]]+Data_Geotech[[#This Row],[Fracture per interval]]=0,99,1/((Data_Geotech[[#This Row],[Fracture per interval]]+Data_Geotech[[#This Row],[Added fractures 
(BC, FLT, LC)]])/Data_Geotech[[#This Row],[Run (m)]]))</f>
        <v>99</v>
      </c>
      <c r="AD455" s="160" t="str" cm="1">
        <f t="array" ref="AD455">IFERROR(_xlfn.XLOOKUP(1,(A455=PLT!$A$4:$A$8886)*(Geotech!C455&lt;=PLT!$F$4:$F$8886)*(Geotech!D455&gt;=PLT!$F$4:$F$8886)*("Valid"=PLT!$P$4:$P$8886),PLT!$V$4:$V$8886),"")</f>
        <v/>
      </c>
      <c r="AE455" s="161" t="str" cm="1">
        <f t="array" ref="AE455">IFERROR(_xlfn.XLOOKUP(1,(A455=PLT!$A$4:$A$8886)*(Geotech!C455&lt;=PLT!$F$4:$F$8886)*(Geotech!D455&gt;=PLT!$F$4:$F$8886)*(PLT!$V$4:$V$8886&lt;&gt;AD455)*("Valid"=PLT!$P$4:$P$7190),PLT!$V$4:$V$8886),"")</f>
        <v/>
      </c>
      <c r="AF455" s="161" t="str" cm="1">
        <f t="array" ref="AF455">IFERROR(_xlfn.XLOOKUP(1,(A455=PLT!$A$4:$A$8886)*(Geotech!C455&lt;=PLT!$F$4:$F$8886)*(Geotech!D455&gt;=PLT!$F$4:$F$8886)*(PLT!$V$4:$V$8886&lt;&gt;AD455)*(PLT!$V$4:$V$8886&lt;&gt;AE455)*("Valid"=PLT!$P$4:$P$7190),PLT!$V$4:$V$8886),"")</f>
        <v/>
      </c>
      <c r="AG455" s="162" t="str">
        <f>IFERROR(IF(AVERAGE(AD455:AF455)&gt;References!$BO$23,References!$BP$23,
IF(AVERAGE(AD455:AF455)&gt;References!$BO$22,References!$BP$22,
IF(AVERAGE(AD455:AF455)&gt;References!$BO$21,References!$BP$21,
IF(AVERAGE(AD455:AF455)&gt;References!$BO$20,References!$BP$20,
IF(AVERAGE(AD455:AF455)&gt;References!$BO$19,References!$BP$19,
IF(AVERAGE(AD455:AF455)&gt;References!$BO$18,References!$BP$18,
0)))))),"")</f>
        <v/>
      </c>
      <c r="AH455" s="163" t="e">
        <f>VLOOKUP(Data_Geotech[[#This Row],[Field Intact Rock Strength]],Table_RMR76_Strength[],2,FALSE)</f>
        <v>#N/A</v>
      </c>
      <c r="AI455" s="163" t="e">
        <f>IF(Data_Geotech[[#This Row],[RQD (%)]]&lt;=25,3,IF(Data_Geotech[[#This Row],[RQD (%)]]&lt;=50,8,IF(Data_Geotech[[#This Row],[RQD (%)]]&lt;=75,13,IF(Data_Geotech[[#This Row],[RQD (%)]]&lt;=90,17,20))))</f>
        <v>#DIV/0!</v>
      </c>
      <c r="AJ455" s="136">
        <f>IF(Data_Geotech[[#This Row],[Joint spacing (m)]]&lt;=0.05,5,IF(Data_Geotech[[#This Row],[Joint spacing (m)]]&lt;=0.3,10,IF(Data_Geotech[[#This Row],[Joint spacing (m)]]&lt;=1,20,IF(Data_Geotech[[#This Row],[Joint spacing (m)]]&lt;=3,25,30))))</f>
        <v>30</v>
      </c>
      <c r="AK45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5" s="6"/>
      <c r="AM455" s="137" t="str">
        <f>IF(Data_Geotech[[#This Row],[FIRS Code]]="R",IFERROR(SUM(Data_Geotech[[#This Row],[RMR76 - Strength rating]:[RMR76 - Ground water rating]]),""),"")</f>
        <v/>
      </c>
      <c r="AN455" s="164" t="str">
        <f>IF(Data_Geotech[[#This Row],[FIRS Code]]="R",(2*Data_Geotech[[#This Row],[RMR76 - Joint condition rating]])+(IF(Data_Geotech[[#This Row],[RQD (%)]]&gt;80,80/2,Data_Geotech[[#This Row],[RQD (%)]]/2)),"")</f>
        <v/>
      </c>
      <c r="AO455" s="136" t="e">
        <f>LEFT(Data_Geotech[[#This Row],[Joint Set Rating]],FIND("-",Data_Geotech[[#This Row],[Joint Set Rating]],1)-2)</f>
        <v>#VALUE!</v>
      </c>
      <c r="AP45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5" s="143">
        <f t="shared" si="10"/>
        <v>1</v>
      </c>
      <c r="AR455" s="165" t="str">
        <f>IF(Data_Geotech[[#This Row],[FIRS Code]]="R",IFERROR((IF(Data_Geotech[[#This Row],[RQD (%)]]&lt;10,10,Data_Geotech[[#This Row],[RQD (%)]])/Data_Geotech[[#This Row],[Jn rating]])*Data_Geotech[[#This Row],[Jr/Ja]],""),"")</f>
        <v/>
      </c>
      <c r="AS455" s="138" t="str">
        <f>IF(Data_Geotech[[#This Row],[FIRS Code]]="R",IFERROR((IF(Data_Geotech[[#This Row],[RQD (%)]]&lt;10,10,Data_Geotech[[#This Row],[RQD (%)]])/Data_Geotech[[#This Row],[Jn rating]])*Data_Geotech[[#This Row],[Jr/Ja]]*Data_Geotech[[#This Row],[Jw/SRF]],""),"")</f>
        <v/>
      </c>
      <c r="AT455" s="12"/>
      <c r="AU455" s="13" t="e">
        <f>100-Data_Geotech[[#This Row],[RQD (%)]]</f>
        <v>#DIV/0!</v>
      </c>
      <c r="AV455" s="13" t="e">
        <f>100-Data_Geotech[[#This Row],[TCR (%)]]</f>
        <v>#DIV/0!</v>
      </c>
      <c r="AW455" s="62" t="e">
        <f>(Data_Geotech[[#This Row],[Fracture per interval]]+Data_Geotech[[#This Row],[Added fractures 
(BC, FLT, LC)]])/Data_Geotech[[#This Row],[TCR (m)]]</f>
        <v>#DIV/0!</v>
      </c>
      <c r="AX455" s="62" t="str">
        <f>MID(Data_Geotech[[#This Row],[Field Intact Rock Strength]],2,1)</f>
        <v/>
      </c>
      <c r="AY455" s="63" t="e">
        <f>7-MID(Data_Geotech[[#This Row],[Field Intact Rock Strength]],2,1)</f>
        <v>#VALUE!</v>
      </c>
      <c r="AZ455" s="63" t="e">
        <f>VLOOKUP(Data_Geotech[[#This Row],[Field Intact Rock Strength]],Table_FieldStrength[],2,FALSE)</f>
        <v>#N/A</v>
      </c>
      <c r="BA455" s="63" t="e">
        <f>VLOOKUP(Data_Geotech[[#This Row],[Field Intact Rock Strength]],Table_FieldStrength[],3,FALSE)</f>
        <v>#N/A</v>
      </c>
      <c r="BB455" s="63" t="e">
        <f>VLOOKUP(Data_Geotech[[#This Row],[Field Intact Rock Strength]],Table_FieldStrength[],4,FALSE)</f>
        <v>#N/A</v>
      </c>
      <c r="BC455" s="63" t="e">
        <f>100-Data_Geotech[[#This Row],[RMR76]]</f>
        <v>#VALUE!</v>
      </c>
      <c r="BD455" s="63" t="e">
        <f>LEFT(Data_Geotech[[#This Row],[Weathering/Alteration]],FIND("-",Data_Geotech[[#This Row],[Weathering/Alteration]])-2)</f>
        <v>#VALUE!</v>
      </c>
    </row>
    <row r="456" spans="1:56" hidden="1" x14ac:dyDescent="0.25">
      <c r="A456" s="14"/>
      <c r="B456" s="166" t="e">
        <f>VLOOKUP(Data_Geotech[[#This Row],[Hole ID]],Data_Log[],2,FALSE)</f>
        <v>#N/A</v>
      </c>
      <c r="C456" s="5"/>
      <c r="D456" s="5"/>
      <c r="E456" s="5">
        <f>(Data_Geotech[[#This Row],[To (m)]]-Data_Geotech[[#This Row],[From (m)]])/2+Data_Geotech[[#This Row],[From (m)]]</f>
        <v>0</v>
      </c>
      <c r="F456" s="13">
        <f>Data_Geotech[[#This Row],[To (m)]]-Data_Geotech[[#This Row],[From (m)]]</f>
        <v>0</v>
      </c>
      <c r="G456" s="5"/>
      <c r="H456" s="13" t="e">
        <f>Data_Geotech[[#This Row],[TCR (m)]]/Data_Geotech[[#This Row],[Run (m)]]*100</f>
        <v>#DIV/0!</v>
      </c>
      <c r="I456" s="5"/>
      <c r="J456" s="5"/>
      <c r="K456" s="5"/>
      <c r="L456" s="13" t="e">
        <f>Data_Geotech[[#This Row],[RQD (m)]]/Data_Geotech[[#This Row],[Run Reel (m)]]*100</f>
        <v>#DIV/0!</v>
      </c>
      <c r="P456" s="115"/>
      <c r="Q456" s="5"/>
      <c r="R456" s="5"/>
      <c r="S456" s="5"/>
      <c r="T456" s="5"/>
      <c r="U456" s="5"/>
      <c r="V456" s="6"/>
      <c r="W456" s="92">
        <f>SUMIFS(Discontinuities!$D$4:$D$9664,Discontinuities!$A$4:$A$9664,A456,Discontinuities!$C$4:$C$9664,"&gt;="&amp;C456,Discontinuities!$C$4:$C$9664,"&lt;"&amp;D456)
-SUMIFS(Discontinuities!$D$4:$D$9664,Discontinuities!$A$4:$A$9664,A456,Discontinuities!$C$4:$C$9664,"&gt;="&amp;C456,Discontinuities!$C$4:$C$9664,"&lt;"&amp;D456,Discontinuities!$E$4:$E$9664,"=BC")
-SUMIFS(Discontinuities!$D$4:$D$9664,Discontinuities!$A$4:$A$9664,A456,Discontinuities!$C$4:$C$9664,"&gt;="&amp;C456,Discontinuities!$C$4:$C$9664,"&lt;"&amp;D456,Discontinuities!$E$4:$E$9664,"=LC")
-SUMIFS(Discontinuities!$D$4:$D$9664,Discontinuities!$A$4:$A$9664,A456,Discontinuities!$C$4:$C$9664,"&gt;="&amp;C456,Discontinuities!$C$4:$C$9664,"&lt;"&amp;D456,Discontinuities!$E$4:$E$9664,"=FLT")</f>
        <v>0</v>
      </c>
      <c r="AA456" s="132"/>
      <c r="AB456" s="159">
        <f>IFERROR(ROUND((Data_Geotech[[#This Row],[Fault (m)]]+Data_Geotech[[#This Row],[Broken Core (m)]]+Data_Geotech[[#This Row],[Lost Core (m)]])*30,0),0)</f>
        <v>0</v>
      </c>
      <c r="AC456" s="135">
        <f>IF(Data_Geotech[[#This Row],[Added fractures 
(BC, FLT, LC)]]+Data_Geotech[[#This Row],[Fracture per interval]]=0,99,1/((Data_Geotech[[#This Row],[Fracture per interval]]+Data_Geotech[[#This Row],[Added fractures 
(BC, FLT, LC)]])/Data_Geotech[[#This Row],[Run (m)]]))</f>
        <v>99</v>
      </c>
      <c r="AD456" s="160" t="str" cm="1">
        <f t="array" ref="AD456">IFERROR(_xlfn.XLOOKUP(1,(A456=PLT!$A$4:$A$8886)*(Geotech!C456&lt;=PLT!$F$4:$F$8886)*(Geotech!D456&gt;=PLT!$F$4:$F$8886)*("Valid"=PLT!$P$4:$P$8886),PLT!$V$4:$V$8886),"")</f>
        <v/>
      </c>
      <c r="AE456" s="161" t="str" cm="1">
        <f t="array" ref="AE456">IFERROR(_xlfn.XLOOKUP(1,(A456=PLT!$A$4:$A$8886)*(Geotech!C456&lt;=PLT!$F$4:$F$8886)*(Geotech!D456&gt;=PLT!$F$4:$F$8886)*(PLT!$V$4:$V$8886&lt;&gt;AD456)*("Valid"=PLT!$P$4:$P$7190),PLT!$V$4:$V$8886),"")</f>
        <v/>
      </c>
      <c r="AF456" s="161" t="str" cm="1">
        <f t="array" ref="AF456">IFERROR(_xlfn.XLOOKUP(1,(A456=PLT!$A$4:$A$8886)*(Geotech!C456&lt;=PLT!$F$4:$F$8886)*(Geotech!D456&gt;=PLT!$F$4:$F$8886)*(PLT!$V$4:$V$8886&lt;&gt;AD456)*(PLT!$V$4:$V$8886&lt;&gt;AE456)*("Valid"=PLT!$P$4:$P$7190),PLT!$V$4:$V$8886),"")</f>
        <v/>
      </c>
      <c r="AG456" s="162" t="str">
        <f>IFERROR(IF(AVERAGE(AD456:AF456)&gt;References!$BO$23,References!$BP$23,
IF(AVERAGE(AD456:AF456)&gt;References!$BO$22,References!$BP$22,
IF(AVERAGE(AD456:AF456)&gt;References!$BO$21,References!$BP$21,
IF(AVERAGE(AD456:AF456)&gt;References!$BO$20,References!$BP$20,
IF(AVERAGE(AD456:AF456)&gt;References!$BO$19,References!$BP$19,
IF(AVERAGE(AD456:AF456)&gt;References!$BO$18,References!$BP$18,
0)))))),"")</f>
        <v/>
      </c>
      <c r="AH456" s="163" t="e">
        <f>VLOOKUP(Data_Geotech[[#This Row],[Field Intact Rock Strength]],Table_RMR76_Strength[],2,FALSE)</f>
        <v>#N/A</v>
      </c>
      <c r="AI456" s="163" t="e">
        <f>IF(Data_Geotech[[#This Row],[RQD (%)]]&lt;=25,3,IF(Data_Geotech[[#This Row],[RQD (%)]]&lt;=50,8,IF(Data_Geotech[[#This Row],[RQD (%)]]&lt;=75,13,IF(Data_Geotech[[#This Row],[RQD (%)]]&lt;=90,17,20))))</f>
        <v>#DIV/0!</v>
      </c>
      <c r="AJ456" s="136">
        <f>IF(Data_Geotech[[#This Row],[Joint spacing (m)]]&lt;=0.05,5,IF(Data_Geotech[[#This Row],[Joint spacing (m)]]&lt;=0.3,10,IF(Data_Geotech[[#This Row],[Joint spacing (m)]]&lt;=1,20,IF(Data_Geotech[[#This Row],[Joint spacing (m)]]&lt;=3,25,30))))</f>
        <v>30</v>
      </c>
      <c r="AK45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6" s="6"/>
      <c r="AM456" s="137" t="str">
        <f>IF(Data_Geotech[[#This Row],[FIRS Code]]="R",IFERROR(SUM(Data_Geotech[[#This Row],[RMR76 - Strength rating]:[RMR76 - Ground water rating]]),""),"")</f>
        <v/>
      </c>
      <c r="AN456" s="164" t="str">
        <f>IF(Data_Geotech[[#This Row],[FIRS Code]]="R",(2*Data_Geotech[[#This Row],[RMR76 - Joint condition rating]])+(IF(Data_Geotech[[#This Row],[RQD (%)]]&gt;80,80/2,Data_Geotech[[#This Row],[RQD (%)]]/2)),"")</f>
        <v/>
      </c>
      <c r="AO456" s="136" t="e">
        <f>LEFT(Data_Geotech[[#This Row],[Joint Set Rating]],FIND("-",Data_Geotech[[#This Row],[Joint Set Rating]],1)-2)</f>
        <v>#VALUE!</v>
      </c>
      <c r="AP45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6" s="143">
        <f t="shared" si="10"/>
        <v>1</v>
      </c>
      <c r="AR456" s="165" t="str">
        <f>IF(Data_Geotech[[#This Row],[FIRS Code]]="R",IFERROR((IF(Data_Geotech[[#This Row],[RQD (%)]]&lt;10,10,Data_Geotech[[#This Row],[RQD (%)]])/Data_Geotech[[#This Row],[Jn rating]])*Data_Geotech[[#This Row],[Jr/Ja]],""),"")</f>
        <v/>
      </c>
      <c r="AS456" s="138" t="str">
        <f>IF(Data_Geotech[[#This Row],[FIRS Code]]="R",IFERROR((IF(Data_Geotech[[#This Row],[RQD (%)]]&lt;10,10,Data_Geotech[[#This Row],[RQD (%)]])/Data_Geotech[[#This Row],[Jn rating]])*Data_Geotech[[#This Row],[Jr/Ja]]*Data_Geotech[[#This Row],[Jw/SRF]],""),"")</f>
        <v/>
      </c>
      <c r="AT456" s="12"/>
      <c r="AU456" s="13" t="e">
        <f>100-Data_Geotech[[#This Row],[RQD (%)]]</f>
        <v>#DIV/0!</v>
      </c>
      <c r="AV456" s="13" t="e">
        <f>100-Data_Geotech[[#This Row],[TCR (%)]]</f>
        <v>#DIV/0!</v>
      </c>
      <c r="AW456" s="62" t="e">
        <f>(Data_Geotech[[#This Row],[Fracture per interval]]+Data_Geotech[[#This Row],[Added fractures 
(BC, FLT, LC)]])/Data_Geotech[[#This Row],[TCR (m)]]</f>
        <v>#DIV/0!</v>
      </c>
      <c r="AX456" s="62" t="str">
        <f>MID(Data_Geotech[[#This Row],[Field Intact Rock Strength]],2,1)</f>
        <v/>
      </c>
      <c r="AY456" s="63" t="e">
        <f>7-MID(Data_Geotech[[#This Row],[Field Intact Rock Strength]],2,1)</f>
        <v>#VALUE!</v>
      </c>
      <c r="AZ456" s="63" t="e">
        <f>VLOOKUP(Data_Geotech[[#This Row],[Field Intact Rock Strength]],Table_FieldStrength[],2,FALSE)</f>
        <v>#N/A</v>
      </c>
      <c r="BA456" s="63" t="e">
        <f>VLOOKUP(Data_Geotech[[#This Row],[Field Intact Rock Strength]],Table_FieldStrength[],3,FALSE)</f>
        <v>#N/A</v>
      </c>
      <c r="BB456" s="63" t="e">
        <f>VLOOKUP(Data_Geotech[[#This Row],[Field Intact Rock Strength]],Table_FieldStrength[],4,FALSE)</f>
        <v>#N/A</v>
      </c>
      <c r="BC456" s="63" t="e">
        <f>100-Data_Geotech[[#This Row],[RMR76]]</f>
        <v>#VALUE!</v>
      </c>
      <c r="BD456" s="63" t="e">
        <f>LEFT(Data_Geotech[[#This Row],[Weathering/Alteration]],FIND("-",Data_Geotech[[#This Row],[Weathering/Alteration]])-2)</f>
        <v>#VALUE!</v>
      </c>
    </row>
    <row r="457" spans="1:56" hidden="1" x14ac:dyDescent="0.25">
      <c r="A457" s="14"/>
      <c r="B457" s="166" t="e">
        <f>VLOOKUP(Data_Geotech[[#This Row],[Hole ID]],Data_Log[],2,FALSE)</f>
        <v>#N/A</v>
      </c>
      <c r="C457" s="5"/>
      <c r="D457" s="5"/>
      <c r="E457" s="5">
        <f>(Data_Geotech[[#This Row],[To (m)]]-Data_Geotech[[#This Row],[From (m)]])/2+Data_Geotech[[#This Row],[From (m)]]</f>
        <v>0</v>
      </c>
      <c r="F457" s="13">
        <f>Data_Geotech[[#This Row],[To (m)]]-Data_Geotech[[#This Row],[From (m)]]</f>
        <v>0</v>
      </c>
      <c r="G457" s="5"/>
      <c r="H457" s="13" t="e">
        <f>Data_Geotech[[#This Row],[TCR (m)]]/Data_Geotech[[#This Row],[Run (m)]]*100</f>
        <v>#DIV/0!</v>
      </c>
      <c r="I457" s="5"/>
      <c r="J457" s="5"/>
      <c r="K457" s="5"/>
      <c r="L457" s="13" t="e">
        <f>Data_Geotech[[#This Row],[RQD (m)]]/Data_Geotech[[#This Row],[Run Reel (m)]]*100</f>
        <v>#DIV/0!</v>
      </c>
      <c r="P457" s="115"/>
      <c r="Q457" s="5"/>
      <c r="R457" s="5"/>
      <c r="S457" s="5"/>
      <c r="T457" s="5"/>
      <c r="U457" s="5"/>
      <c r="V457" s="6"/>
      <c r="W457" s="92">
        <f>SUMIFS(Discontinuities!$D$4:$D$9664,Discontinuities!$A$4:$A$9664,A457,Discontinuities!$C$4:$C$9664,"&gt;="&amp;C457,Discontinuities!$C$4:$C$9664,"&lt;"&amp;D457)
-SUMIFS(Discontinuities!$D$4:$D$9664,Discontinuities!$A$4:$A$9664,A457,Discontinuities!$C$4:$C$9664,"&gt;="&amp;C457,Discontinuities!$C$4:$C$9664,"&lt;"&amp;D457,Discontinuities!$E$4:$E$9664,"=BC")
-SUMIFS(Discontinuities!$D$4:$D$9664,Discontinuities!$A$4:$A$9664,A457,Discontinuities!$C$4:$C$9664,"&gt;="&amp;C457,Discontinuities!$C$4:$C$9664,"&lt;"&amp;D457,Discontinuities!$E$4:$E$9664,"=LC")
-SUMIFS(Discontinuities!$D$4:$D$9664,Discontinuities!$A$4:$A$9664,A457,Discontinuities!$C$4:$C$9664,"&gt;="&amp;C457,Discontinuities!$C$4:$C$9664,"&lt;"&amp;D457,Discontinuities!$E$4:$E$9664,"=FLT")</f>
        <v>0</v>
      </c>
      <c r="AA457" s="132"/>
      <c r="AB457" s="159">
        <f>IFERROR(ROUND((Data_Geotech[[#This Row],[Fault (m)]]+Data_Geotech[[#This Row],[Broken Core (m)]]+Data_Geotech[[#This Row],[Lost Core (m)]])*30,0),0)</f>
        <v>0</v>
      </c>
      <c r="AC457" s="135">
        <f>IF(Data_Geotech[[#This Row],[Added fractures 
(BC, FLT, LC)]]+Data_Geotech[[#This Row],[Fracture per interval]]=0,99,1/((Data_Geotech[[#This Row],[Fracture per interval]]+Data_Geotech[[#This Row],[Added fractures 
(BC, FLT, LC)]])/Data_Geotech[[#This Row],[Run (m)]]))</f>
        <v>99</v>
      </c>
      <c r="AD457" s="160" t="str" cm="1">
        <f t="array" ref="AD457">IFERROR(_xlfn.XLOOKUP(1,(A457=PLT!$A$4:$A$8886)*(Geotech!C457&lt;=PLT!$F$4:$F$8886)*(Geotech!D457&gt;=PLT!$F$4:$F$8886)*("Valid"=PLT!$P$4:$P$8886),PLT!$V$4:$V$8886),"")</f>
        <v/>
      </c>
      <c r="AE457" s="161" t="str" cm="1">
        <f t="array" ref="AE457">IFERROR(_xlfn.XLOOKUP(1,(A457=PLT!$A$4:$A$8886)*(Geotech!C457&lt;=PLT!$F$4:$F$8886)*(Geotech!D457&gt;=PLT!$F$4:$F$8886)*(PLT!$V$4:$V$8886&lt;&gt;AD457)*("Valid"=PLT!$P$4:$P$7190),PLT!$V$4:$V$8886),"")</f>
        <v/>
      </c>
      <c r="AF457" s="161" t="str" cm="1">
        <f t="array" ref="AF457">IFERROR(_xlfn.XLOOKUP(1,(A457=PLT!$A$4:$A$8886)*(Geotech!C457&lt;=PLT!$F$4:$F$8886)*(Geotech!D457&gt;=PLT!$F$4:$F$8886)*(PLT!$V$4:$V$8886&lt;&gt;AD457)*(PLT!$V$4:$V$8886&lt;&gt;AE457)*("Valid"=PLT!$P$4:$P$7190),PLT!$V$4:$V$8886),"")</f>
        <v/>
      </c>
      <c r="AG457" s="162" t="str">
        <f>IFERROR(IF(AVERAGE(AD457:AF457)&gt;References!$BO$23,References!$BP$23,
IF(AVERAGE(AD457:AF457)&gt;References!$BO$22,References!$BP$22,
IF(AVERAGE(AD457:AF457)&gt;References!$BO$21,References!$BP$21,
IF(AVERAGE(AD457:AF457)&gt;References!$BO$20,References!$BP$20,
IF(AVERAGE(AD457:AF457)&gt;References!$BO$19,References!$BP$19,
IF(AVERAGE(AD457:AF457)&gt;References!$BO$18,References!$BP$18,
0)))))),"")</f>
        <v/>
      </c>
      <c r="AH457" s="163" t="e">
        <f>VLOOKUP(Data_Geotech[[#This Row],[Field Intact Rock Strength]],Table_RMR76_Strength[],2,FALSE)</f>
        <v>#N/A</v>
      </c>
      <c r="AI457" s="163" t="e">
        <f>IF(Data_Geotech[[#This Row],[RQD (%)]]&lt;=25,3,IF(Data_Geotech[[#This Row],[RQD (%)]]&lt;=50,8,IF(Data_Geotech[[#This Row],[RQD (%)]]&lt;=75,13,IF(Data_Geotech[[#This Row],[RQD (%)]]&lt;=90,17,20))))</f>
        <v>#DIV/0!</v>
      </c>
      <c r="AJ457" s="136">
        <f>IF(Data_Geotech[[#This Row],[Joint spacing (m)]]&lt;=0.05,5,IF(Data_Geotech[[#This Row],[Joint spacing (m)]]&lt;=0.3,10,IF(Data_Geotech[[#This Row],[Joint spacing (m)]]&lt;=1,20,IF(Data_Geotech[[#This Row],[Joint spacing (m)]]&lt;=3,25,30))))</f>
        <v>30</v>
      </c>
      <c r="AK45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7" s="6"/>
      <c r="AM457" s="137" t="str">
        <f>IF(Data_Geotech[[#This Row],[FIRS Code]]="R",IFERROR(SUM(Data_Geotech[[#This Row],[RMR76 - Strength rating]:[RMR76 - Ground water rating]]),""),"")</f>
        <v/>
      </c>
      <c r="AN457" s="164" t="str">
        <f>IF(Data_Geotech[[#This Row],[FIRS Code]]="R",(2*Data_Geotech[[#This Row],[RMR76 - Joint condition rating]])+(IF(Data_Geotech[[#This Row],[RQD (%)]]&gt;80,80/2,Data_Geotech[[#This Row],[RQD (%)]]/2)),"")</f>
        <v/>
      </c>
      <c r="AO457" s="136" t="e">
        <f>LEFT(Data_Geotech[[#This Row],[Joint Set Rating]],FIND("-",Data_Geotech[[#This Row],[Joint Set Rating]],1)-2)</f>
        <v>#VALUE!</v>
      </c>
      <c r="AP45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7" s="143">
        <f t="shared" si="10"/>
        <v>1</v>
      </c>
      <c r="AR457" s="165" t="str">
        <f>IF(Data_Geotech[[#This Row],[FIRS Code]]="R",IFERROR((IF(Data_Geotech[[#This Row],[RQD (%)]]&lt;10,10,Data_Geotech[[#This Row],[RQD (%)]])/Data_Geotech[[#This Row],[Jn rating]])*Data_Geotech[[#This Row],[Jr/Ja]],""),"")</f>
        <v/>
      </c>
      <c r="AS457" s="138" t="str">
        <f>IF(Data_Geotech[[#This Row],[FIRS Code]]="R",IFERROR((IF(Data_Geotech[[#This Row],[RQD (%)]]&lt;10,10,Data_Geotech[[#This Row],[RQD (%)]])/Data_Geotech[[#This Row],[Jn rating]])*Data_Geotech[[#This Row],[Jr/Ja]]*Data_Geotech[[#This Row],[Jw/SRF]],""),"")</f>
        <v/>
      </c>
      <c r="AT457" s="12"/>
      <c r="AU457" s="13" t="e">
        <f>100-Data_Geotech[[#This Row],[RQD (%)]]</f>
        <v>#DIV/0!</v>
      </c>
      <c r="AV457" s="13" t="e">
        <f>100-Data_Geotech[[#This Row],[TCR (%)]]</f>
        <v>#DIV/0!</v>
      </c>
      <c r="AW457" s="62" t="e">
        <f>(Data_Geotech[[#This Row],[Fracture per interval]]+Data_Geotech[[#This Row],[Added fractures 
(BC, FLT, LC)]])/Data_Geotech[[#This Row],[TCR (m)]]</f>
        <v>#DIV/0!</v>
      </c>
      <c r="AX457" s="62" t="str">
        <f>MID(Data_Geotech[[#This Row],[Field Intact Rock Strength]],2,1)</f>
        <v/>
      </c>
      <c r="AY457" s="63" t="e">
        <f>7-MID(Data_Geotech[[#This Row],[Field Intact Rock Strength]],2,1)</f>
        <v>#VALUE!</v>
      </c>
      <c r="AZ457" s="63" t="e">
        <f>VLOOKUP(Data_Geotech[[#This Row],[Field Intact Rock Strength]],Table_FieldStrength[],2,FALSE)</f>
        <v>#N/A</v>
      </c>
      <c r="BA457" s="63" t="e">
        <f>VLOOKUP(Data_Geotech[[#This Row],[Field Intact Rock Strength]],Table_FieldStrength[],3,FALSE)</f>
        <v>#N/A</v>
      </c>
      <c r="BB457" s="63" t="e">
        <f>VLOOKUP(Data_Geotech[[#This Row],[Field Intact Rock Strength]],Table_FieldStrength[],4,FALSE)</f>
        <v>#N/A</v>
      </c>
      <c r="BC457" s="63" t="e">
        <f>100-Data_Geotech[[#This Row],[RMR76]]</f>
        <v>#VALUE!</v>
      </c>
      <c r="BD457" s="63" t="e">
        <f>LEFT(Data_Geotech[[#This Row],[Weathering/Alteration]],FIND("-",Data_Geotech[[#This Row],[Weathering/Alteration]])-2)</f>
        <v>#VALUE!</v>
      </c>
    </row>
    <row r="458" spans="1:56" hidden="1" x14ac:dyDescent="0.25">
      <c r="A458" s="14"/>
      <c r="B458" s="166" t="e">
        <f>VLOOKUP(Data_Geotech[[#This Row],[Hole ID]],Data_Log[],2,FALSE)</f>
        <v>#N/A</v>
      </c>
      <c r="C458" s="5"/>
      <c r="D458" s="5"/>
      <c r="E458" s="5">
        <f>(Data_Geotech[[#This Row],[To (m)]]-Data_Geotech[[#This Row],[From (m)]])/2+Data_Geotech[[#This Row],[From (m)]]</f>
        <v>0</v>
      </c>
      <c r="F458" s="13">
        <f>Data_Geotech[[#This Row],[To (m)]]-Data_Geotech[[#This Row],[From (m)]]</f>
        <v>0</v>
      </c>
      <c r="G458" s="5"/>
      <c r="H458" s="13" t="e">
        <f>Data_Geotech[[#This Row],[TCR (m)]]/Data_Geotech[[#This Row],[Run (m)]]*100</f>
        <v>#DIV/0!</v>
      </c>
      <c r="I458" s="5"/>
      <c r="J458" s="5"/>
      <c r="K458" s="5"/>
      <c r="L458" s="13" t="e">
        <f>Data_Geotech[[#This Row],[RQD (m)]]/Data_Geotech[[#This Row],[Run Reel (m)]]*100</f>
        <v>#DIV/0!</v>
      </c>
      <c r="P458" s="115"/>
      <c r="Q458" s="5"/>
      <c r="R458" s="5"/>
      <c r="S458" s="5"/>
      <c r="T458" s="5"/>
      <c r="U458" s="5"/>
      <c r="V458" s="6"/>
      <c r="W458" s="92">
        <f>SUMIFS(Discontinuities!$D$4:$D$9664,Discontinuities!$A$4:$A$9664,A458,Discontinuities!$C$4:$C$9664,"&gt;="&amp;C458,Discontinuities!$C$4:$C$9664,"&lt;"&amp;D458)
-SUMIFS(Discontinuities!$D$4:$D$9664,Discontinuities!$A$4:$A$9664,A458,Discontinuities!$C$4:$C$9664,"&gt;="&amp;C458,Discontinuities!$C$4:$C$9664,"&lt;"&amp;D458,Discontinuities!$E$4:$E$9664,"=BC")
-SUMIFS(Discontinuities!$D$4:$D$9664,Discontinuities!$A$4:$A$9664,A458,Discontinuities!$C$4:$C$9664,"&gt;="&amp;C458,Discontinuities!$C$4:$C$9664,"&lt;"&amp;D458,Discontinuities!$E$4:$E$9664,"=LC")
-SUMIFS(Discontinuities!$D$4:$D$9664,Discontinuities!$A$4:$A$9664,A458,Discontinuities!$C$4:$C$9664,"&gt;="&amp;C458,Discontinuities!$C$4:$C$9664,"&lt;"&amp;D458,Discontinuities!$E$4:$E$9664,"=FLT")</f>
        <v>0</v>
      </c>
      <c r="AA458" s="132"/>
      <c r="AB458" s="159">
        <f>IFERROR(ROUND((Data_Geotech[[#This Row],[Fault (m)]]+Data_Geotech[[#This Row],[Broken Core (m)]]+Data_Geotech[[#This Row],[Lost Core (m)]])*30,0),0)</f>
        <v>0</v>
      </c>
      <c r="AC458" s="135">
        <f>IF(Data_Geotech[[#This Row],[Added fractures 
(BC, FLT, LC)]]+Data_Geotech[[#This Row],[Fracture per interval]]=0,99,1/((Data_Geotech[[#This Row],[Fracture per interval]]+Data_Geotech[[#This Row],[Added fractures 
(BC, FLT, LC)]])/Data_Geotech[[#This Row],[Run (m)]]))</f>
        <v>99</v>
      </c>
      <c r="AD458" s="160" t="str" cm="1">
        <f t="array" ref="AD458">IFERROR(_xlfn.XLOOKUP(1,(A458=PLT!$A$4:$A$8886)*(Geotech!C458&lt;=PLT!$F$4:$F$8886)*(Geotech!D458&gt;=PLT!$F$4:$F$8886)*("Valid"=PLT!$P$4:$P$8886),PLT!$V$4:$V$8886),"")</f>
        <v/>
      </c>
      <c r="AE458" s="161" t="str" cm="1">
        <f t="array" ref="AE458">IFERROR(_xlfn.XLOOKUP(1,(A458=PLT!$A$4:$A$8886)*(Geotech!C458&lt;=PLT!$F$4:$F$8886)*(Geotech!D458&gt;=PLT!$F$4:$F$8886)*(PLT!$V$4:$V$8886&lt;&gt;AD458)*("Valid"=PLT!$P$4:$P$7190),PLT!$V$4:$V$8886),"")</f>
        <v/>
      </c>
      <c r="AF458" s="161" t="str" cm="1">
        <f t="array" ref="AF458">IFERROR(_xlfn.XLOOKUP(1,(A458=PLT!$A$4:$A$8886)*(Geotech!C458&lt;=PLT!$F$4:$F$8886)*(Geotech!D458&gt;=PLT!$F$4:$F$8886)*(PLT!$V$4:$V$8886&lt;&gt;AD458)*(PLT!$V$4:$V$8886&lt;&gt;AE458)*("Valid"=PLT!$P$4:$P$7190),PLT!$V$4:$V$8886),"")</f>
        <v/>
      </c>
      <c r="AG458" s="162" t="str">
        <f>IFERROR(IF(AVERAGE(AD458:AF458)&gt;References!$BO$23,References!$BP$23,
IF(AVERAGE(AD458:AF458)&gt;References!$BO$22,References!$BP$22,
IF(AVERAGE(AD458:AF458)&gt;References!$BO$21,References!$BP$21,
IF(AVERAGE(AD458:AF458)&gt;References!$BO$20,References!$BP$20,
IF(AVERAGE(AD458:AF458)&gt;References!$BO$19,References!$BP$19,
IF(AVERAGE(AD458:AF458)&gt;References!$BO$18,References!$BP$18,
0)))))),"")</f>
        <v/>
      </c>
      <c r="AH458" s="163" t="e">
        <f>VLOOKUP(Data_Geotech[[#This Row],[Field Intact Rock Strength]],Table_RMR76_Strength[],2,FALSE)</f>
        <v>#N/A</v>
      </c>
      <c r="AI458" s="163" t="e">
        <f>IF(Data_Geotech[[#This Row],[RQD (%)]]&lt;=25,3,IF(Data_Geotech[[#This Row],[RQD (%)]]&lt;=50,8,IF(Data_Geotech[[#This Row],[RQD (%)]]&lt;=75,13,IF(Data_Geotech[[#This Row],[RQD (%)]]&lt;=90,17,20))))</f>
        <v>#DIV/0!</v>
      </c>
      <c r="AJ458" s="136">
        <f>IF(Data_Geotech[[#This Row],[Joint spacing (m)]]&lt;=0.05,5,IF(Data_Geotech[[#This Row],[Joint spacing (m)]]&lt;=0.3,10,IF(Data_Geotech[[#This Row],[Joint spacing (m)]]&lt;=1,20,IF(Data_Geotech[[#This Row],[Joint spacing (m)]]&lt;=3,25,30))))</f>
        <v>30</v>
      </c>
      <c r="AK45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8" s="6"/>
      <c r="AM458" s="137" t="str">
        <f>IF(Data_Geotech[[#This Row],[FIRS Code]]="R",IFERROR(SUM(Data_Geotech[[#This Row],[RMR76 - Strength rating]:[RMR76 - Ground water rating]]),""),"")</f>
        <v/>
      </c>
      <c r="AN458" s="164" t="str">
        <f>IF(Data_Geotech[[#This Row],[FIRS Code]]="R",(2*Data_Geotech[[#This Row],[RMR76 - Joint condition rating]])+(IF(Data_Geotech[[#This Row],[RQD (%)]]&gt;80,80/2,Data_Geotech[[#This Row],[RQD (%)]]/2)),"")</f>
        <v/>
      </c>
      <c r="AO458" s="136" t="e">
        <f>LEFT(Data_Geotech[[#This Row],[Joint Set Rating]],FIND("-",Data_Geotech[[#This Row],[Joint Set Rating]],1)-2)</f>
        <v>#VALUE!</v>
      </c>
      <c r="AP45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8" s="143">
        <f t="shared" si="10"/>
        <v>1</v>
      </c>
      <c r="AR458" s="165" t="str">
        <f>IF(Data_Geotech[[#This Row],[FIRS Code]]="R",IFERROR((IF(Data_Geotech[[#This Row],[RQD (%)]]&lt;10,10,Data_Geotech[[#This Row],[RQD (%)]])/Data_Geotech[[#This Row],[Jn rating]])*Data_Geotech[[#This Row],[Jr/Ja]],""),"")</f>
        <v/>
      </c>
      <c r="AS458" s="138" t="str">
        <f>IF(Data_Geotech[[#This Row],[FIRS Code]]="R",IFERROR((IF(Data_Geotech[[#This Row],[RQD (%)]]&lt;10,10,Data_Geotech[[#This Row],[RQD (%)]])/Data_Geotech[[#This Row],[Jn rating]])*Data_Geotech[[#This Row],[Jr/Ja]]*Data_Geotech[[#This Row],[Jw/SRF]],""),"")</f>
        <v/>
      </c>
      <c r="AT458" s="12"/>
      <c r="AU458" s="13" t="e">
        <f>100-Data_Geotech[[#This Row],[RQD (%)]]</f>
        <v>#DIV/0!</v>
      </c>
      <c r="AV458" s="13" t="e">
        <f>100-Data_Geotech[[#This Row],[TCR (%)]]</f>
        <v>#DIV/0!</v>
      </c>
      <c r="AW458" s="62" t="e">
        <f>(Data_Geotech[[#This Row],[Fracture per interval]]+Data_Geotech[[#This Row],[Added fractures 
(BC, FLT, LC)]])/Data_Geotech[[#This Row],[TCR (m)]]</f>
        <v>#DIV/0!</v>
      </c>
      <c r="AX458" s="62" t="str">
        <f>MID(Data_Geotech[[#This Row],[Field Intact Rock Strength]],2,1)</f>
        <v/>
      </c>
      <c r="AY458" s="63" t="e">
        <f>7-MID(Data_Geotech[[#This Row],[Field Intact Rock Strength]],2,1)</f>
        <v>#VALUE!</v>
      </c>
      <c r="AZ458" s="63" t="e">
        <f>VLOOKUP(Data_Geotech[[#This Row],[Field Intact Rock Strength]],Table_FieldStrength[],2,FALSE)</f>
        <v>#N/A</v>
      </c>
      <c r="BA458" s="63" t="e">
        <f>VLOOKUP(Data_Geotech[[#This Row],[Field Intact Rock Strength]],Table_FieldStrength[],3,FALSE)</f>
        <v>#N/A</v>
      </c>
      <c r="BB458" s="63" t="e">
        <f>VLOOKUP(Data_Geotech[[#This Row],[Field Intact Rock Strength]],Table_FieldStrength[],4,FALSE)</f>
        <v>#N/A</v>
      </c>
      <c r="BC458" s="63" t="e">
        <f>100-Data_Geotech[[#This Row],[RMR76]]</f>
        <v>#VALUE!</v>
      </c>
      <c r="BD458" s="63" t="e">
        <f>LEFT(Data_Geotech[[#This Row],[Weathering/Alteration]],FIND("-",Data_Geotech[[#This Row],[Weathering/Alteration]])-2)</f>
        <v>#VALUE!</v>
      </c>
    </row>
    <row r="459" spans="1:56" hidden="1" x14ac:dyDescent="0.25">
      <c r="A459" s="14"/>
      <c r="B459" s="166" t="e">
        <f>VLOOKUP(Data_Geotech[[#This Row],[Hole ID]],Data_Log[],2,FALSE)</f>
        <v>#N/A</v>
      </c>
      <c r="C459" s="5"/>
      <c r="D459" s="5"/>
      <c r="E459" s="5">
        <f>(Data_Geotech[[#This Row],[To (m)]]-Data_Geotech[[#This Row],[From (m)]])/2+Data_Geotech[[#This Row],[From (m)]]</f>
        <v>0</v>
      </c>
      <c r="F459" s="13">
        <f>Data_Geotech[[#This Row],[To (m)]]-Data_Geotech[[#This Row],[From (m)]]</f>
        <v>0</v>
      </c>
      <c r="G459" s="5"/>
      <c r="H459" s="13" t="e">
        <f>Data_Geotech[[#This Row],[TCR (m)]]/Data_Geotech[[#This Row],[Run (m)]]*100</f>
        <v>#DIV/0!</v>
      </c>
      <c r="I459" s="5"/>
      <c r="J459" s="5"/>
      <c r="K459" s="5"/>
      <c r="L459" s="13" t="e">
        <f>Data_Geotech[[#This Row],[RQD (m)]]/Data_Geotech[[#This Row],[Run Reel (m)]]*100</f>
        <v>#DIV/0!</v>
      </c>
      <c r="P459" s="115"/>
      <c r="Q459" s="5"/>
      <c r="R459" s="5"/>
      <c r="S459" s="5"/>
      <c r="T459" s="5"/>
      <c r="U459" s="5"/>
      <c r="V459" s="6"/>
      <c r="W459" s="92">
        <f>SUMIFS(Discontinuities!$D$4:$D$9664,Discontinuities!$A$4:$A$9664,A459,Discontinuities!$C$4:$C$9664,"&gt;="&amp;C459,Discontinuities!$C$4:$C$9664,"&lt;"&amp;D459)
-SUMIFS(Discontinuities!$D$4:$D$9664,Discontinuities!$A$4:$A$9664,A459,Discontinuities!$C$4:$C$9664,"&gt;="&amp;C459,Discontinuities!$C$4:$C$9664,"&lt;"&amp;D459,Discontinuities!$E$4:$E$9664,"=BC")
-SUMIFS(Discontinuities!$D$4:$D$9664,Discontinuities!$A$4:$A$9664,A459,Discontinuities!$C$4:$C$9664,"&gt;="&amp;C459,Discontinuities!$C$4:$C$9664,"&lt;"&amp;D459,Discontinuities!$E$4:$E$9664,"=LC")
-SUMIFS(Discontinuities!$D$4:$D$9664,Discontinuities!$A$4:$A$9664,A459,Discontinuities!$C$4:$C$9664,"&gt;="&amp;C459,Discontinuities!$C$4:$C$9664,"&lt;"&amp;D459,Discontinuities!$E$4:$E$9664,"=FLT")</f>
        <v>0</v>
      </c>
      <c r="AA459" s="132"/>
      <c r="AB459" s="159">
        <f>IFERROR(ROUND((Data_Geotech[[#This Row],[Fault (m)]]+Data_Geotech[[#This Row],[Broken Core (m)]]+Data_Geotech[[#This Row],[Lost Core (m)]])*30,0),0)</f>
        <v>0</v>
      </c>
      <c r="AC459" s="135">
        <f>IF(Data_Geotech[[#This Row],[Added fractures 
(BC, FLT, LC)]]+Data_Geotech[[#This Row],[Fracture per interval]]=0,99,1/((Data_Geotech[[#This Row],[Fracture per interval]]+Data_Geotech[[#This Row],[Added fractures 
(BC, FLT, LC)]])/Data_Geotech[[#This Row],[Run (m)]]))</f>
        <v>99</v>
      </c>
      <c r="AD459" s="160" t="str" cm="1">
        <f t="array" ref="AD459">IFERROR(_xlfn.XLOOKUP(1,(A459=PLT!$A$4:$A$8886)*(Geotech!C459&lt;=PLT!$F$4:$F$8886)*(Geotech!D459&gt;=PLT!$F$4:$F$8886)*("Valid"=PLT!$P$4:$P$8886),PLT!$V$4:$V$8886),"")</f>
        <v/>
      </c>
      <c r="AE459" s="161" t="str" cm="1">
        <f t="array" ref="AE459">IFERROR(_xlfn.XLOOKUP(1,(A459=PLT!$A$4:$A$8886)*(Geotech!C459&lt;=PLT!$F$4:$F$8886)*(Geotech!D459&gt;=PLT!$F$4:$F$8886)*(PLT!$V$4:$V$8886&lt;&gt;AD459)*("Valid"=PLT!$P$4:$P$7190),PLT!$V$4:$V$8886),"")</f>
        <v/>
      </c>
      <c r="AF459" s="161" t="str" cm="1">
        <f t="array" ref="AF459">IFERROR(_xlfn.XLOOKUP(1,(A459=PLT!$A$4:$A$8886)*(Geotech!C459&lt;=PLT!$F$4:$F$8886)*(Geotech!D459&gt;=PLT!$F$4:$F$8886)*(PLT!$V$4:$V$8886&lt;&gt;AD459)*(PLT!$V$4:$V$8886&lt;&gt;AE459)*("Valid"=PLT!$P$4:$P$7190),PLT!$V$4:$V$8886),"")</f>
        <v/>
      </c>
      <c r="AG459" s="162" t="str">
        <f>IFERROR(IF(AVERAGE(AD459:AF459)&gt;References!$BO$23,References!$BP$23,
IF(AVERAGE(AD459:AF459)&gt;References!$BO$22,References!$BP$22,
IF(AVERAGE(AD459:AF459)&gt;References!$BO$21,References!$BP$21,
IF(AVERAGE(AD459:AF459)&gt;References!$BO$20,References!$BP$20,
IF(AVERAGE(AD459:AF459)&gt;References!$BO$19,References!$BP$19,
IF(AVERAGE(AD459:AF459)&gt;References!$BO$18,References!$BP$18,
0)))))),"")</f>
        <v/>
      </c>
      <c r="AH459" s="163" t="e">
        <f>VLOOKUP(Data_Geotech[[#This Row],[Field Intact Rock Strength]],Table_RMR76_Strength[],2,FALSE)</f>
        <v>#N/A</v>
      </c>
      <c r="AI459" s="163" t="e">
        <f>IF(Data_Geotech[[#This Row],[RQD (%)]]&lt;=25,3,IF(Data_Geotech[[#This Row],[RQD (%)]]&lt;=50,8,IF(Data_Geotech[[#This Row],[RQD (%)]]&lt;=75,13,IF(Data_Geotech[[#This Row],[RQD (%)]]&lt;=90,17,20))))</f>
        <v>#DIV/0!</v>
      </c>
      <c r="AJ459" s="136">
        <f>IF(Data_Geotech[[#This Row],[Joint spacing (m)]]&lt;=0.05,5,IF(Data_Geotech[[#This Row],[Joint spacing (m)]]&lt;=0.3,10,IF(Data_Geotech[[#This Row],[Joint spacing (m)]]&lt;=1,20,IF(Data_Geotech[[#This Row],[Joint spacing (m)]]&lt;=3,25,30))))</f>
        <v>30</v>
      </c>
      <c r="AK45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59" s="6"/>
      <c r="AM459" s="137" t="str">
        <f>IF(Data_Geotech[[#This Row],[FIRS Code]]="R",IFERROR(SUM(Data_Geotech[[#This Row],[RMR76 - Strength rating]:[RMR76 - Ground water rating]]),""),"")</f>
        <v/>
      </c>
      <c r="AN459" s="164" t="str">
        <f>IF(Data_Geotech[[#This Row],[FIRS Code]]="R",(2*Data_Geotech[[#This Row],[RMR76 - Joint condition rating]])+(IF(Data_Geotech[[#This Row],[RQD (%)]]&gt;80,80/2,Data_Geotech[[#This Row],[RQD (%)]]/2)),"")</f>
        <v/>
      </c>
      <c r="AO459" s="136" t="e">
        <f>LEFT(Data_Geotech[[#This Row],[Joint Set Rating]],FIND("-",Data_Geotech[[#This Row],[Joint Set Rating]],1)-2)</f>
        <v>#VALUE!</v>
      </c>
      <c r="AP45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59" s="143">
        <f t="shared" ref="AQ459:AQ490" si="11">1/1</f>
        <v>1</v>
      </c>
      <c r="AR459" s="165" t="str">
        <f>IF(Data_Geotech[[#This Row],[FIRS Code]]="R",IFERROR((IF(Data_Geotech[[#This Row],[RQD (%)]]&lt;10,10,Data_Geotech[[#This Row],[RQD (%)]])/Data_Geotech[[#This Row],[Jn rating]])*Data_Geotech[[#This Row],[Jr/Ja]],""),"")</f>
        <v/>
      </c>
      <c r="AS459" s="138" t="str">
        <f>IF(Data_Geotech[[#This Row],[FIRS Code]]="R",IFERROR((IF(Data_Geotech[[#This Row],[RQD (%)]]&lt;10,10,Data_Geotech[[#This Row],[RQD (%)]])/Data_Geotech[[#This Row],[Jn rating]])*Data_Geotech[[#This Row],[Jr/Ja]]*Data_Geotech[[#This Row],[Jw/SRF]],""),"")</f>
        <v/>
      </c>
      <c r="AT459" s="12"/>
      <c r="AU459" s="13" t="e">
        <f>100-Data_Geotech[[#This Row],[RQD (%)]]</f>
        <v>#DIV/0!</v>
      </c>
      <c r="AV459" s="13" t="e">
        <f>100-Data_Geotech[[#This Row],[TCR (%)]]</f>
        <v>#DIV/0!</v>
      </c>
      <c r="AW459" s="62" t="e">
        <f>(Data_Geotech[[#This Row],[Fracture per interval]]+Data_Geotech[[#This Row],[Added fractures 
(BC, FLT, LC)]])/Data_Geotech[[#This Row],[TCR (m)]]</f>
        <v>#DIV/0!</v>
      </c>
      <c r="AX459" s="62" t="str">
        <f>MID(Data_Geotech[[#This Row],[Field Intact Rock Strength]],2,1)</f>
        <v/>
      </c>
      <c r="AY459" s="63" t="e">
        <f>7-MID(Data_Geotech[[#This Row],[Field Intact Rock Strength]],2,1)</f>
        <v>#VALUE!</v>
      </c>
      <c r="AZ459" s="63" t="e">
        <f>VLOOKUP(Data_Geotech[[#This Row],[Field Intact Rock Strength]],Table_FieldStrength[],2,FALSE)</f>
        <v>#N/A</v>
      </c>
      <c r="BA459" s="63" t="e">
        <f>VLOOKUP(Data_Geotech[[#This Row],[Field Intact Rock Strength]],Table_FieldStrength[],3,FALSE)</f>
        <v>#N/A</v>
      </c>
      <c r="BB459" s="63" t="e">
        <f>VLOOKUP(Data_Geotech[[#This Row],[Field Intact Rock Strength]],Table_FieldStrength[],4,FALSE)</f>
        <v>#N/A</v>
      </c>
      <c r="BC459" s="63" t="e">
        <f>100-Data_Geotech[[#This Row],[RMR76]]</f>
        <v>#VALUE!</v>
      </c>
      <c r="BD459" s="63" t="e">
        <f>LEFT(Data_Geotech[[#This Row],[Weathering/Alteration]],FIND("-",Data_Geotech[[#This Row],[Weathering/Alteration]])-2)</f>
        <v>#VALUE!</v>
      </c>
    </row>
    <row r="460" spans="1:56" hidden="1" x14ac:dyDescent="0.25">
      <c r="A460" s="14"/>
      <c r="B460" s="166" t="e">
        <f>VLOOKUP(Data_Geotech[[#This Row],[Hole ID]],Data_Log[],2,FALSE)</f>
        <v>#N/A</v>
      </c>
      <c r="C460" s="5"/>
      <c r="D460" s="5"/>
      <c r="E460" s="5">
        <f>(Data_Geotech[[#This Row],[To (m)]]-Data_Geotech[[#This Row],[From (m)]])/2+Data_Geotech[[#This Row],[From (m)]]</f>
        <v>0</v>
      </c>
      <c r="F460" s="13">
        <f>Data_Geotech[[#This Row],[To (m)]]-Data_Geotech[[#This Row],[From (m)]]</f>
        <v>0</v>
      </c>
      <c r="G460" s="5"/>
      <c r="H460" s="13" t="e">
        <f>Data_Geotech[[#This Row],[TCR (m)]]/Data_Geotech[[#This Row],[Run (m)]]*100</f>
        <v>#DIV/0!</v>
      </c>
      <c r="I460" s="5"/>
      <c r="J460" s="5"/>
      <c r="K460" s="5"/>
      <c r="L460" s="13" t="e">
        <f>Data_Geotech[[#This Row],[RQD (m)]]/Data_Geotech[[#This Row],[Run Reel (m)]]*100</f>
        <v>#DIV/0!</v>
      </c>
      <c r="P460" s="115"/>
      <c r="Q460" s="5"/>
      <c r="R460" s="5"/>
      <c r="S460" s="5"/>
      <c r="T460" s="5"/>
      <c r="U460" s="5"/>
      <c r="V460" s="6"/>
      <c r="W460" s="92">
        <f>SUMIFS(Discontinuities!$D$4:$D$9664,Discontinuities!$A$4:$A$9664,A460,Discontinuities!$C$4:$C$9664,"&gt;="&amp;C460,Discontinuities!$C$4:$C$9664,"&lt;"&amp;D460)
-SUMIFS(Discontinuities!$D$4:$D$9664,Discontinuities!$A$4:$A$9664,A460,Discontinuities!$C$4:$C$9664,"&gt;="&amp;C460,Discontinuities!$C$4:$C$9664,"&lt;"&amp;D460,Discontinuities!$E$4:$E$9664,"=BC")
-SUMIFS(Discontinuities!$D$4:$D$9664,Discontinuities!$A$4:$A$9664,A460,Discontinuities!$C$4:$C$9664,"&gt;="&amp;C460,Discontinuities!$C$4:$C$9664,"&lt;"&amp;D460,Discontinuities!$E$4:$E$9664,"=LC")
-SUMIFS(Discontinuities!$D$4:$D$9664,Discontinuities!$A$4:$A$9664,A460,Discontinuities!$C$4:$C$9664,"&gt;="&amp;C460,Discontinuities!$C$4:$C$9664,"&lt;"&amp;D460,Discontinuities!$E$4:$E$9664,"=FLT")</f>
        <v>0</v>
      </c>
      <c r="AA460" s="132"/>
      <c r="AB460" s="159">
        <f>IFERROR(ROUND((Data_Geotech[[#This Row],[Fault (m)]]+Data_Geotech[[#This Row],[Broken Core (m)]]+Data_Geotech[[#This Row],[Lost Core (m)]])*30,0),0)</f>
        <v>0</v>
      </c>
      <c r="AC460" s="135">
        <f>IF(Data_Geotech[[#This Row],[Added fractures 
(BC, FLT, LC)]]+Data_Geotech[[#This Row],[Fracture per interval]]=0,99,1/((Data_Geotech[[#This Row],[Fracture per interval]]+Data_Geotech[[#This Row],[Added fractures 
(BC, FLT, LC)]])/Data_Geotech[[#This Row],[Run (m)]]))</f>
        <v>99</v>
      </c>
      <c r="AD460" s="160" t="str" cm="1">
        <f t="array" ref="AD460">IFERROR(_xlfn.XLOOKUP(1,(A460=PLT!$A$4:$A$8886)*(Geotech!C460&lt;=PLT!$F$4:$F$8886)*(Geotech!D460&gt;=PLT!$F$4:$F$8886)*("Valid"=PLT!$P$4:$P$8886),PLT!$V$4:$V$8886),"")</f>
        <v/>
      </c>
      <c r="AE460" s="161" t="str" cm="1">
        <f t="array" ref="AE460">IFERROR(_xlfn.XLOOKUP(1,(A460=PLT!$A$4:$A$8886)*(Geotech!C460&lt;=PLT!$F$4:$F$8886)*(Geotech!D460&gt;=PLT!$F$4:$F$8886)*(PLT!$V$4:$V$8886&lt;&gt;AD460)*("Valid"=PLT!$P$4:$P$7190),PLT!$V$4:$V$8886),"")</f>
        <v/>
      </c>
      <c r="AF460" s="161" t="str" cm="1">
        <f t="array" ref="AF460">IFERROR(_xlfn.XLOOKUP(1,(A460=PLT!$A$4:$A$8886)*(Geotech!C460&lt;=PLT!$F$4:$F$8886)*(Geotech!D460&gt;=PLT!$F$4:$F$8886)*(PLT!$V$4:$V$8886&lt;&gt;AD460)*(PLT!$V$4:$V$8886&lt;&gt;AE460)*("Valid"=PLT!$P$4:$P$7190),PLT!$V$4:$V$8886),"")</f>
        <v/>
      </c>
      <c r="AG460" s="162" t="str">
        <f>IFERROR(IF(AVERAGE(AD460:AF460)&gt;References!$BO$23,References!$BP$23,
IF(AVERAGE(AD460:AF460)&gt;References!$BO$22,References!$BP$22,
IF(AVERAGE(AD460:AF460)&gt;References!$BO$21,References!$BP$21,
IF(AVERAGE(AD460:AF460)&gt;References!$BO$20,References!$BP$20,
IF(AVERAGE(AD460:AF460)&gt;References!$BO$19,References!$BP$19,
IF(AVERAGE(AD460:AF460)&gt;References!$BO$18,References!$BP$18,
0)))))),"")</f>
        <v/>
      </c>
      <c r="AH460" s="163" t="e">
        <f>VLOOKUP(Data_Geotech[[#This Row],[Field Intact Rock Strength]],Table_RMR76_Strength[],2,FALSE)</f>
        <v>#N/A</v>
      </c>
      <c r="AI460" s="163" t="e">
        <f>IF(Data_Geotech[[#This Row],[RQD (%)]]&lt;=25,3,IF(Data_Geotech[[#This Row],[RQD (%)]]&lt;=50,8,IF(Data_Geotech[[#This Row],[RQD (%)]]&lt;=75,13,IF(Data_Geotech[[#This Row],[RQD (%)]]&lt;=90,17,20))))</f>
        <v>#DIV/0!</v>
      </c>
      <c r="AJ460" s="136">
        <f>IF(Data_Geotech[[#This Row],[Joint spacing (m)]]&lt;=0.05,5,IF(Data_Geotech[[#This Row],[Joint spacing (m)]]&lt;=0.3,10,IF(Data_Geotech[[#This Row],[Joint spacing (m)]]&lt;=1,20,IF(Data_Geotech[[#This Row],[Joint spacing (m)]]&lt;=3,25,30))))</f>
        <v>30</v>
      </c>
      <c r="AK46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0" s="6"/>
      <c r="AM460" s="137" t="str">
        <f>IF(Data_Geotech[[#This Row],[FIRS Code]]="R",IFERROR(SUM(Data_Geotech[[#This Row],[RMR76 - Strength rating]:[RMR76 - Ground water rating]]),""),"")</f>
        <v/>
      </c>
      <c r="AN460" s="164" t="str">
        <f>IF(Data_Geotech[[#This Row],[FIRS Code]]="R",(2*Data_Geotech[[#This Row],[RMR76 - Joint condition rating]])+(IF(Data_Geotech[[#This Row],[RQD (%)]]&gt;80,80/2,Data_Geotech[[#This Row],[RQD (%)]]/2)),"")</f>
        <v/>
      </c>
      <c r="AO460" s="136" t="e">
        <f>LEFT(Data_Geotech[[#This Row],[Joint Set Rating]],FIND("-",Data_Geotech[[#This Row],[Joint Set Rating]],1)-2)</f>
        <v>#VALUE!</v>
      </c>
      <c r="AP46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0" s="143">
        <f t="shared" si="11"/>
        <v>1</v>
      </c>
      <c r="AR460" s="165" t="str">
        <f>IF(Data_Geotech[[#This Row],[FIRS Code]]="R",IFERROR((IF(Data_Geotech[[#This Row],[RQD (%)]]&lt;10,10,Data_Geotech[[#This Row],[RQD (%)]])/Data_Geotech[[#This Row],[Jn rating]])*Data_Geotech[[#This Row],[Jr/Ja]],""),"")</f>
        <v/>
      </c>
      <c r="AS460" s="138" t="str">
        <f>IF(Data_Geotech[[#This Row],[FIRS Code]]="R",IFERROR((IF(Data_Geotech[[#This Row],[RQD (%)]]&lt;10,10,Data_Geotech[[#This Row],[RQD (%)]])/Data_Geotech[[#This Row],[Jn rating]])*Data_Geotech[[#This Row],[Jr/Ja]]*Data_Geotech[[#This Row],[Jw/SRF]],""),"")</f>
        <v/>
      </c>
      <c r="AT460" s="12"/>
      <c r="AU460" s="13" t="e">
        <f>100-Data_Geotech[[#This Row],[RQD (%)]]</f>
        <v>#DIV/0!</v>
      </c>
      <c r="AV460" s="13" t="e">
        <f>100-Data_Geotech[[#This Row],[TCR (%)]]</f>
        <v>#DIV/0!</v>
      </c>
      <c r="AW460" s="62" t="e">
        <f>(Data_Geotech[[#This Row],[Fracture per interval]]+Data_Geotech[[#This Row],[Added fractures 
(BC, FLT, LC)]])/Data_Geotech[[#This Row],[TCR (m)]]</f>
        <v>#DIV/0!</v>
      </c>
      <c r="AX460" s="62" t="str">
        <f>MID(Data_Geotech[[#This Row],[Field Intact Rock Strength]],2,1)</f>
        <v/>
      </c>
      <c r="AY460" s="63" t="e">
        <f>7-MID(Data_Geotech[[#This Row],[Field Intact Rock Strength]],2,1)</f>
        <v>#VALUE!</v>
      </c>
      <c r="AZ460" s="63" t="e">
        <f>VLOOKUP(Data_Geotech[[#This Row],[Field Intact Rock Strength]],Table_FieldStrength[],2,FALSE)</f>
        <v>#N/A</v>
      </c>
      <c r="BA460" s="63" t="e">
        <f>VLOOKUP(Data_Geotech[[#This Row],[Field Intact Rock Strength]],Table_FieldStrength[],3,FALSE)</f>
        <v>#N/A</v>
      </c>
      <c r="BB460" s="63" t="e">
        <f>VLOOKUP(Data_Geotech[[#This Row],[Field Intact Rock Strength]],Table_FieldStrength[],4,FALSE)</f>
        <v>#N/A</v>
      </c>
      <c r="BC460" s="63" t="e">
        <f>100-Data_Geotech[[#This Row],[RMR76]]</f>
        <v>#VALUE!</v>
      </c>
      <c r="BD460" s="63" t="e">
        <f>LEFT(Data_Geotech[[#This Row],[Weathering/Alteration]],FIND("-",Data_Geotech[[#This Row],[Weathering/Alteration]])-2)</f>
        <v>#VALUE!</v>
      </c>
    </row>
    <row r="461" spans="1:56" hidden="1" x14ac:dyDescent="0.25">
      <c r="A461" s="14"/>
      <c r="B461" s="166" t="e">
        <f>VLOOKUP(Data_Geotech[[#This Row],[Hole ID]],Data_Log[],2,FALSE)</f>
        <v>#N/A</v>
      </c>
      <c r="C461" s="5"/>
      <c r="D461" s="5"/>
      <c r="E461" s="5">
        <f>(Data_Geotech[[#This Row],[To (m)]]-Data_Geotech[[#This Row],[From (m)]])/2+Data_Geotech[[#This Row],[From (m)]]</f>
        <v>0</v>
      </c>
      <c r="F461" s="13">
        <f>Data_Geotech[[#This Row],[To (m)]]-Data_Geotech[[#This Row],[From (m)]]</f>
        <v>0</v>
      </c>
      <c r="G461" s="5"/>
      <c r="H461" s="13" t="e">
        <f>Data_Geotech[[#This Row],[TCR (m)]]/Data_Geotech[[#This Row],[Run (m)]]*100</f>
        <v>#DIV/0!</v>
      </c>
      <c r="I461" s="5"/>
      <c r="J461" s="5"/>
      <c r="K461" s="5"/>
      <c r="L461" s="13" t="e">
        <f>Data_Geotech[[#This Row],[RQD (m)]]/Data_Geotech[[#This Row],[Run Reel (m)]]*100</f>
        <v>#DIV/0!</v>
      </c>
      <c r="P461" s="115"/>
      <c r="Q461" s="5"/>
      <c r="R461" s="5"/>
      <c r="S461" s="5"/>
      <c r="T461" s="5"/>
      <c r="U461" s="5"/>
      <c r="V461" s="6"/>
      <c r="W461" s="92">
        <f>SUMIFS(Discontinuities!$D$4:$D$9664,Discontinuities!$A$4:$A$9664,A461,Discontinuities!$C$4:$C$9664,"&gt;="&amp;C461,Discontinuities!$C$4:$C$9664,"&lt;"&amp;D461)
-SUMIFS(Discontinuities!$D$4:$D$9664,Discontinuities!$A$4:$A$9664,A461,Discontinuities!$C$4:$C$9664,"&gt;="&amp;C461,Discontinuities!$C$4:$C$9664,"&lt;"&amp;D461,Discontinuities!$E$4:$E$9664,"=BC")
-SUMIFS(Discontinuities!$D$4:$D$9664,Discontinuities!$A$4:$A$9664,A461,Discontinuities!$C$4:$C$9664,"&gt;="&amp;C461,Discontinuities!$C$4:$C$9664,"&lt;"&amp;D461,Discontinuities!$E$4:$E$9664,"=LC")
-SUMIFS(Discontinuities!$D$4:$D$9664,Discontinuities!$A$4:$A$9664,A461,Discontinuities!$C$4:$C$9664,"&gt;="&amp;C461,Discontinuities!$C$4:$C$9664,"&lt;"&amp;D461,Discontinuities!$E$4:$E$9664,"=FLT")</f>
        <v>0</v>
      </c>
      <c r="AA461" s="132"/>
      <c r="AB461" s="159">
        <f>IFERROR(ROUND((Data_Geotech[[#This Row],[Fault (m)]]+Data_Geotech[[#This Row],[Broken Core (m)]]+Data_Geotech[[#This Row],[Lost Core (m)]])*30,0),0)</f>
        <v>0</v>
      </c>
      <c r="AC461" s="135">
        <f>IF(Data_Geotech[[#This Row],[Added fractures 
(BC, FLT, LC)]]+Data_Geotech[[#This Row],[Fracture per interval]]=0,99,1/((Data_Geotech[[#This Row],[Fracture per interval]]+Data_Geotech[[#This Row],[Added fractures 
(BC, FLT, LC)]])/Data_Geotech[[#This Row],[Run (m)]]))</f>
        <v>99</v>
      </c>
      <c r="AD461" s="160" t="str" cm="1">
        <f t="array" ref="AD461">IFERROR(_xlfn.XLOOKUP(1,(A461=PLT!$A$4:$A$8886)*(Geotech!C461&lt;=PLT!$F$4:$F$8886)*(Geotech!D461&gt;=PLT!$F$4:$F$8886)*("Valid"=PLT!$P$4:$P$8886),PLT!$V$4:$V$8886),"")</f>
        <v/>
      </c>
      <c r="AE461" s="161" t="str" cm="1">
        <f t="array" ref="AE461">IFERROR(_xlfn.XLOOKUP(1,(A461=PLT!$A$4:$A$8886)*(Geotech!C461&lt;=PLT!$F$4:$F$8886)*(Geotech!D461&gt;=PLT!$F$4:$F$8886)*(PLT!$V$4:$V$8886&lt;&gt;AD461)*("Valid"=PLT!$P$4:$P$7190),PLT!$V$4:$V$8886),"")</f>
        <v/>
      </c>
      <c r="AF461" s="161" t="str" cm="1">
        <f t="array" ref="AF461">IFERROR(_xlfn.XLOOKUP(1,(A461=PLT!$A$4:$A$8886)*(Geotech!C461&lt;=PLT!$F$4:$F$8886)*(Geotech!D461&gt;=PLT!$F$4:$F$8886)*(PLT!$V$4:$V$8886&lt;&gt;AD461)*(PLT!$V$4:$V$8886&lt;&gt;AE461)*("Valid"=PLT!$P$4:$P$7190),PLT!$V$4:$V$8886),"")</f>
        <v/>
      </c>
      <c r="AG461" s="162" t="str">
        <f>IFERROR(IF(AVERAGE(AD461:AF461)&gt;References!$BO$23,References!$BP$23,
IF(AVERAGE(AD461:AF461)&gt;References!$BO$22,References!$BP$22,
IF(AVERAGE(AD461:AF461)&gt;References!$BO$21,References!$BP$21,
IF(AVERAGE(AD461:AF461)&gt;References!$BO$20,References!$BP$20,
IF(AVERAGE(AD461:AF461)&gt;References!$BO$19,References!$BP$19,
IF(AVERAGE(AD461:AF461)&gt;References!$BO$18,References!$BP$18,
0)))))),"")</f>
        <v/>
      </c>
      <c r="AH461" s="163" t="e">
        <f>VLOOKUP(Data_Geotech[[#This Row],[Field Intact Rock Strength]],Table_RMR76_Strength[],2,FALSE)</f>
        <v>#N/A</v>
      </c>
      <c r="AI461" s="163" t="e">
        <f>IF(Data_Geotech[[#This Row],[RQD (%)]]&lt;=25,3,IF(Data_Geotech[[#This Row],[RQD (%)]]&lt;=50,8,IF(Data_Geotech[[#This Row],[RQD (%)]]&lt;=75,13,IF(Data_Geotech[[#This Row],[RQD (%)]]&lt;=90,17,20))))</f>
        <v>#DIV/0!</v>
      </c>
      <c r="AJ461" s="136">
        <f>IF(Data_Geotech[[#This Row],[Joint spacing (m)]]&lt;=0.05,5,IF(Data_Geotech[[#This Row],[Joint spacing (m)]]&lt;=0.3,10,IF(Data_Geotech[[#This Row],[Joint spacing (m)]]&lt;=1,20,IF(Data_Geotech[[#This Row],[Joint spacing (m)]]&lt;=3,25,30))))</f>
        <v>30</v>
      </c>
      <c r="AK46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1" s="6"/>
      <c r="AM461" s="137" t="str">
        <f>IF(Data_Geotech[[#This Row],[FIRS Code]]="R",IFERROR(SUM(Data_Geotech[[#This Row],[RMR76 - Strength rating]:[RMR76 - Ground water rating]]),""),"")</f>
        <v/>
      </c>
      <c r="AN461" s="164" t="str">
        <f>IF(Data_Geotech[[#This Row],[FIRS Code]]="R",(2*Data_Geotech[[#This Row],[RMR76 - Joint condition rating]])+(IF(Data_Geotech[[#This Row],[RQD (%)]]&gt;80,80/2,Data_Geotech[[#This Row],[RQD (%)]]/2)),"")</f>
        <v/>
      </c>
      <c r="AO461" s="136" t="e">
        <f>LEFT(Data_Geotech[[#This Row],[Joint Set Rating]],FIND("-",Data_Geotech[[#This Row],[Joint Set Rating]],1)-2)</f>
        <v>#VALUE!</v>
      </c>
      <c r="AP46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1" s="143">
        <f t="shared" si="11"/>
        <v>1</v>
      </c>
      <c r="AR461" s="165" t="str">
        <f>IF(Data_Geotech[[#This Row],[FIRS Code]]="R",IFERROR((IF(Data_Geotech[[#This Row],[RQD (%)]]&lt;10,10,Data_Geotech[[#This Row],[RQD (%)]])/Data_Geotech[[#This Row],[Jn rating]])*Data_Geotech[[#This Row],[Jr/Ja]],""),"")</f>
        <v/>
      </c>
      <c r="AS461" s="138" t="str">
        <f>IF(Data_Geotech[[#This Row],[FIRS Code]]="R",IFERROR((IF(Data_Geotech[[#This Row],[RQD (%)]]&lt;10,10,Data_Geotech[[#This Row],[RQD (%)]])/Data_Geotech[[#This Row],[Jn rating]])*Data_Geotech[[#This Row],[Jr/Ja]]*Data_Geotech[[#This Row],[Jw/SRF]],""),"")</f>
        <v/>
      </c>
      <c r="AT461" s="12"/>
      <c r="AU461" s="13" t="e">
        <f>100-Data_Geotech[[#This Row],[RQD (%)]]</f>
        <v>#DIV/0!</v>
      </c>
      <c r="AV461" s="13" t="e">
        <f>100-Data_Geotech[[#This Row],[TCR (%)]]</f>
        <v>#DIV/0!</v>
      </c>
      <c r="AW461" s="62" t="e">
        <f>(Data_Geotech[[#This Row],[Fracture per interval]]+Data_Geotech[[#This Row],[Added fractures 
(BC, FLT, LC)]])/Data_Geotech[[#This Row],[TCR (m)]]</f>
        <v>#DIV/0!</v>
      </c>
      <c r="AX461" s="62" t="str">
        <f>MID(Data_Geotech[[#This Row],[Field Intact Rock Strength]],2,1)</f>
        <v/>
      </c>
      <c r="AY461" s="63" t="e">
        <f>7-MID(Data_Geotech[[#This Row],[Field Intact Rock Strength]],2,1)</f>
        <v>#VALUE!</v>
      </c>
      <c r="AZ461" s="63" t="e">
        <f>VLOOKUP(Data_Geotech[[#This Row],[Field Intact Rock Strength]],Table_FieldStrength[],2,FALSE)</f>
        <v>#N/A</v>
      </c>
      <c r="BA461" s="63" t="e">
        <f>VLOOKUP(Data_Geotech[[#This Row],[Field Intact Rock Strength]],Table_FieldStrength[],3,FALSE)</f>
        <v>#N/A</v>
      </c>
      <c r="BB461" s="63" t="e">
        <f>VLOOKUP(Data_Geotech[[#This Row],[Field Intact Rock Strength]],Table_FieldStrength[],4,FALSE)</f>
        <v>#N/A</v>
      </c>
      <c r="BC461" s="63" t="e">
        <f>100-Data_Geotech[[#This Row],[RMR76]]</f>
        <v>#VALUE!</v>
      </c>
      <c r="BD461" s="63" t="e">
        <f>LEFT(Data_Geotech[[#This Row],[Weathering/Alteration]],FIND("-",Data_Geotech[[#This Row],[Weathering/Alteration]])-2)</f>
        <v>#VALUE!</v>
      </c>
    </row>
    <row r="462" spans="1:56" hidden="1" x14ac:dyDescent="0.25">
      <c r="A462" s="14"/>
      <c r="B462" s="166" t="e">
        <f>VLOOKUP(Data_Geotech[[#This Row],[Hole ID]],Data_Log[],2,FALSE)</f>
        <v>#N/A</v>
      </c>
      <c r="C462" s="5"/>
      <c r="D462" s="5"/>
      <c r="E462" s="5">
        <f>(Data_Geotech[[#This Row],[To (m)]]-Data_Geotech[[#This Row],[From (m)]])/2+Data_Geotech[[#This Row],[From (m)]]</f>
        <v>0</v>
      </c>
      <c r="F462" s="13">
        <f>Data_Geotech[[#This Row],[To (m)]]-Data_Geotech[[#This Row],[From (m)]]</f>
        <v>0</v>
      </c>
      <c r="G462" s="5"/>
      <c r="H462" s="13" t="e">
        <f>Data_Geotech[[#This Row],[TCR (m)]]/Data_Geotech[[#This Row],[Run (m)]]*100</f>
        <v>#DIV/0!</v>
      </c>
      <c r="I462" s="5"/>
      <c r="J462" s="5"/>
      <c r="K462" s="5"/>
      <c r="L462" s="13" t="e">
        <f>Data_Geotech[[#This Row],[RQD (m)]]/Data_Geotech[[#This Row],[Run Reel (m)]]*100</f>
        <v>#DIV/0!</v>
      </c>
      <c r="P462" s="115"/>
      <c r="Q462" s="5"/>
      <c r="R462" s="5"/>
      <c r="S462" s="5"/>
      <c r="T462" s="5"/>
      <c r="U462" s="5"/>
      <c r="V462" s="6"/>
      <c r="W462" s="92">
        <f>SUMIFS(Discontinuities!$D$4:$D$9664,Discontinuities!$A$4:$A$9664,A462,Discontinuities!$C$4:$C$9664,"&gt;="&amp;C462,Discontinuities!$C$4:$C$9664,"&lt;"&amp;D462)
-SUMIFS(Discontinuities!$D$4:$D$9664,Discontinuities!$A$4:$A$9664,A462,Discontinuities!$C$4:$C$9664,"&gt;="&amp;C462,Discontinuities!$C$4:$C$9664,"&lt;"&amp;D462,Discontinuities!$E$4:$E$9664,"=BC")
-SUMIFS(Discontinuities!$D$4:$D$9664,Discontinuities!$A$4:$A$9664,A462,Discontinuities!$C$4:$C$9664,"&gt;="&amp;C462,Discontinuities!$C$4:$C$9664,"&lt;"&amp;D462,Discontinuities!$E$4:$E$9664,"=LC")
-SUMIFS(Discontinuities!$D$4:$D$9664,Discontinuities!$A$4:$A$9664,A462,Discontinuities!$C$4:$C$9664,"&gt;="&amp;C462,Discontinuities!$C$4:$C$9664,"&lt;"&amp;D462,Discontinuities!$E$4:$E$9664,"=FLT")</f>
        <v>0</v>
      </c>
      <c r="AA462" s="132"/>
      <c r="AB462" s="159">
        <f>IFERROR(ROUND((Data_Geotech[[#This Row],[Fault (m)]]+Data_Geotech[[#This Row],[Broken Core (m)]]+Data_Geotech[[#This Row],[Lost Core (m)]])*30,0),0)</f>
        <v>0</v>
      </c>
      <c r="AC462" s="135">
        <f>IF(Data_Geotech[[#This Row],[Added fractures 
(BC, FLT, LC)]]+Data_Geotech[[#This Row],[Fracture per interval]]=0,99,1/((Data_Geotech[[#This Row],[Fracture per interval]]+Data_Geotech[[#This Row],[Added fractures 
(BC, FLT, LC)]])/Data_Geotech[[#This Row],[Run (m)]]))</f>
        <v>99</v>
      </c>
      <c r="AD462" s="160" t="str" cm="1">
        <f t="array" ref="AD462">IFERROR(_xlfn.XLOOKUP(1,(A462=PLT!$A$4:$A$8886)*(Geotech!C462&lt;=PLT!$F$4:$F$8886)*(Geotech!D462&gt;=PLT!$F$4:$F$8886)*("Valid"=PLT!$P$4:$P$8886),PLT!$V$4:$V$8886),"")</f>
        <v/>
      </c>
      <c r="AE462" s="161" t="str" cm="1">
        <f t="array" ref="AE462">IFERROR(_xlfn.XLOOKUP(1,(A462=PLT!$A$4:$A$8886)*(Geotech!C462&lt;=PLT!$F$4:$F$8886)*(Geotech!D462&gt;=PLT!$F$4:$F$8886)*(PLT!$V$4:$V$8886&lt;&gt;AD462)*("Valid"=PLT!$P$4:$P$7190),PLT!$V$4:$V$8886),"")</f>
        <v/>
      </c>
      <c r="AF462" s="161" t="str" cm="1">
        <f t="array" ref="AF462">IFERROR(_xlfn.XLOOKUP(1,(A462=PLT!$A$4:$A$8886)*(Geotech!C462&lt;=PLT!$F$4:$F$8886)*(Geotech!D462&gt;=PLT!$F$4:$F$8886)*(PLT!$V$4:$V$8886&lt;&gt;AD462)*(PLT!$V$4:$V$8886&lt;&gt;AE462)*("Valid"=PLT!$P$4:$P$7190),PLT!$V$4:$V$8886),"")</f>
        <v/>
      </c>
      <c r="AG462" s="162" t="str">
        <f>IFERROR(IF(AVERAGE(AD462:AF462)&gt;References!$BO$23,References!$BP$23,
IF(AVERAGE(AD462:AF462)&gt;References!$BO$22,References!$BP$22,
IF(AVERAGE(AD462:AF462)&gt;References!$BO$21,References!$BP$21,
IF(AVERAGE(AD462:AF462)&gt;References!$BO$20,References!$BP$20,
IF(AVERAGE(AD462:AF462)&gt;References!$BO$19,References!$BP$19,
IF(AVERAGE(AD462:AF462)&gt;References!$BO$18,References!$BP$18,
0)))))),"")</f>
        <v/>
      </c>
      <c r="AH462" s="163" t="e">
        <f>VLOOKUP(Data_Geotech[[#This Row],[Field Intact Rock Strength]],Table_RMR76_Strength[],2,FALSE)</f>
        <v>#N/A</v>
      </c>
      <c r="AI462" s="163" t="e">
        <f>IF(Data_Geotech[[#This Row],[RQD (%)]]&lt;=25,3,IF(Data_Geotech[[#This Row],[RQD (%)]]&lt;=50,8,IF(Data_Geotech[[#This Row],[RQD (%)]]&lt;=75,13,IF(Data_Geotech[[#This Row],[RQD (%)]]&lt;=90,17,20))))</f>
        <v>#DIV/0!</v>
      </c>
      <c r="AJ462" s="136">
        <f>IF(Data_Geotech[[#This Row],[Joint spacing (m)]]&lt;=0.05,5,IF(Data_Geotech[[#This Row],[Joint spacing (m)]]&lt;=0.3,10,IF(Data_Geotech[[#This Row],[Joint spacing (m)]]&lt;=1,20,IF(Data_Geotech[[#This Row],[Joint spacing (m)]]&lt;=3,25,30))))</f>
        <v>30</v>
      </c>
      <c r="AK46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2" s="6"/>
      <c r="AM462" s="137" t="str">
        <f>IF(Data_Geotech[[#This Row],[FIRS Code]]="R",IFERROR(SUM(Data_Geotech[[#This Row],[RMR76 - Strength rating]:[RMR76 - Ground water rating]]),""),"")</f>
        <v/>
      </c>
      <c r="AN462" s="164" t="str">
        <f>IF(Data_Geotech[[#This Row],[FIRS Code]]="R",(2*Data_Geotech[[#This Row],[RMR76 - Joint condition rating]])+(IF(Data_Geotech[[#This Row],[RQD (%)]]&gt;80,80/2,Data_Geotech[[#This Row],[RQD (%)]]/2)),"")</f>
        <v/>
      </c>
      <c r="AO462" s="136" t="e">
        <f>LEFT(Data_Geotech[[#This Row],[Joint Set Rating]],FIND("-",Data_Geotech[[#This Row],[Joint Set Rating]],1)-2)</f>
        <v>#VALUE!</v>
      </c>
      <c r="AP46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2" s="143">
        <f t="shared" si="11"/>
        <v>1</v>
      </c>
      <c r="AR462" s="165" t="str">
        <f>IF(Data_Geotech[[#This Row],[FIRS Code]]="R",IFERROR((IF(Data_Geotech[[#This Row],[RQD (%)]]&lt;10,10,Data_Geotech[[#This Row],[RQD (%)]])/Data_Geotech[[#This Row],[Jn rating]])*Data_Geotech[[#This Row],[Jr/Ja]],""),"")</f>
        <v/>
      </c>
      <c r="AS462" s="138" t="str">
        <f>IF(Data_Geotech[[#This Row],[FIRS Code]]="R",IFERROR((IF(Data_Geotech[[#This Row],[RQD (%)]]&lt;10,10,Data_Geotech[[#This Row],[RQD (%)]])/Data_Geotech[[#This Row],[Jn rating]])*Data_Geotech[[#This Row],[Jr/Ja]]*Data_Geotech[[#This Row],[Jw/SRF]],""),"")</f>
        <v/>
      </c>
      <c r="AT462" s="12"/>
      <c r="AU462" s="13" t="e">
        <f>100-Data_Geotech[[#This Row],[RQD (%)]]</f>
        <v>#DIV/0!</v>
      </c>
      <c r="AV462" s="13" t="e">
        <f>100-Data_Geotech[[#This Row],[TCR (%)]]</f>
        <v>#DIV/0!</v>
      </c>
      <c r="AW462" s="62" t="e">
        <f>(Data_Geotech[[#This Row],[Fracture per interval]]+Data_Geotech[[#This Row],[Added fractures 
(BC, FLT, LC)]])/Data_Geotech[[#This Row],[TCR (m)]]</f>
        <v>#DIV/0!</v>
      </c>
      <c r="AX462" s="62" t="str">
        <f>MID(Data_Geotech[[#This Row],[Field Intact Rock Strength]],2,1)</f>
        <v/>
      </c>
      <c r="AY462" s="63" t="e">
        <f>7-MID(Data_Geotech[[#This Row],[Field Intact Rock Strength]],2,1)</f>
        <v>#VALUE!</v>
      </c>
      <c r="AZ462" s="63" t="e">
        <f>VLOOKUP(Data_Geotech[[#This Row],[Field Intact Rock Strength]],Table_FieldStrength[],2,FALSE)</f>
        <v>#N/A</v>
      </c>
      <c r="BA462" s="63" t="e">
        <f>VLOOKUP(Data_Geotech[[#This Row],[Field Intact Rock Strength]],Table_FieldStrength[],3,FALSE)</f>
        <v>#N/A</v>
      </c>
      <c r="BB462" s="63" t="e">
        <f>VLOOKUP(Data_Geotech[[#This Row],[Field Intact Rock Strength]],Table_FieldStrength[],4,FALSE)</f>
        <v>#N/A</v>
      </c>
      <c r="BC462" s="63" t="e">
        <f>100-Data_Geotech[[#This Row],[RMR76]]</f>
        <v>#VALUE!</v>
      </c>
      <c r="BD462" s="63" t="e">
        <f>LEFT(Data_Geotech[[#This Row],[Weathering/Alteration]],FIND("-",Data_Geotech[[#This Row],[Weathering/Alteration]])-2)</f>
        <v>#VALUE!</v>
      </c>
    </row>
    <row r="463" spans="1:56" hidden="1" x14ac:dyDescent="0.25">
      <c r="A463" s="14"/>
      <c r="B463" s="166" t="e">
        <f>VLOOKUP(Data_Geotech[[#This Row],[Hole ID]],Data_Log[],2,FALSE)</f>
        <v>#N/A</v>
      </c>
      <c r="C463" s="5"/>
      <c r="D463" s="5"/>
      <c r="E463" s="5">
        <f>(Data_Geotech[[#This Row],[To (m)]]-Data_Geotech[[#This Row],[From (m)]])/2+Data_Geotech[[#This Row],[From (m)]]</f>
        <v>0</v>
      </c>
      <c r="F463" s="13">
        <f>Data_Geotech[[#This Row],[To (m)]]-Data_Geotech[[#This Row],[From (m)]]</f>
        <v>0</v>
      </c>
      <c r="G463" s="5"/>
      <c r="H463" s="13" t="e">
        <f>Data_Geotech[[#This Row],[TCR (m)]]/Data_Geotech[[#This Row],[Run (m)]]*100</f>
        <v>#DIV/0!</v>
      </c>
      <c r="I463" s="5"/>
      <c r="J463" s="5"/>
      <c r="K463" s="5"/>
      <c r="L463" s="13" t="e">
        <f>Data_Geotech[[#This Row],[RQD (m)]]/Data_Geotech[[#This Row],[Run Reel (m)]]*100</f>
        <v>#DIV/0!</v>
      </c>
      <c r="P463" s="115"/>
      <c r="Q463" s="5"/>
      <c r="R463" s="5"/>
      <c r="S463" s="5"/>
      <c r="T463" s="5"/>
      <c r="U463" s="5"/>
      <c r="V463" s="6"/>
      <c r="W463" s="92">
        <f>SUMIFS(Discontinuities!$D$4:$D$9664,Discontinuities!$A$4:$A$9664,A463,Discontinuities!$C$4:$C$9664,"&gt;="&amp;C463,Discontinuities!$C$4:$C$9664,"&lt;"&amp;D463)
-SUMIFS(Discontinuities!$D$4:$D$9664,Discontinuities!$A$4:$A$9664,A463,Discontinuities!$C$4:$C$9664,"&gt;="&amp;C463,Discontinuities!$C$4:$C$9664,"&lt;"&amp;D463,Discontinuities!$E$4:$E$9664,"=BC")
-SUMIFS(Discontinuities!$D$4:$D$9664,Discontinuities!$A$4:$A$9664,A463,Discontinuities!$C$4:$C$9664,"&gt;="&amp;C463,Discontinuities!$C$4:$C$9664,"&lt;"&amp;D463,Discontinuities!$E$4:$E$9664,"=LC")
-SUMIFS(Discontinuities!$D$4:$D$9664,Discontinuities!$A$4:$A$9664,A463,Discontinuities!$C$4:$C$9664,"&gt;="&amp;C463,Discontinuities!$C$4:$C$9664,"&lt;"&amp;D463,Discontinuities!$E$4:$E$9664,"=FLT")</f>
        <v>0</v>
      </c>
      <c r="AA463" s="132"/>
      <c r="AB463" s="159">
        <f>IFERROR(ROUND((Data_Geotech[[#This Row],[Fault (m)]]+Data_Geotech[[#This Row],[Broken Core (m)]]+Data_Geotech[[#This Row],[Lost Core (m)]])*30,0),0)</f>
        <v>0</v>
      </c>
      <c r="AC463" s="135">
        <f>IF(Data_Geotech[[#This Row],[Added fractures 
(BC, FLT, LC)]]+Data_Geotech[[#This Row],[Fracture per interval]]=0,99,1/((Data_Geotech[[#This Row],[Fracture per interval]]+Data_Geotech[[#This Row],[Added fractures 
(BC, FLT, LC)]])/Data_Geotech[[#This Row],[Run (m)]]))</f>
        <v>99</v>
      </c>
      <c r="AD463" s="160" t="str" cm="1">
        <f t="array" ref="AD463">IFERROR(_xlfn.XLOOKUP(1,(A463=PLT!$A$4:$A$8886)*(Geotech!C463&lt;=PLT!$F$4:$F$8886)*(Geotech!D463&gt;=PLT!$F$4:$F$8886)*("Valid"=PLT!$P$4:$P$8886),PLT!$V$4:$V$8886),"")</f>
        <v/>
      </c>
      <c r="AE463" s="161" t="str" cm="1">
        <f t="array" ref="AE463">IFERROR(_xlfn.XLOOKUP(1,(A463=PLT!$A$4:$A$8886)*(Geotech!C463&lt;=PLT!$F$4:$F$8886)*(Geotech!D463&gt;=PLT!$F$4:$F$8886)*(PLT!$V$4:$V$8886&lt;&gt;AD463)*("Valid"=PLT!$P$4:$P$7190),PLT!$V$4:$V$8886),"")</f>
        <v/>
      </c>
      <c r="AF463" s="161" t="str" cm="1">
        <f t="array" ref="AF463">IFERROR(_xlfn.XLOOKUP(1,(A463=PLT!$A$4:$A$8886)*(Geotech!C463&lt;=PLT!$F$4:$F$8886)*(Geotech!D463&gt;=PLT!$F$4:$F$8886)*(PLT!$V$4:$V$8886&lt;&gt;AD463)*(PLT!$V$4:$V$8886&lt;&gt;AE463)*("Valid"=PLT!$P$4:$P$7190),PLT!$V$4:$V$8886),"")</f>
        <v/>
      </c>
      <c r="AG463" s="162" t="str">
        <f>IFERROR(IF(AVERAGE(AD463:AF463)&gt;References!$BO$23,References!$BP$23,
IF(AVERAGE(AD463:AF463)&gt;References!$BO$22,References!$BP$22,
IF(AVERAGE(AD463:AF463)&gt;References!$BO$21,References!$BP$21,
IF(AVERAGE(AD463:AF463)&gt;References!$BO$20,References!$BP$20,
IF(AVERAGE(AD463:AF463)&gt;References!$BO$19,References!$BP$19,
IF(AVERAGE(AD463:AF463)&gt;References!$BO$18,References!$BP$18,
0)))))),"")</f>
        <v/>
      </c>
      <c r="AH463" s="163" t="e">
        <f>VLOOKUP(Data_Geotech[[#This Row],[Field Intact Rock Strength]],Table_RMR76_Strength[],2,FALSE)</f>
        <v>#N/A</v>
      </c>
      <c r="AI463" s="163" t="e">
        <f>IF(Data_Geotech[[#This Row],[RQD (%)]]&lt;=25,3,IF(Data_Geotech[[#This Row],[RQD (%)]]&lt;=50,8,IF(Data_Geotech[[#This Row],[RQD (%)]]&lt;=75,13,IF(Data_Geotech[[#This Row],[RQD (%)]]&lt;=90,17,20))))</f>
        <v>#DIV/0!</v>
      </c>
      <c r="AJ463" s="136">
        <f>IF(Data_Geotech[[#This Row],[Joint spacing (m)]]&lt;=0.05,5,IF(Data_Geotech[[#This Row],[Joint spacing (m)]]&lt;=0.3,10,IF(Data_Geotech[[#This Row],[Joint spacing (m)]]&lt;=1,20,IF(Data_Geotech[[#This Row],[Joint spacing (m)]]&lt;=3,25,30))))</f>
        <v>30</v>
      </c>
      <c r="AK46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3" s="6"/>
      <c r="AM463" s="137" t="str">
        <f>IF(Data_Geotech[[#This Row],[FIRS Code]]="R",IFERROR(SUM(Data_Geotech[[#This Row],[RMR76 - Strength rating]:[RMR76 - Ground water rating]]),""),"")</f>
        <v/>
      </c>
      <c r="AN463" s="164" t="str">
        <f>IF(Data_Geotech[[#This Row],[FIRS Code]]="R",(2*Data_Geotech[[#This Row],[RMR76 - Joint condition rating]])+(IF(Data_Geotech[[#This Row],[RQD (%)]]&gt;80,80/2,Data_Geotech[[#This Row],[RQD (%)]]/2)),"")</f>
        <v/>
      </c>
      <c r="AO463" s="136" t="e">
        <f>LEFT(Data_Geotech[[#This Row],[Joint Set Rating]],FIND("-",Data_Geotech[[#This Row],[Joint Set Rating]],1)-2)</f>
        <v>#VALUE!</v>
      </c>
      <c r="AP46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3" s="143">
        <f t="shared" si="11"/>
        <v>1</v>
      </c>
      <c r="AR463" s="165" t="str">
        <f>IF(Data_Geotech[[#This Row],[FIRS Code]]="R",IFERROR((IF(Data_Geotech[[#This Row],[RQD (%)]]&lt;10,10,Data_Geotech[[#This Row],[RQD (%)]])/Data_Geotech[[#This Row],[Jn rating]])*Data_Geotech[[#This Row],[Jr/Ja]],""),"")</f>
        <v/>
      </c>
      <c r="AS463" s="138" t="str">
        <f>IF(Data_Geotech[[#This Row],[FIRS Code]]="R",IFERROR((IF(Data_Geotech[[#This Row],[RQD (%)]]&lt;10,10,Data_Geotech[[#This Row],[RQD (%)]])/Data_Geotech[[#This Row],[Jn rating]])*Data_Geotech[[#This Row],[Jr/Ja]]*Data_Geotech[[#This Row],[Jw/SRF]],""),"")</f>
        <v/>
      </c>
      <c r="AT463" s="12"/>
      <c r="AU463" s="13" t="e">
        <f>100-Data_Geotech[[#This Row],[RQD (%)]]</f>
        <v>#DIV/0!</v>
      </c>
      <c r="AV463" s="13" t="e">
        <f>100-Data_Geotech[[#This Row],[TCR (%)]]</f>
        <v>#DIV/0!</v>
      </c>
      <c r="AW463" s="62" t="e">
        <f>(Data_Geotech[[#This Row],[Fracture per interval]]+Data_Geotech[[#This Row],[Added fractures 
(BC, FLT, LC)]])/Data_Geotech[[#This Row],[TCR (m)]]</f>
        <v>#DIV/0!</v>
      </c>
      <c r="AX463" s="62" t="str">
        <f>MID(Data_Geotech[[#This Row],[Field Intact Rock Strength]],2,1)</f>
        <v/>
      </c>
      <c r="AY463" s="63" t="e">
        <f>7-MID(Data_Geotech[[#This Row],[Field Intact Rock Strength]],2,1)</f>
        <v>#VALUE!</v>
      </c>
      <c r="AZ463" s="63" t="e">
        <f>VLOOKUP(Data_Geotech[[#This Row],[Field Intact Rock Strength]],Table_FieldStrength[],2,FALSE)</f>
        <v>#N/A</v>
      </c>
      <c r="BA463" s="63" t="e">
        <f>VLOOKUP(Data_Geotech[[#This Row],[Field Intact Rock Strength]],Table_FieldStrength[],3,FALSE)</f>
        <v>#N/A</v>
      </c>
      <c r="BB463" s="63" t="e">
        <f>VLOOKUP(Data_Geotech[[#This Row],[Field Intact Rock Strength]],Table_FieldStrength[],4,FALSE)</f>
        <v>#N/A</v>
      </c>
      <c r="BC463" s="63" t="e">
        <f>100-Data_Geotech[[#This Row],[RMR76]]</f>
        <v>#VALUE!</v>
      </c>
      <c r="BD463" s="63" t="e">
        <f>LEFT(Data_Geotech[[#This Row],[Weathering/Alteration]],FIND("-",Data_Geotech[[#This Row],[Weathering/Alteration]])-2)</f>
        <v>#VALUE!</v>
      </c>
    </row>
    <row r="464" spans="1:56" hidden="1" x14ac:dyDescent="0.25">
      <c r="A464" s="14"/>
      <c r="B464" s="166" t="e">
        <f>VLOOKUP(Data_Geotech[[#This Row],[Hole ID]],Data_Log[],2,FALSE)</f>
        <v>#N/A</v>
      </c>
      <c r="C464" s="5"/>
      <c r="D464" s="5"/>
      <c r="E464" s="5">
        <f>(Data_Geotech[[#This Row],[To (m)]]-Data_Geotech[[#This Row],[From (m)]])/2+Data_Geotech[[#This Row],[From (m)]]</f>
        <v>0</v>
      </c>
      <c r="F464" s="13">
        <f>Data_Geotech[[#This Row],[To (m)]]-Data_Geotech[[#This Row],[From (m)]]</f>
        <v>0</v>
      </c>
      <c r="G464" s="5"/>
      <c r="H464" s="13" t="e">
        <f>Data_Geotech[[#This Row],[TCR (m)]]/Data_Geotech[[#This Row],[Run (m)]]*100</f>
        <v>#DIV/0!</v>
      </c>
      <c r="I464" s="5"/>
      <c r="J464" s="5"/>
      <c r="K464" s="5"/>
      <c r="L464" s="13" t="e">
        <f>Data_Geotech[[#This Row],[RQD (m)]]/Data_Geotech[[#This Row],[Run Reel (m)]]*100</f>
        <v>#DIV/0!</v>
      </c>
      <c r="P464" s="115"/>
      <c r="Q464" s="5"/>
      <c r="R464" s="5"/>
      <c r="S464" s="5"/>
      <c r="T464" s="5"/>
      <c r="U464" s="5"/>
      <c r="V464" s="6"/>
      <c r="W464" s="92">
        <f>SUMIFS(Discontinuities!$D$4:$D$9664,Discontinuities!$A$4:$A$9664,A464,Discontinuities!$C$4:$C$9664,"&gt;="&amp;C464,Discontinuities!$C$4:$C$9664,"&lt;"&amp;D464)
-SUMIFS(Discontinuities!$D$4:$D$9664,Discontinuities!$A$4:$A$9664,A464,Discontinuities!$C$4:$C$9664,"&gt;="&amp;C464,Discontinuities!$C$4:$C$9664,"&lt;"&amp;D464,Discontinuities!$E$4:$E$9664,"=BC")
-SUMIFS(Discontinuities!$D$4:$D$9664,Discontinuities!$A$4:$A$9664,A464,Discontinuities!$C$4:$C$9664,"&gt;="&amp;C464,Discontinuities!$C$4:$C$9664,"&lt;"&amp;D464,Discontinuities!$E$4:$E$9664,"=LC")
-SUMIFS(Discontinuities!$D$4:$D$9664,Discontinuities!$A$4:$A$9664,A464,Discontinuities!$C$4:$C$9664,"&gt;="&amp;C464,Discontinuities!$C$4:$C$9664,"&lt;"&amp;D464,Discontinuities!$E$4:$E$9664,"=FLT")</f>
        <v>0</v>
      </c>
      <c r="AA464" s="132"/>
      <c r="AB464" s="159">
        <f>IFERROR(ROUND((Data_Geotech[[#This Row],[Fault (m)]]+Data_Geotech[[#This Row],[Broken Core (m)]]+Data_Geotech[[#This Row],[Lost Core (m)]])*30,0),0)</f>
        <v>0</v>
      </c>
      <c r="AC464" s="135">
        <f>IF(Data_Geotech[[#This Row],[Added fractures 
(BC, FLT, LC)]]+Data_Geotech[[#This Row],[Fracture per interval]]=0,99,1/((Data_Geotech[[#This Row],[Fracture per interval]]+Data_Geotech[[#This Row],[Added fractures 
(BC, FLT, LC)]])/Data_Geotech[[#This Row],[Run (m)]]))</f>
        <v>99</v>
      </c>
      <c r="AD464" s="160" t="str" cm="1">
        <f t="array" ref="AD464">IFERROR(_xlfn.XLOOKUP(1,(A464=PLT!$A$4:$A$8886)*(Geotech!C464&lt;=PLT!$F$4:$F$8886)*(Geotech!D464&gt;=PLT!$F$4:$F$8886)*("Valid"=PLT!$P$4:$P$8886),PLT!$V$4:$V$8886),"")</f>
        <v/>
      </c>
      <c r="AE464" s="161" t="str" cm="1">
        <f t="array" ref="AE464">IFERROR(_xlfn.XLOOKUP(1,(A464=PLT!$A$4:$A$8886)*(Geotech!C464&lt;=PLT!$F$4:$F$8886)*(Geotech!D464&gt;=PLT!$F$4:$F$8886)*(PLT!$V$4:$V$8886&lt;&gt;AD464)*("Valid"=PLT!$P$4:$P$7190),PLT!$V$4:$V$8886),"")</f>
        <v/>
      </c>
      <c r="AF464" s="161" t="str" cm="1">
        <f t="array" ref="AF464">IFERROR(_xlfn.XLOOKUP(1,(A464=PLT!$A$4:$A$8886)*(Geotech!C464&lt;=PLT!$F$4:$F$8886)*(Geotech!D464&gt;=PLT!$F$4:$F$8886)*(PLT!$V$4:$V$8886&lt;&gt;AD464)*(PLT!$V$4:$V$8886&lt;&gt;AE464)*("Valid"=PLT!$P$4:$P$7190),PLT!$V$4:$V$8886),"")</f>
        <v/>
      </c>
      <c r="AG464" s="162" t="str">
        <f>IFERROR(IF(AVERAGE(AD464:AF464)&gt;References!$BO$23,References!$BP$23,
IF(AVERAGE(AD464:AF464)&gt;References!$BO$22,References!$BP$22,
IF(AVERAGE(AD464:AF464)&gt;References!$BO$21,References!$BP$21,
IF(AVERAGE(AD464:AF464)&gt;References!$BO$20,References!$BP$20,
IF(AVERAGE(AD464:AF464)&gt;References!$BO$19,References!$BP$19,
IF(AVERAGE(AD464:AF464)&gt;References!$BO$18,References!$BP$18,
0)))))),"")</f>
        <v/>
      </c>
      <c r="AH464" s="163" t="e">
        <f>VLOOKUP(Data_Geotech[[#This Row],[Field Intact Rock Strength]],Table_RMR76_Strength[],2,FALSE)</f>
        <v>#N/A</v>
      </c>
      <c r="AI464" s="163" t="e">
        <f>IF(Data_Geotech[[#This Row],[RQD (%)]]&lt;=25,3,IF(Data_Geotech[[#This Row],[RQD (%)]]&lt;=50,8,IF(Data_Geotech[[#This Row],[RQD (%)]]&lt;=75,13,IF(Data_Geotech[[#This Row],[RQD (%)]]&lt;=90,17,20))))</f>
        <v>#DIV/0!</v>
      </c>
      <c r="AJ464" s="136">
        <f>IF(Data_Geotech[[#This Row],[Joint spacing (m)]]&lt;=0.05,5,IF(Data_Geotech[[#This Row],[Joint spacing (m)]]&lt;=0.3,10,IF(Data_Geotech[[#This Row],[Joint spacing (m)]]&lt;=1,20,IF(Data_Geotech[[#This Row],[Joint spacing (m)]]&lt;=3,25,30))))</f>
        <v>30</v>
      </c>
      <c r="AK46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4" s="6"/>
      <c r="AM464" s="137" t="str">
        <f>IF(Data_Geotech[[#This Row],[FIRS Code]]="R",IFERROR(SUM(Data_Geotech[[#This Row],[RMR76 - Strength rating]:[RMR76 - Ground water rating]]),""),"")</f>
        <v/>
      </c>
      <c r="AN464" s="164" t="str">
        <f>IF(Data_Geotech[[#This Row],[FIRS Code]]="R",(2*Data_Geotech[[#This Row],[RMR76 - Joint condition rating]])+(IF(Data_Geotech[[#This Row],[RQD (%)]]&gt;80,80/2,Data_Geotech[[#This Row],[RQD (%)]]/2)),"")</f>
        <v/>
      </c>
      <c r="AO464" s="136" t="e">
        <f>LEFT(Data_Geotech[[#This Row],[Joint Set Rating]],FIND("-",Data_Geotech[[#This Row],[Joint Set Rating]],1)-2)</f>
        <v>#VALUE!</v>
      </c>
      <c r="AP46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4" s="143">
        <f t="shared" si="11"/>
        <v>1</v>
      </c>
      <c r="AR464" s="165" t="str">
        <f>IF(Data_Geotech[[#This Row],[FIRS Code]]="R",IFERROR((IF(Data_Geotech[[#This Row],[RQD (%)]]&lt;10,10,Data_Geotech[[#This Row],[RQD (%)]])/Data_Geotech[[#This Row],[Jn rating]])*Data_Geotech[[#This Row],[Jr/Ja]],""),"")</f>
        <v/>
      </c>
      <c r="AS464" s="138" t="str">
        <f>IF(Data_Geotech[[#This Row],[FIRS Code]]="R",IFERROR((IF(Data_Geotech[[#This Row],[RQD (%)]]&lt;10,10,Data_Geotech[[#This Row],[RQD (%)]])/Data_Geotech[[#This Row],[Jn rating]])*Data_Geotech[[#This Row],[Jr/Ja]]*Data_Geotech[[#This Row],[Jw/SRF]],""),"")</f>
        <v/>
      </c>
      <c r="AT464" s="12"/>
      <c r="AU464" s="13" t="e">
        <f>100-Data_Geotech[[#This Row],[RQD (%)]]</f>
        <v>#DIV/0!</v>
      </c>
      <c r="AV464" s="13" t="e">
        <f>100-Data_Geotech[[#This Row],[TCR (%)]]</f>
        <v>#DIV/0!</v>
      </c>
      <c r="AW464" s="62" t="e">
        <f>(Data_Geotech[[#This Row],[Fracture per interval]]+Data_Geotech[[#This Row],[Added fractures 
(BC, FLT, LC)]])/Data_Geotech[[#This Row],[TCR (m)]]</f>
        <v>#DIV/0!</v>
      </c>
      <c r="AX464" s="62" t="str">
        <f>MID(Data_Geotech[[#This Row],[Field Intact Rock Strength]],2,1)</f>
        <v/>
      </c>
      <c r="AY464" s="63" t="e">
        <f>7-MID(Data_Geotech[[#This Row],[Field Intact Rock Strength]],2,1)</f>
        <v>#VALUE!</v>
      </c>
      <c r="AZ464" s="63" t="e">
        <f>VLOOKUP(Data_Geotech[[#This Row],[Field Intact Rock Strength]],Table_FieldStrength[],2,FALSE)</f>
        <v>#N/A</v>
      </c>
      <c r="BA464" s="63" t="e">
        <f>VLOOKUP(Data_Geotech[[#This Row],[Field Intact Rock Strength]],Table_FieldStrength[],3,FALSE)</f>
        <v>#N/A</v>
      </c>
      <c r="BB464" s="63" t="e">
        <f>VLOOKUP(Data_Geotech[[#This Row],[Field Intact Rock Strength]],Table_FieldStrength[],4,FALSE)</f>
        <v>#N/A</v>
      </c>
      <c r="BC464" s="63" t="e">
        <f>100-Data_Geotech[[#This Row],[RMR76]]</f>
        <v>#VALUE!</v>
      </c>
      <c r="BD464" s="63" t="e">
        <f>LEFT(Data_Geotech[[#This Row],[Weathering/Alteration]],FIND("-",Data_Geotech[[#This Row],[Weathering/Alteration]])-2)</f>
        <v>#VALUE!</v>
      </c>
    </row>
    <row r="465" spans="1:56" hidden="1" x14ac:dyDescent="0.25">
      <c r="A465" s="14"/>
      <c r="B465" s="166" t="e">
        <f>VLOOKUP(Data_Geotech[[#This Row],[Hole ID]],Data_Log[],2,FALSE)</f>
        <v>#N/A</v>
      </c>
      <c r="C465" s="5"/>
      <c r="D465" s="5"/>
      <c r="E465" s="5">
        <f>(Data_Geotech[[#This Row],[To (m)]]-Data_Geotech[[#This Row],[From (m)]])/2+Data_Geotech[[#This Row],[From (m)]]</f>
        <v>0</v>
      </c>
      <c r="F465" s="13">
        <f>Data_Geotech[[#This Row],[To (m)]]-Data_Geotech[[#This Row],[From (m)]]</f>
        <v>0</v>
      </c>
      <c r="G465" s="5"/>
      <c r="H465" s="13" t="e">
        <f>Data_Geotech[[#This Row],[TCR (m)]]/Data_Geotech[[#This Row],[Run (m)]]*100</f>
        <v>#DIV/0!</v>
      </c>
      <c r="I465" s="5"/>
      <c r="J465" s="5"/>
      <c r="K465" s="5"/>
      <c r="L465" s="13" t="e">
        <f>Data_Geotech[[#This Row],[RQD (m)]]/Data_Geotech[[#This Row],[Run Reel (m)]]*100</f>
        <v>#DIV/0!</v>
      </c>
      <c r="P465" s="115"/>
      <c r="Q465" s="5"/>
      <c r="R465" s="5"/>
      <c r="S465" s="5"/>
      <c r="T465" s="5"/>
      <c r="U465" s="5"/>
      <c r="V465" s="6"/>
      <c r="W465" s="92">
        <f>SUMIFS(Discontinuities!$D$4:$D$9664,Discontinuities!$A$4:$A$9664,A465,Discontinuities!$C$4:$C$9664,"&gt;="&amp;C465,Discontinuities!$C$4:$C$9664,"&lt;"&amp;D465)
-SUMIFS(Discontinuities!$D$4:$D$9664,Discontinuities!$A$4:$A$9664,A465,Discontinuities!$C$4:$C$9664,"&gt;="&amp;C465,Discontinuities!$C$4:$C$9664,"&lt;"&amp;D465,Discontinuities!$E$4:$E$9664,"=BC")
-SUMIFS(Discontinuities!$D$4:$D$9664,Discontinuities!$A$4:$A$9664,A465,Discontinuities!$C$4:$C$9664,"&gt;="&amp;C465,Discontinuities!$C$4:$C$9664,"&lt;"&amp;D465,Discontinuities!$E$4:$E$9664,"=LC")
-SUMIFS(Discontinuities!$D$4:$D$9664,Discontinuities!$A$4:$A$9664,A465,Discontinuities!$C$4:$C$9664,"&gt;="&amp;C465,Discontinuities!$C$4:$C$9664,"&lt;"&amp;D465,Discontinuities!$E$4:$E$9664,"=FLT")</f>
        <v>0</v>
      </c>
      <c r="AA465" s="132"/>
      <c r="AB465" s="159">
        <f>IFERROR(ROUND((Data_Geotech[[#This Row],[Fault (m)]]+Data_Geotech[[#This Row],[Broken Core (m)]]+Data_Geotech[[#This Row],[Lost Core (m)]])*30,0),0)</f>
        <v>0</v>
      </c>
      <c r="AC465" s="135">
        <f>IF(Data_Geotech[[#This Row],[Added fractures 
(BC, FLT, LC)]]+Data_Geotech[[#This Row],[Fracture per interval]]=0,99,1/((Data_Geotech[[#This Row],[Fracture per interval]]+Data_Geotech[[#This Row],[Added fractures 
(BC, FLT, LC)]])/Data_Geotech[[#This Row],[Run (m)]]))</f>
        <v>99</v>
      </c>
      <c r="AD465" s="160" t="str" cm="1">
        <f t="array" ref="AD465">IFERROR(_xlfn.XLOOKUP(1,(A465=PLT!$A$4:$A$8886)*(Geotech!C465&lt;=PLT!$F$4:$F$8886)*(Geotech!D465&gt;=PLT!$F$4:$F$8886)*("Valid"=PLT!$P$4:$P$8886),PLT!$V$4:$V$8886),"")</f>
        <v/>
      </c>
      <c r="AE465" s="161" t="str" cm="1">
        <f t="array" ref="AE465">IFERROR(_xlfn.XLOOKUP(1,(A465=PLT!$A$4:$A$8886)*(Geotech!C465&lt;=PLT!$F$4:$F$8886)*(Geotech!D465&gt;=PLT!$F$4:$F$8886)*(PLT!$V$4:$V$8886&lt;&gt;AD465)*("Valid"=PLT!$P$4:$P$7190),PLT!$V$4:$V$8886),"")</f>
        <v/>
      </c>
      <c r="AF465" s="161" t="str" cm="1">
        <f t="array" ref="AF465">IFERROR(_xlfn.XLOOKUP(1,(A465=PLT!$A$4:$A$8886)*(Geotech!C465&lt;=PLT!$F$4:$F$8886)*(Geotech!D465&gt;=PLT!$F$4:$F$8886)*(PLT!$V$4:$V$8886&lt;&gt;AD465)*(PLT!$V$4:$V$8886&lt;&gt;AE465)*("Valid"=PLT!$P$4:$P$7190),PLT!$V$4:$V$8886),"")</f>
        <v/>
      </c>
      <c r="AG465" s="162" t="str">
        <f>IFERROR(IF(AVERAGE(AD465:AF465)&gt;References!$BO$23,References!$BP$23,
IF(AVERAGE(AD465:AF465)&gt;References!$BO$22,References!$BP$22,
IF(AVERAGE(AD465:AF465)&gt;References!$BO$21,References!$BP$21,
IF(AVERAGE(AD465:AF465)&gt;References!$BO$20,References!$BP$20,
IF(AVERAGE(AD465:AF465)&gt;References!$BO$19,References!$BP$19,
IF(AVERAGE(AD465:AF465)&gt;References!$BO$18,References!$BP$18,
0)))))),"")</f>
        <v/>
      </c>
      <c r="AH465" s="163" t="e">
        <f>VLOOKUP(Data_Geotech[[#This Row],[Field Intact Rock Strength]],Table_RMR76_Strength[],2,FALSE)</f>
        <v>#N/A</v>
      </c>
      <c r="AI465" s="163" t="e">
        <f>IF(Data_Geotech[[#This Row],[RQD (%)]]&lt;=25,3,IF(Data_Geotech[[#This Row],[RQD (%)]]&lt;=50,8,IF(Data_Geotech[[#This Row],[RQD (%)]]&lt;=75,13,IF(Data_Geotech[[#This Row],[RQD (%)]]&lt;=90,17,20))))</f>
        <v>#DIV/0!</v>
      </c>
      <c r="AJ465" s="136">
        <f>IF(Data_Geotech[[#This Row],[Joint spacing (m)]]&lt;=0.05,5,IF(Data_Geotech[[#This Row],[Joint spacing (m)]]&lt;=0.3,10,IF(Data_Geotech[[#This Row],[Joint spacing (m)]]&lt;=1,20,IF(Data_Geotech[[#This Row],[Joint spacing (m)]]&lt;=3,25,30))))</f>
        <v>30</v>
      </c>
      <c r="AK46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5" s="6"/>
      <c r="AM465" s="137" t="str">
        <f>IF(Data_Geotech[[#This Row],[FIRS Code]]="R",IFERROR(SUM(Data_Geotech[[#This Row],[RMR76 - Strength rating]:[RMR76 - Ground water rating]]),""),"")</f>
        <v/>
      </c>
      <c r="AN465" s="164" t="str">
        <f>IF(Data_Geotech[[#This Row],[FIRS Code]]="R",(2*Data_Geotech[[#This Row],[RMR76 - Joint condition rating]])+(IF(Data_Geotech[[#This Row],[RQD (%)]]&gt;80,80/2,Data_Geotech[[#This Row],[RQD (%)]]/2)),"")</f>
        <v/>
      </c>
      <c r="AO465" s="136" t="e">
        <f>LEFT(Data_Geotech[[#This Row],[Joint Set Rating]],FIND("-",Data_Geotech[[#This Row],[Joint Set Rating]],1)-2)</f>
        <v>#VALUE!</v>
      </c>
      <c r="AP46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5" s="143">
        <f t="shared" si="11"/>
        <v>1</v>
      </c>
      <c r="AR465" s="165" t="str">
        <f>IF(Data_Geotech[[#This Row],[FIRS Code]]="R",IFERROR((IF(Data_Geotech[[#This Row],[RQD (%)]]&lt;10,10,Data_Geotech[[#This Row],[RQD (%)]])/Data_Geotech[[#This Row],[Jn rating]])*Data_Geotech[[#This Row],[Jr/Ja]],""),"")</f>
        <v/>
      </c>
      <c r="AS465" s="138" t="str">
        <f>IF(Data_Geotech[[#This Row],[FIRS Code]]="R",IFERROR((IF(Data_Geotech[[#This Row],[RQD (%)]]&lt;10,10,Data_Geotech[[#This Row],[RQD (%)]])/Data_Geotech[[#This Row],[Jn rating]])*Data_Geotech[[#This Row],[Jr/Ja]]*Data_Geotech[[#This Row],[Jw/SRF]],""),"")</f>
        <v/>
      </c>
      <c r="AT465" s="12"/>
      <c r="AU465" s="13" t="e">
        <f>100-Data_Geotech[[#This Row],[RQD (%)]]</f>
        <v>#DIV/0!</v>
      </c>
      <c r="AV465" s="13" t="e">
        <f>100-Data_Geotech[[#This Row],[TCR (%)]]</f>
        <v>#DIV/0!</v>
      </c>
      <c r="AW465" s="62" t="e">
        <f>(Data_Geotech[[#This Row],[Fracture per interval]]+Data_Geotech[[#This Row],[Added fractures 
(BC, FLT, LC)]])/Data_Geotech[[#This Row],[TCR (m)]]</f>
        <v>#DIV/0!</v>
      </c>
      <c r="AX465" s="62" t="str">
        <f>MID(Data_Geotech[[#This Row],[Field Intact Rock Strength]],2,1)</f>
        <v/>
      </c>
      <c r="AY465" s="63" t="e">
        <f>7-MID(Data_Geotech[[#This Row],[Field Intact Rock Strength]],2,1)</f>
        <v>#VALUE!</v>
      </c>
      <c r="AZ465" s="63" t="e">
        <f>VLOOKUP(Data_Geotech[[#This Row],[Field Intact Rock Strength]],Table_FieldStrength[],2,FALSE)</f>
        <v>#N/A</v>
      </c>
      <c r="BA465" s="63" t="e">
        <f>VLOOKUP(Data_Geotech[[#This Row],[Field Intact Rock Strength]],Table_FieldStrength[],3,FALSE)</f>
        <v>#N/A</v>
      </c>
      <c r="BB465" s="63" t="e">
        <f>VLOOKUP(Data_Geotech[[#This Row],[Field Intact Rock Strength]],Table_FieldStrength[],4,FALSE)</f>
        <v>#N/A</v>
      </c>
      <c r="BC465" s="63" t="e">
        <f>100-Data_Geotech[[#This Row],[RMR76]]</f>
        <v>#VALUE!</v>
      </c>
      <c r="BD465" s="63" t="e">
        <f>LEFT(Data_Geotech[[#This Row],[Weathering/Alteration]],FIND("-",Data_Geotech[[#This Row],[Weathering/Alteration]])-2)</f>
        <v>#VALUE!</v>
      </c>
    </row>
    <row r="466" spans="1:56" hidden="1" x14ac:dyDescent="0.25">
      <c r="A466" s="14"/>
      <c r="B466" s="166" t="e">
        <f>VLOOKUP(Data_Geotech[[#This Row],[Hole ID]],Data_Log[],2,FALSE)</f>
        <v>#N/A</v>
      </c>
      <c r="C466" s="5"/>
      <c r="D466" s="5"/>
      <c r="E466" s="5">
        <f>(Data_Geotech[[#This Row],[To (m)]]-Data_Geotech[[#This Row],[From (m)]])/2+Data_Geotech[[#This Row],[From (m)]]</f>
        <v>0</v>
      </c>
      <c r="F466" s="13">
        <f>Data_Geotech[[#This Row],[To (m)]]-Data_Geotech[[#This Row],[From (m)]]</f>
        <v>0</v>
      </c>
      <c r="G466" s="5"/>
      <c r="H466" s="13" t="e">
        <f>Data_Geotech[[#This Row],[TCR (m)]]/Data_Geotech[[#This Row],[Run (m)]]*100</f>
        <v>#DIV/0!</v>
      </c>
      <c r="I466" s="5"/>
      <c r="J466" s="5"/>
      <c r="K466" s="5"/>
      <c r="L466" s="13" t="e">
        <f>Data_Geotech[[#This Row],[RQD (m)]]/Data_Geotech[[#This Row],[Run Reel (m)]]*100</f>
        <v>#DIV/0!</v>
      </c>
      <c r="P466" s="115"/>
      <c r="Q466" s="5"/>
      <c r="R466" s="5"/>
      <c r="S466" s="5"/>
      <c r="T466" s="5"/>
      <c r="U466" s="5"/>
      <c r="V466" s="6"/>
      <c r="W466" s="92">
        <f>SUMIFS(Discontinuities!$D$4:$D$9664,Discontinuities!$A$4:$A$9664,A466,Discontinuities!$C$4:$C$9664,"&gt;="&amp;C466,Discontinuities!$C$4:$C$9664,"&lt;"&amp;D466)
-SUMIFS(Discontinuities!$D$4:$D$9664,Discontinuities!$A$4:$A$9664,A466,Discontinuities!$C$4:$C$9664,"&gt;="&amp;C466,Discontinuities!$C$4:$C$9664,"&lt;"&amp;D466,Discontinuities!$E$4:$E$9664,"=BC")
-SUMIFS(Discontinuities!$D$4:$D$9664,Discontinuities!$A$4:$A$9664,A466,Discontinuities!$C$4:$C$9664,"&gt;="&amp;C466,Discontinuities!$C$4:$C$9664,"&lt;"&amp;D466,Discontinuities!$E$4:$E$9664,"=LC")
-SUMIFS(Discontinuities!$D$4:$D$9664,Discontinuities!$A$4:$A$9664,A466,Discontinuities!$C$4:$C$9664,"&gt;="&amp;C466,Discontinuities!$C$4:$C$9664,"&lt;"&amp;D466,Discontinuities!$E$4:$E$9664,"=FLT")</f>
        <v>0</v>
      </c>
      <c r="AA466" s="132"/>
      <c r="AB466" s="159">
        <f>IFERROR(ROUND((Data_Geotech[[#This Row],[Fault (m)]]+Data_Geotech[[#This Row],[Broken Core (m)]]+Data_Geotech[[#This Row],[Lost Core (m)]])*30,0),0)</f>
        <v>0</v>
      </c>
      <c r="AC466" s="135">
        <f>IF(Data_Geotech[[#This Row],[Added fractures 
(BC, FLT, LC)]]+Data_Geotech[[#This Row],[Fracture per interval]]=0,99,1/((Data_Geotech[[#This Row],[Fracture per interval]]+Data_Geotech[[#This Row],[Added fractures 
(BC, FLT, LC)]])/Data_Geotech[[#This Row],[Run (m)]]))</f>
        <v>99</v>
      </c>
      <c r="AD466" s="160" t="str" cm="1">
        <f t="array" ref="AD466">IFERROR(_xlfn.XLOOKUP(1,(A466=PLT!$A$4:$A$8886)*(Geotech!C466&lt;=PLT!$F$4:$F$8886)*(Geotech!D466&gt;=PLT!$F$4:$F$8886)*("Valid"=PLT!$P$4:$P$8886),PLT!$V$4:$V$8886),"")</f>
        <v/>
      </c>
      <c r="AE466" s="161" t="str" cm="1">
        <f t="array" ref="AE466">IFERROR(_xlfn.XLOOKUP(1,(A466=PLT!$A$4:$A$8886)*(Geotech!C466&lt;=PLT!$F$4:$F$8886)*(Geotech!D466&gt;=PLT!$F$4:$F$8886)*(PLT!$V$4:$V$8886&lt;&gt;AD466)*("Valid"=PLT!$P$4:$P$7190),PLT!$V$4:$V$8886),"")</f>
        <v/>
      </c>
      <c r="AF466" s="161" t="str" cm="1">
        <f t="array" ref="AF466">IFERROR(_xlfn.XLOOKUP(1,(A466=PLT!$A$4:$A$8886)*(Geotech!C466&lt;=PLT!$F$4:$F$8886)*(Geotech!D466&gt;=PLT!$F$4:$F$8886)*(PLT!$V$4:$V$8886&lt;&gt;AD466)*(PLT!$V$4:$V$8886&lt;&gt;AE466)*("Valid"=PLT!$P$4:$P$7190),PLT!$V$4:$V$8886),"")</f>
        <v/>
      </c>
      <c r="AG466" s="162" t="str">
        <f>IFERROR(IF(AVERAGE(AD466:AF466)&gt;References!$BO$23,References!$BP$23,
IF(AVERAGE(AD466:AF466)&gt;References!$BO$22,References!$BP$22,
IF(AVERAGE(AD466:AF466)&gt;References!$BO$21,References!$BP$21,
IF(AVERAGE(AD466:AF466)&gt;References!$BO$20,References!$BP$20,
IF(AVERAGE(AD466:AF466)&gt;References!$BO$19,References!$BP$19,
IF(AVERAGE(AD466:AF466)&gt;References!$BO$18,References!$BP$18,
0)))))),"")</f>
        <v/>
      </c>
      <c r="AH466" s="163" t="e">
        <f>VLOOKUP(Data_Geotech[[#This Row],[Field Intact Rock Strength]],Table_RMR76_Strength[],2,FALSE)</f>
        <v>#N/A</v>
      </c>
      <c r="AI466" s="163" t="e">
        <f>IF(Data_Geotech[[#This Row],[RQD (%)]]&lt;=25,3,IF(Data_Geotech[[#This Row],[RQD (%)]]&lt;=50,8,IF(Data_Geotech[[#This Row],[RQD (%)]]&lt;=75,13,IF(Data_Geotech[[#This Row],[RQD (%)]]&lt;=90,17,20))))</f>
        <v>#DIV/0!</v>
      </c>
      <c r="AJ466" s="136">
        <f>IF(Data_Geotech[[#This Row],[Joint spacing (m)]]&lt;=0.05,5,IF(Data_Geotech[[#This Row],[Joint spacing (m)]]&lt;=0.3,10,IF(Data_Geotech[[#This Row],[Joint spacing (m)]]&lt;=1,20,IF(Data_Geotech[[#This Row],[Joint spacing (m)]]&lt;=3,25,30))))</f>
        <v>30</v>
      </c>
      <c r="AK46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6" s="6"/>
      <c r="AM466" s="137" t="str">
        <f>IF(Data_Geotech[[#This Row],[FIRS Code]]="R",IFERROR(SUM(Data_Geotech[[#This Row],[RMR76 - Strength rating]:[RMR76 - Ground water rating]]),""),"")</f>
        <v/>
      </c>
      <c r="AN466" s="164" t="str">
        <f>IF(Data_Geotech[[#This Row],[FIRS Code]]="R",(2*Data_Geotech[[#This Row],[RMR76 - Joint condition rating]])+(IF(Data_Geotech[[#This Row],[RQD (%)]]&gt;80,80/2,Data_Geotech[[#This Row],[RQD (%)]]/2)),"")</f>
        <v/>
      </c>
      <c r="AO466" s="136" t="e">
        <f>LEFT(Data_Geotech[[#This Row],[Joint Set Rating]],FIND("-",Data_Geotech[[#This Row],[Joint Set Rating]],1)-2)</f>
        <v>#VALUE!</v>
      </c>
      <c r="AP46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6" s="143">
        <f t="shared" si="11"/>
        <v>1</v>
      </c>
      <c r="AR466" s="165" t="str">
        <f>IF(Data_Geotech[[#This Row],[FIRS Code]]="R",IFERROR((IF(Data_Geotech[[#This Row],[RQD (%)]]&lt;10,10,Data_Geotech[[#This Row],[RQD (%)]])/Data_Geotech[[#This Row],[Jn rating]])*Data_Geotech[[#This Row],[Jr/Ja]],""),"")</f>
        <v/>
      </c>
      <c r="AS466" s="138" t="str">
        <f>IF(Data_Geotech[[#This Row],[FIRS Code]]="R",IFERROR((IF(Data_Geotech[[#This Row],[RQD (%)]]&lt;10,10,Data_Geotech[[#This Row],[RQD (%)]])/Data_Geotech[[#This Row],[Jn rating]])*Data_Geotech[[#This Row],[Jr/Ja]]*Data_Geotech[[#This Row],[Jw/SRF]],""),"")</f>
        <v/>
      </c>
      <c r="AT466" s="12"/>
      <c r="AU466" s="13" t="e">
        <f>100-Data_Geotech[[#This Row],[RQD (%)]]</f>
        <v>#DIV/0!</v>
      </c>
      <c r="AV466" s="13" t="e">
        <f>100-Data_Geotech[[#This Row],[TCR (%)]]</f>
        <v>#DIV/0!</v>
      </c>
      <c r="AW466" s="62" t="e">
        <f>(Data_Geotech[[#This Row],[Fracture per interval]]+Data_Geotech[[#This Row],[Added fractures 
(BC, FLT, LC)]])/Data_Geotech[[#This Row],[TCR (m)]]</f>
        <v>#DIV/0!</v>
      </c>
      <c r="AX466" s="62" t="str">
        <f>MID(Data_Geotech[[#This Row],[Field Intact Rock Strength]],2,1)</f>
        <v/>
      </c>
      <c r="AY466" s="63" t="e">
        <f>7-MID(Data_Geotech[[#This Row],[Field Intact Rock Strength]],2,1)</f>
        <v>#VALUE!</v>
      </c>
      <c r="AZ466" s="63" t="e">
        <f>VLOOKUP(Data_Geotech[[#This Row],[Field Intact Rock Strength]],Table_FieldStrength[],2,FALSE)</f>
        <v>#N/A</v>
      </c>
      <c r="BA466" s="63" t="e">
        <f>VLOOKUP(Data_Geotech[[#This Row],[Field Intact Rock Strength]],Table_FieldStrength[],3,FALSE)</f>
        <v>#N/A</v>
      </c>
      <c r="BB466" s="63" t="e">
        <f>VLOOKUP(Data_Geotech[[#This Row],[Field Intact Rock Strength]],Table_FieldStrength[],4,FALSE)</f>
        <v>#N/A</v>
      </c>
      <c r="BC466" s="63" t="e">
        <f>100-Data_Geotech[[#This Row],[RMR76]]</f>
        <v>#VALUE!</v>
      </c>
      <c r="BD466" s="63" t="e">
        <f>LEFT(Data_Geotech[[#This Row],[Weathering/Alteration]],FIND("-",Data_Geotech[[#This Row],[Weathering/Alteration]])-2)</f>
        <v>#VALUE!</v>
      </c>
    </row>
    <row r="467" spans="1:56" hidden="1" x14ac:dyDescent="0.25">
      <c r="A467" s="14"/>
      <c r="B467" s="166" t="e">
        <f>VLOOKUP(Data_Geotech[[#This Row],[Hole ID]],Data_Log[],2,FALSE)</f>
        <v>#N/A</v>
      </c>
      <c r="C467" s="5"/>
      <c r="D467" s="5"/>
      <c r="E467" s="5">
        <f>(Data_Geotech[[#This Row],[To (m)]]-Data_Geotech[[#This Row],[From (m)]])/2+Data_Geotech[[#This Row],[From (m)]]</f>
        <v>0</v>
      </c>
      <c r="F467" s="13">
        <f>Data_Geotech[[#This Row],[To (m)]]-Data_Geotech[[#This Row],[From (m)]]</f>
        <v>0</v>
      </c>
      <c r="G467" s="5"/>
      <c r="H467" s="13" t="e">
        <f>Data_Geotech[[#This Row],[TCR (m)]]/Data_Geotech[[#This Row],[Run (m)]]*100</f>
        <v>#DIV/0!</v>
      </c>
      <c r="I467" s="5"/>
      <c r="J467" s="5"/>
      <c r="K467" s="5"/>
      <c r="L467" s="13" t="e">
        <f>Data_Geotech[[#This Row],[RQD (m)]]/Data_Geotech[[#This Row],[Run Reel (m)]]*100</f>
        <v>#DIV/0!</v>
      </c>
      <c r="P467" s="115"/>
      <c r="Q467" s="5"/>
      <c r="R467" s="5"/>
      <c r="S467" s="5"/>
      <c r="T467" s="5"/>
      <c r="U467" s="5"/>
      <c r="V467" s="6"/>
      <c r="W467" s="92">
        <f>SUMIFS(Discontinuities!$D$4:$D$9664,Discontinuities!$A$4:$A$9664,A467,Discontinuities!$C$4:$C$9664,"&gt;="&amp;C467,Discontinuities!$C$4:$C$9664,"&lt;"&amp;D467)
-SUMIFS(Discontinuities!$D$4:$D$9664,Discontinuities!$A$4:$A$9664,A467,Discontinuities!$C$4:$C$9664,"&gt;="&amp;C467,Discontinuities!$C$4:$C$9664,"&lt;"&amp;D467,Discontinuities!$E$4:$E$9664,"=BC")
-SUMIFS(Discontinuities!$D$4:$D$9664,Discontinuities!$A$4:$A$9664,A467,Discontinuities!$C$4:$C$9664,"&gt;="&amp;C467,Discontinuities!$C$4:$C$9664,"&lt;"&amp;D467,Discontinuities!$E$4:$E$9664,"=LC")
-SUMIFS(Discontinuities!$D$4:$D$9664,Discontinuities!$A$4:$A$9664,A467,Discontinuities!$C$4:$C$9664,"&gt;="&amp;C467,Discontinuities!$C$4:$C$9664,"&lt;"&amp;D467,Discontinuities!$E$4:$E$9664,"=FLT")</f>
        <v>0</v>
      </c>
      <c r="AA467" s="132"/>
      <c r="AB467" s="159">
        <f>IFERROR(ROUND((Data_Geotech[[#This Row],[Fault (m)]]+Data_Geotech[[#This Row],[Broken Core (m)]]+Data_Geotech[[#This Row],[Lost Core (m)]])*30,0),0)</f>
        <v>0</v>
      </c>
      <c r="AC467" s="135">
        <f>IF(Data_Geotech[[#This Row],[Added fractures 
(BC, FLT, LC)]]+Data_Geotech[[#This Row],[Fracture per interval]]=0,99,1/((Data_Geotech[[#This Row],[Fracture per interval]]+Data_Geotech[[#This Row],[Added fractures 
(BC, FLT, LC)]])/Data_Geotech[[#This Row],[Run (m)]]))</f>
        <v>99</v>
      </c>
      <c r="AD467" s="160" t="str" cm="1">
        <f t="array" ref="AD467">IFERROR(_xlfn.XLOOKUP(1,(A467=PLT!$A$4:$A$8886)*(Geotech!C467&lt;=PLT!$F$4:$F$8886)*(Geotech!D467&gt;=PLT!$F$4:$F$8886)*("Valid"=PLT!$P$4:$P$8886),PLT!$V$4:$V$8886),"")</f>
        <v/>
      </c>
      <c r="AE467" s="161" t="str" cm="1">
        <f t="array" ref="AE467">IFERROR(_xlfn.XLOOKUP(1,(A467=PLT!$A$4:$A$8886)*(Geotech!C467&lt;=PLT!$F$4:$F$8886)*(Geotech!D467&gt;=PLT!$F$4:$F$8886)*(PLT!$V$4:$V$8886&lt;&gt;AD467)*("Valid"=PLT!$P$4:$P$7190),PLT!$V$4:$V$8886),"")</f>
        <v/>
      </c>
      <c r="AF467" s="161" t="str" cm="1">
        <f t="array" ref="AF467">IFERROR(_xlfn.XLOOKUP(1,(A467=PLT!$A$4:$A$8886)*(Geotech!C467&lt;=PLT!$F$4:$F$8886)*(Geotech!D467&gt;=PLT!$F$4:$F$8886)*(PLT!$V$4:$V$8886&lt;&gt;AD467)*(PLT!$V$4:$V$8886&lt;&gt;AE467)*("Valid"=PLT!$P$4:$P$7190),PLT!$V$4:$V$8886),"")</f>
        <v/>
      </c>
      <c r="AG467" s="162" t="str">
        <f>IFERROR(IF(AVERAGE(AD467:AF467)&gt;References!$BO$23,References!$BP$23,
IF(AVERAGE(AD467:AF467)&gt;References!$BO$22,References!$BP$22,
IF(AVERAGE(AD467:AF467)&gt;References!$BO$21,References!$BP$21,
IF(AVERAGE(AD467:AF467)&gt;References!$BO$20,References!$BP$20,
IF(AVERAGE(AD467:AF467)&gt;References!$BO$19,References!$BP$19,
IF(AVERAGE(AD467:AF467)&gt;References!$BO$18,References!$BP$18,
0)))))),"")</f>
        <v/>
      </c>
      <c r="AH467" s="163" t="e">
        <f>VLOOKUP(Data_Geotech[[#This Row],[Field Intact Rock Strength]],Table_RMR76_Strength[],2,FALSE)</f>
        <v>#N/A</v>
      </c>
      <c r="AI467" s="163" t="e">
        <f>IF(Data_Geotech[[#This Row],[RQD (%)]]&lt;=25,3,IF(Data_Geotech[[#This Row],[RQD (%)]]&lt;=50,8,IF(Data_Geotech[[#This Row],[RQD (%)]]&lt;=75,13,IF(Data_Geotech[[#This Row],[RQD (%)]]&lt;=90,17,20))))</f>
        <v>#DIV/0!</v>
      </c>
      <c r="AJ467" s="136">
        <f>IF(Data_Geotech[[#This Row],[Joint spacing (m)]]&lt;=0.05,5,IF(Data_Geotech[[#This Row],[Joint spacing (m)]]&lt;=0.3,10,IF(Data_Geotech[[#This Row],[Joint spacing (m)]]&lt;=1,20,IF(Data_Geotech[[#This Row],[Joint spacing (m)]]&lt;=3,25,30))))</f>
        <v>30</v>
      </c>
      <c r="AK46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7" s="6"/>
      <c r="AM467" s="137" t="str">
        <f>IF(Data_Geotech[[#This Row],[FIRS Code]]="R",IFERROR(SUM(Data_Geotech[[#This Row],[RMR76 - Strength rating]:[RMR76 - Ground water rating]]),""),"")</f>
        <v/>
      </c>
      <c r="AN467" s="164" t="str">
        <f>IF(Data_Geotech[[#This Row],[FIRS Code]]="R",(2*Data_Geotech[[#This Row],[RMR76 - Joint condition rating]])+(IF(Data_Geotech[[#This Row],[RQD (%)]]&gt;80,80/2,Data_Geotech[[#This Row],[RQD (%)]]/2)),"")</f>
        <v/>
      </c>
      <c r="AO467" s="136" t="e">
        <f>LEFT(Data_Geotech[[#This Row],[Joint Set Rating]],FIND("-",Data_Geotech[[#This Row],[Joint Set Rating]],1)-2)</f>
        <v>#VALUE!</v>
      </c>
      <c r="AP46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7" s="143">
        <f t="shared" si="11"/>
        <v>1</v>
      </c>
      <c r="AR467" s="165" t="str">
        <f>IF(Data_Geotech[[#This Row],[FIRS Code]]="R",IFERROR((IF(Data_Geotech[[#This Row],[RQD (%)]]&lt;10,10,Data_Geotech[[#This Row],[RQD (%)]])/Data_Geotech[[#This Row],[Jn rating]])*Data_Geotech[[#This Row],[Jr/Ja]],""),"")</f>
        <v/>
      </c>
      <c r="AS467" s="138" t="str">
        <f>IF(Data_Geotech[[#This Row],[FIRS Code]]="R",IFERROR((IF(Data_Geotech[[#This Row],[RQD (%)]]&lt;10,10,Data_Geotech[[#This Row],[RQD (%)]])/Data_Geotech[[#This Row],[Jn rating]])*Data_Geotech[[#This Row],[Jr/Ja]]*Data_Geotech[[#This Row],[Jw/SRF]],""),"")</f>
        <v/>
      </c>
      <c r="AT467" s="12"/>
      <c r="AU467" s="13" t="e">
        <f>100-Data_Geotech[[#This Row],[RQD (%)]]</f>
        <v>#DIV/0!</v>
      </c>
      <c r="AV467" s="13" t="e">
        <f>100-Data_Geotech[[#This Row],[TCR (%)]]</f>
        <v>#DIV/0!</v>
      </c>
      <c r="AW467" s="62" t="e">
        <f>(Data_Geotech[[#This Row],[Fracture per interval]]+Data_Geotech[[#This Row],[Added fractures 
(BC, FLT, LC)]])/Data_Geotech[[#This Row],[TCR (m)]]</f>
        <v>#DIV/0!</v>
      </c>
      <c r="AX467" s="62" t="str">
        <f>MID(Data_Geotech[[#This Row],[Field Intact Rock Strength]],2,1)</f>
        <v/>
      </c>
      <c r="AY467" s="63" t="e">
        <f>7-MID(Data_Geotech[[#This Row],[Field Intact Rock Strength]],2,1)</f>
        <v>#VALUE!</v>
      </c>
      <c r="AZ467" s="63" t="e">
        <f>VLOOKUP(Data_Geotech[[#This Row],[Field Intact Rock Strength]],Table_FieldStrength[],2,FALSE)</f>
        <v>#N/A</v>
      </c>
      <c r="BA467" s="63" t="e">
        <f>VLOOKUP(Data_Geotech[[#This Row],[Field Intact Rock Strength]],Table_FieldStrength[],3,FALSE)</f>
        <v>#N/A</v>
      </c>
      <c r="BB467" s="63" t="e">
        <f>VLOOKUP(Data_Geotech[[#This Row],[Field Intact Rock Strength]],Table_FieldStrength[],4,FALSE)</f>
        <v>#N/A</v>
      </c>
      <c r="BC467" s="63" t="e">
        <f>100-Data_Geotech[[#This Row],[RMR76]]</f>
        <v>#VALUE!</v>
      </c>
      <c r="BD467" s="63" t="e">
        <f>LEFT(Data_Geotech[[#This Row],[Weathering/Alteration]],FIND("-",Data_Geotech[[#This Row],[Weathering/Alteration]])-2)</f>
        <v>#VALUE!</v>
      </c>
    </row>
    <row r="468" spans="1:56" hidden="1" x14ac:dyDescent="0.25">
      <c r="A468" s="14"/>
      <c r="B468" s="166" t="e">
        <f>VLOOKUP(Data_Geotech[[#This Row],[Hole ID]],Data_Log[],2,FALSE)</f>
        <v>#N/A</v>
      </c>
      <c r="C468" s="5"/>
      <c r="D468" s="5"/>
      <c r="E468" s="5">
        <f>(Data_Geotech[[#This Row],[To (m)]]-Data_Geotech[[#This Row],[From (m)]])/2+Data_Geotech[[#This Row],[From (m)]]</f>
        <v>0</v>
      </c>
      <c r="F468" s="13">
        <f>Data_Geotech[[#This Row],[To (m)]]-Data_Geotech[[#This Row],[From (m)]]</f>
        <v>0</v>
      </c>
      <c r="G468" s="5"/>
      <c r="H468" s="13" t="e">
        <f>Data_Geotech[[#This Row],[TCR (m)]]/Data_Geotech[[#This Row],[Run (m)]]*100</f>
        <v>#DIV/0!</v>
      </c>
      <c r="I468" s="5"/>
      <c r="J468" s="5"/>
      <c r="K468" s="5"/>
      <c r="L468" s="13" t="e">
        <f>Data_Geotech[[#This Row],[RQD (m)]]/Data_Geotech[[#This Row],[Run Reel (m)]]*100</f>
        <v>#DIV/0!</v>
      </c>
      <c r="P468" s="115"/>
      <c r="Q468" s="5"/>
      <c r="R468" s="5"/>
      <c r="S468" s="5"/>
      <c r="T468" s="5"/>
      <c r="U468" s="5"/>
      <c r="V468" s="6"/>
      <c r="W468" s="92">
        <f>SUMIFS(Discontinuities!$D$4:$D$9664,Discontinuities!$A$4:$A$9664,A468,Discontinuities!$C$4:$C$9664,"&gt;="&amp;C468,Discontinuities!$C$4:$C$9664,"&lt;"&amp;D468)
-SUMIFS(Discontinuities!$D$4:$D$9664,Discontinuities!$A$4:$A$9664,A468,Discontinuities!$C$4:$C$9664,"&gt;="&amp;C468,Discontinuities!$C$4:$C$9664,"&lt;"&amp;D468,Discontinuities!$E$4:$E$9664,"=BC")
-SUMIFS(Discontinuities!$D$4:$D$9664,Discontinuities!$A$4:$A$9664,A468,Discontinuities!$C$4:$C$9664,"&gt;="&amp;C468,Discontinuities!$C$4:$C$9664,"&lt;"&amp;D468,Discontinuities!$E$4:$E$9664,"=LC")
-SUMIFS(Discontinuities!$D$4:$D$9664,Discontinuities!$A$4:$A$9664,A468,Discontinuities!$C$4:$C$9664,"&gt;="&amp;C468,Discontinuities!$C$4:$C$9664,"&lt;"&amp;D468,Discontinuities!$E$4:$E$9664,"=FLT")</f>
        <v>0</v>
      </c>
      <c r="AA468" s="132"/>
      <c r="AB468" s="159">
        <f>IFERROR(ROUND((Data_Geotech[[#This Row],[Fault (m)]]+Data_Geotech[[#This Row],[Broken Core (m)]]+Data_Geotech[[#This Row],[Lost Core (m)]])*30,0),0)</f>
        <v>0</v>
      </c>
      <c r="AC468" s="135">
        <f>IF(Data_Geotech[[#This Row],[Added fractures 
(BC, FLT, LC)]]+Data_Geotech[[#This Row],[Fracture per interval]]=0,99,1/((Data_Geotech[[#This Row],[Fracture per interval]]+Data_Geotech[[#This Row],[Added fractures 
(BC, FLT, LC)]])/Data_Geotech[[#This Row],[Run (m)]]))</f>
        <v>99</v>
      </c>
      <c r="AD468" s="160" t="str" cm="1">
        <f t="array" ref="AD468">IFERROR(_xlfn.XLOOKUP(1,(A468=PLT!$A$4:$A$8886)*(Geotech!C468&lt;=PLT!$F$4:$F$8886)*(Geotech!D468&gt;=PLT!$F$4:$F$8886)*("Valid"=PLT!$P$4:$P$8886),PLT!$V$4:$V$8886),"")</f>
        <v/>
      </c>
      <c r="AE468" s="161" t="str" cm="1">
        <f t="array" ref="AE468">IFERROR(_xlfn.XLOOKUP(1,(A468=PLT!$A$4:$A$8886)*(Geotech!C468&lt;=PLT!$F$4:$F$8886)*(Geotech!D468&gt;=PLT!$F$4:$F$8886)*(PLT!$V$4:$V$8886&lt;&gt;AD468)*("Valid"=PLT!$P$4:$P$7190),PLT!$V$4:$V$8886),"")</f>
        <v/>
      </c>
      <c r="AF468" s="161" t="str" cm="1">
        <f t="array" ref="AF468">IFERROR(_xlfn.XLOOKUP(1,(A468=PLT!$A$4:$A$8886)*(Geotech!C468&lt;=PLT!$F$4:$F$8886)*(Geotech!D468&gt;=PLT!$F$4:$F$8886)*(PLT!$V$4:$V$8886&lt;&gt;AD468)*(PLT!$V$4:$V$8886&lt;&gt;AE468)*("Valid"=PLT!$P$4:$P$7190),PLT!$V$4:$V$8886),"")</f>
        <v/>
      </c>
      <c r="AG468" s="162" t="str">
        <f>IFERROR(IF(AVERAGE(AD468:AF468)&gt;References!$BO$23,References!$BP$23,
IF(AVERAGE(AD468:AF468)&gt;References!$BO$22,References!$BP$22,
IF(AVERAGE(AD468:AF468)&gt;References!$BO$21,References!$BP$21,
IF(AVERAGE(AD468:AF468)&gt;References!$BO$20,References!$BP$20,
IF(AVERAGE(AD468:AF468)&gt;References!$BO$19,References!$BP$19,
IF(AVERAGE(AD468:AF468)&gt;References!$BO$18,References!$BP$18,
0)))))),"")</f>
        <v/>
      </c>
      <c r="AH468" s="163" t="e">
        <f>VLOOKUP(Data_Geotech[[#This Row],[Field Intact Rock Strength]],Table_RMR76_Strength[],2,FALSE)</f>
        <v>#N/A</v>
      </c>
      <c r="AI468" s="163" t="e">
        <f>IF(Data_Geotech[[#This Row],[RQD (%)]]&lt;=25,3,IF(Data_Geotech[[#This Row],[RQD (%)]]&lt;=50,8,IF(Data_Geotech[[#This Row],[RQD (%)]]&lt;=75,13,IF(Data_Geotech[[#This Row],[RQD (%)]]&lt;=90,17,20))))</f>
        <v>#DIV/0!</v>
      </c>
      <c r="AJ468" s="136">
        <f>IF(Data_Geotech[[#This Row],[Joint spacing (m)]]&lt;=0.05,5,IF(Data_Geotech[[#This Row],[Joint spacing (m)]]&lt;=0.3,10,IF(Data_Geotech[[#This Row],[Joint spacing (m)]]&lt;=1,20,IF(Data_Geotech[[#This Row],[Joint spacing (m)]]&lt;=3,25,30))))</f>
        <v>30</v>
      </c>
      <c r="AK46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8" s="6"/>
      <c r="AM468" s="137" t="str">
        <f>IF(Data_Geotech[[#This Row],[FIRS Code]]="R",IFERROR(SUM(Data_Geotech[[#This Row],[RMR76 - Strength rating]:[RMR76 - Ground water rating]]),""),"")</f>
        <v/>
      </c>
      <c r="AN468" s="164" t="str">
        <f>IF(Data_Geotech[[#This Row],[FIRS Code]]="R",(2*Data_Geotech[[#This Row],[RMR76 - Joint condition rating]])+(IF(Data_Geotech[[#This Row],[RQD (%)]]&gt;80,80/2,Data_Geotech[[#This Row],[RQD (%)]]/2)),"")</f>
        <v/>
      </c>
      <c r="AO468" s="136" t="e">
        <f>LEFT(Data_Geotech[[#This Row],[Joint Set Rating]],FIND("-",Data_Geotech[[#This Row],[Joint Set Rating]],1)-2)</f>
        <v>#VALUE!</v>
      </c>
      <c r="AP46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8" s="143">
        <f t="shared" si="11"/>
        <v>1</v>
      </c>
      <c r="AR468" s="165" t="str">
        <f>IF(Data_Geotech[[#This Row],[FIRS Code]]="R",IFERROR((IF(Data_Geotech[[#This Row],[RQD (%)]]&lt;10,10,Data_Geotech[[#This Row],[RQD (%)]])/Data_Geotech[[#This Row],[Jn rating]])*Data_Geotech[[#This Row],[Jr/Ja]],""),"")</f>
        <v/>
      </c>
      <c r="AS468" s="138" t="str">
        <f>IF(Data_Geotech[[#This Row],[FIRS Code]]="R",IFERROR((IF(Data_Geotech[[#This Row],[RQD (%)]]&lt;10,10,Data_Geotech[[#This Row],[RQD (%)]])/Data_Geotech[[#This Row],[Jn rating]])*Data_Geotech[[#This Row],[Jr/Ja]]*Data_Geotech[[#This Row],[Jw/SRF]],""),"")</f>
        <v/>
      </c>
      <c r="AT468" s="12"/>
      <c r="AU468" s="13" t="e">
        <f>100-Data_Geotech[[#This Row],[RQD (%)]]</f>
        <v>#DIV/0!</v>
      </c>
      <c r="AV468" s="13" t="e">
        <f>100-Data_Geotech[[#This Row],[TCR (%)]]</f>
        <v>#DIV/0!</v>
      </c>
      <c r="AW468" s="62" t="e">
        <f>(Data_Geotech[[#This Row],[Fracture per interval]]+Data_Geotech[[#This Row],[Added fractures 
(BC, FLT, LC)]])/Data_Geotech[[#This Row],[TCR (m)]]</f>
        <v>#DIV/0!</v>
      </c>
      <c r="AX468" s="62" t="str">
        <f>MID(Data_Geotech[[#This Row],[Field Intact Rock Strength]],2,1)</f>
        <v/>
      </c>
      <c r="AY468" s="63" t="e">
        <f>7-MID(Data_Geotech[[#This Row],[Field Intact Rock Strength]],2,1)</f>
        <v>#VALUE!</v>
      </c>
      <c r="AZ468" s="63" t="e">
        <f>VLOOKUP(Data_Geotech[[#This Row],[Field Intact Rock Strength]],Table_FieldStrength[],2,FALSE)</f>
        <v>#N/A</v>
      </c>
      <c r="BA468" s="63" t="e">
        <f>VLOOKUP(Data_Geotech[[#This Row],[Field Intact Rock Strength]],Table_FieldStrength[],3,FALSE)</f>
        <v>#N/A</v>
      </c>
      <c r="BB468" s="63" t="e">
        <f>VLOOKUP(Data_Geotech[[#This Row],[Field Intact Rock Strength]],Table_FieldStrength[],4,FALSE)</f>
        <v>#N/A</v>
      </c>
      <c r="BC468" s="63" t="e">
        <f>100-Data_Geotech[[#This Row],[RMR76]]</f>
        <v>#VALUE!</v>
      </c>
      <c r="BD468" s="63" t="e">
        <f>LEFT(Data_Geotech[[#This Row],[Weathering/Alteration]],FIND("-",Data_Geotech[[#This Row],[Weathering/Alteration]])-2)</f>
        <v>#VALUE!</v>
      </c>
    </row>
    <row r="469" spans="1:56" hidden="1" x14ac:dyDescent="0.25">
      <c r="A469" s="14"/>
      <c r="B469" s="166" t="e">
        <f>VLOOKUP(Data_Geotech[[#This Row],[Hole ID]],Data_Log[],2,FALSE)</f>
        <v>#N/A</v>
      </c>
      <c r="C469" s="5"/>
      <c r="D469" s="5"/>
      <c r="E469" s="5">
        <f>(Data_Geotech[[#This Row],[To (m)]]-Data_Geotech[[#This Row],[From (m)]])/2+Data_Geotech[[#This Row],[From (m)]]</f>
        <v>0</v>
      </c>
      <c r="F469" s="13">
        <f>Data_Geotech[[#This Row],[To (m)]]-Data_Geotech[[#This Row],[From (m)]]</f>
        <v>0</v>
      </c>
      <c r="G469" s="5"/>
      <c r="H469" s="13" t="e">
        <f>Data_Geotech[[#This Row],[TCR (m)]]/Data_Geotech[[#This Row],[Run (m)]]*100</f>
        <v>#DIV/0!</v>
      </c>
      <c r="I469" s="5"/>
      <c r="J469" s="5"/>
      <c r="K469" s="5"/>
      <c r="L469" s="13" t="e">
        <f>Data_Geotech[[#This Row],[RQD (m)]]/Data_Geotech[[#This Row],[Run Reel (m)]]*100</f>
        <v>#DIV/0!</v>
      </c>
      <c r="P469" s="115"/>
      <c r="Q469" s="5"/>
      <c r="R469" s="5"/>
      <c r="S469" s="5"/>
      <c r="T469" s="5"/>
      <c r="U469" s="5"/>
      <c r="V469" s="6"/>
      <c r="W469" s="92">
        <f>SUMIFS(Discontinuities!$D$4:$D$9664,Discontinuities!$A$4:$A$9664,A469,Discontinuities!$C$4:$C$9664,"&gt;="&amp;C469,Discontinuities!$C$4:$C$9664,"&lt;"&amp;D469)
-SUMIFS(Discontinuities!$D$4:$D$9664,Discontinuities!$A$4:$A$9664,A469,Discontinuities!$C$4:$C$9664,"&gt;="&amp;C469,Discontinuities!$C$4:$C$9664,"&lt;"&amp;D469,Discontinuities!$E$4:$E$9664,"=BC")
-SUMIFS(Discontinuities!$D$4:$D$9664,Discontinuities!$A$4:$A$9664,A469,Discontinuities!$C$4:$C$9664,"&gt;="&amp;C469,Discontinuities!$C$4:$C$9664,"&lt;"&amp;D469,Discontinuities!$E$4:$E$9664,"=LC")
-SUMIFS(Discontinuities!$D$4:$D$9664,Discontinuities!$A$4:$A$9664,A469,Discontinuities!$C$4:$C$9664,"&gt;="&amp;C469,Discontinuities!$C$4:$C$9664,"&lt;"&amp;D469,Discontinuities!$E$4:$E$9664,"=FLT")</f>
        <v>0</v>
      </c>
      <c r="AA469" s="132"/>
      <c r="AB469" s="159">
        <f>IFERROR(ROUND((Data_Geotech[[#This Row],[Fault (m)]]+Data_Geotech[[#This Row],[Broken Core (m)]]+Data_Geotech[[#This Row],[Lost Core (m)]])*30,0),0)</f>
        <v>0</v>
      </c>
      <c r="AC469" s="135">
        <f>IF(Data_Geotech[[#This Row],[Added fractures 
(BC, FLT, LC)]]+Data_Geotech[[#This Row],[Fracture per interval]]=0,99,1/((Data_Geotech[[#This Row],[Fracture per interval]]+Data_Geotech[[#This Row],[Added fractures 
(BC, FLT, LC)]])/Data_Geotech[[#This Row],[Run (m)]]))</f>
        <v>99</v>
      </c>
      <c r="AD469" s="160" t="str" cm="1">
        <f t="array" ref="AD469">IFERROR(_xlfn.XLOOKUP(1,(A469=PLT!$A$4:$A$8886)*(Geotech!C469&lt;=PLT!$F$4:$F$8886)*(Geotech!D469&gt;=PLT!$F$4:$F$8886)*("Valid"=PLT!$P$4:$P$8886),PLT!$V$4:$V$8886),"")</f>
        <v/>
      </c>
      <c r="AE469" s="161" t="str" cm="1">
        <f t="array" ref="AE469">IFERROR(_xlfn.XLOOKUP(1,(A469=PLT!$A$4:$A$8886)*(Geotech!C469&lt;=PLT!$F$4:$F$8886)*(Geotech!D469&gt;=PLT!$F$4:$F$8886)*(PLT!$V$4:$V$8886&lt;&gt;AD469)*("Valid"=PLT!$P$4:$P$7190),PLT!$V$4:$V$8886),"")</f>
        <v/>
      </c>
      <c r="AF469" s="161" t="str" cm="1">
        <f t="array" ref="AF469">IFERROR(_xlfn.XLOOKUP(1,(A469=PLT!$A$4:$A$8886)*(Geotech!C469&lt;=PLT!$F$4:$F$8886)*(Geotech!D469&gt;=PLT!$F$4:$F$8886)*(PLT!$V$4:$V$8886&lt;&gt;AD469)*(PLT!$V$4:$V$8886&lt;&gt;AE469)*("Valid"=PLT!$P$4:$P$7190),PLT!$V$4:$V$8886),"")</f>
        <v/>
      </c>
      <c r="AG469" s="162" t="str">
        <f>IFERROR(IF(AVERAGE(AD469:AF469)&gt;References!$BO$23,References!$BP$23,
IF(AVERAGE(AD469:AF469)&gt;References!$BO$22,References!$BP$22,
IF(AVERAGE(AD469:AF469)&gt;References!$BO$21,References!$BP$21,
IF(AVERAGE(AD469:AF469)&gt;References!$BO$20,References!$BP$20,
IF(AVERAGE(AD469:AF469)&gt;References!$BO$19,References!$BP$19,
IF(AVERAGE(AD469:AF469)&gt;References!$BO$18,References!$BP$18,
0)))))),"")</f>
        <v/>
      </c>
      <c r="AH469" s="163" t="e">
        <f>VLOOKUP(Data_Geotech[[#This Row],[Field Intact Rock Strength]],Table_RMR76_Strength[],2,FALSE)</f>
        <v>#N/A</v>
      </c>
      <c r="AI469" s="163" t="e">
        <f>IF(Data_Geotech[[#This Row],[RQD (%)]]&lt;=25,3,IF(Data_Geotech[[#This Row],[RQD (%)]]&lt;=50,8,IF(Data_Geotech[[#This Row],[RQD (%)]]&lt;=75,13,IF(Data_Geotech[[#This Row],[RQD (%)]]&lt;=90,17,20))))</f>
        <v>#DIV/0!</v>
      </c>
      <c r="AJ469" s="136">
        <f>IF(Data_Geotech[[#This Row],[Joint spacing (m)]]&lt;=0.05,5,IF(Data_Geotech[[#This Row],[Joint spacing (m)]]&lt;=0.3,10,IF(Data_Geotech[[#This Row],[Joint spacing (m)]]&lt;=1,20,IF(Data_Geotech[[#This Row],[Joint spacing (m)]]&lt;=3,25,30))))</f>
        <v>30</v>
      </c>
      <c r="AK46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69" s="6"/>
      <c r="AM469" s="137" t="str">
        <f>IF(Data_Geotech[[#This Row],[FIRS Code]]="R",IFERROR(SUM(Data_Geotech[[#This Row],[RMR76 - Strength rating]:[RMR76 - Ground water rating]]),""),"")</f>
        <v/>
      </c>
      <c r="AN469" s="164" t="str">
        <f>IF(Data_Geotech[[#This Row],[FIRS Code]]="R",(2*Data_Geotech[[#This Row],[RMR76 - Joint condition rating]])+(IF(Data_Geotech[[#This Row],[RQD (%)]]&gt;80,80/2,Data_Geotech[[#This Row],[RQD (%)]]/2)),"")</f>
        <v/>
      </c>
      <c r="AO469" s="136" t="e">
        <f>LEFT(Data_Geotech[[#This Row],[Joint Set Rating]],FIND("-",Data_Geotech[[#This Row],[Joint Set Rating]],1)-2)</f>
        <v>#VALUE!</v>
      </c>
      <c r="AP46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69" s="143">
        <f t="shared" si="11"/>
        <v>1</v>
      </c>
      <c r="AR469" s="165" t="str">
        <f>IF(Data_Geotech[[#This Row],[FIRS Code]]="R",IFERROR((IF(Data_Geotech[[#This Row],[RQD (%)]]&lt;10,10,Data_Geotech[[#This Row],[RQD (%)]])/Data_Geotech[[#This Row],[Jn rating]])*Data_Geotech[[#This Row],[Jr/Ja]],""),"")</f>
        <v/>
      </c>
      <c r="AS469" s="138" t="str">
        <f>IF(Data_Geotech[[#This Row],[FIRS Code]]="R",IFERROR((IF(Data_Geotech[[#This Row],[RQD (%)]]&lt;10,10,Data_Geotech[[#This Row],[RQD (%)]])/Data_Geotech[[#This Row],[Jn rating]])*Data_Geotech[[#This Row],[Jr/Ja]]*Data_Geotech[[#This Row],[Jw/SRF]],""),"")</f>
        <v/>
      </c>
      <c r="AT469" s="12"/>
      <c r="AU469" s="13" t="e">
        <f>100-Data_Geotech[[#This Row],[RQD (%)]]</f>
        <v>#DIV/0!</v>
      </c>
      <c r="AV469" s="13" t="e">
        <f>100-Data_Geotech[[#This Row],[TCR (%)]]</f>
        <v>#DIV/0!</v>
      </c>
      <c r="AW469" s="62" t="e">
        <f>(Data_Geotech[[#This Row],[Fracture per interval]]+Data_Geotech[[#This Row],[Added fractures 
(BC, FLT, LC)]])/Data_Geotech[[#This Row],[TCR (m)]]</f>
        <v>#DIV/0!</v>
      </c>
      <c r="AX469" s="62" t="str">
        <f>MID(Data_Geotech[[#This Row],[Field Intact Rock Strength]],2,1)</f>
        <v/>
      </c>
      <c r="AY469" s="63" t="e">
        <f>7-MID(Data_Geotech[[#This Row],[Field Intact Rock Strength]],2,1)</f>
        <v>#VALUE!</v>
      </c>
      <c r="AZ469" s="63" t="e">
        <f>VLOOKUP(Data_Geotech[[#This Row],[Field Intact Rock Strength]],Table_FieldStrength[],2,FALSE)</f>
        <v>#N/A</v>
      </c>
      <c r="BA469" s="63" t="e">
        <f>VLOOKUP(Data_Geotech[[#This Row],[Field Intact Rock Strength]],Table_FieldStrength[],3,FALSE)</f>
        <v>#N/A</v>
      </c>
      <c r="BB469" s="63" t="e">
        <f>VLOOKUP(Data_Geotech[[#This Row],[Field Intact Rock Strength]],Table_FieldStrength[],4,FALSE)</f>
        <v>#N/A</v>
      </c>
      <c r="BC469" s="63" t="e">
        <f>100-Data_Geotech[[#This Row],[RMR76]]</f>
        <v>#VALUE!</v>
      </c>
      <c r="BD469" s="63" t="e">
        <f>LEFT(Data_Geotech[[#This Row],[Weathering/Alteration]],FIND("-",Data_Geotech[[#This Row],[Weathering/Alteration]])-2)</f>
        <v>#VALUE!</v>
      </c>
    </row>
    <row r="470" spans="1:56" hidden="1" x14ac:dyDescent="0.25">
      <c r="A470" s="14"/>
      <c r="B470" s="166" t="e">
        <f>VLOOKUP(Data_Geotech[[#This Row],[Hole ID]],Data_Log[],2,FALSE)</f>
        <v>#N/A</v>
      </c>
      <c r="C470" s="5"/>
      <c r="D470" s="5"/>
      <c r="E470" s="5">
        <f>(Data_Geotech[[#This Row],[To (m)]]-Data_Geotech[[#This Row],[From (m)]])/2+Data_Geotech[[#This Row],[From (m)]]</f>
        <v>0</v>
      </c>
      <c r="F470" s="13">
        <f>Data_Geotech[[#This Row],[To (m)]]-Data_Geotech[[#This Row],[From (m)]]</f>
        <v>0</v>
      </c>
      <c r="G470" s="5"/>
      <c r="H470" s="13" t="e">
        <f>Data_Geotech[[#This Row],[TCR (m)]]/Data_Geotech[[#This Row],[Run (m)]]*100</f>
        <v>#DIV/0!</v>
      </c>
      <c r="I470" s="5"/>
      <c r="J470" s="5"/>
      <c r="K470" s="5"/>
      <c r="L470" s="13" t="e">
        <f>Data_Geotech[[#This Row],[RQD (m)]]/Data_Geotech[[#This Row],[Run Reel (m)]]*100</f>
        <v>#DIV/0!</v>
      </c>
      <c r="P470" s="115"/>
      <c r="Q470" s="5"/>
      <c r="R470" s="5"/>
      <c r="S470" s="5"/>
      <c r="T470" s="5"/>
      <c r="U470" s="5"/>
      <c r="V470" s="6"/>
      <c r="W470" s="92">
        <f>SUMIFS(Discontinuities!$D$4:$D$9664,Discontinuities!$A$4:$A$9664,A470,Discontinuities!$C$4:$C$9664,"&gt;="&amp;C470,Discontinuities!$C$4:$C$9664,"&lt;"&amp;D470)
-SUMIFS(Discontinuities!$D$4:$D$9664,Discontinuities!$A$4:$A$9664,A470,Discontinuities!$C$4:$C$9664,"&gt;="&amp;C470,Discontinuities!$C$4:$C$9664,"&lt;"&amp;D470,Discontinuities!$E$4:$E$9664,"=BC")
-SUMIFS(Discontinuities!$D$4:$D$9664,Discontinuities!$A$4:$A$9664,A470,Discontinuities!$C$4:$C$9664,"&gt;="&amp;C470,Discontinuities!$C$4:$C$9664,"&lt;"&amp;D470,Discontinuities!$E$4:$E$9664,"=LC")
-SUMIFS(Discontinuities!$D$4:$D$9664,Discontinuities!$A$4:$A$9664,A470,Discontinuities!$C$4:$C$9664,"&gt;="&amp;C470,Discontinuities!$C$4:$C$9664,"&lt;"&amp;D470,Discontinuities!$E$4:$E$9664,"=FLT")</f>
        <v>0</v>
      </c>
      <c r="AA470" s="132"/>
      <c r="AB470" s="159">
        <f>IFERROR(ROUND((Data_Geotech[[#This Row],[Fault (m)]]+Data_Geotech[[#This Row],[Broken Core (m)]]+Data_Geotech[[#This Row],[Lost Core (m)]])*30,0),0)</f>
        <v>0</v>
      </c>
      <c r="AC470" s="135">
        <f>IF(Data_Geotech[[#This Row],[Added fractures 
(BC, FLT, LC)]]+Data_Geotech[[#This Row],[Fracture per interval]]=0,99,1/((Data_Geotech[[#This Row],[Fracture per interval]]+Data_Geotech[[#This Row],[Added fractures 
(BC, FLT, LC)]])/Data_Geotech[[#This Row],[Run (m)]]))</f>
        <v>99</v>
      </c>
      <c r="AD470" s="160" t="str" cm="1">
        <f t="array" ref="AD470">IFERROR(_xlfn.XLOOKUP(1,(A470=PLT!$A$4:$A$8886)*(Geotech!C470&lt;=PLT!$F$4:$F$8886)*(Geotech!D470&gt;=PLT!$F$4:$F$8886)*("Valid"=PLT!$P$4:$P$8886),PLT!$V$4:$V$8886),"")</f>
        <v/>
      </c>
      <c r="AE470" s="161" t="str" cm="1">
        <f t="array" ref="AE470">IFERROR(_xlfn.XLOOKUP(1,(A470=PLT!$A$4:$A$8886)*(Geotech!C470&lt;=PLT!$F$4:$F$8886)*(Geotech!D470&gt;=PLT!$F$4:$F$8886)*(PLT!$V$4:$V$8886&lt;&gt;AD470)*("Valid"=PLT!$P$4:$P$7190),PLT!$V$4:$V$8886),"")</f>
        <v/>
      </c>
      <c r="AF470" s="161" t="str" cm="1">
        <f t="array" ref="AF470">IFERROR(_xlfn.XLOOKUP(1,(A470=PLT!$A$4:$A$8886)*(Geotech!C470&lt;=PLT!$F$4:$F$8886)*(Geotech!D470&gt;=PLT!$F$4:$F$8886)*(PLT!$V$4:$V$8886&lt;&gt;AD470)*(PLT!$V$4:$V$8886&lt;&gt;AE470)*("Valid"=PLT!$P$4:$P$7190),PLT!$V$4:$V$8886),"")</f>
        <v/>
      </c>
      <c r="AG470" s="162" t="str">
        <f>IFERROR(IF(AVERAGE(AD470:AF470)&gt;References!$BO$23,References!$BP$23,
IF(AVERAGE(AD470:AF470)&gt;References!$BO$22,References!$BP$22,
IF(AVERAGE(AD470:AF470)&gt;References!$BO$21,References!$BP$21,
IF(AVERAGE(AD470:AF470)&gt;References!$BO$20,References!$BP$20,
IF(AVERAGE(AD470:AF470)&gt;References!$BO$19,References!$BP$19,
IF(AVERAGE(AD470:AF470)&gt;References!$BO$18,References!$BP$18,
0)))))),"")</f>
        <v/>
      </c>
      <c r="AH470" s="163" t="e">
        <f>VLOOKUP(Data_Geotech[[#This Row],[Field Intact Rock Strength]],Table_RMR76_Strength[],2,FALSE)</f>
        <v>#N/A</v>
      </c>
      <c r="AI470" s="163" t="e">
        <f>IF(Data_Geotech[[#This Row],[RQD (%)]]&lt;=25,3,IF(Data_Geotech[[#This Row],[RQD (%)]]&lt;=50,8,IF(Data_Geotech[[#This Row],[RQD (%)]]&lt;=75,13,IF(Data_Geotech[[#This Row],[RQD (%)]]&lt;=90,17,20))))</f>
        <v>#DIV/0!</v>
      </c>
      <c r="AJ470" s="136">
        <f>IF(Data_Geotech[[#This Row],[Joint spacing (m)]]&lt;=0.05,5,IF(Data_Geotech[[#This Row],[Joint spacing (m)]]&lt;=0.3,10,IF(Data_Geotech[[#This Row],[Joint spacing (m)]]&lt;=1,20,IF(Data_Geotech[[#This Row],[Joint spacing (m)]]&lt;=3,25,30))))</f>
        <v>30</v>
      </c>
      <c r="AK47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0" s="6"/>
      <c r="AM470" s="137" t="str">
        <f>IF(Data_Geotech[[#This Row],[FIRS Code]]="R",IFERROR(SUM(Data_Geotech[[#This Row],[RMR76 - Strength rating]:[RMR76 - Ground water rating]]),""),"")</f>
        <v/>
      </c>
      <c r="AN470" s="164" t="str">
        <f>IF(Data_Geotech[[#This Row],[FIRS Code]]="R",(2*Data_Geotech[[#This Row],[RMR76 - Joint condition rating]])+(IF(Data_Geotech[[#This Row],[RQD (%)]]&gt;80,80/2,Data_Geotech[[#This Row],[RQD (%)]]/2)),"")</f>
        <v/>
      </c>
      <c r="AO470" s="136" t="e">
        <f>LEFT(Data_Geotech[[#This Row],[Joint Set Rating]],FIND("-",Data_Geotech[[#This Row],[Joint Set Rating]],1)-2)</f>
        <v>#VALUE!</v>
      </c>
      <c r="AP47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0" s="143">
        <f t="shared" si="11"/>
        <v>1</v>
      </c>
      <c r="AR470" s="165" t="str">
        <f>IF(Data_Geotech[[#This Row],[FIRS Code]]="R",IFERROR((IF(Data_Geotech[[#This Row],[RQD (%)]]&lt;10,10,Data_Geotech[[#This Row],[RQD (%)]])/Data_Geotech[[#This Row],[Jn rating]])*Data_Geotech[[#This Row],[Jr/Ja]],""),"")</f>
        <v/>
      </c>
      <c r="AS470" s="138" t="str">
        <f>IF(Data_Geotech[[#This Row],[FIRS Code]]="R",IFERROR((IF(Data_Geotech[[#This Row],[RQD (%)]]&lt;10,10,Data_Geotech[[#This Row],[RQD (%)]])/Data_Geotech[[#This Row],[Jn rating]])*Data_Geotech[[#This Row],[Jr/Ja]]*Data_Geotech[[#This Row],[Jw/SRF]],""),"")</f>
        <v/>
      </c>
      <c r="AT470" s="12"/>
      <c r="AU470" s="13" t="e">
        <f>100-Data_Geotech[[#This Row],[RQD (%)]]</f>
        <v>#DIV/0!</v>
      </c>
      <c r="AV470" s="13" t="e">
        <f>100-Data_Geotech[[#This Row],[TCR (%)]]</f>
        <v>#DIV/0!</v>
      </c>
      <c r="AW470" s="62" t="e">
        <f>(Data_Geotech[[#This Row],[Fracture per interval]]+Data_Geotech[[#This Row],[Added fractures 
(BC, FLT, LC)]])/Data_Geotech[[#This Row],[TCR (m)]]</f>
        <v>#DIV/0!</v>
      </c>
      <c r="AX470" s="62" t="str">
        <f>MID(Data_Geotech[[#This Row],[Field Intact Rock Strength]],2,1)</f>
        <v/>
      </c>
      <c r="AY470" s="63" t="e">
        <f>7-MID(Data_Geotech[[#This Row],[Field Intact Rock Strength]],2,1)</f>
        <v>#VALUE!</v>
      </c>
      <c r="AZ470" s="63" t="e">
        <f>VLOOKUP(Data_Geotech[[#This Row],[Field Intact Rock Strength]],Table_FieldStrength[],2,FALSE)</f>
        <v>#N/A</v>
      </c>
      <c r="BA470" s="63" t="e">
        <f>VLOOKUP(Data_Geotech[[#This Row],[Field Intact Rock Strength]],Table_FieldStrength[],3,FALSE)</f>
        <v>#N/A</v>
      </c>
      <c r="BB470" s="63" t="e">
        <f>VLOOKUP(Data_Geotech[[#This Row],[Field Intact Rock Strength]],Table_FieldStrength[],4,FALSE)</f>
        <v>#N/A</v>
      </c>
      <c r="BC470" s="63" t="e">
        <f>100-Data_Geotech[[#This Row],[RMR76]]</f>
        <v>#VALUE!</v>
      </c>
      <c r="BD470" s="63" t="e">
        <f>LEFT(Data_Geotech[[#This Row],[Weathering/Alteration]],FIND("-",Data_Geotech[[#This Row],[Weathering/Alteration]])-2)</f>
        <v>#VALUE!</v>
      </c>
    </row>
    <row r="471" spans="1:56" hidden="1" x14ac:dyDescent="0.25">
      <c r="A471" s="14"/>
      <c r="B471" s="166" t="e">
        <f>VLOOKUP(Data_Geotech[[#This Row],[Hole ID]],Data_Log[],2,FALSE)</f>
        <v>#N/A</v>
      </c>
      <c r="C471" s="5"/>
      <c r="D471" s="5"/>
      <c r="E471" s="5">
        <f>(Data_Geotech[[#This Row],[To (m)]]-Data_Geotech[[#This Row],[From (m)]])/2+Data_Geotech[[#This Row],[From (m)]]</f>
        <v>0</v>
      </c>
      <c r="F471" s="13">
        <f>Data_Geotech[[#This Row],[To (m)]]-Data_Geotech[[#This Row],[From (m)]]</f>
        <v>0</v>
      </c>
      <c r="G471" s="5"/>
      <c r="H471" s="13" t="e">
        <f>Data_Geotech[[#This Row],[TCR (m)]]/Data_Geotech[[#This Row],[Run (m)]]*100</f>
        <v>#DIV/0!</v>
      </c>
      <c r="I471" s="5"/>
      <c r="J471" s="5"/>
      <c r="K471" s="5"/>
      <c r="L471" s="13" t="e">
        <f>Data_Geotech[[#This Row],[RQD (m)]]/Data_Geotech[[#This Row],[Run Reel (m)]]*100</f>
        <v>#DIV/0!</v>
      </c>
      <c r="P471" s="115"/>
      <c r="Q471" s="5"/>
      <c r="R471" s="5"/>
      <c r="S471" s="5"/>
      <c r="T471" s="5"/>
      <c r="U471" s="5"/>
      <c r="V471" s="6"/>
      <c r="W471" s="92">
        <f>SUMIFS(Discontinuities!$D$4:$D$9664,Discontinuities!$A$4:$A$9664,A471,Discontinuities!$C$4:$C$9664,"&gt;="&amp;C471,Discontinuities!$C$4:$C$9664,"&lt;"&amp;D471)
-SUMIFS(Discontinuities!$D$4:$D$9664,Discontinuities!$A$4:$A$9664,A471,Discontinuities!$C$4:$C$9664,"&gt;="&amp;C471,Discontinuities!$C$4:$C$9664,"&lt;"&amp;D471,Discontinuities!$E$4:$E$9664,"=BC")
-SUMIFS(Discontinuities!$D$4:$D$9664,Discontinuities!$A$4:$A$9664,A471,Discontinuities!$C$4:$C$9664,"&gt;="&amp;C471,Discontinuities!$C$4:$C$9664,"&lt;"&amp;D471,Discontinuities!$E$4:$E$9664,"=LC")
-SUMIFS(Discontinuities!$D$4:$D$9664,Discontinuities!$A$4:$A$9664,A471,Discontinuities!$C$4:$C$9664,"&gt;="&amp;C471,Discontinuities!$C$4:$C$9664,"&lt;"&amp;D471,Discontinuities!$E$4:$E$9664,"=FLT")</f>
        <v>0</v>
      </c>
      <c r="AA471" s="132"/>
      <c r="AB471" s="159">
        <f>IFERROR(ROUND((Data_Geotech[[#This Row],[Fault (m)]]+Data_Geotech[[#This Row],[Broken Core (m)]]+Data_Geotech[[#This Row],[Lost Core (m)]])*30,0),0)</f>
        <v>0</v>
      </c>
      <c r="AC471" s="135">
        <f>IF(Data_Geotech[[#This Row],[Added fractures 
(BC, FLT, LC)]]+Data_Geotech[[#This Row],[Fracture per interval]]=0,99,1/((Data_Geotech[[#This Row],[Fracture per interval]]+Data_Geotech[[#This Row],[Added fractures 
(BC, FLT, LC)]])/Data_Geotech[[#This Row],[Run (m)]]))</f>
        <v>99</v>
      </c>
      <c r="AD471" s="160" t="str" cm="1">
        <f t="array" ref="AD471">IFERROR(_xlfn.XLOOKUP(1,(A471=PLT!$A$4:$A$8886)*(Geotech!C471&lt;=PLT!$F$4:$F$8886)*(Geotech!D471&gt;=PLT!$F$4:$F$8886)*("Valid"=PLT!$P$4:$P$8886),PLT!$V$4:$V$8886),"")</f>
        <v/>
      </c>
      <c r="AE471" s="161" t="str" cm="1">
        <f t="array" ref="AE471">IFERROR(_xlfn.XLOOKUP(1,(A471=PLT!$A$4:$A$8886)*(Geotech!C471&lt;=PLT!$F$4:$F$8886)*(Geotech!D471&gt;=PLT!$F$4:$F$8886)*(PLT!$V$4:$V$8886&lt;&gt;AD471)*("Valid"=PLT!$P$4:$P$7190),PLT!$V$4:$V$8886),"")</f>
        <v/>
      </c>
      <c r="AF471" s="161" t="str" cm="1">
        <f t="array" ref="AF471">IFERROR(_xlfn.XLOOKUP(1,(A471=PLT!$A$4:$A$8886)*(Geotech!C471&lt;=PLT!$F$4:$F$8886)*(Geotech!D471&gt;=PLT!$F$4:$F$8886)*(PLT!$V$4:$V$8886&lt;&gt;AD471)*(PLT!$V$4:$V$8886&lt;&gt;AE471)*("Valid"=PLT!$P$4:$P$7190),PLT!$V$4:$V$8886),"")</f>
        <v/>
      </c>
      <c r="AG471" s="162" t="str">
        <f>IFERROR(IF(AVERAGE(AD471:AF471)&gt;References!$BO$23,References!$BP$23,
IF(AVERAGE(AD471:AF471)&gt;References!$BO$22,References!$BP$22,
IF(AVERAGE(AD471:AF471)&gt;References!$BO$21,References!$BP$21,
IF(AVERAGE(AD471:AF471)&gt;References!$BO$20,References!$BP$20,
IF(AVERAGE(AD471:AF471)&gt;References!$BO$19,References!$BP$19,
IF(AVERAGE(AD471:AF471)&gt;References!$BO$18,References!$BP$18,
0)))))),"")</f>
        <v/>
      </c>
      <c r="AH471" s="163" t="e">
        <f>VLOOKUP(Data_Geotech[[#This Row],[Field Intact Rock Strength]],Table_RMR76_Strength[],2,FALSE)</f>
        <v>#N/A</v>
      </c>
      <c r="AI471" s="163" t="e">
        <f>IF(Data_Geotech[[#This Row],[RQD (%)]]&lt;=25,3,IF(Data_Geotech[[#This Row],[RQD (%)]]&lt;=50,8,IF(Data_Geotech[[#This Row],[RQD (%)]]&lt;=75,13,IF(Data_Geotech[[#This Row],[RQD (%)]]&lt;=90,17,20))))</f>
        <v>#DIV/0!</v>
      </c>
      <c r="AJ471" s="136">
        <f>IF(Data_Geotech[[#This Row],[Joint spacing (m)]]&lt;=0.05,5,IF(Data_Geotech[[#This Row],[Joint spacing (m)]]&lt;=0.3,10,IF(Data_Geotech[[#This Row],[Joint spacing (m)]]&lt;=1,20,IF(Data_Geotech[[#This Row],[Joint spacing (m)]]&lt;=3,25,30))))</f>
        <v>30</v>
      </c>
      <c r="AK47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1" s="6"/>
      <c r="AM471" s="137" t="str">
        <f>IF(Data_Geotech[[#This Row],[FIRS Code]]="R",IFERROR(SUM(Data_Geotech[[#This Row],[RMR76 - Strength rating]:[RMR76 - Ground water rating]]),""),"")</f>
        <v/>
      </c>
      <c r="AN471" s="164" t="str">
        <f>IF(Data_Geotech[[#This Row],[FIRS Code]]="R",(2*Data_Geotech[[#This Row],[RMR76 - Joint condition rating]])+(IF(Data_Geotech[[#This Row],[RQD (%)]]&gt;80,80/2,Data_Geotech[[#This Row],[RQD (%)]]/2)),"")</f>
        <v/>
      </c>
      <c r="AO471" s="136" t="e">
        <f>LEFT(Data_Geotech[[#This Row],[Joint Set Rating]],FIND("-",Data_Geotech[[#This Row],[Joint Set Rating]],1)-2)</f>
        <v>#VALUE!</v>
      </c>
      <c r="AP47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1" s="143">
        <f t="shared" si="11"/>
        <v>1</v>
      </c>
      <c r="AR471" s="165" t="str">
        <f>IF(Data_Geotech[[#This Row],[FIRS Code]]="R",IFERROR((IF(Data_Geotech[[#This Row],[RQD (%)]]&lt;10,10,Data_Geotech[[#This Row],[RQD (%)]])/Data_Geotech[[#This Row],[Jn rating]])*Data_Geotech[[#This Row],[Jr/Ja]],""),"")</f>
        <v/>
      </c>
      <c r="AS471" s="138" t="str">
        <f>IF(Data_Geotech[[#This Row],[FIRS Code]]="R",IFERROR((IF(Data_Geotech[[#This Row],[RQD (%)]]&lt;10,10,Data_Geotech[[#This Row],[RQD (%)]])/Data_Geotech[[#This Row],[Jn rating]])*Data_Geotech[[#This Row],[Jr/Ja]]*Data_Geotech[[#This Row],[Jw/SRF]],""),"")</f>
        <v/>
      </c>
      <c r="AT471" s="12"/>
      <c r="AU471" s="13" t="e">
        <f>100-Data_Geotech[[#This Row],[RQD (%)]]</f>
        <v>#DIV/0!</v>
      </c>
      <c r="AV471" s="13" t="e">
        <f>100-Data_Geotech[[#This Row],[TCR (%)]]</f>
        <v>#DIV/0!</v>
      </c>
      <c r="AW471" s="62" t="e">
        <f>(Data_Geotech[[#This Row],[Fracture per interval]]+Data_Geotech[[#This Row],[Added fractures 
(BC, FLT, LC)]])/Data_Geotech[[#This Row],[TCR (m)]]</f>
        <v>#DIV/0!</v>
      </c>
      <c r="AX471" s="62" t="str">
        <f>MID(Data_Geotech[[#This Row],[Field Intact Rock Strength]],2,1)</f>
        <v/>
      </c>
      <c r="AY471" s="63" t="e">
        <f>7-MID(Data_Geotech[[#This Row],[Field Intact Rock Strength]],2,1)</f>
        <v>#VALUE!</v>
      </c>
      <c r="AZ471" s="63" t="e">
        <f>VLOOKUP(Data_Geotech[[#This Row],[Field Intact Rock Strength]],Table_FieldStrength[],2,FALSE)</f>
        <v>#N/A</v>
      </c>
      <c r="BA471" s="63" t="e">
        <f>VLOOKUP(Data_Geotech[[#This Row],[Field Intact Rock Strength]],Table_FieldStrength[],3,FALSE)</f>
        <v>#N/A</v>
      </c>
      <c r="BB471" s="63" t="e">
        <f>VLOOKUP(Data_Geotech[[#This Row],[Field Intact Rock Strength]],Table_FieldStrength[],4,FALSE)</f>
        <v>#N/A</v>
      </c>
      <c r="BC471" s="63" t="e">
        <f>100-Data_Geotech[[#This Row],[RMR76]]</f>
        <v>#VALUE!</v>
      </c>
      <c r="BD471" s="63" t="e">
        <f>LEFT(Data_Geotech[[#This Row],[Weathering/Alteration]],FIND("-",Data_Geotech[[#This Row],[Weathering/Alteration]])-2)</f>
        <v>#VALUE!</v>
      </c>
    </row>
    <row r="472" spans="1:56" hidden="1" x14ac:dyDescent="0.25">
      <c r="A472" s="14"/>
      <c r="B472" s="166" t="e">
        <f>VLOOKUP(Data_Geotech[[#This Row],[Hole ID]],Data_Log[],2,FALSE)</f>
        <v>#N/A</v>
      </c>
      <c r="C472" s="5"/>
      <c r="D472" s="5"/>
      <c r="E472" s="5">
        <f>(Data_Geotech[[#This Row],[To (m)]]-Data_Geotech[[#This Row],[From (m)]])/2+Data_Geotech[[#This Row],[From (m)]]</f>
        <v>0</v>
      </c>
      <c r="F472" s="13">
        <f>Data_Geotech[[#This Row],[To (m)]]-Data_Geotech[[#This Row],[From (m)]]</f>
        <v>0</v>
      </c>
      <c r="G472" s="5"/>
      <c r="H472" s="13" t="e">
        <f>Data_Geotech[[#This Row],[TCR (m)]]/Data_Geotech[[#This Row],[Run (m)]]*100</f>
        <v>#DIV/0!</v>
      </c>
      <c r="I472" s="5"/>
      <c r="J472" s="5"/>
      <c r="K472" s="5"/>
      <c r="L472" s="13" t="e">
        <f>Data_Geotech[[#This Row],[RQD (m)]]/Data_Geotech[[#This Row],[Run Reel (m)]]*100</f>
        <v>#DIV/0!</v>
      </c>
      <c r="P472" s="115"/>
      <c r="Q472" s="5"/>
      <c r="R472" s="5"/>
      <c r="S472" s="5"/>
      <c r="T472" s="5"/>
      <c r="U472" s="5"/>
      <c r="V472" s="6"/>
      <c r="W472" s="92">
        <f>SUMIFS(Discontinuities!$D$4:$D$9664,Discontinuities!$A$4:$A$9664,A472,Discontinuities!$C$4:$C$9664,"&gt;="&amp;C472,Discontinuities!$C$4:$C$9664,"&lt;"&amp;D472)
-SUMIFS(Discontinuities!$D$4:$D$9664,Discontinuities!$A$4:$A$9664,A472,Discontinuities!$C$4:$C$9664,"&gt;="&amp;C472,Discontinuities!$C$4:$C$9664,"&lt;"&amp;D472,Discontinuities!$E$4:$E$9664,"=BC")
-SUMIFS(Discontinuities!$D$4:$D$9664,Discontinuities!$A$4:$A$9664,A472,Discontinuities!$C$4:$C$9664,"&gt;="&amp;C472,Discontinuities!$C$4:$C$9664,"&lt;"&amp;D472,Discontinuities!$E$4:$E$9664,"=LC")
-SUMIFS(Discontinuities!$D$4:$D$9664,Discontinuities!$A$4:$A$9664,A472,Discontinuities!$C$4:$C$9664,"&gt;="&amp;C472,Discontinuities!$C$4:$C$9664,"&lt;"&amp;D472,Discontinuities!$E$4:$E$9664,"=FLT")</f>
        <v>0</v>
      </c>
      <c r="AA472" s="132"/>
      <c r="AB472" s="159">
        <f>IFERROR(ROUND((Data_Geotech[[#This Row],[Fault (m)]]+Data_Geotech[[#This Row],[Broken Core (m)]]+Data_Geotech[[#This Row],[Lost Core (m)]])*30,0),0)</f>
        <v>0</v>
      </c>
      <c r="AC472" s="135">
        <f>IF(Data_Geotech[[#This Row],[Added fractures 
(BC, FLT, LC)]]+Data_Geotech[[#This Row],[Fracture per interval]]=0,99,1/((Data_Geotech[[#This Row],[Fracture per interval]]+Data_Geotech[[#This Row],[Added fractures 
(BC, FLT, LC)]])/Data_Geotech[[#This Row],[Run (m)]]))</f>
        <v>99</v>
      </c>
      <c r="AD472" s="160" t="str" cm="1">
        <f t="array" ref="AD472">IFERROR(_xlfn.XLOOKUP(1,(A472=PLT!$A$4:$A$8886)*(Geotech!C472&lt;=PLT!$F$4:$F$8886)*(Geotech!D472&gt;=PLT!$F$4:$F$8886)*("Valid"=PLT!$P$4:$P$8886),PLT!$V$4:$V$8886),"")</f>
        <v/>
      </c>
      <c r="AE472" s="161" t="str" cm="1">
        <f t="array" ref="AE472">IFERROR(_xlfn.XLOOKUP(1,(A472=PLT!$A$4:$A$8886)*(Geotech!C472&lt;=PLT!$F$4:$F$8886)*(Geotech!D472&gt;=PLT!$F$4:$F$8886)*(PLT!$V$4:$V$8886&lt;&gt;AD472)*("Valid"=PLT!$P$4:$P$7190),PLT!$V$4:$V$8886),"")</f>
        <v/>
      </c>
      <c r="AF472" s="161" t="str" cm="1">
        <f t="array" ref="AF472">IFERROR(_xlfn.XLOOKUP(1,(A472=PLT!$A$4:$A$8886)*(Geotech!C472&lt;=PLT!$F$4:$F$8886)*(Geotech!D472&gt;=PLT!$F$4:$F$8886)*(PLT!$V$4:$V$8886&lt;&gt;AD472)*(PLT!$V$4:$V$8886&lt;&gt;AE472)*("Valid"=PLT!$P$4:$P$7190),PLT!$V$4:$V$8886),"")</f>
        <v/>
      </c>
      <c r="AG472" s="162" t="str">
        <f>IFERROR(IF(AVERAGE(AD472:AF472)&gt;References!$BO$23,References!$BP$23,
IF(AVERAGE(AD472:AF472)&gt;References!$BO$22,References!$BP$22,
IF(AVERAGE(AD472:AF472)&gt;References!$BO$21,References!$BP$21,
IF(AVERAGE(AD472:AF472)&gt;References!$BO$20,References!$BP$20,
IF(AVERAGE(AD472:AF472)&gt;References!$BO$19,References!$BP$19,
IF(AVERAGE(AD472:AF472)&gt;References!$BO$18,References!$BP$18,
0)))))),"")</f>
        <v/>
      </c>
      <c r="AH472" s="163" t="e">
        <f>VLOOKUP(Data_Geotech[[#This Row],[Field Intact Rock Strength]],Table_RMR76_Strength[],2,FALSE)</f>
        <v>#N/A</v>
      </c>
      <c r="AI472" s="163" t="e">
        <f>IF(Data_Geotech[[#This Row],[RQD (%)]]&lt;=25,3,IF(Data_Geotech[[#This Row],[RQD (%)]]&lt;=50,8,IF(Data_Geotech[[#This Row],[RQD (%)]]&lt;=75,13,IF(Data_Geotech[[#This Row],[RQD (%)]]&lt;=90,17,20))))</f>
        <v>#DIV/0!</v>
      </c>
      <c r="AJ472" s="136">
        <f>IF(Data_Geotech[[#This Row],[Joint spacing (m)]]&lt;=0.05,5,IF(Data_Geotech[[#This Row],[Joint spacing (m)]]&lt;=0.3,10,IF(Data_Geotech[[#This Row],[Joint spacing (m)]]&lt;=1,20,IF(Data_Geotech[[#This Row],[Joint spacing (m)]]&lt;=3,25,30))))</f>
        <v>30</v>
      </c>
      <c r="AK47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2" s="6"/>
      <c r="AM472" s="137" t="str">
        <f>IF(Data_Geotech[[#This Row],[FIRS Code]]="R",IFERROR(SUM(Data_Geotech[[#This Row],[RMR76 - Strength rating]:[RMR76 - Ground water rating]]),""),"")</f>
        <v/>
      </c>
      <c r="AN472" s="164" t="str">
        <f>IF(Data_Geotech[[#This Row],[FIRS Code]]="R",(2*Data_Geotech[[#This Row],[RMR76 - Joint condition rating]])+(IF(Data_Geotech[[#This Row],[RQD (%)]]&gt;80,80/2,Data_Geotech[[#This Row],[RQD (%)]]/2)),"")</f>
        <v/>
      </c>
      <c r="AO472" s="136" t="e">
        <f>LEFT(Data_Geotech[[#This Row],[Joint Set Rating]],FIND("-",Data_Geotech[[#This Row],[Joint Set Rating]],1)-2)</f>
        <v>#VALUE!</v>
      </c>
      <c r="AP47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2" s="143">
        <f t="shared" si="11"/>
        <v>1</v>
      </c>
      <c r="AR472" s="165" t="str">
        <f>IF(Data_Geotech[[#This Row],[FIRS Code]]="R",IFERROR((IF(Data_Geotech[[#This Row],[RQD (%)]]&lt;10,10,Data_Geotech[[#This Row],[RQD (%)]])/Data_Geotech[[#This Row],[Jn rating]])*Data_Geotech[[#This Row],[Jr/Ja]],""),"")</f>
        <v/>
      </c>
      <c r="AS472" s="138" t="str">
        <f>IF(Data_Geotech[[#This Row],[FIRS Code]]="R",IFERROR((IF(Data_Geotech[[#This Row],[RQD (%)]]&lt;10,10,Data_Geotech[[#This Row],[RQD (%)]])/Data_Geotech[[#This Row],[Jn rating]])*Data_Geotech[[#This Row],[Jr/Ja]]*Data_Geotech[[#This Row],[Jw/SRF]],""),"")</f>
        <v/>
      </c>
      <c r="AT472" s="12"/>
      <c r="AU472" s="13" t="e">
        <f>100-Data_Geotech[[#This Row],[RQD (%)]]</f>
        <v>#DIV/0!</v>
      </c>
      <c r="AV472" s="13" t="e">
        <f>100-Data_Geotech[[#This Row],[TCR (%)]]</f>
        <v>#DIV/0!</v>
      </c>
      <c r="AW472" s="62" t="e">
        <f>(Data_Geotech[[#This Row],[Fracture per interval]]+Data_Geotech[[#This Row],[Added fractures 
(BC, FLT, LC)]])/Data_Geotech[[#This Row],[TCR (m)]]</f>
        <v>#DIV/0!</v>
      </c>
      <c r="AX472" s="62" t="str">
        <f>MID(Data_Geotech[[#This Row],[Field Intact Rock Strength]],2,1)</f>
        <v/>
      </c>
      <c r="AY472" s="63" t="e">
        <f>7-MID(Data_Geotech[[#This Row],[Field Intact Rock Strength]],2,1)</f>
        <v>#VALUE!</v>
      </c>
      <c r="AZ472" s="63" t="e">
        <f>VLOOKUP(Data_Geotech[[#This Row],[Field Intact Rock Strength]],Table_FieldStrength[],2,FALSE)</f>
        <v>#N/A</v>
      </c>
      <c r="BA472" s="63" t="e">
        <f>VLOOKUP(Data_Geotech[[#This Row],[Field Intact Rock Strength]],Table_FieldStrength[],3,FALSE)</f>
        <v>#N/A</v>
      </c>
      <c r="BB472" s="63" t="e">
        <f>VLOOKUP(Data_Geotech[[#This Row],[Field Intact Rock Strength]],Table_FieldStrength[],4,FALSE)</f>
        <v>#N/A</v>
      </c>
      <c r="BC472" s="63" t="e">
        <f>100-Data_Geotech[[#This Row],[RMR76]]</f>
        <v>#VALUE!</v>
      </c>
      <c r="BD472" s="63" t="e">
        <f>LEFT(Data_Geotech[[#This Row],[Weathering/Alteration]],FIND("-",Data_Geotech[[#This Row],[Weathering/Alteration]])-2)</f>
        <v>#VALUE!</v>
      </c>
    </row>
    <row r="473" spans="1:56" hidden="1" x14ac:dyDescent="0.25">
      <c r="A473" s="14"/>
      <c r="B473" s="166" t="e">
        <f>VLOOKUP(Data_Geotech[[#This Row],[Hole ID]],Data_Log[],2,FALSE)</f>
        <v>#N/A</v>
      </c>
      <c r="C473" s="5"/>
      <c r="D473" s="5"/>
      <c r="E473" s="5">
        <f>(Data_Geotech[[#This Row],[To (m)]]-Data_Geotech[[#This Row],[From (m)]])/2+Data_Geotech[[#This Row],[From (m)]]</f>
        <v>0</v>
      </c>
      <c r="F473" s="13">
        <f>Data_Geotech[[#This Row],[To (m)]]-Data_Geotech[[#This Row],[From (m)]]</f>
        <v>0</v>
      </c>
      <c r="G473" s="5"/>
      <c r="H473" s="13" t="e">
        <f>Data_Geotech[[#This Row],[TCR (m)]]/Data_Geotech[[#This Row],[Run (m)]]*100</f>
        <v>#DIV/0!</v>
      </c>
      <c r="I473" s="5"/>
      <c r="J473" s="5"/>
      <c r="K473" s="5"/>
      <c r="L473" s="13" t="e">
        <f>Data_Geotech[[#This Row],[RQD (m)]]/Data_Geotech[[#This Row],[Run Reel (m)]]*100</f>
        <v>#DIV/0!</v>
      </c>
      <c r="P473" s="115"/>
      <c r="Q473" s="5"/>
      <c r="R473" s="5"/>
      <c r="S473" s="5"/>
      <c r="T473" s="5"/>
      <c r="U473" s="5"/>
      <c r="V473" s="6"/>
      <c r="W473" s="92">
        <f>SUMIFS(Discontinuities!$D$4:$D$9664,Discontinuities!$A$4:$A$9664,A473,Discontinuities!$C$4:$C$9664,"&gt;="&amp;C473,Discontinuities!$C$4:$C$9664,"&lt;"&amp;D473)
-SUMIFS(Discontinuities!$D$4:$D$9664,Discontinuities!$A$4:$A$9664,A473,Discontinuities!$C$4:$C$9664,"&gt;="&amp;C473,Discontinuities!$C$4:$C$9664,"&lt;"&amp;D473,Discontinuities!$E$4:$E$9664,"=BC")
-SUMIFS(Discontinuities!$D$4:$D$9664,Discontinuities!$A$4:$A$9664,A473,Discontinuities!$C$4:$C$9664,"&gt;="&amp;C473,Discontinuities!$C$4:$C$9664,"&lt;"&amp;D473,Discontinuities!$E$4:$E$9664,"=LC")
-SUMIFS(Discontinuities!$D$4:$D$9664,Discontinuities!$A$4:$A$9664,A473,Discontinuities!$C$4:$C$9664,"&gt;="&amp;C473,Discontinuities!$C$4:$C$9664,"&lt;"&amp;D473,Discontinuities!$E$4:$E$9664,"=FLT")</f>
        <v>0</v>
      </c>
      <c r="AA473" s="132"/>
      <c r="AB473" s="159">
        <f>IFERROR(ROUND((Data_Geotech[[#This Row],[Fault (m)]]+Data_Geotech[[#This Row],[Broken Core (m)]]+Data_Geotech[[#This Row],[Lost Core (m)]])*30,0),0)</f>
        <v>0</v>
      </c>
      <c r="AC473" s="135">
        <f>IF(Data_Geotech[[#This Row],[Added fractures 
(BC, FLT, LC)]]+Data_Geotech[[#This Row],[Fracture per interval]]=0,99,1/((Data_Geotech[[#This Row],[Fracture per interval]]+Data_Geotech[[#This Row],[Added fractures 
(BC, FLT, LC)]])/Data_Geotech[[#This Row],[Run (m)]]))</f>
        <v>99</v>
      </c>
      <c r="AD473" s="160" t="str" cm="1">
        <f t="array" ref="AD473">IFERROR(_xlfn.XLOOKUP(1,(A473=PLT!$A$4:$A$8886)*(Geotech!C473&lt;=PLT!$F$4:$F$8886)*(Geotech!D473&gt;=PLT!$F$4:$F$8886)*("Valid"=PLT!$P$4:$P$8886),PLT!$V$4:$V$8886),"")</f>
        <v/>
      </c>
      <c r="AE473" s="161" t="str" cm="1">
        <f t="array" ref="AE473">IFERROR(_xlfn.XLOOKUP(1,(A473=PLT!$A$4:$A$8886)*(Geotech!C473&lt;=PLT!$F$4:$F$8886)*(Geotech!D473&gt;=PLT!$F$4:$F$8886)*(PLT!$V$4:$V$8886&lt;&gt;AD473)*("Valid"=PLT!$P$4:$P$7190),PLT!$V$4:$V$8886),"")</f>
        <v/>
      </c>
      <c r="AF473" s="161" t="str" cm="1">
        <f t="array" ref="AF473">IFERROR(_xlfn.XLOOKUP(1,(A473=PLT!$A$4:$A$8886)*(Geotech!C473&lt;=PLT!$F$4:$F$8886)*(Geotech!D473&gt;=PLT!$F$4:$F$8886)*(PLT!$V$4:$V$8886&lt;&gt;AD473)*(PLT!$V$4:$V$8886&lt;&gt;AE473)*("Valid"=PLT!$P$4:$P$7190),PLT!$V$4:$V$8886),"")</f>
        <v/>
      </c>
      <c r="AG473" s="162" t="str">
        <f>IFERROR(IF(AVERAGE(AD473:AF473)&gt;References!$BO$23,References!$BP$23,
IF(AVERAGE(AD473:AF473)&gt;References!$BO$22,References!$BP$22,
IF(AVERAGE(AD473:AF473)&gt;References!$BO$21,References!$BP$21,
IF(AVERAGE(AD473:AF473)&gt;References!$BO$20,References!$BP$20,
IF(AVERAGE(AD473:AF473)&gt;References!$BO$19,References!$BP$19,
IF(AVERAGE(AD473:AF473)&gt;References!$BO$18,References!$BP$18,
0)))))),"")</f>
        <v/>
      </c>
      <c r="AH473" s="163" t="e">
        <f>VLOOKUP(Data_Geotech[[#This Row],[Field Intact Rock Strength]],Table_RMR76_Strength[],2,FALSE)</f>
        <v>#N/A</v>
      </c>
      <c r="AI473" s="163" t="e">
        <f>IF(Data_Geotech[[#This Row],[RQD (%)]]&lt;=25,3,IF(Data_Geotech[[#This Row],[RQD (%)]]&lt;=50,8,IF(Data_Geotech[[#This Row],[RQD (%)]]&lt;=75,13,IF(Data_Geotech[[#This Row],[RQD (%)]]&lt;=90,17,20))))</f>
        <v>#DIV/0!</v>
      </c>
      <c r="AJ473" s="136">
        <f>IF(Data_Geotech[[#This Row],[Joint spacing (m)]]&lt;=0.05,5,IF(Data_Geotech[[#This Row],[Joint spacing (m)]]&lt;=0.3,10,IF(Data_Geotech[[#This Row],[Joint spacing (m)]]&lt;=1,20,IF(Data_Geotech[[#This Row],[Joint spacing (m)]]&lt;=3,25,30))))</f>
        <v>30</v>
      </c>
      <c r="AK47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3" s="6"/>
      <c r="AM473" s="137" t="str">
        <f>IF(Data_Geotech[[#This Row],[FIRS Code]]="R",IFERROR(SUM(Data_Geotech[[#This Row],[RMR76 - Strength rating]:[RMR76 - Ground water rating]]),""),"")</f>
        <v/>
      </c>
      <c r="AN473" s="164" t="str">
        <f>IF(Data_Geotech[[#This Row],[FIRS Code]]="R",(2*Data_Geotech[[#This Row],[RMR76 - Joint condition rating]])+(IF(Data_Geotech[[#This Row],[RQD (%)]]&gt;80,80/2,Data_Geotech[[#This Row],[RQD (%)]]/2)),"")</f>
        <v/>
      </c>
      <c r="AO473" s="136" t="e">
        <f>LEFT(Data_Geotech[[#This Row],[Joint Set Rating]],FIND("-",Data_Geotech[[#This Row],[Joint Set Rating]],1)-2)</f>
        <v>#VALUE!</v>
      </c>
      <c r="AP47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3" s="143">
        <f t="shared" si="11"/>
        <v>1</v>
      </c>
      <c r="AR473" s="165" t="str">
        <f>IF(Data_Geotech[[#This Row],[FIRS Code]]="R",IFERROR((IF(Data_Geotech[[#This Row],[RQD (%)]]&lt;10,10,Data_Geotech[[#This Row],[RQD (%)]])/Data_Geotech[[#This Row],[Jn rating]])*Data_Geotech[[#This Row],[Jr/Ja]],""),"")</f>
        <v/>
      </c>
      <c r="AS473" s="138" t="str">
        <f>IF(Data_Geotech[[#This Row],[FIRS Code]]="R",IFERROR((IF(Data_Geotech[[#This Row],[RQD (%)]]&lt;10,10,Data_Geotech[[#This Row],[RQD (%)]])/Data_Geotech[[#This Row],[Jn rating]])*Data_Geotech[[#This Row],[Jr/Ja]]*Data_Geotech[[#This Row],[Jw/SRF]],""),"")</f>
        <v/>
      </c>
      <c r="AT473" s="12"/>
      <c r="AU473" s="13" t="e">
        <f>100-Data_Geotech[[#This Row],[RQD (%)]]</f>
        <v>#DIV/0!</v>
      </c>
      <c r="AV473" s="13" t="e">
        <f>100-Data_Geotech[[#This Row],[TCR (%)]]</f>
        <v>#DIV/0!</v>
      </c>
      <c r="AW473" s="62" t="e">
        <f>(Data_Geotech[[#This Row],[Fracture per interval]]+Data_Geotech[[#This Row],[Added fractures 
(BC, FLT, LC)]])/Data_Geotech[[#This Row],[TCR (m)]]</f>
        <v>#DIV/0!</v>
      </c>
      <c r="AX473" s="62" t="str">
        <f>MID(Data_Geotech[[#This Row],[Field Intact Rock Strength]],2,1)</f>
        <v/>
      </c>
      <c r="AY473" s="63" t="e">
        <f>7-MID(Data_Geotech[[#This Row],[Field Intact Rock Strength]],2,1)</f>
        <v>#VALUE!</v>
      </c>
      <c r="AZ473" s="63" t="e">
        <f>VLOOKUP(Data_Geotech[[#This Row],[Field Intact Rock Strength]],Table_FieldStrength[],2,FALSE)</f>
        <v>#N/A</v>
      </c>
      <c r="BA473" s="63" t="e">
        <f>VLOOKUP(Data_Geotech[[#This Row],[Field Intact Rock Strength]],Table_FieldStrength[],3,FALSE)</f>
        <v>#N/A</v>
      </c>
      <c r="BB473" s="63" t="e">
        <f>VLOOKUP(Data_Geotech[[#This Row],[Field Intact Rock Strength]],Table_FieldStrength[],4,FALSE)</f>
        <v>#N/A</v>
      </c>
      <c r="BC473" s="63" t="e">
        <f>100-Data_Geotech[[#This Row],[RMR76]]</f>
        <v>#VALUE!</v>
      </c>
      <c r="BD473" s="63" t="e">
        <f>LEFT(Data_Geotech[[#This Row],[Weathering/Alteration]],FIND("-",Data_Geotech[[#This Row],[Weathering/Alteration]])-2)</f>
        <v>#VALUE!</v>
      </c>
    </row>
    <row r="474" spans="1:56" hidden="1" x14ac:dyDescent="0.25">
      <c r="A474" s="14"/>
      <c r="B474" s="166" t="e">
        <f>VLOOKUP(Data_Geotech[[#This Row],[Hole ID]],Data_Log[],2,FALSE)</f>
        <v>#N/A</v>
      </c>
      <c r="C474" s="5"/>
      <c r="D474" s="5"/>
      <c r="E474" s="5">
        <f>(Data_Geotech[[#This Row],[To (m)]]-Data_Geotech[[#This Row],[From (m)]])/2+Data_Geotech[[#This Row],[From (m)]]</f>
        <v>0</v>
      </c>
      <c r="F474" s="13">
        <f>Data_Geotech[[#This Row],[To (m)]]-Data_Geotech[[#This Row],[From (m)]]</f>
        <v>0</v>
      </c>
      <c r="G474" s="5"/>
      <c r="H474" s="13" t="e">
        <f>Data_Geotech[[#This Row],[TCR (m)]]/Data_Geotech[[#This Row],[Run (m)]]*100</f>
        <v>#DIV/0!</v>
      </c>
      <c r="I474" s="5"/>
      <c r="J474" s="5"/>
      <c r="K474" s="5"/>
      <c r="L474" s="13" t="e">
        <f>Data_Geotech[[#This Row],[RQD (m)]]/Data_Geotech[[#This Row],[Run Reel (m)]]*100</f>
        <v>#DIV/0!</v>
      </c>
      <c r="P474" s="115"/>
      <c r="Q474" s="5"/>
      <c r="R474" s="5"/>
      <c r="S474" s="5"/>
      <c r="T474" s="5"/>
      <c r="U474" s="5"/>
      <c r="V474" s="6"/>
      <c r="W474" s="92">
        <f>SUMIFS(Discontinuities!$D$4:$D$9664,Discontinuities!$A$4:$A$9664,A474,Discontinuities!$C$4:$C$9664,"&gt;="&amp;C474,Discontinuities!$C$4:$C$9664,"&lt;"&amp;D474)
-SUMIFS(Discontinuities!$D$4:$D$9664,Discontinuities!$A$4:$A$9664,A474,Discontinuities!$C$4:$C$9664,"&gt;="&amp;C474,Discontinuities!$C$4:$C$9664,"&lt;"&amp;D474,Discontinuities!$E$4:$E$9664,"=BC")
-SUMIFS(Discontinuities!$D$4:$D$9664,Discontinuities!$A$4:$A$9664,A474,Discontinuities!$C$4:$C$9664,"&gt;="&amp;C474,Discontinuities!$C$4:$C$9664,"&lt;"&amp;D474,Discontinuities!$E$4:$E$9664,"=LC")
-SUMIFS(Discontinuities!$D$4:$D$9664,Discontinuities!$A$4:$A$9664,A474,Discontinuities!$C$4:$C$9664,"&gt;="&amp;C474,Discontinuities!$C$4:$C$9664,"&lt;"&amp;D474,Discontinuities!$E$4:$E$9664,"=FLT")</f>
        <v>0</v>
      </c>
      <c r="AA474" s="132"/>
      <c r="AB474" s="159">
        <f>IFERROR(ROUND((Data_Geotech[[#This Row],[Fault (m)]]+Data_Geotech[[#This Row],[Broken Core (m)]]+Data_Geotech[[#This Row],[Lost Core (m)]])*30,0),0)</f>
        <v>0</v>
      </c>
      <c r="AC474" s="135">
        <f>IF(Data_Geotech[[#This Row],[Added fractures 
(BC, FLT, LC)]]+Data_Geotech[[#This Row],[Fracture per interval]]=0,99,1/((Data_Geotech[[#This Row],[Fracture per interval]]+Data_Geotech[[#This Row],[Added fractures 
(BC, FLT, LC)]])/Data_Geotech[[#This Row],[Run (m)]]))</f>
        <v>99</v>
      </c>
      <c r="AD474" s="160" t="str" cm="1">
        <f t="array" ref="AD474">IFERROR(_xlfn.XLOOKUP(1,(A474=PLT!$A$4:$A$8886)*(Geotech!C474&lt;=PLT!$F$4:$F$8886)*(Geotech!D474&gt;=PLT!$F$4:$F$8886)*("Valid"=PLT!$P$4:$P$8886),PLT!$V$4:$V$8886),"")</f>
        <v/>
      </c>
      <c r="AE474" s="161" t="str" cm="1">
        <f t="array" ref="AE474">IFERROR(_xlfn.XLOOKUP(1,(A474=PLT!$A$4:$A$8886)*(Geotech!C474&lt;=PLT!$F$4:$F$8886)*(Geotech!D474&gt;=PLT!$F$4:$F$8886)*(PLT!$V$4:$V$8886&lt;&gt;AD474)*("Valid"=PLT!$P$4:$P$7190),PLT!$V$4:$V$8886),"")</f>
        <v/>
      </c>
      <c r="AF474" s="161" t="str" cm="1">
        <f t="array" ref="AF474">IFERROR(_xlfn.XLOOKUP(1,(A474=PLT!$A$4:$A$8886)*(Geotech!C474&lt;=PLT!$F$4:$F$8886)*(Geotech!D474&gt;=PLT!$F$4:$F$8886)*(PLT!$V$4:$V$8886&lt;&gt;AD474)*(PLT!$V$4:$V$8886&lt;&gt;AE474)*("Valid"=PLT!$P$4:$P$7190),PLT!$V$4:$V$8886),"")</f>
        <v/>
      </c>
      <c r="AG474" s="162" t="str">
        <f>IFERROR(IF(AVERAGE(AD474:AF474)&gt;References!$BO$23,References!$BP$23,
IF(AVERAGE(AD474:AF474)&gt;References!$BO$22,References!$BP$22,
IF(AVERAGE(AD474:AF474)&gt;References!$BO$21,References!$BP$21,
IF(AVERAGE(AD474:AF474)&gt;References!$BO$20,References!$BP$20,
IF(AVERAGE(AD474:AF474)&gt;References!$BO$19,References!$BP$19,
IF(AVERAGE(AD474:AF474)&gt;References!$BO$18,References!$BP$18,
0)))))),"")</f>
        <v/>
      </c>
      <c r="AH474" s="163" t="e">
        <f>VLOOKUP(Data_Geotech[[#This Row],[Field Intact Rock Strength]],Table_RMR76_Strength[],2,FALSE)</f>
        <v>#N/A</v>
      </c>
      <c r="AI474" s="163" t="e">
        <f>IF(Data_Geotech[[#This Row],[RQD (%)]]&lt;=25,3,IF(Data_Geotech[[#This Row],[RQD (%)]]&lt;=50,8,IF(Data_Geotech[[#This Row],[RQD (%)]]&lt;=75,13,IF(Data_Geotech[[#This Row],[RQD (%)]]&lt;=90,17,20))))</f>
        <v>#DIV/0!</v>
      </c>
      <c r="AJ474" s="136">
        <f>IF(Data_Geotech[[#This Row],[Joint spacing (m)]]&lt;=0.05,5,IF(Data_Geotech[[#This Row],[Joint spacing (m)]]&lt;=0.3,10,IF(Data_Geotech[[#This Row],[Joint spacing (m)]]&lt;=1,20,IF(Data_Geotech[[#This Row],[Joint spacing (m)]]&lt;=3,25,30))))</f>
        <v>30</v>
      </c>
      <c r="AK47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4" s="6"/>
      <c r="AM474" s="137" t="str">
        <f>IF(Data_Geotech[[#This Row],[FIRS Code]]="R",IFERROR(SUM(Data_Geotech[[#This Row],[RMR76 - Strength rating]:[RMR76 - Ground water rating]]),""),"")</f>
        <v/>
      </c>
      <c r="AN474" s="164" t="str">
        <f>IF(Data_Geotech[[#This Row],[FIRS Code]]="R",(2*Data_Geotech[[#This Row],[RMR76 - Joint condition rating]])+(IF(Data_Geotech[[#This Row],[RQD (%)]]&gt;80,80/2,Data_Geotech[[#This Row],[RQD (%)]]/2)),"")</f>
        <v/>
      </c>
      <c r="AO474" s="136" t="e">
        <f>LEFT(Data_Geotech[[#This Row],[Joint Set Rating]],FIND("-",Data_Geotech[[#This Row],[Joint Set Rating]],1)-2)</f>
        <v>#VALUE!</v>
      </c>
      <c r="AP47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4" s="143">
        <f t="shared" si="11"/>
        <v>1</v>
      </c>
      <c r="AR474" s="165" t="str">
        <f>IF(Data_Geotech[[#This Row],[FIRS Code]]="R",IFERROR((IF(Data_Geotech[[#This Row],[RQD (%)]]&lt;10,10,Data_Geotech[[#This Row],[RQD (%)]])/Data_Geotech[[#This Row],[Jn rating]])*Data_Geotech[[#This Row],[Jr/Ja]],""),"")</f>
        <v/>
      </c>
      <c r="AS474" s="138" t="str">
        <f>IF(Data_Geotech[[#This Row],[FIRS Code]]="R",IFERROR((IF(Data_Geotech[[#This Row],[RQD (%)]]&lt;10,10,Data_Geotech[[#This Row],[RQD (%)]])/Data_Geotech[[#This Row],[Jn rating]])*Data_Geotech[[#This Row],[Jr/Ja]]*Data_Geotech[[#This Row],[Jw/SRF]],""),"")</f>
        <v/>
      </c>
      <c r="AT474" s="12"/>
      <c r="AU474" s="13" t="e">
        <f>100-Data_Geotech[[#This Row],[RQD (%)]]</f>
        <v>#DIV/0!</v>
      </c>
      <c r="AV474" s="13" t="e">
        <f>100-Data_Geotech[[#This Row],[TCR (%)]]</f>
        <v>#DIV/0!</v>
      </c>
      <c r="AW474" s="62" t="e">
        <f>(Data_Geotech[[#This Row],[Fracture per interval]]+Data_Geotech[[#This Row],[Added fractures 
(BC, FLT, LC)]])/Data_Geotech[[#This Row],[TCR (m)]]</f>
        <v>#DIV/0!</v>
      </c>
      <c r="AX474" s="62" t="str">
        <f>MID(Data_Geotech[[#This Row],[Field Intact Rock Strength]],2,1)</f>
        <v/>
      </c>
      <c r="AY474" s="63" t="e">
        <f>7-MID(Data_Geotech[[#This Row],[Field Intact Rock Strength]],2,1)</f>
        <v>#VALUE!</v>
      </c>
      <c r="AZ474" s="63" t="e">
        <f>VLOOKUP(Data_Geotech[[#This Row],[Field Intact Rock Strength]],Table_FieldStrength[],2,FALSE)</f>
        <v>#N/A</v>
      </c>
      <c r="BA474" s="63" t="e">
        <f>VLOOKUP(Data_Geotech[[#This Row],[Field Intact Rock Strength]],Table_FieldStrength[],3,FALSE)</f>
        <v>#N/A</v>
      </c>
      <c r="BB474" s="63" t="e">
        <f>VLOOKUP(Data_Geotech[[#This Row],[Field Intact Rock Strength]],Table_FieldStrength[],4,FALSE)</f>
        <v>#N/A</v>
      </c>
      <c r="BC474" s="63" t="e">
        <f>100-Data_Geotech[[#This Row],[RMR76]]</f>
        <v>#VALUE!</v>
      </c>
      <c r="BD474" s="63" t="e">
        <f>LEFT(Data_Geotech[[#This Row],[Weathering/Alteration]],FIND("-",Data_Geotech[[#This Row],[Weathering/Alteration]])-2)</f>
        <v>#VALUE!</v>
      </c>
    </row>
    <row r="475" spans="1:56" hidden="1" x14ac:dyDescent="0.25">
      <c r="A475" s="14"/>
      <c r="B475" s="166" t="e">
        <f>VLOOKUP(Data_Geotech[[#This Row],[Hole ID]],Data_Log[],2,FALSE)</f>
        <v>#N/A</v>
      </c>
      <c r="C475" s="5"/>
      <c r="D475" s="5"/>
      <c r="E475" s="5">
        <f>(Data_Geotech[[#This Row],[To (m)]]-Data_Geotech[[#This Row],[From (m)]])/2+Data_Geotech[[#This Row],[From (m)]]</f>
        <v>0</v>
      </c>
      <c r="F475" s="13">
        <f>Data_Geotech[[#This Row],[To (m)]]-Data_Geotech[[#This Row],[From (m)]]</f>
        <v>0</v>
      </c>
      <c r="G475" s="5"/>
      <c r="H475" s="13" t="e">
        <f>Data_Geotech[[#This Row],[TCR (m)]]/Data_Geotech[[#This Row],[Run (m)]]*100</f>
        <v>#DIV/0!</v>
      </c>
      <c r="I475" s="5"/>
      <c r="J475" s="5"/>
      <c r="K475" s="5"/>
      <c r="L475" s="13" t="e">
        <f>Data_Geotech[[#This Row],[RQD (m)]]/Data_Geotech[[#This Row],[Run Reel (m)]]*100</f>
        <v>#DIV/0!</v>
      </c>
      <c r="P475" s="115"/>
      <c r="Q475" s="5"/>
      <c r="R475" s="5"/>
      <c r="S475" s="5"/>
      <c r="T475" s="5"/>
      <c r="U475" s="5"/>
      <c r="V475" s="6"/>
      <c r="W475" s="92">
        <f>SUMIFS(Discontinuities!$D$4:$D$9664,Discontinuities!$A$4:$A$9664,A475,Discontinuities!$C$4:$C$9664,"&gt;="&amp;C475,Discontinuities!$C$4:$C$9664,"&lt;"&amp;D475)
-SUMIFS(Discontinuities!$D$4:$D$9664,Discontinuities!$A$4:$A$9664,A475,Discontinuities!$C$4:$C$9664,"&gt;="&amp;C475,Discontinuities!$C$4:$C$9664,"&lt;"&amp;D475,Discontinuities!$E$4:$E$9664,"=BC")
-SUMIFS(Discontinuities!$D$4:$D$9664,Discontinuities!$A$4:$A$9664,A475,Discontinuities!$C$4:$C$9664,"&gt;="&amp;C475,Discontinuities!$C$4:$C$9664,"&lt;"&amp;D475,Discontinuities!$E$4:$E$9664,"=LC")
-SUMIFS(Discontinuities!$D$4:$D$9664,Discontinuities!$A$4:$A$9664,A475,Discontinuities!$C$4:$C$9664,"&gt;="&amp;C475,Discontinuities!$C$4:$C$9664,"&lt;"&amp;D475,Discontinuities!$E$4:$E$9664,"=FLT")</f>
        <v>0</v>
      </c>
      <c r="AA475" s="132"/>
      <c r="AB475" s="159">
        <f>IFERROR(ROUND((Data_Geotech[[#This Row],[Fault (m)]]+Data_Geotech[[#This Row],[Broken Core (m)]]+Data_Geotech[[#This Row],[Lost Core (m)]])*30,0),0)</f>
        <v>0</v>
      </c>
      <c r="AC475" s="135">
        <f>IF(Data_Geotech[[#This Row],[Added fractures 
(BC, FLT, LC)]]+Data_Geotech[[#This Row],[Fracture per interval]]=0,99,1/((Data_Geotech[[#This Row],[Fracture per interval]]+Data_Geotech[[#This Row],[Added fractures 
(BC, FLT, LC)]])/Data_Geotech[[#This Row],[Run (m)]]))</f>
        <v>99</v>
      </c>
      <c r="AD475" s="160" t="str" cm="1">
        <f t="array" ref="AD475">IFERROR(_xlfn.XLOOKUP(1,(A475=PLT!$A$4:$A$8886)*(Geotech!C475&lt;=PLT!$F$4:$F$8886)*(Geotech!D475&gt;=PLT!$F$4:$F$8886)*("Valid"=PLT!$P$4:$P$8886),PLT!$V$4:$V$8886),"")</f>
        <v/>
      </c>
      <c r="AE475" s="161" t="str" cm="1">
        <f t="array" ref="AE475">IFERROR(_xlfn.XLOOKUP(1,(A475=PLT!$A$4:$A$8886)*(Geotech!C475&lt;=PLT!$F$4:$F$8886)*(Geotech!D475&gt;=PLT!$F$4:$F$8886)*(PLT!$V$4:$V$8886&lt;&gt;AD475)*("Valid"=PLT!$P$4:$P$7190),PLT!$V$4:$V$8886),"")</f>
        <v/>
      </c>
      <c r="AF475" s="161" t="str" cm="1">
        <f t="array" ref="AF475">IFERROR(_xlfn.XLOOKUP(1,(A475=PLT!$A$4:$A$8886)*(Geotech!C475&lt;=PLT!$F$4:$F$8886)*(Geotech!D475&gt;=PLT!$F$4:$F$8886)*(PLT!$V$4:$V$8886&lt;&gt;AD475)*(PLT!$V$4:$V$8886&lt;&gt;AE475)*("Valid"=PLT!$P$4:$P$7190),PLT!$V$4:$V$8886),"")</f>
        <v/>
      </c>
      <c r="AG475" s="162" t="str">
        <f>IFERROR(IF(AVERAGE(AD475:AF475)&gt;References!$BO$23,References!$BP$23,
IF(AVERAGE(AD475:AF475)&gt;References!$BO$22,References!$BP$22,
IF(AVERAGE(AD475:AF475)&gt;References!$BO$21,References!$BP$21,
IF(AVERAGE(AD475:AF475)&gt;References!$BO$20,References!$BP$20,
IF(AVERAGE(AD475:AF475)&gt;References!$BO$19,References!$BP$19,
IF(AVERAGE(AD475:AF475)&gt;References!$BO$18,References!$BP$18,
0)))))),"")</f>
        <v/>
      </c>
      <c r="AH475" s="163" t="e">
        <f>VLOOKUP(Data_Geotech[[#This Row],[Field Intact Rock Strength]],Table_RMR76_Strength[],2,FALSE)</f>
        <v>#N/A</v>
      </c>
      <c r="AI475" s="163" t="e">
        <f>IF(Data_Geotech[[#This Row],[RQD (%)]]&lt;=25,3,IF(Data_Geotech[[#This Row],[RQD (%)]]&lt;=50,8,IF(Data_Geotech[[#This Row],[RQD (%)]]&lt;=75,13,IF(Data_Geotech[[#This Row],[RQD (%)]]&lt;=90,17,20))))</f>
        <v>#DIV/0!</v>
      </c>
      <c r="AJ475" s="136">
        <f>IF(Data_Geotech[[#This Row],[Joint spacing (m)]]&lt;=0.05,5,IF(Data_Geotech[[#This Row],[Joint spacing (m)]]&lt;=0.3,10,IF(Data_Geotech[[#This Row],[Joint spacing (m)]]&lt;=1,20,IF(Data_Geotech[[#This Row],[Joint spacing (m)]]&lt;=3,25,30))))</f>
        <v>30</v>
      </c>
      <c r="AK47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5" s="6"/>
      <c r="AM475" s="137" t="str">
        <f>IF(Data_Geotech[[#This Row],[FIRS Code]]="R",IFERROR(SUM(Data_Geotech[[#This Row],[RMR76 - Strength rating]:[RMR76 - Ground water rating]]),""),"")</f>
        <v/>
      </c>
      <c r="AN475" s="164" t="str">
        <f>IF(Data_Geotech[[#This Row],[FIRS Code]]="R",(2*Data_Geotech[[#This Row],[RMR76 - Joint condition rating]])+(IF(Data_Geotech[[#This Row],[RQD (%)]]&gt;80,80/2,Data_Geotech[[#This Row],[RQD (%)]]/2)),"")</f>
        <v/>
      </c>
      <c r="AO475" s="136" t="e">
        <f>LEFT(Data_Geotech[[#This Row],[Joint Set Rating]],FIND("-",Data_Geotech[[#This Row],[Joint Set Rating]],1)-2)</f>
        <v>#VALUE!</v>
      </c>
      <c r="AP47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5" s="143">
        <f t="shared" si="11"/>
        <v>1</v>
      </c>
      <c r="AR475" s="165" t="str">
        <f>IF(Data_Geotech[[#This Row],[FIRS Code]]="R",IFERROR((IF(Data_Geotech[[#This Row],[RQD (%)]]&lt;10,10,Data_Geotech[[#This Row],[RQD (%)]])/Data_Geotech[[#This Row],[Jn rating]])*Data_Geotech[[#This Row],[Jr/Ja]],""),"")</f>
        <v/>
      </c>
      <c r="AS475" s="138" t="str">
        <f>IF(Data_Geotech[[#This Row],[FIRS Code]]="R",IFERROR((IF(Data_Geotech[[#This Row],[RQD (%)]]&lt;10,10,Data_Geotech[[#This Row],[RQD (%)]])/Data_Geotech[[#This Row],[Jn rating]])*Data_Geotech[[#This Row],[Jr/Ja]]*Data_Geotech[[#This Row],[Jw/SRF]],""),"")</f>
        <v/>
      </c>
      <c r="AT475" s="12"/>
      <c r="AU475" s="13" t="e">
        <f>100-Data_Geotech[[#This Row],[RQD (%)]]</f>
        <v>#DIV/0!</v>
      </c>
      <c r="AV475" s="13" t="e">
        <f>100-Data_Geotech[[#This Row],[TCR (%)]]</f>
        <v>#DIV/0!</v>
      </c>
      <c r="AW475" s="62" t="e">
        <f>(Data_Geotech[[#This Row],[Fracture per interval]]+Data_Geotech[[#This Row],[Added fractures 
(BC, FLT, LC)]])/Data_Geotech[[#This Row],[TCR (m)]]</f>
        <v>#DIV/0!</v>
      </c>
      <c r="AX475" s="62" t="str">
        <f>MID(Data_Geotech[[#This Row],[Field Intact Rock Strength]],2,1)</f>
        <v/>
      </c>
      <c r="AY475" s="63" t="e">
        <f>7-MID(Data_Geotech[[#This Row],[Field Intact Rock Strength]],2,1)</f>
        <v>#VALUE!</v>
      </c>
      <c r="AZ475" s="63" t="e">
        <f>VLOOKUP(Data_Geotech[[#This Row],[Field Intact Rock Strength]],Table_FieldStrength[],2,FALSE)</f>
        <v>#N/A</v>
      </c>
      <c r="BA475" s="63" t="e">
        <f>VLOOKUP(Data_Geotech[[#This Row],[Field Intact Rock Strength]],Table_FieldStrength[],3,FALSE)</f>
        <v>#N/A</v>
      </c>
      <c r="BB475" s="63" t="e">
        <f>VLOOKUP(Data_Geotech[[#This Row],[Field Intact Rock Strength]],Table_FieldStrength[],4,FALSE)</f>
        <v>#N/A</v>
      </c>
      <c r="BC475" s="63" t="e">
        <f>100-Data_Geotech[[#This Row],[RMR76]]</f>
        <v>#VALUE!</v>
      </c>
      <c r="BD475" s="63" t="e">
        <f>LEFT(Data_Geotech[[#This Row],[Weathering/Alteration]],FIND("-",Data_Geotech[[#This Row],[Weathering/Alteration]])-2)</f>
        <v>#VALUE!</v>
      </c>
    </row>
    <row r="476" spans="1:56" hidden="1" x14ac:dyDescent="0.25">
      <c r="A476" s="14"/>
      <c r="B476" s="166" t="e">
        <f>VLOOKUP(Data_Geotech[[#This Row],[Hole ID]],Data_Log[],2,FALSE)</f>
        <v>#N/A</v>
      </c>
      <c r="C476" s="5"/>
      <c r="D476" s="5"/>
      <c r="E476" s="5">
        <f>(Data_Geotech[[#This Row],[To (m)]]-Data_Geotech[[#This Row],[From (m)]])/2+Data_Geotech[[#This Row],[From (m)]]</f>
        <v>0</v>
      </c>
      <c r="F476" s="13">
        <f>Data_Geotech[[#This Row],[To (m)]]-Data_Geotech[[#This Row],[From (m)]]</f>
        <v>0</v>
      </c>
      <c r="G476" s="5"/>
      <c r="H476" s="13" t="e">
        <f>Data_Geotech[[#This Row],[TCR (m)]]/Data_Geotech[[#This Row],[Run (m)]]*100</f>
        <v>#DIV/0!</v>
      </c>
      <c r="I476" s="5"/>
      <c r="J476" s="5"/>
      <c r="K476" s="5"/>
      <c r="L476" s="13" t="e">
        <f>Data_Geotech[[#This Row],[RQD (m)]]/Data_Geotech[[#This Row],[Run Reel (m)]]*100</f>
        <v>#DIV/0!</v>
      </c>
      <c r="P476" s="115"/>
      <c r="Q476" s="5"/>
      <c r="R476" s="5"/>
      <c r="S476" s="5"/>
      <c r="T476" s="5"/>
      <c r="U476" s="5"/>
      <c r="V476" s="6"/>
      <c r="W476" s="92">
        <f>SUMIFS(Discontinuities!$D$4:$D$9664,Discontinuities!$A$4:$A$9664,A476,Discontinuities!$C$4:$C$9664,"&gt;="&amp;C476,Discontinuities!$C$4:$C$9664,"&lt;"&amp;D476)
-SUMIFS(Discontinuities!$D$4:$D$9664,Discontinuities!$A$4:$A$9664,A476,Discontinuities!$C$4:$C$9664,"&gt;="&amp;C476,Discontinuities!$C$4:$C$9664,"&lt;"&amp;D476,Discontinuities!$E$4:$E$9664,"=BC")
-SUMIFS(Discontinuities!$D$4:$D$9664,Discontinuities!$A$4:$A$9664,A476,Discontinuities!$C$4:$C$9664,"&gt;="&amp;C476,Discontinuities!$C$4:$C$9664,"&lt;"&amp;D476,Discontinuities!$E$4:$E$9664,"=LC")
-SUMIFS(Discontinuities!$D$4:$D$9664,Discontinuities!$A$4:$A$9664,A476,Discontinuities!$C$4:$C$9664,"&gt;="&amp;C476,Discontinuities!$C$4:$C$9664,"&lt;"&amp;D476,Discontinuities!$E$4:$E$9664,"=FLT")</f>
        <v>0</v>
      </c>
      <c r="AA476" s="132"/>
      <c r="AB476" s="159">
        <f>IFERROR(ROUND((Data_Geotech[[#This Row],[Fault (m)]]+Data_Geotech[[#This Row],[Broken Core (m)]]+Data_Geotech[[#This Row],[Lost Core (m)]])*30,0),0)</f>
        <v>0</v>
      </c>
      <c r="AC476" s="135">
        <f>IF(Data_Geotech[[#This Row],[Added fractures 
(BC, FLT, LC)]]+Data_Geotech[[#This Row],[Fracture per interval]]=0,99,1/((Data_Geotech[[#This Row],[Fracture per interval]]+Data_Geotech[[#This Row],[Added fractures 
(BC, FLT, LC)]])/Data_Geotech[[#This Row],[Run (m)]]))</f>
        <v>99</v>
      </c>
      <c r="AD476" s="160" t="str" cm="1">
        <f t="array" ref="AD476">IFERROR(_xlfn.XLOOKUP(1,(A476=PLT!$A$4:$A$8886)*(Geotech!C476&lt;=PLT!$F$4:$F$8886)*(Geotech!D476&gt;=PLT!$F$4:$F$8886)*("Valid"=PLT!$P$4:$P$8886),PLT!$V$4:$V$8886),"")</f>
        <v/>
      </c>
      <c r="AE476" s="161" t="str" cm="1">
        <f t="array" ref="AE476">IFERROR(_xlfn.XLOOKUP(1,(A476=PLT!$A$4:$A$8886)*(Geotech!C476&lt;=PLT!$F$4:$F$8886)*(Geotech!D476&gt;=PLT!$F$4:$F$8886)*(PLT!$V$4:$V$8886&lt;&gt;AD476)*("Valid"=PLT!$P$4:$P$7190),PLT!$V$4:$V$8886),"")</f>
        <v/>
      </c>
      <c r="AF476" s="161" t="str" cm="1">
        <f t="array" ref="AF476">IFERROR(_xlfn.XLOOKUP(1,(A476=PLT!$A$4:$A$8886)*(Geotech!C476&lt;=PLT!$F$4:$F$8886)*(Geotech!D476&gt;=PLT!$F$4:$F$8886)*(PLT!$V$4:$V$8886&lt;&gt;AD476)*(PLT!$V$4:$V$8886&lt;&gt;AE476)*("Valid"=PLT!$P$4:$P$7190),PLT!$V$4:$V$8886),"")</f>
        <v/>
      </c>
      <c r="AG476" s="162" t="str">
        <f>IFERROR(IF(AVERAGE(AD476:AF476)&gt;References!$BO$23,References!$BP$23,
IF(AVERAGE(AD476:AF476)&gt;References!$BO$22,References!$BP$22,
IF(AVERAGE(AD476:AF476)&gt;References!$BO$21,References!$BP$21,
IF(AVERAGE(AD476:AF476)&gt;References!$BO$20,References!$BP$20,
IF(AVERAGE(AD476:AF476)&gt;References!$BO$19,References!$BP$19,
IF(AVERAGE(AD476:AF476)&gt;References!$BO$18,References!$BP$18,
0)))))),"")</f>
        <v/>
      </c>
      <c r="AH476" s="163" t="e">
        <f>VLOOKUP(Data_Geotech[[#This Row],[Field Intact Rock Strength]],Table_RMR76_Strength[],2,FALSE)</f>
        <v>#N/A</v>
      </c>
      <c r="AI476" s="163" t="e">
        <f>IF(Data_Geotech[[#This Row],[RQD (%)]]&lt;=25,3,IF(Data_Geotech[[#This Row],[RQD (%)]]&lt;=50,8,IF(Data_Geotech[[#This Row],[RQD (%)]]&lt;=75,13,IF(Data_Geotech[[#This Row],[RQD (%)]]&lt;=90,17,20))))</f>
        <v>#DIV/0!</v>
      </c>
      <c r="AJ476" s="136">
        <f>IF(Data_Geotech[[#This Row],[Joint spacing (m)]]&lt;=0.05,5,IF(Data_Geotech[[#This Row],[Joint spacing (m)]]&lt;=0.3,10,IF(Data_Geotech[[#This Row],[Joint spacing (m)]]&lt;=1,20,IF(Data_Geotech[[#This Row],[Joint spacing (m)]]&lt;=3,25,30))))</f>
        <v>30</v>
      </c>
      <c r="AK47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6" s="6"/>
      <c r="AM476" s="137" t="str">
        <f>IF(Data_Geotech[[#This Row],[FIRS Code]]="R",IFERROR(SUM(Data_Geotech[[#This Row],[RMR76 - Strength rating]:[RMR76 - Ground water rating]]),""),"")</f>
        <v/>
      </c>
      <c r="AN476" s="164" t="str">
        <f>IF(Data_Geotech[[#This Row],[FIRS Code]]="R",(2*Data_Geotech[[#This Row],[RMR76 - Joint condition rating]])+(IF(Data_Geotech[[#This Row],[RQD (%)]]&gt;80,80/2,Data_Geotech[[#This Row],[RQD (%)]]/2)),"")</f>
        <v/>
      </c>
      <c r="AO476" s="136" t="e">
        <f>LEFT(Data_Geotech[[#This Row],[Joint Set Rating]],FIND("-",Data_Geotech[[#This Row],[Joint Set Rating]],1)-2)</f>
        <v>#VALUE!</v>
      </c>
      <c r="AP47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6" s="143">
        <f t="shared" si="11"/>
        <v>1</v>
      </c>
      <c r="AR476" s="165" t="str">
        <f>IF(Data_Geotech[[#This Row],[FIRS Code]]="R",IFERROR((IF(Data_Geotech[[#This Row],[RQD (%)]]&lt;10,10,Data_Geotech[[#This Row],[RQD (%)]])/Data_Geotech[[#This Row],[Jn rating]])*Data_Geotech[[#This Row],[Jr/Ja]],""),"")</f>
        <v/>
      </c>
      <c r="AS476" s="138" t="str">
        <f>IF(Data_Geotech[[#This Row],[FIRS Code]]="R",IFERROR((IF(Data_Geotech[[#This Row],[RQD (%)]]&lt;10,10,Data_Geotech[[#This Row],[RQD (%)]])/Data_Geotech[[#This Row],[Jn rating]])*Data_Geotech[[#This Row],[Jr/Ja]]*Data_Geotech[[#This Row],[Jw/SRF]],""),"")</f>
        <v/>
      </c>
      <c r="AT476" s="12"/>
      <c r="AU476" s="13" t="e">
        <f>100-Data_Geotech[[#This Row],[RQD (%)]]</f>
        <v>#DIV/0!</v>
      </c>
      <c r="AV476" s="13" t="e">
        <f>100-Data_Geotech[[#This Row],[TCR (%)]]</f>
        <v>#DIV/0!</v>
      </c>
      <c r="AW476" s="62" t="e">
        <f>(Data_Geotech[[#This Row],[Fracture per interval]]+Data_Geotech[[#This Row],[Added fractures 
(BC, FLT, LC)]])/Data_Geotech[[#This Row],[TCR (m)]]</f>
        <v>#DIV/0!</v>
      </c>
      <c r="AX476" s="62" t="str">
        <f>MID(Data_Geotech[[#This Row],[Field Intact Rock Strength]],2,1)</f>
        <v/>
      </c>
      <c r="AY476" s="63" t="e">
        <f>7-MID(Data_Geotech[[#This Row],[Field Intact Rock Strength]],2,1)</f>
        <v>#VALUE!</v>
      </c>
      <c r="AZ476" s="63" t="e">
        <f>VLOOKUP(Data_Geotech[[#This Row],[Field Intact Rock Strength]],Table_FieldStrength[],2,FALSE)</f>
        <v>#N/A</v>
      </c>
      <c r="BA476" s="63" t="e">
        <f>VLOOKUP(Data_Geotech[[#This Row],[Field Intact Rock Strength]],Table_FieldStrength[],3,FALSE)</f>
        <v>#N/A</v>
      </c>
      <c r="BB476" s="63" t="e">
        <f>VLOOKUP(Data_Geotech[[#This Row],[Field Intact Rock Strength]],Table_FieldStrength[],4,FALSE)</f>
        <v>#N/A</v>
      </c>
      <c r="BC476" s="63" t="e">
        <f>100-Data_Geotech[[#This Row],[RMR76]]</f>
        <v>#VALUE!</v>
      </c>
      <c r="BD476" s="63" t="e">
        <f>LEFT(Data_Geotech[[#This Row],[Weathering/Alteration]],FIND("-",Data_Geotech[[#This Row],[Weathering/Alteration]])-2)</f>
        <v>#VALUE!</v>
      </c>
    </row>
    <row r="477" spans="1:56" hidden="1" x14ac:dyDescent="0.25">
      <c r="A477" s="14"/>
      <c r="B477" s="166" t="e">
        <f>VLOOKUP(Data_Geotech[[#This Row],[Hole ID]],Data_Log[],2,FALSE)</f>
        <v>#N/A</v>
      </c>
      <c r="C477" s="5"/>
      <c r="D477" s="5"/>
      <c r="E477" s="5">
        <f>(Data_Geotech[[#This Row],[To (m)]]-Data_Geotech[[#This Row],[From (m)]])/2+Data_Geotech[[#This Row],[From (m)]]</f>
        <v>0</v>
      </c>
      <c r="F477" s="13">
        <f>Data_Geotech[[#This Row],[To (m)]]-Data_Geotech[[#This Row],[From (m)]]</f>
        <v>0</v>
      </c>
      <c r="G477" s="5"/>
      <c r="H477" s="13" t="e">
        <f>Data_Geotech[[#This Row],[TCR (m)]]/Data_Geotech[[#This Row],[Run (m)]]*100</f>
        <v>#DIV/0!</v>
      </c>
      <c r="I477" s="5"/>
      <c r="J477" s="5"/>
      <c r="K477" s="5"/>
      <c r="L477" s="13" t="e">
        <f>Data_Geotech[[#This Row],[RQD (m)]]/Data_Geotech[[#This Row],[Run Reel (m)]]*100</f>
        <v>#DIV/0!</v>
      </c>
      <c r="P477" s="115"/>
      <c r="Q477" s="5"/>
      <c r="R477" s="5"/>
      <c r="S477" s="5"/>
      <c r="T477" s="5"/>
      <c r="U477" s="5"/>
      <c r="V477" s="6"/>
      <c r="W477" s="92">
        <f>SUMIFS(Discontinuities!$D$4:$D$9664,Discontinuities!$A$4:$A$9664,A477,Discontinuities!$C$4:$C$9664,"&gt;="&amp;C477,Discontinuities!$C$4:$C$9664,"&lt;"&amp;D477)
-SUMIFS(Discontinuities!$D$4:$D$9664,Discontinuities!$A$4:$A$9664,A477,Discontinuities!$C$4:$C$9664,"&gt;="&amp;C477,Discontinuities!$C$4:$C$9664,"&lt;"&amp;D477,Discontinuities!$E$4:$E$9664,"=BC")
-SUMIFS(Discontinuities!$D$4:$D$9664,Discontinuities!$A$4:$A$9664,A477,Discontinuities!$C$4:$C$9664,"&gt;="&amp;C477,Discontinuities!$C$4:$C$9664,"&lt;"&amp;D477,Discontinuities!$E$4:$E$9664,"=LC")
-SUMIFS(Discontinuities!$D$4:$D$9664,Discontinuities!$A$4:$A$9664,A477,Discontinuities!$C$4:$C$9664,"&gt;="&amp;C477,Discontinuities!$C$4:$C$9664,"&lt;"&amp;D477,Discontinuities!$E$4:$E$9664,"=FLT")</f>
        <v>0</v>
      </c>
      <c r="AA477" s="132"/>
      <c r="AB477" s="159">
        <f>IFERROR(ROUND((Data_Geotech[[#This Row],[Fault (m)]]+Data_Geotech[[#This Row],[Broken Core (m)]]+Data_Geotech[[#This Row],[Lost Core (m)]])*30,0),0)</f>
        <v>0</v>
      </c>
      <c r="AC477" s="135">
        <f>IF(Data_Geotech[[#This Row],[Added fractures 
(BC, FLT, LC)]]+Data_Geotech[[#This Row],[Fracture per interval]]=0,99,1/((Data_Geotech[[#This Row],[Fracture per interval]]+Data_Geotech[[#This Row],[Added fractures 
(BC, FLT, LC)]])/Data_Geotech[[#This Row],[Run (m)]]))</f>
        <v>99</v>
      </c>
      <c r="AD477" s="160" t="str" cm="1">
        <f t="array" ref="AD477">IFERROR(_xlfn.XLOOKUP(1,(A477=PLT!$A$4:$A$8886)*(Geotech!C477&lt;=PLT!$F$4:$F$8886)*(Geotech!D477&gt;=PLT!$F$4:$F$8886)*("Valid"=PLT!$P$4:$P$8886),PLT!$V$4:$V$8886),"")</f>
        <v/>
      </c>
      <c r="AE477" s="161" t="str" cm="1">
        <f t="array" ref="AE477">IFERROR(_xlfn.XLOOKUP(1,(A477=PLT!$A$4:$A$8886)*(Geotech!C477&lt;=PLT!$F$4:$F$8886)*(Geotech!D477&gt;=PLT!$F$4:$F$8886)*(PLT!$V$4:$V$8886&lt;&gt;AD477)*("Valid"=PLT!$P$4:$P$7190),PLT!$V$4:$V$8886),"")</f>
        <v/>
      </c>
      <c r="AF477" s="161" t="str" cm="1">
        <f t="array" ref="AF477">IFERROR(_xlfn.XLOOKUP(1,(A477=PLT!$A$4:$A$8886)*(Geotech!C477&lt;=PLT!$F$4:$F$8886)*(Geotech!D477&gt;=PLT!$F$4:$F$8886)*(PLT!$V$4:$V$8886&lt;&gt;AD477)*(PLT!$V$4:$V$8886&lt;&gt;AE477)*("Valid"=PLT!$P$4:$P$7190),PLT!$V$4:$V$8886),"")</f>
        <v/>
      </c>
      <c r="AG477" s="162" t="str">
        <f>IFERROR(IF(AVERAGE(AD477:AF477)&gt;References!$BO$23,References!$BP$23,
IF(AVERAGE(AD477:AF477)&gt;References!$BO$22,References!$BP$22,
IF(AVERAGE(AD477:AF477)&gt;References!$BO$21,References!$BP$21,
IF(AVERAGE(AD477:AF477)&gt;References!$BO$20,References!$BP$20,
IF(AVERAGE(AD477:AF477)&gt;References!$BO$19,References!$BP$19,
IF(AVERAGE(AD477:AF477)&gt;References!$BO$18,References!$BP$18,
0)))))),"")</f>
        <v/>
      </c>
      <c r="AH477" s="163" t="e">
        <f>VLOOKUP(Data_Geotech[[#This Row],[Field Intact Rock Strength]],Table_RMR76_Strength[],2,FALSE)</f>
        <v>#N/A</v>
      </c>
      <c r="AI477" s="163" t="e">
        <f>IF(Data_Geotech[[#This Row],[RQD (%)]]&lt;=25,3,IF(Data_Geotech[[#This Row],[RQD (%)]]&lt;=50,8,IF(Data_Geotech[[#This Row],[RQD (%)]]&lt;=75,13,IF(Data_Geotech[[#This Row],[RQD (%)]]&lt;=90,17,20))))</f>
        <v>#DIV/0!</v>
      </c>
      <c r="AJ477" s="136">
        <f>IF(Data_Geotech[[#This Row],[Joint spacing (m)]]&lt;=0.05,5,IF(Data_Geotech[[#This Row],[Joint spacing (m)]]&lt;=0.3,10,IF(Data_Geotech[[#This Row],[Joint spacing (m)]]&lt;=1,20,IF(Data_Geotech[[#This Row],[Joint spacing (m)]]&lt;=3,25,30))))</f>
        <v>30</v>
      </c>
      <c r="AK47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7" s="6"/>
      <c r="AM477" s="137" t="str">
        <f>IF(Data_Geotech[[#This Row],[FIRS Code]]="R",IFERROR(SUM(Data_Geotech[[#This Row],[RMR76 - Strength rating]:[RMR76 - Ground water rating]]),""),"")</f>
        <v/>
      </c>
      <c r="AN477" s="164" t="str">
        <f>IF(Data_Geotech[[#This Row],[FIRS Code]]="R",(2*Data_Geotech[[#This Row],[RMR76 - Joint condition rating]])+(IF(Data_Geotech[[#This Row],[RQD (%)]]&gt;80,80/2,Data_Geotech[[#This Row],[RQD (%)]]/2)),"")</f>
        <v/>
      </c>
      <c r="AO477" s="136" t="e">
        <f>LEFT(Data_Geotech[[#This Row],[Joint Set Rating]],FIND("-",Data_Geotech[[#This Row],[Joint Set Rating]],1)-2)</f>
        <v>#VALUE!</v>
      </c>
      <c r="AP47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7" s="143">
        <f t="shared" si="11"/>
        <v>1</v>
      </c>
      <c r="AR477" s="165" t="str">
        <f>IF(Data_Geotech[[#This Row],[FIRS Code]]="R",IFERROR((IF(Data_Geotech[[#This Row],[RQD (%)]]&lt;10,10,Data_Geotech[[#This Row],[RQD (%)]])/Data_Geotech[[#This Row],[Jn rating]])*Data_Geotech[[#This Row],[Jr/Ja]],""),"")</f>
        <v/>
      </c>
      <c r="AS477" s="138" t="str">
        <f>IF(Data_Geotech[[#This Row],[FIRS Code]]="R",IFERROR((IF(Data_Geotech[[#This Row],[RQD (%)]]&lt;10,10,Data_Geotech[[#This Row],[RQD (%)]])/Data_Geotech[[#This Row],[Jn rating]])*Data_Geotech[[#This Row],[Jr/Ja]]*Data_Geotech[[#This Row],[Jw/SRF]],""),"")</f>
        <v/>
      </c>
      <c r="AT477" s="12"/>
      <c r="AU477" s="13" t="e">
        <f>100-Data_Geotech[[#This Row],[RQD (%)]]</f>
        <v>#DIV/0!</v>
      </c>
      <c r="AV477" s="13" t="e">
        <f>100-Data_Geotech[[#This Row],[TCR (%)]]</f>
        <v>#DIV/0!</v>
      </c>
      <c r="AW477" s="62" t="e">
        <f>(Data_Geotech[[#This Row],[Fracture per interval]]+Data_Geotech[[#This Row],[Added fractures 
(BC, FLT, LC)]])/Data_Geotech[[#This Row],[TCR (m)]]</f>
        <v>#DIV/0!</v>
      </c>
      <c r="AX477" s="62" t="str">
        <f>MID(Data_Geotech[[#This Row],[Field Intact Rock Strength]],2,1)</f>
        <v/>
      </c>
      <c r="AY477" s="63" t="e">
        <f>7-MID(Data_Geotech[[#This Row],[Field Intact Rock Strength]],2,1)</f>
        <v>#VALUE!</v>
      </c>
      <c r="AZ477" s="63" t="e">
        <f>VLOOKUP(Data_Geotech[[#This Row],[Field Intact Rock Strength]],Table_FieldStrength[],2,FALSE)</f>
        <v>#N/A</v>
      </c>
      <c r="BA477" s="63" t="e">
        <f>VLOOKUP(Data_Geotech[[#This Row],[Field Intact Rock Strength]],Table_FieldStrength[],3,FALSE)</f>
        <v>#N/A</v>
      </c>
      <c r="BB477" s="63" t="e">
        <f>VLOOKUP(Data_Geotech[[#This Row],[Field Intact Rock Strength]],Table_FieldStrength[],4,FALSE)</f>
        <v>#N/A</v>
      </c>
      <c r="BC477" s="63" t="e">
        <f>100-Data_Geotech[[#This Row],[RMR76]]</f>
        <v>#VALUE!</v>
      </c>
      <c r="BD477" s="63" t="e">
        <f>LEFT(Data_Geotech[[#This Row],[Weathering/Alteration]],FIND("-",Data_Geotech[[#This Row],[Weathering/Alteration]])-2)</f>
        <v>#VALUE!</v>
      </c>
    </row>
    <row r="478" spans="1:56" hidden="1" x14ac:dyDescent="0.25">
      <c r="A478" s="14"/>
      <c r="B478" s="166" t="e">
        <f>VLOOKUP(Data_Geotech[[#This Row],[Hole ID]],Data_Log[],2,FALSE)</f>
        <v>#N/A</v>
      </c>
      <c r="C478" s="5"/>
      <c r="D478" s="5"/>
      <c r="E478" s="5">
        <f>(Data_Geotech[[#This Row],[To (m)]]-Data_Geotech[[#This Row],[From (m)]])/2+Data_Geotech[[#This Row],[From (m)]]</f>
        <v>0</v>
      </c>
      <c r="F478" s="13">
        <f>Data_Geotech[[#This Row],[To (m)]]-Data_Geotech[[#This Row],[From (m)]]</f>
        <v>0</v>
      </c>
      <c r="G478" s="5"/>
      <c r="H478" s="13" t="e">
        <f>Data_Geotech[[#This Row],[TCR (m)]]/Data_Geotech[[#This Row],[Run (m)]]*100</f>
        <v>#DIV/0!</v>
      </c>
      <c r="I478" s="5"/>
      <c r="J478" s="5"/>
      <c r="K478" s="5"/>
      <c r="L478" s="13" t="e">
        <f>Data_Geotech[[#This Row],[RQD (m)]]/Data_Geotech[[#This Row],[Run Reel (m)]]*100</f>
        <v>#DIV/0!</v>
      </c>
      <c r="P478" s="115"/>
      <c r="Q478" s="5"/>
      <c r="R478" s="5"/>
      <c r="S478" s="5"/>
      <c r="T478" s="5"/>
      <c r="U478" s="5"/>
      <c r="V478" s="6"/>
      <c r="W478" s="92">
        <f>SUMIFS(Discontinuities!$D$4:$D$9664,Discontinuities!$A$4:$A$9664,A478,Discontinuities!$C$4:$C$9664,"&gt;="&amp;C478,Discontinuities!$C$4:$C$9664,"&lt;"&amp;D478)
-SUMIFS(Discontinuities!$D$4:$D$9664,Discontinuities!$A$4:$A$9664,A478,Discontinuities!$C$4:$C$9664,"&gt;="&amp;C478,Discontinuities!$C$4:$C$9664,"&lt;"&amp;D478,Discontinuities!$E$4:$E$9664,"=BC")
-SUMIFS(Discontinuities!$D$4:$D$9664,Discontinuities!$A$4:$A$9664,A478,Discontinuities!$C$4:$C$9664,"&gt;="&amp;C478,Discontinuities!$C$4:$C$9664,"&lt;"&amp;D478,Discontinuities!$E$4:$E$9664,"=LC")
-SUMIFS(Discontinuities!$D$4:$D$9664,Discontinuities!$A$4:$A$9664,A478,Discontinuities!$C$4:$C$9664,"&gt;="&amp;C478,Discontinuities!$C$4:$C$9664,"&lt;"&amp;D478,Discontinuities!$E$4:$E$9664,"=FLT")</f>
        <v>0</v>
      </c>
      <c r="AA478" s="132"/>
      <c r="AB478" s="159">
        <f>IFERROR(ROUND((Data_Geotech[[#This Row],[Fault (m)]]+Data_Geotech[[#This Row],[Broken Core (m)]]+Data_Geotech[[#This Row],[Lost Core (m)]])*30,0),0)</f>
        <v>0</v>
      </c>
      <c r="AC478" s="135">
        <f>IF(Data_Geotech[[#This Row],[Added fractures 
(BC, FLT, LC)]]+Data_Geotech[[#This Row],[Fracture per interval]]=0,99,1/((Data_Geotech[[#This Row],[Fracture per interval]]+Data_Geotech[[#This Row],[Added fractures 
(BC, FLT, LC)]])/Data_Geotech[[#This Row],[Run (m)]]))</f>
        <v>99</v>
      </c>
      <c r="AD478" s="160" t="str" cm="1">
        <f t="array" ref="AD478">IFERROR(_xlfn.XLOOKUP(1,(A478=PLT!$A$4:$A$8886)*(Geotech!C478&lt;=PLT!$F$4:$F$8886)*(Geotech!D478&gt;=PLT!$F$4:$F$8886)*("Valid"=PLT!$P$4:$P$8886),PLT!$V$4:$V$8886),"")</f>
        <v/>
      </c>
      <c r="AE478" s="161" t="str" cm="1">
        <f t="array" ref="AE478">IFERROR(_xlfn.XLOOKUP(1,(A478=PLT!$A$4:$A$8886)*(Geotech!C478&lt;=PLT!$F$4:$F$8886)*(Geotech!D478&gt;=PLT!$F$4:$F$8886)*(PLT!$V$4:$V$8886&lt;&gt;AD478)*("Valid"=PLT!$P$4:$P$7190),PLT!$V$4:$V$8886),"")</f>
        <v/>
      </c>
      <c r="AF478" s="161" t="str" cm="1">
        <f t="array" ref="AF478">IFERROR(_xlfn.XLOOKUP(1,(A478=PLT!$A$4:$A$8886)*(Geotech!C478&lt;=PLT!$F$4:$F$8886)*(Geotech!D478&gt;=PLT!$F$4:$F$8886)*(PLT!$V$4:$V$8886&lt;&gt;AD478)*(PLT!$V$4:$V$8886&lt;&gt;AE478)*("Valid"=PLT!$P$4:$P$7190),PLT!$V$4:$V$8886),"")</f>
        <v/>
      </c>
      <c r="AG478" s="162" t="str">
        <f>IFERROR(IF(AVERAGE(AD478:AF478)&gt;References!$BO$23,References!$BP$23,
IF(AVERAGE(AD478:AF478)&gt;References!$BO$22,References!$BP$22,
IF(AVERAGE(AD478:AF478)&gt;References!$BO$21,References!$BP$21,
IF(AVERAGE(AD478:AF478)&gt;References!$BO$20,References!$BP$20,
IF(AVERAGE(AD478:AF478)&gt;References!$BO$19,References!$BP$19,
IF(AVERAGE(AD478:AF478)&gt;References!$BO$18,References!$BP$18,
0)))))),"")</f>
        <v/>
      </c>
      <c r="AH478" s="163" t="e">
        <f>VLOOKUP(Data_Geotech[[#This Row],[Field Intact Rock Strength]],Table_RMR76_Strength[],2,FALSE)</f>
        <v>#N/A</v>
      </c>
      <c r="AI478" s="163" t="e">
        <f>IF(Data_Geotech[[#This Row],[RQD (%)]]&lt;=25,3,IF(Data_Geotech[[#This Row],[RQD (%)]]&lt;=50,8,IF(Data_Geotech[[#This Row],[RQD (%)]]&lt;=75,13,IF(Data_Geotech[[#This Row],[RQD (%)]]&lt;=90,17,20))))</f>
        <v>#DIV/0!</v>
      </c>
      <c r="AJ478" s="136">
        <f>IF(Data_Geotech[[#This Row],[Joint spacing (m)]]&lt;=0.05,5,IF(Data_Geotech[[#This Row],[Joint spacing (m)]]&lt;=0.3,10,IF(Data_Geotech[[#This Row],[Joint spacing (m)]]&lt;=1,20,IF(Data_Geotech[[#This Row],[Joint spacing (m)]]&lt;=3,25,30))))</f>
        <v>30</v>
      </c>
      <c r="AK47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8" s="6"/>
      <c r="AM478" s="137" t="str">
        <f>IF(Data_Geotech[[#This Row],[FIRS Code]]="R",IFERROR(SUM(Data_Geotech[[#This Row],[RMR76 - Strength rating]:[RMR76 - Ground water rating]]),""),"")</f>
        <v/>
      </c>
      <c r="AN478" s="164" t="str">
        <f>IF(Data_Geotech[[#This Row],[FIRS Code]]="R",(2*Data_Geotech[[#This Row],[RMR76 - Joint condition rating]])+(IF(Data_Geotech[[#This Row],[RQD (%)]]&gt;80,80/2,Data_Geotech[[#This Row],[RQD (%)]]/2)),"")</f>
        <v/>
      </c>
      <c r="AO478" s="136" t="e">
        <f>LEFT(Data_Geotech[[#This Row],[Joint Set Rating]],FIND("-",Data_Geotech[[#This Row],[Joint Set Rating]],1)-2)</f>
        <v>#VALUE!</v>
      </c>
      <c r="AP47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8" s="143">
        <f t="shared" si="11"/>
        <v>1</v>
      </c>
      <c r="AR478" s="165" t="str">
        <f>IF(Data_Geotech[[#This Row],[FIRS Code]]="R",IFERROR((IF(Data_Geotech[[#This Row],[RQD (%)]]&lt;10,10,Data_Geotech[[#This Row],[RQD (%)]])/Data_Geotech[[#This Row],[Jn rating]])*Data_Geotech[[#This Row],[Jr/Ja]],""),"")</f>
        <v/>
      </c>
      <c r="AS478" s="138" t="str">
        <f>IF(Data_Geotech[[#This Row],[FIRS Code]]="R",IFERROR((IF(Data_Geotech[[#This Row],[RQD (%)]]&lt;10,10,Data_Geotech[[#This Row],[RQD (%)]])/Data_Geotech[[#This Row],[Jn rating]])*Data_Geotech[[#This Row],[Jr/Ja]]*Data_Geotech[[#This Row],[Jw/SRF]],""),"")</f>
        <v/>
      </c>
      <c r="AT478" s="12"/>
      <c r="AU478" s="13" t="e">
        <f>100-Data_Geotech[[#This Row],[RQD (%)]]</f>
        <v>#DIV/0!</v>
      </c>
      <c r="AV478" s="13" t="e">
        <f>100-Data_Geotech[[#This Row],[TCR (%)]]</f>
        <v>#DIV/0!</v>
      </c>
      <c r="AW478" s="62" t="e">
        <f>(Data_Geotech[[#This Row],[Fracture per interval]]+Data_Geotech[[#This Row],[Added fractures 
(BC, FLT, LC)]])/Data_Geotech[[#This Row],[TCR (m)]]</f>
        <v>#DIV/0!</v>
      </c>
      <c r="AX478" s="62" t="str">
        <f>MID(Data_Geotech[[#This Row],[Field Intact Rock Strength]],2,1)</f>
        <v/>
      </c>
      <c r="AY478" s="63" t="e">
        <f>7-MID(Data_Geotech[[#This Row],[Field Intact Rock Strength]],2,1)</f>
        <v>#VALUE!</v>
      </c>
      <c r="AZ478" s="63" t="e">
        <f>VLOOKUP(Data_Geotech[[#This Row],[Field Intact Rock Strength]],Table_FieldStrength[],2,FALSE)</f>
        <v>#N/A</v>
      </c>
      <c r="BA478" s="63" t="e">
        <f>VLOOKUP(Data_Geotech[[#This Row],[Field Intact Rock Strength]],Table_FieldStrength[],3,FALSE)</f>
        <v>#N/A</v>
      </c>
      <c r="BB478" s="63" t="e">
        <f>VLOOKUP(Data_Geotech[[#This Row],[Field Intact Rock Strength]],Table_FieldStrength[],4,FALSE)</f>
        <v>#N/A</v>
      </c>
      <c r="BC478" s="63" t="e">
        <f>100-Data_Geotech[[#This Row],[RMR76]]</f>
        <v>#VALUE!</v>
      </c>
      <c r="BD478" s="63" t="e">
        <f>LEFT(Data_Geotech[[#This Row],[Weathering/Alteration]],FIND("-",Data_Geotech[[#This Row],[Weathering/Alteration]])-2)</f>
        <v>#VALUE!</v>
      </c>
    </row>
    <row r="479" spans="1:56" hidden="1" x14ac:dyDescent="0.25">
      <c r="A479" s="14"/>
      <c r="B479" s="166" t="e">
        <f>VLOOKUP(Data_Geotech[[#This Row],[Hole ID]],Data_Log[],2,FALSE)</f>
        <v>#N/A</v>
      </c>
      <c r="C479" s="5"/>
      <c r="D479" s="5"/>
      <c r="E479" s="5">
        <f>(Data_Geotech[[#This Row],[To (m)]]-Data_Geotech[[#This Row],[From (m)]])/2+Data_Geotech[[#This Row],[From (m)]]</f>
        <v>0</v>
      </c>
      <c r="F479" s="13">
        <f>Data_Geotech[[#This Row],[To (m)]]-Data_Geotech[[#This Row],[From (m)]]</f>
        <v>0</v>
      </c>
      <c r="G479" s="5"/>
      <c r="H479" s="13" t="e">
        <f>Data_Geotech[[#This Row],[TCR (m)]]/Data_Geotech[[#This Row],[Run (m)]]*100</f>
        <v>#DIV/0!</v>
      </c>
      <c r="I479" s="5"/>
      <c r="J479" s="5"/>
      <c r="K479" s="5"/>
      <c r="L479" s="13" t="e">
        <f>Data_Geotech[[#This Row],[RQD (m)]]/Data_Geotech[[#This Row],[Run Reel (m)]]*100</f>
        <v>#DIV/0!</v>
      </c>
      <c r="P479" s="115"/>
      <c r="Q479" s="5"/>
      <c r="R479" s="5"/>
      <c r="S479" s="5"/>
      <c r="T479" s="5"/>
      <c r="U479" s="5"/>
      <c r="V479" s="6"/>
      <c r="W479" s="92">
        <f>SUMIFS(Discontinuities!$D$4:$D$9664,Discontinuities!$A$4:$A$9664,A479,Discontinuities!$C$4:$C$9664,"&gt;="&amp;C479,Discontinuities!$C$4:$C$9664,"&lt;"&amp;D479)
-SUMIFS(Discontinuities!$D$4:$D$9664,Discontinuities!$A$4:$A$9664,A479,Discontinuities!$C$4:$C$9664,"&gt;="&amp;C479,Discontinuities!$C$4:$C$9664,"&lt;"&amp;D479,Discontinuities!$E$4:$E$9664,"=BC")
-SUMIFS(Discontinuities!$D$4:$D$9664,Discontinuities!$A$4:$A$9664,A479,Discontinuities!$C$4:$C$9664,"&gt;="&amp;C479,Discontinuities!$C$4:$C$9664,"&lt;"&amp;D479,Discontinuities!$E$4:$E$9664,"=LC")
-SUMIFS(Discontinuities!$D$4:$D$9664,Discontinuities!$A$4:$A$9664,A479,Discontinuities!$C$4:$C$9664,"&gt;="&amp;C479,Discontinuities!$C$4:$C$9664,"&lt;"&amp;D479,Discontinuities!$E$4:$E$9664,"=FLT")</f>
        <v>0</v>
      </c>
      <c r="AA479" s="132"/>
      <c r="AB479" s="159">
        <f>IFERROR(ROUND((Data_Geotech[[#This Row],[Fault (m)]]+Data_Geotech[[#This Row],[Broken Core (m)]]+Data_Geotech[[#This Row],[Lost Core (m)]])*30,0),0)</f>
        <v>0</v>
      </c>
      <c r="AC479" s="135">
        <f>IF(Data_Geotech[[#This Row],[Added fractures 
(BC, FLT, LC)]]+Data_Geotech[[#This Row],[Fracture per interval]]=0,99,1/((Data_Geotech[[#This Row],[Fracture per interval]]+Data_Geotech[[#This Row],[Added fractures 
(BC, FLT, LC)]])/Data_Geotech[[#This Row],[Run (m)]]))</f>
        <v>99</v>
      </c>
      <c r="AD479" s="160" t="str" cm="1">
        <f t="array" ref="AD479">IFERROR(_xlfn.XLOOKUP(1,(A479=PLT!$A$4:$A$8886)*(Geotech!C479&lt;=PLT!$F$4:$F$8886)*(Geotech!D479&gt;=PLT!$F$4:$F$8886)*("Valid"=PLT!$P$4:$P$8886),PLT!$V$4:$V$8886),"")</f>
        <v/>
      </c>
      <c r="AE479" s="161" t="str" cm="1">
        <f t="array" ref="AE479">IFERROR(_xlfn.XLOOKUP(1,(A479=PLT!$A$4:$A$8886)*(Geotech!C479&lt;=PLT!$F$4:$F$8886)*(Geotech!D479&gt;=PLT!$F$4:$F$8886)*(PLT!$V$4:$V$8886&lt;&gt;AD479)*("Valid"=PLT!$P$4:$P$7190),PLT!$V$4:$V$8886),"")</f>
        <v/>
      </c>
      <c r="AF479" s="161" t="str" cm="1">
        <f t="array" ref="AF479">IFERROR(_xlfn.XLOOKUP(1,(A479=PLT!$A$4:$A$8886)*(Geotech!C479&lt;=PLT!$F$4:$F$8886)*(Geotech!D479&gt;=PLT!$F$4:$F$8886)*(PLT!$V$4:$V$8886&lt;&gt;AD479)*(PLT!$V$4:$V$8886&lt;&gt;AE479)*("Valid"=PLT!$P$4:$P$7190),PLT!$V$4:$V$8886),"")</f>
        <v/>
      </c>
      <c r="AG479" s="162" t="str">
        <f>IFERROR(IF(AVERAGE(AD479:AF479)&gt;References!$BO$23,References!$BP$23,
IF(AVERAGE(AD479:AF479)&gt;References!$BO$22,References!$BP$22,
IF(AVERAGE(AD479:AF479)&gt;References!$BO$21,References!$BP$21,
IF(AVERAGE(AD479:AF479)&gt;References!$BO$20,References!$BP$20,
IF(AVERAGE(AD479:AF479)&gt;References!$BO$19,References!$BP$19,
IF(AVERAGE(AD479:AF479)&gt;References!$BO$18,References!$BP$18,
0)))))),"")</f>
        <v/>
      </c>
      <c r="AH479" s="163" t="e">
        <f>VLOOKUP(Data_Geotech[[#This Row],[Field Intact Rock Strength]],Table_RMR76_Strength[],2,FALSE)</f>
        <v>#N/A</v>
      </c>
      <c r="AI479" s="163" t="e">
        <f>IF(Data_Geotech[[#This Row],[RQD (%)]]&lt;=25,3,IF(Data_Geotech[[#This Row],[RQD (%)]]&lt;=50,8,IF(Data_Geotech[[#This Row],[RQD (%)]]&lt;=75,13,IF(Data_Geotech[[#This Row],[RQD (%)]]&lt;=90,17,20))))</f>
        <v>#DIV/0!</v>
      </c>
      <c r="AJ479" s="136">
        <f>IF(Data_Geotech[[#This Row],[Joint spacing (m)]]&lt;=0.05,5,IF(Data_Geotech[[#This Row],[Joint spacing (m)]]&lt;=0.3,10,IF(Data_Geotech[[#This Row],[Joint spacing (m)]]&lt;=1,20,IF(Data_Geotech[[#This Row],[Joint spacing (m)]]&lt;=3,25,30))))</f>
        <v>30</v>
      </c>
      <c r="AK47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79" s="6"/>
      <c r="AM479" s="137" t="str">
        <f>IF(Data_Geotech[[#This Row],[FIRS Code]]="R",IFERROR(SUM(Data_Geotech[[#This Row],[RMR76 - Strength rating]:[RMR76 - Ground water rating]]),""),"")</f>
        <v/>
      </c>
      <c r="AN479" s="164" t="str">
        <f>IF(Data_Geotech[[#This Row],[FIRS Code]]="R",(2*Data_Geotech[[#This Row],[RMR76 - Joint condition rating]])+(IF(Data_Geotech[[#This Row],[RQD (%)]]&gt;80,80/2,Data_Geotech[[#This Row],[RQD (%)]]/2)),"")</f>
        <v/>
      </c>
      <c r="AO479" s="136" t="e">
        <f>LEFT(Data_Geotech[[#This Row],[Joint Set Rating]],FIND("-",Data_Geotech[[#This Row],[Joint Set Rating]],1)-2)</f>
        <v>#VALUE!</v>
      </c>
      <c r="AP47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79" s="143">
        <f t="shared" si="11"/>
        <v>1</v>
      </c>
      <c r="AR479" s="165" t="str">
        <f>IF(Data_Geotech[[#This Row],[FIRS Code]]="R",IFERROR((IF(Data_Geotech[[#This Row],[RQD (%)]]&lt;10,10,Data_Geotech[[#This Row],[RQD (%)]])/Data_Geotech[[#This Row],[Jn rating]])*Data_Geotech[[#This Row],[Jr/Ja]],""),"")</f>
        <v/>
      </c>
      <c r="AS479" s="138" t="str">
        <f>IF(Data_Geotech[[#This Row],[FIRS Code]]="R",IFERROR((IF(Data_Geotech[[#This Row],[RQD (%)]]&lt;10,10,Data_Geotech[[#This Row],[RQD (%)]])/Data_Geotech[[#This Row],[Jn rating]])*Data_Geotech[[#This Row],[Jr/Ja]]*Data_Geotech[[#This Row],[Jw/SRF]],""),"")</f>
        <v/>
      </c>
      <c r="AT479" s="12"/>
      <c r="AU479" s="13" t="e">
        <f>100-Data_Geotech[[#This Row],[RQD (%)]]</f>
        <v>#DIV/0!</v>
      </c>
      <c r="AV479" s="13" t="e">
        <f>100-Data_Geotech[[#This Row],[TCR (%)]]</f>
        <v>#DIV/0!</v>
      </c>
      <c r="AW479" s="62" t="e">
        <f>(Data_Geotech[[#This Row],[Fracture per interval]]+Data_Geotech[[#This Row],[Added fractures 
(BC, FLT, LC)]])/Data_Geotech[[#This Row],[TCR (m)]]</f>
        <v>#DIV/0!</v>
      </c>
      <c r="AX479" s="62" t="str">
        <f>MID(Data_Geotech[[#This Row],[Field Intact Rock Strength]],2,1)</f>
        <v/>
      </c>
      <c r="AY479" s="63" t="e">
        <f>7-MID(Data_Geotech[[#This Row],[Field Intact Rock Strength]],2,1)</f>
        <v>#VALUE!</v>
      </c>
      <c r="AZ479" s="63" t="e">
        <f>VLOOKUP(Data_Geotech[[#This Row],[Field Intact Rock Strength]],Table_FieldStrength[],2,FALSE)</f>
        <v>#N/A</v>
      </c>
      <c r="BA479" s="63" t="e">
        <f>VLOOKUP(Data_Geotech[[#This Row],[Field Intact Rock Strength]],Table_FieldStrength[],3,FALSE)</f>
        <v>#N/A</v>
      </c>
      <c r="BB479" s="63" t="e">
        <f>VLOOKUP(Data_Geotech[[#This Row],[Field Intact Rock Strength]],Table_FieldStrength[],4,FALSE)</f>
        <v>#N/A</v>
      </c>
      <c r="BC479" s="63" t="e">
        <f>100-Data_Geotech[[#This Row],[RMR76]]</f>
        <v>#VALUE!</v>
      </c>
      <c r="BD479" s="63" t="e">
        <f>LEFT(Data_Geotech[[#This Row],[Weathering/Alteration]],FIND("-",Data_Geotech[[#This Row],[Weathering/Alteration]])-2)</f>
        <v>#VALUE!</v>
      </c>
    </row>
    <row r="480" spans="1:56" hidden="1" x14ac:dyDescent="0.25">
      <c r="A480" s="14"/>
      <c r="B480" s="166" t="e">
        <f>VLOOKUP(Data_Geotech[[#This Row],[Hole ID]],Data_Log[],2,FALSE)</f>
        <v>#N/A</v>
      </c>
      <c r="C480" s="5"/>
      <c r="D480" s="5"/>
      <c r="E480" s="5">
        <f>(Data_Geotech[[#This Row],[To (m)]]-Data_Geotech[[#This Row],[From (m)]])/2+Data_Geotech[[#This Row],[From (m)]]</f>
        <v>0</v>
      </c>
      <c r="F480" s="13">
        <f>Data_Geotech[[#This Row],[To (m)]]-Data_Geotech[[#This Row],[From (m)]]</f>
        <v>0</v>
      </c>
      <c r="G480" s="5"/>
      <c r="H480" s="13" t="e">
        <f>Data_Geotech[[#This Row],[TCR (m)]]/Data_Geotech[[#This Row],[Run (m)]]*100</f>
        <v>#DIV/0!</v>
      </c>
      <c r="I480" s="5"/>
      <c r="J480" s="5"/>
      <c r="K480" s="5"/>
      <c r="L480" s="13" t="e">
        <f>Data_Geotech[[#This Row],[RQD (m)]]/Data_Geotech[[#This Row],[Run Reel (m)]]*100</f>
        <v>#DIV/0!</v>
      </c>
      <c r="P480" s="115"/>
      <c r="Q480" s="5"/>
      <c r="R480" s="5"/>
      <c r="S480" s="5"/>
      <c r="T480" s="5"/>
      <c r="U480" s="5"/>
      <c r="V480" s="6"/>
      <c r="W480" s="92">
        <f>SUMIFS(Discontinuities!$D$4:$D$9664,Discontinuities!$A$4:$A$9664,A480,Discontinuities!$C$4:$C$9664,"&gt;="&amp;C480,Discontinuities!$C$4:$C$9664,"&lt;"&amp;D480)
-SUMIFS(Discontinuities!$D$4:$D$9664,Discontinuities!$A$4:$A$9664,A480,Discontinuities!$C$4:$C$9664,"&gt;="&amp;C480,Discontinuities!$C$4:$C$9664,"&lt;"&amp;D480,Discontinuities!$E$4:$E$9664,"=BC")
-SUMIFS(Discontinuities!$D$4:$D$9664,Discontinuities!$A$4:$A$9664,A480,Discontinuities!$C$4:$C$9664,"&gt;="&amp;C480,Discontinuities!$C$4:$C$9664,"&lt;"&amp;D480,Discontinuities!$E$4:$E$9664,"=LC")
-SUMIFS(Discontinuities!$D$4:$D$9664,Discontinuities!$A$4:$A$9664,A480,Discontinuities!$C$4:$C$9664,"&gt;="&amp;C480,Discontinuities!$C$4:$C$9664,"&lt;"&amp;D480,Discontinuities!$E$4:$E$9664,"=FLT")</f>
        <v>0</v>
      </c>
      <c r="AA480" s="132"/>
      <c r="AB480" s="159">
        <f>IFERROR(ROUND((Data_Geotech[[#This Row],[Fault (m)]]+Data_Geotech[[#This Row],[Broken Core (m)]]+Data_Geotech[[#This Row],[Lost Core (m)]])*30,0),0)</f>
        <v>0</v>
      </c>
      <c r="AC480" s="135">
        <f>IF(Data_Geotech[[#This Row],[Added fractures 
(BC, FLT, LC)]]+Data_Geotech[[#This Row],[Fracture per interval]]=0,99,1/((Data_Geotech[[#This Row],[Fracture per interval]]+Data_Geotech[[#This Row],[Added fractures 
(BC, FLT, LC)]])/Data_Geotech[[#This Row],[Run (m)]]))</f>
        <v>99</v>
      </c>
      <c r="AD480" s="160" t="str" cm="1">
        <f t="array" ref="AD480">IFERROR(_xlfn.XLOOKUP(1,(A480=PLT!$A$4:$A$8886)*(Geotech!C480&lt;=PLT!$F$4:$F$8886)*(Geotech!D480&gt;=PLT!$F$4:$F$8886)*("Valid"=PLT!$P$4:$P$8886),PLT!$V$4:$V$8886),"")</f>
        <v/>
      </c>
      <c r="AE480" s="161" t="str" cm="1">
        <f t="array" ref="AE480">IFERROR(_xlfn.XLOOKUP(1,(A480=PLT!$A$4:$A$8886)*(Geotech!C480&lt;=PLT!$F$4:$F$8886)*(Geotech!D480&gt;=PLT!$F$4:$F$8886)*(PLT!$V$4:$V$8886&lt;&gt;AD480)*("Valid"=PLT!$P$4:$P$7190),PLT!$V$4:$V$8886),"")</f>
        <v/>
      </c>
      <c r="AF480" s="161" t="str" cm="1">
        <f t="array" ref="AF480">IFERROR(_xlfn.XLOOKUP(1,(A480=PLT!$A$4:$A$8886)*(Geotech!C480&lt;=PLT!$F$4:$F$8886)*(Geotech!D480&gt;=PLT!$F$4:$F$8886)*(PLT!$V$4:$V$8886&lt;&gt;AD480)*(PLT!$V$4:$V$8886&lt;&gt;AE480)*("Valid"=PLT!$P$4:$P$7190),PLT!$V$4:$V$8886),"")</f>
        <v/>
      </c>
      <c r="AG480" s="162" t="str">
        <f>IFERROR(IF(AVERAGE(AD480:AF480)&gt;References!$BO$23,References!$BP$23,
IF(AVERAGE(AD480:AF480)&gt;References!$BO$22,References!$BP$22,
IF(AVERAGE(AD480:AF480)&gt;References!$BO$21,References!$BP$21,
IF(AVERAGE(AD480:AF480)&gt;References!$BO$20,References!$BP$20,
IF(AVERAGE(AD480:AF480)&gt;References!$BO$19,References!$BP$19,
IF(AVERAGE(AD480:AF480)&gt;References!$BO$18,References!$BP$18,
0)))))),"")</f>
        <v/>
      </c>
      <c r="AH480" s="163" t="e">
        <f>VLOOKUP(Data_Geotech[[#This Row],[Field Intact Rock Strength]],Table_RMR76_Strength[],2,FALSE)</f>
        <v>#N/A</v>
      </c>
      <c r="AI480" s="163" t="e">
        <f>IF(Data_Geotech[[#This Row],[RQD (%)]]&lt;=25,3,IF(Data_Geotech[[#This Row],[RQD (%)]]&lt;=50,8,IF(Data_Geotech[[#This Row],[RQD (%)]]&lt;=75,13,IF(Data_Geotech[[#This Row],[RQD (%)]]&lt;=90,17,20))))</f>
        <v>#DIV/0!</v>
      </c>
      <c r="AJ480" s="136">
        <f>IF(Data_Geotech[[#This Row],[Joint spacing (m)]]&lt;=0.05,5,IF(Data_Geotech[[#This Row],[Joint spacing (m)]]&lt;=0.3,10,IF(Data_Geotech[[#This Row],[Joint spacing (m)]]&lt;=1,20,IF(Data_Geotech[[#This Row],[Joint spacing (m)]]&lt;=3,25,30))))</f>
        <v>30</v>
      </c>
      <c r="AK48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0" s="6"/>
      <c r="AM480" s="137" t="str">
        <f>IF(Data_Geotech[[#This Row],[FIRS Code]]="R",IFERROR(SUM(Data_Geotech[[#This Row],[RMR76 - Strength rating]:[RMR76 - Ground water rating]]),""),"")</f>
        <v/>
      </c>
      <c r="AN480" s="164" t="str">
        <f>IF(Data_Geotech[[#This Row],[FIRS Code]]="R",(2*Data_Geotech[[#This Row],[RMR76 - Joint condition rating]])+(IF(Data_Geotech[[#This Row],[RQD (%)]]&gt;80,80/2,Data_Geotech[[#This Row],[RQD (%)]]/2)),"")</f>
        <v/>
      </c>
      <c r="AO480" s="136" t="e">
        <f>LEFT(Data_Geotech[[#This Row],[Joint Set Rating]],FIND("-",Data_Geotech[[#This Row],[Joint Set Rating]],1)-2)</f>
        <v>#VALUE!</v>
      </c>
      <c r="AP48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0" s="143">
        <f t="shared" si="11"/>
        <v>1</v>
      </c>
      <c r="AR480" s="165" t="str">
        <f>IF(Data_Geotech[[#This Row],[FIRS Code]]="R",IFERROR((IF(Data_Geotech[[#This Row],[RQD (%)]]&lt;10,10,Data_Geotech[[#This Row],[RQD (%)]])/Data_Geotech[[#This Row],[Jn rating]])*Data_Geotech[[#This Row],[Jr/Ja]],""),"")</f>
        <v/>
      </c>
      <c r="AS480" s="138" t="str">
        <f>IF(Data_Geotech[[#This Row],[FIRS Code]]="R",IFERROR((IF(Data_Geotech[[#This Row],[RQD (%)]]&lt;10,10,Data_Geotech[[#This Row],[RQD (%)]])/Data_Geotech[[#This Row],[Jn rating]])*Data_Geotech[[#This Row],[Jr/Ja]]*Data_Geotech[[#This Row],[Jw/SRF]],""),"")</f>
        <v/>
      </c>
      <c r="AT480" s="12"/>
      <c r="AU480" s="13" t="e">
        <f>100-Data_Geotech[[#This Row],[RQD (%)]]</f>
        <v>#DIV/0!</v>
      </c>
      <c r="AV480" s="13" t="e">
        <f>100-Data_Geotech[[#This Row],[TCR (%)]]</f>
        <v>#DIV/0!</v>
      </c>
      <c r="AW480" s="62" t="e">
        <f>(Data_Geotech[[#This Row],[Fracture per interval]]+Data_Geotech[[#This Row],[Added fractures 
(BC, FLT, LC)]])/Data_Geotech[[#This Row],[TCR (m)]]</f>
        <v>#DIV/0!</v>
      </c>
      <c r="AX480" s="62" t="str">
        <f>MID(Data_Geotech[[#This Row],[Field Intact Rock Strength]],2,1)</f>
        <v/>
      </c>
      <c r="AY480" s="63" t="e">
        <f>7-MID(Data_Geotech[[#This Row],[Field Intact Rock Strength]],2,1)</f>
        <v>#VALUE!</v>
      </c>
      <c r="AZ480" s="63" t="e">
        <f>VLOOKUP(Data_Geotech[[#This Row],[Field Intact Rock Strength]],Table_FieldStrength[],2,FALSE)</f>
        <v>#N/A</v>
      </c>
      <c r="BA480" s="63" t="e">
        <f>VLOOKUP(Data_Geotech[[#This Row],[Field Intact Rock Strength]],Table_FieldStrength[],3,FALSE)</f>
        <v>#N/A</v>
      </c>
      <c r="BB480" s="63" t="e">
        <f>VLOOKUP(Data_Geotech[[#This Row],[Field Intact Rock Strength]],Table_FieldStrength[],4,FALSE)</f>
        <v>#N/A</v>
      </c>
      <c r="BC480" s="63" t="e">
        <f>100-Data_Geotech[[#This Row],[RMR76]]</f>
        <v>#VALUE!</v>
      </c>
      <c r="BD480" s="63" t="e">
        <f>LEFT(Data_Geotech[[#This Row],[Weathering/Alteration]],FIND("-",Data_Geotech[[#This Row],[Weathering/Alteration]])-2)</f>
        <v>#VALUE!</v>
      </c>
    </row>
    <row r="481" spans="1:56" hidden="1" x14ac:dyDescent="0.25">
      <c r="A481" s="14"/>
      <c r="B481" s="166" t="e">
        <f>VLOOKUP(Data_Geotech[[#This Row],[Hole ID]],Data_Log[],2,FALSE)</f>
        <v>#N/A</v>
      </c>
      <c r="C481" s="5"/>
      <c r="D481" s="5"/>
      <c r="E481" s="5">
        <f>(Data_Geotech[[#This Row],[To (m)]]-Data_Geotech[[#This Row],[From (m)]])/2+Data_Geotech[[#This Row],[From (m)]]</f>
        <v>0</v>
      </c>
      <c r="F481" s="13">
        <f>Data_Geotech[[#This Row],[To (m)]]-Data_Geotech[[#This Row],[From (m)]]</f>
        <v>0</v>
      </c>
      <c r="G481" s="5"/>
      <c r="H481" s="13" t="e">
        <f>Data_Geotech[[#This Row],[TCR (m)]]/Data_Geotech[[#This Row],[Run (m)]]*100</f>
        <v>#DIV/0!</v>
      </c>
      <c r="I481" s="5"/>
      <c r="J481" s="5"/>
      <c r="K481" s="5"/>
      <c r="L481" s="13" t="e">
        <f>Data_Geotech[[#This Row],[RQD (m)]]/Data_Geotech[[#This Row],[Run Reel (m)]]*100</f>
        <v>#DIV/0!</v>
      </c>
      <c r="P481" s="115"/>
      <c r="Q481" s="5"/>
      <c r="R481" s="5"/>
      <c r="S481" s="5"/>
      <c r="T481" s="5"/>
      <c r="U481" s="5"/>
      <c r="V481" s="6"/>
      <c r="W481" s="92">
        <f>SUMIFS(Discontinuities!$D$4:$D$9664,Discontinuities!$A$4:$A$9664,A481,Discontinuities!$C$4:$C$9664,"&gt;="&amp;C481,Discontinuities!$C$4:$C$9664,"&lt;"&amp;D481)
-SUMIFS(Discontinuities!$D$4:$D$9664,Discontinuities!$A$4:$A$9664,A481,Discontinuities!$C$4:$C$9664,"&gt;="&amp;C481,Discontinuities!$C$4:$C$9664,"&lt;"&amp;D481,Discontinuities!$E$4:$E$9664,"=BC")
-SUMIFS(Discontinuities!$D$4:$D$9664,Discontinuities!$A$4:$A$9664,A481,Discontinuities!$C$4:$C$9664,"&gt;="&amp;C481,Discontinuities!$C$4:$C$9664,"&lt;"&amp;D481,Discontinuities!$E$4:$E$9664,"=LC")
-SUMIFS(Discontinuities!$D$4:$D$9664,Discontinuities!$A$4:$A$9664,A481,Discontinuities!$C$4:$C$9664,"&gt;="&amp;C481,Discontinuities!$C$4:$C$9664,"&lt;"&amp;D481,Discontinuities!$E$4:$E$9664,"=FLT")</f>
        <v>0</v>
      </c>
      <c r="AA481" s="132"/>
      <c r="AB481" s="159">
        <f>IFERROR(ROUND((Data_Geotech[[#This Row],[Fault (m)]]+Data_Geotech[[#This Row],[Broken Core (m)]]+Data_Geotech[[#This Row],[Lost Core (m)]])*30,0),0)</f>
        <v>0</v>
      </c>
      <c r="AC481" s="135">
        <f>IF(Data_Geotech[[#This Row],[Added fractures 
(BC, FLT, LC)]]+Data_Geotech[[#This Row],[Fracture per interval]]=0,99,1/((Data_Geotech[[#This Row],[Fracture per interval]]+Data_Geotech[[#This Row],[Added fractures 
(BC, FLT, LC)]])/Data_Geotech[[#This Row],[Run (m)]]))</f>
        <v>99</v>
      </c>
      <c r="AD481" s="160" t="str" cm="1">
        <f t="array" ref="AD481">IFERROR(_xlfn.XLOOKUP(1,(A481=PLT!$A$4:$A$8886)*(Geotech!C481&lt;=PLT!$F$4:$F$8886)*(Geotech!D481&gt;=PLT!$F$4:$F$8886)*("Valid"=PLT!$P$4:$P$8886),PLT!$V$4:$V$8886),"")</f>
        <v/>
      </c>
      <c r="AE481" s="161" t="str" cm="1">
        <f t="array" ref="AE481">IFERROR(_xlfn.XLOOKUP(1,(A481=PLT!$A$4:$A$8886)*(Geotech!C481&lt;=PLT!$F$4:$F$8886)*(Geotech!D481&gt;=PLT!$F$4:$F$8886)*(PLT!$V$4:$V$8886&lt;&gt;AD481)*("Valid"=PLT!$P$4:$P$7190),PLT!$V$4:$V$8886),"")</f>
        <v/>
      </c>
      <c r="AF481" s="161" t="str" cm="1">
        <f t="array" ref="AF481">IFERROR(_xlfn.XLOOKUP(1,(A481=PLT!$A$4:$A$8886)*(Geotech!C481&lt;=PLT!$F$4:$F$8886)*(Geotech!D481&gt;=PLT!$F$4:$F$8886)*(PLT!$V$4:$V$8886&lt;&gt;AD481)*(PLT!$V$4:$V$8886&lt;&gt;AE481)*("Valid"=PLT!$P$4:$P$7190),PLT!$V$4:$V$8886),"")</f>
        <v/>
      </c>
      <c r="AG481" s="162" t="str">
        <f>IFERROR(IF(AVERAGE(AD481:AF481)&gt;References!$BO$23,References!$BP$23,
IF(AVERAGE(AD481:AF481)&gt;References!$BO$22,References!$BP$22,
IF(AVERAGE(AD481:AF481)&gt;References!$BO$21,References!$BP$21,
IF(AVERAGE(AD481:AF481)&gt;References!$BO$20,References!$BP$20,
IF(AVERAGE(AD481:AF481)&gt;References!$BO$19,References!$BP$19,
IF(AVERAGE(AD481:AF481)&gt;References!$BO$18,References!$BP$18,
0)))))),"")</f>
        <v/>
      </c>
      <c r="AH481" s="163" t="e">
        <f>VLOOKUP(Data_Geotech[[#This Row],[Field Intact Rock Strength]],Table_RMR76_Strength[],2,FALSE)</f>
        <v>#N/A</v>
      </c>
      <c r="AI481" s="163" t="e">
        <f>IF(Data_Geotech[[#This Row],[RQD (%)]]&lt;=25,3,IF(Data_Geotech[[#This Row],[RQD (%)]]&lt;=50,8,IF(Data_Geotech[[#This Row],[RQD (%)]]&lt;=75,13,IF(Data_Geotech[[#This Row],[RQD (%)]]&lt;=90,17,20))))</f>
        <v>#DIV/0!</v>
      </c>
      <c r="AJ481" s="136">
        <f>IF(Data_Geotech[[#This Row],[Joint spacing (m)]]&lt;=0.05,5,IF(Data_Geotech[[#This Row],[Joint spacing (m)]]&lt;=0.3,10,IF(Data_Geotech[[#This Row],[Joint spacing (m)]]&lt;=1,20,IF(Data_Geotech[[#This Row],[Joint spacing (m)]]&lt;=3,25,30))))</f>
        <v>30</v>
      </c>
      <c r="AK48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1" s="6"/>
      <c r="AM481" s="137" t="str">
        <f>IF(Data_Geotech[[#This Row],[FIRS Code]]="R",IFERROR(SUM(Data_Geotech[[#This Row],[RMR76 - Strength rating]:[RMR76 - Ground water rating]]),""),"")</f>
        <v/>
      </c>
      <c r="AN481" s="164" t="str">
        <f>IF(Data_Geotech[[#This Row],[FIRS Code]]="R",(2*Data_Geotech[[#This Row],[RMR76 - Joint condition rating]])+(IF(Data_Geotech[[#This Row],[RQD (%)]]&gt;80,80/2,Data_Geotech[[#This Row],[RQD (%)]]/2)),"")</f>
        <v/>
      </c>
      <c r="AO481" s="136" t="e">
        <f>LEFT(Data_Geotech[[#This Row],[Joint Set Rating]],FIND("-",Data_Geotech[[#This Row],[Joint Set Rating]],1)-2)</f>
        <v>#VALUE!</v>
      </c>
      <c r="AP48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1" s="143">
        <f t="shared" si="11"/>
        <v>1</v>
      </c>
      <c r="AR481" s="165" t="str">
        <f>IF(Data_Geotech[[#This Row],[FIRS Code]]="R",IFERROR((IF(Data_Geotech[[#This Row],[RQD (%)]]&lt;10,10,Data_Geotech[[#This Row],[RQD (%)]])/Data_Geotech[[#This Row],[Jn rating]])*Data_Geotech[[#This Row],[Jr/Ja]],""),"")</f>
        <v/>
      </c>
      <c r="AS481" s="138" t="str">
        <f>IF(Data_Geotech[[#This Row],[FIRS Code]]="R",IFERROR((IF(Data_Geotech[[#This Row],[RQD (%)]]&lt;10,10,Data_Geotech[[#This Row],[RQD (%)]])/Data_Geotech[[#This Row],[Jn rating]])*Data_Geotech[[#This Row],[Jr/Ja]]*Data_Geotech[[#This Row],[Jw/SRF]],""),"")</f>
        <v/>
      </c>
      <c r="AT481" s="12"/>
      <c r="AU481" s="13" t="e">
        <f>100-Data_Geotech[[#This Row],[RQD (%)]]</f>
        <v>#DIV/0!</v>
      </c>
      <c r="AV481" s="13" t="e">
        <f>100-Data_Geotech[[#This Row],[TCR (%)]]</f>
        <v>#DIV/0!</v>
      </c>
      <c r="AW481" s="62" t="e">
        <f>(Data_Geotech[[#This Row],[Fracture per interval]]+Data_Geotech[[#This Row],[Added fractures 
(BC, FLT, LC)]])/Data_Geotech[[#This Row],[TCR (m)]]</f>
        <v>#DIV/0!</v>
      </c>
      <c r="AX481" s="62" t="str">
        <f>MID(Data_Geotech[[#This Row],[Field Intact Rock Strength]],2,1)</f>
        <v/>
      </c>
      <c r="AY481" s="63" t="e">
        <f>7-MID(Data_Geotech[[#This Row],[Field Intact Rock Strength]],2,1)</f>
        <v>#VALUE!</v>
      </c>
      <c r="AZ481" s="63" t="e">
        <f>VLOOKUP(Data_Geotech[[#This Row],[Field Intact Rock Strength]],Table_FieldStrength[],2,FALSE)</f>
        <v>#N/A</v>
      </c>
      <c r="BA481" s="63" t="e">
        <f>VLOOKUP(Data_Geotech[[#This Row],[Field Intact Rock Strength]],Table_FieldStrength[],3,FALSE)</f>
        <v>#N/A</v>
      </c>
      <c r="BB481" s="63" t="e">
        <f>VLOOKUP(Data_Geotech[[#This Row],[Field Intact Rock Strength]],Table_FieldStrength[],4,FALSE)</f>
        <v>#N/A</v>
      </c>
      <c r="BC481" s="63" t="e">
        <f>100-Data_Geotech[[#This Row],[RMR76]]</f>
        <v>#VALUE!</v>
      </c>
      <c r="BD481" s="63" t="e">
        <f>LEFT(Data_Geotech[[#This Row],[Weathering/Alteration]],FIND("-",Data_Geotech[[#This Row],[Weathering/Alteration]])-2)</f>
        <v>#VALUE!</v>
      </c>
    </row>
    <row r="482" spans="1:56" hidden="1" x14ac:dyDescent="0.25">
      <c r="A482" s="14"/>
      <c r="B482" s="166" t="e">
        <f>VLOOKUP(Data_Geotech[[#This Row],[Hole ID]],Data_Log[],2,FALSE)</f>
        <v>#N/A</v>
      </c>
      <c r="C482" s="5"/>
      <c r="D482" s="5"/>
      <c r="E482" s="5">
        <f>(Data_Geotech[[#This Row],[To (m)]]-Data_Geotech[[#This Row],[From (m)]])/2+Data_Geotech[[#This Row],[From (m)]]</f>
        <v>0</v>
      </c>
      <c r="F482" s="13">
        <f>Data_Geotech[[#This Row],[To (m)]]-Data_Geotech[[#This Row],[From (m)]]</f>
        <v>0</v>
      </c>
      <c r="G482" s="5"/>
      <c r="H482" s="13" t="e">
        <f>Data_Geotech[[#This Row],[TCR (m)]]/Data_Geotech[[#This Row],[Run (m)]]*100</f>
        <v>#DIV/0!</v>
      </c>
      <c r="I482" s="5"/>
      <c r="J482" s="5"/>
      <c r="K482" s="5"/>
      <c r="L482" s="13" t="e">
        <f>Data_Geotech[[#This Row],[RQD (m)]]/Data_Geotech[[#This Row],[Run Reel (m)]]*100</f>
        <v>#DIV/0!</v>
      </c>
      <c r="P482" s="115"/>
      <c r="Q482" s="5"/>
      <c r="R482" s="5"/>
      <c r="S482" s="5"/>
      <c r="T482" s="5"/>
      <c r="U482" s="5"/>
      <c r="V482" s="6"/>
      <c r="W482" s="92">
        <f>SUMIFS(Discontinuities!$D$4:$D$9664,Discontinuities!$A$4:$A$9664,A482,Discontinuities!$C$4:$C$9664,"&gt;="&amp;C482,Discontinuities!$C$4:$C$9664,"&lt;"&amp;D482)
-SUMIFS(Discontinuities!$D$4:$D$9664,Discontinuities!$A$4:$A$9664,A482,Discontinuities!$C$4:$C$9664,"&gt;="&amp;C482,Discontinuities!$C$4:$C$9664,"&lt;"&amp;D482,Discontinuities!$E$4:$E$9664,"=BC")
-SUMIFS(Discontinuities!$D$4:$D$9664,Discontinuities!$A$4:$A$9664,A482,Discontinuities!$C$4:$C$9664,"&gt;="&amp;C482,Discontinuities!$C$4:$C$9664,"&lt;"&amp;D482,Discontinuities!$E$4:$E$9664,"=LC")
-SUMIFS(Discontinuities!$D$4:$D$9664,Discontinuities!$A$4:$A$9664,A482,Discontinuities!$C$4:$C$9664,"&gt;="&amp;C482,Discontinuities!$C$4:$C$9664,"&lt;"&amp;D482,Discontinuities!$E$4:$E$9664,"=FLT")</f>
        <v>0</v>
      </c>
      <c r="AA482" s="132"/>
      <c r="AB482" s="159">
        <f>IFERROR(ROUND((Data_Geotech[[#This Row],[Fault (m)]]+Data_Geotech[[#This Row],[Broken Core (m)]]+Data_Geotech[[#This Row],[Lost Core (m)]])*30,0),0)</f>
        <v>0</v>
      </c>
      <c r="AC482" s="135">
        <f>IF(Data_Geotech[[#This Row],[Added fractures 
(BC, FLT, LC)]]+Data_Geotech[[#This Row],[Fracture per interval]]=0,99,1/((Data_Geotech[[#This Row],[Fracture per interval]]+Data_Geotech[[#This Row],[Added fractures 
(BC, FLT, LC)]])/Data_Geotech[[#This Row],[Run (m)]]))</f>
        <v>99</v>
      </c>
      <c r="AD482" s="160" t="str" cm="1">
        <f t="array" ref="AD482">IFERROR(_xlfn.XLOOKUP(1,(A482=PLT!$A$4:$A$8886)*(Geotech!C482&lt;=PLT!$F$4:$F$8886)*(Geotech!D482&gt;=PLT!$F$4:$F$8886)*("Valid"=PLT!$P$4:$P$8886),PLT!$V$4:$V$8886),"")</f>
        <v/>
      </c>
      <c r="AE482" s="161" t="str" cm="1">
        <f t="array" ref="AE482">IFERROR(_xlfn.XLOOKUP(1,(A482=PLT!$A$4:$A$8886)*(Geotech!C482&lt;=PLT!$F$4:$F$8886)*(Geotech!D482&gt;=PLT!$F$4:$F$8886)*(PLT!$V$4:$V$8886&lt;&gt;AD482)*("Valid"=PLT!$P$4:$P$7190),PLT!$V$4:$V$8886),"")</f>
        <v/>
      </c>
      <c r="AF482" s="161" t="str" cm="1">
        <f t="array" ref="AF482">IFERROR(_xlfn.XLOOKUP(1,(A482=PLT!$A$4:$A$8886)*(Geotech!C482&lt;=PLT!$F$4:$F$8886)*(Geotech!D482&gt;=PLT!$F$4:$F$8886)*(PLT!$V$4:$V$8886&lt;&gt;AD482)*(PLT!$V$4:$V$8886&lt;&gt;AE482)*("Valid"=PLT!$P$4:$P$7190),PLT!$V$4:$V$8886),"")</f>
        <v/>
      </c>
      <c r="AG482" s="162" t="str">
        <f>IFERROR(IF(AVERAGE(AD482:AF482)&gt;References!$BO$23,References!$BP$23,
IF(AVERAGE(AD482:AF482)&gt;References!$BO$22,References!$BP$22,
IF(AVERAGE(AD482:AF482)&gt;References!$BO$21,References!$BP$21,
IF(AVERAGE(AD482:AF482)&gt;References!$BO$20,References!$BP$20,
IF(AVERAGE(AD482:AF482)&gt;References!$BO$19,References!$BP$19,
IF(AVERAGE(AD482:AF482)&gt;References!$BO$18,References!$BP$18,
0)))))),"")</f>
        <v/>
      </c>
      <c r="AH482" s="163" t="e">
        <f>VLOOKUP(Data_Geotech[[#This Row],[Field Intact Rock Strength]],Table_RMR76_Strength[],2,FALSE)</f>
        <v>#N/A</v>
      </c>
      <c r="AI482" s="163" t="e">
        <f>IF(Data_Geotech[[#This Row],[RQD (%)]]&lt;=25,3,IF(Data_Geotech[[#This Row],[RQD (%)]]&lt;=50,8,IF(Data_Geotech[[#This Row],[RQD (%)]]&lt;=75,13,IF(Data_Geotech[[#This Row],[RQD (%)]]&lt;=90,17,20))))</f>
        <v>#DIV/0!</v>
      </c>
      <c r="AJ482" s="136">
        <f>IF(Data_Geotech[[#This Row],[Joint spacing (m)]]&lt;=0.05,5,IF(Data_Geotech[[#This Row],[Joint spacing (m)]]&lt;=0.3,10,IF(Data_Geotech[[#This Row],[Joint spacing (m)]]&lt;=1,20,IF(Data_Geotech[[#This Row],[Joint spacing (m)]]&lt;=3,25,30))))</f>
        <v>30</v>
      </c>
      <c r="AK48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2" s="6"/>
      <c r="AM482" s="137" t="str">
        <f>IF(Data_Geotech[[#This Row],[FIRS Code]]="R",IFERROR(SUM(Data_Geotech[[#This Row],[RMR76 - Strength rating]:[RMR76 - Ground water rating]]),""),"")</f>
        <v/>
      </c>
      <c r="AN482" s="164" t="str">
        <f>IF(Data_Geotech[[#This Row],[FIRS Code]]="R",(2*Data_Geotech[[#This Row],[RMR76 - Joint condition rating]])+(IF(Data_Geotech[[#This Row],[RQD (%)]]&gt;80,80/2,Data_Geotech[[#This Row],[RQD (%)]]/2)),"")</f>
        <v/>
      </c>
      <c r="AO482" s="136" t="e">
        <f>LEFT(Data_Geotech[[#This Row],[Joint Set Rating]],FIND("-",Data_Geotech[[#This Row],[Joint Set Rating]],1)-2)</f>
        <v>#VALUE!</v>
      </c>
      <c r="AP48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2" s="143">
        <f t="shared" si="11"/>
        <v>1</v>
      </c>
      <c r="AR482" s="165" t="str">
        <f>IF(Data_Geotech[[#This Row],[FIRS Code]]="R",IFERROR((IF(Data_Geotech[[#This Row],[RQD (%)]]&lt;10,10,Data_Geotech[[#This Row],[RQD (%)]])/Data_Geotech[[#This Row],[Jn rating]])*Data_Geotech[[#This Row],[Jr/Ja]],""),"")</f>
        <v/>
      </c>
      <c r="AS482" s="138" t="str">
        <f>IF(Data_Geotech[[#This Row],[FIRS Code]]="R",IFERROR((IF(Data_Geotech[[#This Row],[RQD (%)]]&lt;10,10,Data_Geotech[[#This Row],[RQD (%)]])/Data_Geotech[[#This Row],[Jn rating]])*Data_Geotech[[#This Row],[Jr/Ja]]*Data_Geotech[[#This Row],[Jw/SRF]],""),"")</f>
        <v/>
      </c>
      <c r="AT482" s="12"/>
      <c r="AU482" s="13" t="e">
        <f>100-Data_Geotech[[#This Row],[RQD (%)]]</f>
        <v>#DIV/0!</v>
      </c>
      <c r="AV482" s="13" t="e">
        <f>100-Data_Geotech[[#This Row],[TCR (%)]]</f>
        <v>#DIV/0!</v>
      </c>
      <c r="AW482" s="62" t="e">
        <f>(Data_Geotech[[#This Row],[Fracture per interval]]+Data_Geotech[[#This Row],[Added fractures 
(BC, FLT, LC)]])/Data_Geotech[[#This Row],[TCR (m)]]</f>
        <v>#DIV/0!</v>
      </c>
      <c r="AX482" s="62" t="str">
        <f>MID(Data_Geotech[[#This Row],[Field Intact Rock Strength]],2,1)</f>
        <v/>
      </c>
      <c r="AY482" s="63" t="e">
        <f>7-MID(Data_Geotech[[#This Row],[Field Intact Rock Strength]],2,1)</f>
        <v>#VALUE!</v>
      </c>
      <c r="AZ482" s="63" t="e">
        <f>VLOOKUP(Data_Geotech[[#This Row],[Field Intact Rock Strength]],Table_FieldStrength[],2,FALSE)</f>
        <v>#N/A</v>
      </c>
      <c r="BA482" s="63" t="e">
        <f>VLOOKUP(Data_Geotech[[#This Row],[Field Intact Rock Strength]],Table_FieldStrength[],3,FALSE)</f>
        <v>#N/A</v>
      </c>
      <c r="BB482" s="63" t="e">
        <f>VLOOKUP(Data_Geotech[[#This Row],[Field Intact Rock Strength]],Table_FieldStrength[],4,FALSE)</f>
        <v>#N/A</v>
      </c>
      <c r="BC482" s="63" t="e">
        <f>100-Data_Geotech[[#This Row],[RMR76]]</f>
        <v>#VALUE!</v>
      </c>
      <c r="BD482" s="63" t="e">
        <f>LEFT(Data_Geotech[[#This Row],[Weathering/Alteration]],FIND("-",Data_Geotech[[#This Row],[Weathering/Alteration]])-2)</f>
        <v>#VALUE!</v>
      </c>
    </row>
    <row r="483" spans="1:56" hidden="1" x14ac:dyDescent="0.25">
      <c r="A483" s="14"/>
      <c r="B483" s="166" t="e">
        <f>VLOOKUP(Data_Geotech[[#This Row],[Hole ID]],Data_Log[],2,FALSE)</f>
        <v>#N/A</v>
      </c>
      <c r="C483" s="5"/>
      <c r="D483" s="5"/>
      <c r="E483" s="5">
        <f>(Data_Geotech[[#This Row],[To (m)]]-Data_Geotech[[#This Row],[From (m)]])/2+Data_Geotech[[#This Row],[From (m)]]</f>
        <v>0</v>
      </c>
      <c r="F483" s="13">
        <f>Data_Geotech[[#This Row],[To (m)]]-Data_Geotech[[#This Row],[From (m)]]</f>
        <v>0</v>
      </c>
      <c r="G483" s="5"/>
      <c r="H483" s="13" t="e">
        <f>Data_Geotech[[#This Row],[TCR (m)]]/Data_Geotech[[#This Row],[Run (m)]]*100</f>
        <v>#DIV/0!</v>
      </c>
      <c r="I483" s="5"/>
      <c r="J483" s="5"/>
      <c r="K483" s="5"/>
      <c r="L483" s="13" t="e">
        <f>Data_Geotech[[#This Row],[RQD (m)]]/Data_Geotech[[#This Row],[Run Reel (m)]]*100</f>
        <v>#DIV/0!</v>
      </c>
      <c r="P483" s="115"/>
      <c r="Q483" s="5"/>
      <c r="R483" s="5"/>
      <c r="S483" s="5"/>
      <c r="T483" s="5"/>
      <c r="U483" s="5"/>
      <c r="V483" s="6"/>
      <c r="W483" s="92">
        <f>SUMIFS(Discontinuities!$D$4:$D$9664,Discontinuities!$A$4:$A$9664,A483,Discontinuities!$C$4:$C$9664,"&gt;="&amp;C483,Discontinuities!$C$4:$C$9664,"&lt;"&amp;D483)
-SUMIFS(Discontinuities!$D$4:$D$9664,Discontinuities!$A$4:$A$9664,A483,Discontinuities!$C$4:$C$9664,"&gt;="&amp;C483,Discontinuities!$C$4:$C$9664,"&lt;"&amp;D483,Discontinuities!$E$4:$E$9664,"=BC")
-SUMIFS(Discontinuities!$D$4:$D$9664,Discontinuities!$A$4:$A$9664,A483,Discontinuities!$C$4:$C$9664,"&gt;="&amp;C483,Discontinuities!$C$4:$C$9664,"&lt;"&amp;D483,Discontinuities!$E$4:$E$9664,"=LC")
-SUMIFS(Discontinuities!$D$4:$D$9664,Discontinuities!$A$4:$A$9664,A483,Discontinuities!$C$4:$C$9664,"&gt;="&amp;C483,Discontinuities!$C$4:$C$9664,"&lt;"&amp;D483,Discontinuities!$E$4:$E$9664,"=FLT")</f>
        <v>0</v>
      </c>
      <c r="AA483" s="132"/>
      <c r="AB483" s="159">
        <f>IFERROR(ROUND((Data_Geotech[[#This Row],[Fault (m)]]+Data_Geotech[[#This Row],[Broken Core (m)]]+Data_Geotech[[#This Row],[Lost Core (m)]])*30,0),0)</f>
        <v>0</v>
      </c>
      <c r="AC483" s="135">
        <f>IF(Data_Geotech[[#This Row],[Added fractures 
(BC, FLT, LC)]]+Data_Geotech[[#This Row],[Fracture per interval]]=0,99,1/((Data_Geotech[[#This Row],[Fracture per interval]]+Data_Geotech[[#This Row],[Added fractures 
(BC, FLT, LC)]])/Data_Geotech[[#This Row],[Run (m)]]))</f>
        <v>99</v>
      </c>
      <c r="AD483" s="160" t="str" cm="1">
        <f t="array" ref="AD483">IFERROR(_xlfn.XLOOKUP(1,(A483=PLT!$A$4:$A$8886)*(Geotech!C483&lt;=PLT!$F$4:$F$8886)*(Geotech!D483&gt;=PLT!$F$4:$F$8886)*("Valid"=PLT!$P$4:$P$8886),PLT!$V$4:$V$8886),"")</f>
        <v/>
      </c>
      <c r="AE483" s="161" t="str" cm="1">
        <f t="array" ref="AE483">IFERROR(_xlfn.XLOOKUP(1,(A483=PLT!$A$4:$A$8886)*(Geotech!C483&lt;=PLT!$F$4:$F$8886)*(Geotech!D483&gt;=PLT!$F$4:$F$8886)*(PLT!$V$4:$V$8886&lt;&gt;AD483)*("Valid"=PLT!$P$4:$P$7190),PLT!$V$4:$V$8886),"")</f>
        <v/>
      </c>
      <c r="AF483" s="161" t="str" cm="1">
        <f t="array" ref="AF483">IFERROR(_xlfn.XLOOKUP(1,(A483=PLT!$A$4:$A$8886)*(Geotech!C483&lt;=PLT!$F$4:$F$8886)*(Geotech!D483&gt;=PLT!$F$4:$F$8886)*(PLT!$V$4:$V$8886&lt;&gt;AD483)*(PLT!$V$4:$V$8886&lt;&gt;AE483)*("Valid"=PLT!$P$4:$P$7190),PLT!$V$4:$V$8886),"")</f>
        <v/>
      </c>
      <c r="AG483" s="162" t="str">
        <f>IFERROR(IF(AVERAGE(AD483:AF483)&gt;References!$BO$23,References!$BP$23,
IF(AVERAGE(AD483:AF483)&gt;References!$BO$22,References!$BP$22,
IF(AVERAGE(AD483:AF483)&gt;References!$BO$21,References!$BP$21,
IF(AVERAGE(AD483:AF483)&gt;References!$BO$20,References!$BP$20,
IF(AVERAGE(AD483:AF483)&gt;References!$BO$19,References!$BP$19,
IF(AVERAGE(AD483:AF483)&gt;References!$BO$18,References!$BP$18,
0)))))),"")</f>
        <v/>
      </c>
      <c r="AH483" s="163" t="e">
        <f>VLOOKUP(Data_Geotech[[#This Row],[Field Intact Rock Strength]],Table_RMR76_Strength[],2,FALSE)</f>
        <v>#N/A</v>
      </c>
      <c r="AI483" s="163" t="e">
        <f>IF(Data_Geotech[[#This Row],[RQD (%)]]&lt;=25,3,IF(Data_Geotech[[#This Row],[RQD (%)]]&lt;=50,8,IF(Data_Geotech[[#This Row],[RQD (%)]]&lt;=75,13,IF(Data_Geotech[[#This Row],[RQD (%)]]&lt;=90,17,20))))</f>
        <v>#DIV/0!</v>
      </c>
      <c r="AJ483" s="136">
        <f>IF(Data_Geotech[[#This Row],[Joint spacing (m)]]&lt;=0.05,5,IF(Data_Geotech[[#This Row],[Joint spacing (m)]]&lt;=0.3,10,IF(Data_Geotech[[#This Row],[Joint spacing (m)]]&lt;=1,20,IF(Data_Geotech[[#This Row],[Joint spacing (m)]]&lt;=3,25,30))))</f>
        <v>30</v>
      </c>
      <c r="AK48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3" s="6"/>
      <c r="AM483" s="137" t="str">
        <f>IF(Data_Geotech[[#This Row],[FIRS Code]]="R",IFERROR(SUM(Data_Geotech[[#This Row],[RMR76 - Strength rating]:[RMR76 - Ground water rating]]),""),"")</f>
        <v/>
      </c>
      <c r="AN483" s="164" t="str">
        <f>IF(Data_Geotech[[#This Row],[FIRS Code]]="R",(2*Data_Geotech[[#This Row],[RMR76 - Joint condition rating]])+(IF(Data_Geotech[[#This Row],[RQD (%)]]&gt;80,80/2,Data_Geotech[[#This Row],[RQD (%)]]/2)),"")</f>
        <v/>
      </c>
      <c r="AO483" s="136" t="e">
        <f>LEFT(Data_Geotech[[#This Row],[Joint Set Rating]],FIND("-",Data_Geotech[[#This Row],[Joint Set Rating]],1)-2)</f>
        <v>#VALUE!</v>
      </c>
      <c r="AP48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3" s="143">
        <f t="shared" si="11"/>
        <v>1</v>
      </c>
      <c r="AR483" s="165" t="str">
        <f>IF(Data_Geotech[[#This Row],[FIRS Code]]="R",IFERROR((IF(Data_Geotech[[#This Row],[RQD (%)]]&lt;10,10,Data_Geotech[[#This Row],[RQD (%)]])/Data_Geotech[[#This Row],[Jn rating]])*Data_Geotech[[#This Row],[Jr/Ja]],""),"")</f>
        <v/>
      </c>
      <c r="AS483" s="138" t="str">
        <f>IF(Data_Geotech[[#This Row],[FIRS Code]]="R",IFERROR((IF(Data_Geotech[[#This Row],[RQD (%)]]&lt;10,10,Data_Geotech[[#This Row],[RQD (%)]])/Data_Geotech[[#This Row],[Jn rating]])*Data_Geotech[[#This Row],[Jr/Ja]]*Data_Geotech[[#This Row],[Jw/SRF]],""),"")</f>
        <v/>
      </c>
      <c r="AT483" s="12"/>
      <c r="AU483" s="13" t="e">
        <f>100-Data_Geotech[[#This Row],[RQD (%)]]</f>
        <v>#DIV/0!</v>
      </c>
      <c r="AV483" s="13" t="e">
        <f>100-Data_Geotech[[#This Row],[TCR (%)]]</f>
        <v>#DIV/0!</v>
      </c>
      <c r="AW483" s="62" t="e">
        <f>(Data_Geotech[[#This Row],[Fracture per interval]]+Data_Geotech[[#This Row],[Added fractures 
(BC, FLT, LC)]])/Data_Geotech[[#This Row],[TCR (m)]]</f>
        <v>#DIV/0!</v>
      </c>
      <c r="AX483" s="62" t="str">
        <f>MID(Data_Geotech[[#This Row],[Field Intact Rock Strength]],2,1)</f>
        <v/>
      </c>
      <c r="AY483" s="63" t="e">
        <f>7-MID(Data_Geotech[[#This Row],[Field Intact Rock Strength]],2,1)</f>
        <v>#VALUE!</v>
      </c>
      <c r="AZ483" s="63" t="e">
        <f>VLOOKUP(Data_Geotech[[#This Row],[Field Intact Rock Strength]],Table_FieldStrength[],2,FALSE)</f>
        <v>#N/A</v>
      </c>
      <c r="BA483" s="63" t="e">
        <f>VLOOKUP(Data_Geotech[[#This Row],[Field Intact Rock Strength]],Table_FieldStrength[],3,FALSE)</f>
        <v>#N/A</v>
      </c>
      <c r="BB483" s="63" t="e">
        <f>VLOOKUP(Data_Geotech[[#This Row],[Field Intact Rock Strength]],Table_FieldStrength[],4,FALSE)</f>
        <v>#N/A</v>
      </c>
      <c r="BC483" s="63" t="e">
        <f>100-Data_Geotech[[#This Row],[RMR76]]</f>
        <v>#VALUE!</v>
      </c>
      <c r="BD483" s="63" t="e">
        <f>LEFT(Data_Geotech[[#This Row],[Weathering/Alteration]],FIND("-",Data_Geotech[[#This Row],[Weathering/Alteration]])-2)</f>
        <v>#VALUE!</v>
      </c>
    </row>
    <row r="484" spans="1:56" hidden="1" x14ac:dyDescent="0.25">
      <c r="A484" s="14"/>
      <c r="B484" s="166" t="e">
        <f>VLOOKUP(Data_Geotech[[#This Row],[Hole ID]],Data_Log[],2,FALSE)</f>
        <v>#N/A</v>
      </c>
      <c r="C484" s="5"/>
      <c r="D484" s="5"/>
      <c r="E484" s="5">
        <f>(Data_Geotech[[#This Row],[To (m)]]-Data_Geotech[[#This Row],[From (m)]])/2+Data_Geotech[[#This Row],[From (m)]]</f>
        <v>0</v>
      </c>
      <c r="F484" s="13">
        <f>Data_Geotech[[#This Row],[To (m)]]-Data_Geotech[[#This Row],[From (m)]]</f>
        <v>0</v>
      </c>
      <c r="G484" s="5"/>
      <c r="H484" s="13" t="e">
        <f>Data_Geotech[[#This Row],[TCR (m)]]/Data_Geotech[[#This Row],[Run (m)]]*100</f>
        <v>#DIV/0!</v>
      </c>
      <c r="I484" s="5"/>
      <c r="J484" s="5"/>
      <c r="K484" s="5"/>
      <c r="L484" s="13" t="e">
        <f>Data_Geotech[[#This Row],[RQD (m)]]/Data_Geotech[[#This Row],[Run Reel (m)]]*100</f>
        <v>#DIV/0!</v>
      </c>
      <c r="P484" s="115"/>
      <c r="Q484" s="5"/>
      <c r="R484" s="5"/>
      <c r="S484" s="5"/>
      <c r="T484" s="5"/>
      <c r="U484" s="5"/>
      <c r="V484" s="6"/>
      <c r="W484" s="92">
        <f>SUMIFS(Discontinuities!$D$4:$D$9664,Discontinuities!$A$4:$A$9664,A484,Discontinuities!$C$4:$C$9664,"&gt;="&amp;C484,Discontinuities!$C$4:$C$9664,"&lt;"&amp;D484)
-SUMIFS(Discontinuities!$D$4:$D$9664,Discontinuities!$A$4:$A$9664,A484,Discontinuities!$C$4:$C$9664,"&gt;="&amp;C484,Discontinuities!$C$4:$C$9664,"&lt;"&amp;D484,Discontinuities!$E$4:$E$9664,"=BC")
-SUMIFS(Discontinuities!$D$4:$D$9664,Discontinuities!$A$4:$A$9664,A484,Discontinuities!$C$4:$C$9664,"&gt;="&amp;C484,Discontinuities!$C$4:$C$9664,"&lt;"&amp;D484,Discontinuities!$E$4:$E$9664,"=LC")
-SUMIFS(Discontinuities!$D$4:$D$9664,Discontinuities!$A$4:$A$9664,A484,Discontinuities!$C$4:$C$9664,"&gt;="&amp;C484,Discontinuities!$C$4:$C$9664,"&lt;"&amp;D484,Discontinuities!$E$4:$E$9664,"=FLT")</f>
        <v>0</v>
      </c>
      <c r="AA484" s="132"/>
      <c r="AB484" s="159">
        <f>IFERROR(ROUND((Data_Geotech[[#This Row],[Fault (m)]]+Data_Geotech[[#This Row],[Broken Core (m)]]+Data_Geotech[[#This Row],[Lost Core (m)]])*30,0),0)</f>
        <v>0</v>
      </c>
      <c r="AC484" s="135">
        <f>IF(Data_Geotech[[#This Row],[Added fractures 
(BC, FLT, LC)]]+Data_Geotech[[#This Row],[Fracture per interval]]=0,99,1/((Data_Geotech[[#This Row],[Fracture per interval]]+Data_Geotech[[#This Row],[Added fractures 
(BC, FLT, LC)]])/Data_Geotech[[#This Row],[Run (m)]]))</f>
        <v>99</v>
      </c>
      <c r="AD484" s="160" t="str" cm="1">
        <f t="array" ref="AD484">IFERROR(_xlfn.XLOOKUP(1,(A484=PLT!$A$4:$A$8886)*(Geotech!C484&lt;=PLT!$F$4:$F$8886)*(Geotech!D484&gt;=PLT!$F$4:$F$8886)*("Valid"=PLT!$P$4:$P$8886),PLT!$V$4:$V$8886),"")</f>
        <v/>
      </c>
      <c r="AE484" s="161" t="str" cm="1">
        <f t="array" ref="AE484">IFERROR(_xlfn.XLOOKUP(1,(A484=PLT!$A$4:$A$8886)*(Geotech!C484&lt;=PLT!$F$4:$F$8886)*(Geotech!D484&gt;=PLT!$F$4:$F$8886)*(PLT!$V$4:$V$8886&lt;&gt;AD484)*("Valid"=PLT!$P$4:$P$7190),PLT!$V$4:$V$8886),"")</f>
        <v/>
      </c>
      <c r="AF484" s="161" t="str" cm="1">
        <f t="array" ref="AF484">IFERROR(_xlfn.XLOOKUP(1,(A484=PLT!$A$4:$A$8886)*(Geotech!C484&lt;=PLT!$F$4:$F$8886)*(Geotech!D484&gt;=PLT!$F$4:$F$8886)*(PLT!$V$4:$V$8886&lt;&gt;AD484)*(PLT!$V$4:$V$8886&lt;&gt;AE484)*("Valid"=PLT!$P$4:$P$7190),PLT!$V$4:$V$8886),"")</f>
        <v/>
      </c>
      <c r="AG484" s="162" t="str">
        <f>IFERROR(IF(AVERAGE(AD484:AF484)&gt;References!$BO$23,References!$BP$23,
IF(AVERAGE(AD484:AF484)&gt;References!$BO$22,References!$BP$22,
IF(AVERAGE(AD484:AF484)&gt;References!$BO$21,References!$BP$21,
IF(AVERAGE(AD484:AF484)&gt;References!$BO$20,References!$BP$20,
IF(AVERAGE(AD484:AF484)&gt;References!$BO$19,References!$BP$19,
IF(AVERAGE(AD484:AF484)&gt;References!$BO$18,References!$BP$18,
0)))))),"")</f>
        <v/>
      </c>
      <c r="AH484" s="163" t="e">
        <f>VLOOKUP(Data_Geotech[[#This Row],[Field Intact Rock Strength]],Table_RMR76_Strength[],2,FALSE)</f>
        <v>#N/A</v>
      </c>
      <c r="AI484" s="163" t="e">
        <f>IF(Data_Geotech[[#This Row],[RQD (%)]]&lt;=25,3,IF(Data_Geotech[[#This Row],[RQD (%)]]&lt;=50,8,IF(Data_Geotech[[#This Row],[RQD (%)]]&lt;=75,13,IF(Data_Geotech[[#This Row],[RQD (%)]]&lt;=90,17,20))))</f>
        <v>#DIV/0!</v>
      </c>
      <c r="AJ484" s="136">
        <f>IF(Data_Geotech[[#This Row],[Joint spacing (m)]]&lt;=0.05,5,IF(Data_Geotech[[#This Row],[Joint spacing (m)]]&lt;=0.3,10,IF(Data_Geotech[[#This Row],[Joint spacing (m)]]&lt;=1,20,IF(Data_Geotech[[#This Row],[Joint spacing (m)]]&lt;=3,25,30))))</f>
        <v>30</v>
      </c>
      <c r="AK48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4" s="6"/>
      <c r="AM484" s="137" t="str">
        <f>IF(Data_Geotech[[#This Row],[FIRS Code]]="R",IFERROR(SUM(Data_Geotech[[#This Row],[RMR76 - Strength rating]:[RMR76 - Ground water rating]]),""),"")</f>
        <v/>
      </c>
      <c r="AN484" s="164" t="str">
        <f>IF(Data_Geotech[[#This Row],[FIRS Code]]="R",(2*Data_Geotech[[#This Row],[RMR76 - Joint condition rating]])+(IF(Data_Geotech[[#This Row],[RQD (%)]]&gt;80,80/2,Data_Geotech[[#This Row],[RQD (%)]]/2)),"")</f>
        <v/>
      </c>
      <c r="AO484" s="136" t="e">
        <f>LEFT(Data_Geotech[[#This Row],[Joint Set Rating]],FIND("-",Data_Geotech[[#This Row],[Joint Set Rating]],1)-2)</f>
        <v>#VALUE!</v>
      </c>
      <c r="AP48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4" s="143">
        <f t="shared" si="11"/>
        <v>1</v>
      </c>
      <c r="AR484" s="165" t="str">
        <f>IF(Data_Geotech[[#This Row],[FIRS Code]]="R",IFERROR((IF(Data_Geotech[[#This Row],[RQD (%)]]&lt;10,10,Data_Geotech[[#This Row],[RQD (%)]])/Data_Geotech[[#This Row],[Jn rating]])*Data_Geotech[[#This Row],[Jr/Ja]],""),"")</f>
        <v/>
      </c>
      <c r="AS484" s="138" t="str">
        <f>IF(Data_Geotech[[#This Row],[FIRS Code]]="R",IFERROR((IF(Data_Geotech[[#This Row],[RQD (%)]]&lt;10,10,Data_Geotech[[#This Row],[RQD (%)]])/Data_Geotech[[#This Row],[Jn rating]])*Data_Geotech[[#This Row],[Jr/Ja]]*Data_Geotech[[#This Row],[Jw/SRF]],""),"")</f>
        <v/>
      </c>
      <c r="AT484" s="12"/>
      <c r="AU484" s="13" t="e">
        <f>100-Data_Geotech[[#This Row],[RQD (%)]]</f>
        <v>#DIV/0!</v>
      </c>
      <c r="AV484" s="13" t="e">
        <f>100-Data_Geotech[[#This Row],[TCR (%)]]</f>
        <v>#DIV/0!</v>
      </c>
      <c r="AW484" s="62" t="e">
        <f>(Data_Geotech[[#This Row],[Fracture per interval]]+Data_Geotech[[#This Row],[Added fractures 
(BC, FLT, LC)]])/Data_Geotech[[#This Row],[TCR (m)]]</f>
        <v>#DIV/0!</v>
      </c>
      <c r="AX484" s="62" t="str">
        <f>MID(Data_Geotech[[#This Row],[Field Intact Rock Strength]],2,1)</f>
        <v/>
      </c>
      <c r="AY484" s="63" t="e">
        <f>7-MID(Data_Geotech[[#This Row],[Field Intact Rock Strength]],2,1)</f>
        <v>#VALUE!</v>
      </c>
      <c r="AZ484" s="63" t="e">
        <f>VLOOKUP(Data_Geotech[[#This Row],[Field Intact Rock Strength]],Table_FieldStrength[],2,FALSE)</f>
        <v>#N/A</v>
      </c>
      <c r="BA484" s="63" t="e">
        <f>VLOOKUP(Data_Geotech[[#This Row],[Field Intact Rock Strength]],Table_FieldStrength[],3,FALSE)</f>
        <v>#N/A</v>
      </c>
      <c r="BB484" s="63" t="e">
        <f>VLOOKUP(Data_Geotech[[#This Row],[Field Intact Rock Strength]],Table_FieldStrength[],4,FALSE)</f>
        <v>#N/A</v>
      </c>
      <c r="BC484" s="63" t="e">
        <f>100-Data_Geotech[[#This Row],[RMR76]]</f>
        <v>#VALUE!</v>
      </c>
      <c r="BD484" s="63" t="e">
        <f>LEFT(Data_Geotech[[#This Row],[Weathering/Alteration]],FIND("-",Data_Geotech[[#This Row],[Weathering/Alteration]])-2)</f>
        <v>#VALUE!</v>
      </c>
    </row>
    <row r="485" spans="1:56" hidden="1" x14ac:dyDescent="0.25">
      <c r="A485" s="14"/>
      <c r="B485" s="166" t="e">
        <f>VLOOKUP(Data_Geotech[[#This Row],[Hole ID]],Data_Log[],2,FALSE)</f>
        <v>#N/A</v>
      </c>
      <c r="C485" s="5"/>
      <c r="D485" s="5"/>
      <c r="E485" s="5">
        <f>(Data_Geotech[[#This Row],[To (m)]]-Data_Geotech[[#This Row],[From (m)]])/2+Data_Geotech[[#This Row],[From (m)]]</f>
        <v>0</v>
      </c>
      <c r="F485" s="13">
        <f>Data_Geotech[[#This Row],[To (m)]]-Data_Geotech[[#This Row],[From (m)]]</f>
        <v>0</v>
      </c>
      <c r="G485" s="5"/>
      <c r="H485" s="13" t="e">
        <f>Data_Geotech[[#This Row],[TCR (m)]]/Data_Geotech[[#This Row],[Run (m)]]*100</f>
        <v>#DIV/0!</v>
      </c>
      <c r="I485" s="5"/>
      <c r="J485" s="5"/>
      <c r="K485" s="5"/>
      <c r="L485" s="13" t="e">
        <f>Data_Geotech[[#This Row],[RQD (m)]]/Data_Geotech[[#This Row],[Run Reel (m)]]*100</f>
        <v>#DIV/0!</v>
      </c>
      <c r="P485" s="115"/>
      <c r="Q485" s="5"/>
      <c r="R485" s="5"/>
      <c r="S485" s="5"/>
      <c r="T485" s="5"/>
      <c r="U485" s="5"/>
      <c r="V485" s="6"/>
      <c r="W485" s="92">
        <f>SUMIFS(Discontinuities!$D$4:$D$9664,Discontinuities!$A$4:$A$9664,A485,Discontinuities!$C$4:$C$9664,"&gt;="&amp;C485,Discontinuities!$C$4:$C$9664,"&lt;"&amp;D485)
-SUMIFS(Discontinuities!$D$4:$D$9664,Discontinuities!$A$4:$A$9664,A485,Discontinuities!$C$4:$C$9664,"&gt;="&amp;C485,Discontinuities!$C$4:$C$9664,"&lt;"&amp;D485,Discontinuities!$E$4:$E$9664,"=BC")
-SUMIFS(Discontinuities!$D$4:$D$9664,Discontinuities!$A$4:$A$9664,A485,Discontinuities!$C$4:$C$9664,"&gt;="&amp;C485,Discontinuities!$C$4:$C$9664,"&lt;"&amp;D485,Discontinuities!$E$4:$E$9664,"=LC")
-SUMIFS(Discontinuities!$D$4:$D$9664,Discontinuities!$A$4:$A$9664,A485,Discontinuities!$C$4:$C$9664,"&gt;="&amp;C485,Discontinuities!$C$4:$C$9664,"&lt;"&amp;D485,Discontinuities!$E$4:$E$9664,"=FLT")</f>
        <v>0</v>
      </c>
      <c r="AA485" s="132"/>
      <c r="AB485" s="159">
        <f>IFERROR(ROUND((Data_Geotech[[#This Row],[Fault (m)]]+Data_Geotech[[#This Row],[Broken Core (m)]]+Data_Geotech[[#This Row],[Lost Core (m)]])*30,0),0)</f>
        <v>0</v>
      </c>
      <c r="AC485" s="135">
        <f>IF(Data_Geotech[[#This Row],[Added fractures 
(BC, FLT, LC)]]+Data_Geotech[[#This Row],[Fracture per interval]]=0,99,1/((Data_Geotech[[#This Row],[Fracture per interval]]+Data_Geotech[[#This Row],[Added fractures 
(BC, FLT, LC)]])/Data_Geotech[[#This Row],[Run (m)]]))</f>
        <v>99</v>
      </c>
      <c r="AD485" s="160" t="str" cm="1">
        <f t="array" ref="AD485">IFERROR(_xlfn.XLOOKUP(1,(A485=PLT!$A$4:$A$8886)*(Geotech!C485&lt;=PLT!$F$4:$F$8886)*(Geotech!D485&gt;=PLT!$F$4:$F$8886)*("Valid"=PLT!$P$4:$P$8886),PLT!$V$4:$V$8886),"")</f>
        <v/>
      </c>
      <c r="AE485" s="161" t="str" cm="1">
        <f t="array" ref="AE485">IFERROR(_xlfn.XLOOKUP(1,(A485=PLT!$A$4:$A$8886)*(Geotech!C485&lt;=PLT!$F$4:$F$8886)*(Geotech!D485&gt;=PLT!$F$4:$F$8886)*(PLT!$V$4:$V$8886&lt;&gt;AD485)*("Valid"=PLT!$P$4:$P$7190),PLT!$V$4:$V$8886),"")</f>
        <v/>
      </c>
      <c r="AF485" s="161" t="str" cm="1">
        <f t="array" ref="AF485">IFERROR(_xlfn.XLOOKUP(1,(A485=PLT!$A$4:$A$8886)*(Geotech!C485&lt;=PLT!$F$4:$F$8886)*(Geotech!D485&gt;=PLT!$F$4:$F$8886)*(PLT!$V$4:$V$8886&lt;&gt;AD485)*(PLT!$V$4:$V$8886&lt;&gt;AE485)*("Valid"=PLT!$P$4:$P$7190),PLT!$V$4:$V$8886),"")</f>
        <v/>
      </c>
      <c r="AG485" s="162" t="str">
        <f>IFERROR(IF(AVERAGE(AD485:AF485)&gt;References!$BO$23,References!$BP$23,
IF(AVERAGE(AD485:AF485)&gt;References!$BO$22,References!$BP$22,
IF(AVERAGE(AD485:AF485)&gt;References!$BO$21,References!$BP$21,
IF(AVERAGE(AD485:AF485)&gt;References!$BO$20,References!$BP$20,
IF(AVERAGE(AD485:AF485)&gt;References!$BO$19,References!$BP$19,
IF(AVERAGE(AD485:AF485)&gt;References!$BO$18,References!$BP$18,
0)))))),"")</f>
        <v/>
      </c>
      <c r="AH485" s="163" t="e">
        <f>VLOOKUP(Data_Geotech[[#This Row],[Field Intact Rock Strength]],Table_RMR76_Strength[],2,FALSE)</f>
        <v>#N/A</v>
      </c>
      <c r="AI485" s="163" t="e">
        <f>IF(Data_Geotech[[#This Row],[RQD (%)]]&lt;=25,3,IF(Data_Geotech[[#This Row],[RQD (%)]]&lt;=50,8,IF(Data_Geotech[[#This Row],[RQD (%)]]&lt;=75,13,IF(Data_Geotech[[#This Row],[RQD (%)]]&lt;=90,17,20))))</f>
        <v>#DIV/0!</v>
      </c>
      <c r="AJ485" s="136">
        <f>IF(Data_Geotech[[#This Row],[Joint spacing (m)]]&lt;=0.05,5,IF(Data_Geotech[[#This Row],[Joint spacing (m)]]&lt;=0.3,10,IF(Data_Geotech[[#This Row],[Joint spacing (m)]]&lt;=1,20,IF(Data_Geotech[[#This Row],[Joint spacing (m)]]&lt;=3,25,30))))</f>
        <v>30</v>
      </c>
      <c r="AK48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5" s="6"/>
      <c r="AM485" s="137" t="str">
        <f>IF(Data_Geotech[[#This Row],[FIRS Code]]="R",IFERROR(SUM(Data_Geotech[[#This Row],[RMR76 - Strength rating]:[RMR76 - Ground water rating]]),""),"")</f>
        <v/>
      </c>
      <c r="AN485" s="164" t="str">
        <f>IF(Data_Geotech[[#This Row],[FIRS Code]]="R",(2*Data_Geotech[[#This Row],[RMR76 - Joint condition rating]])+(IF(Data_Geotech[[#This Row],[RQD (%)]]&gt;80,80/2,Data_Geotech[[#This Row],[RQD (%)]]/2)),"")</f>
        <v/>
      </c>
      <c r="AO485" s="136" t="e">
        <f>LEFT(Data_Geotech[[#This Row],[Joint Set Rating]],FIND("-",Data_Geotech[[#This Row],[Joint Set Rating]],1)-2)</f>
        <v>#VALUE!</v>
      </c>
      <c r="AP48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5" s="143">
        <f t="shared" si="11"/>
        <v>1</v>
      </c>
      <c r="AR485" s="165" t="str">
        <f>IF(Data_Geotech[[#This Row],[FIRS Code]]="R",IFERROR((IF(Data_Geotech[[#This Row],[RQD (%)]]&lt;10,10,Data_Geotech[[#This Row],[RQD (%)]])/Data_Geotech[[#This Row],[Jn rating]])*Data_Geotech[[#This Row],[Jr/Ja]],""),"")</f>
        <v/>
      </c>
      <c r="AS485" s="138" t="str">
        <f>IF(Data_Geotech[[#This Row],[FIRS Code]]="R",IFERROR((IF(Data_Geotech[[#This Row],[RQD (%)]]&lt;10,10,Data_Geotech[[#This Row],[RQD (%)]])/Data_Geotech[[#This Row],[Jn rating]])*Data_Geotech[[#This Row],[Jr/Ja]]*Data_Geotech[[#This Row],[Jw/SRF]],""),"")</f>
        <v/>
      </c>
      <c r="AT485" s="12"/>
      <c r="AU485" s="13" t="e">
        <f>100-Data_Geotech[[#This Row],[RQD (%)]]</f>
        <v>#DIV/0!</v>
      </c>
      <c r="AV485" s="13" t="e">
        <f>100-Data_Geotech[[#This Row],[TCR (%)]]</f>
        <v>#DIV/0!</v>
      </c>
      <c r="AW485" s="62" t="e">
        <f>(Data_Geotech[[#This Row],[Fracture per interval]]+Data_Geotech[[#This Row],[Added fractures 
(BC, FLT, LC)]])/Data_Geotech[[#This Row],[TCR (m)]]</f>
        <v>#DIV/0!</v>
      </c>
      <c r="AX485" s="62" t="str">
        <f>MID(Data_Geotech[[#This Row],[Field Intact Rock Strength]],2,1)</f>
        <v/>
      </c>
      <c r="AY485" s="63" t="e">
        <f>7-MID(Data_Geotech[[#This Row],[Field Intact Rock Strength]],2,1)</f>
        <v>#VALUE!</v>
      </c>
      <c r="AZ485" s="63" t="e">
        <f>VLOOKUP(Data_Geotech[[#This Row],[Field Intact Rock Strength]],Table_FieldStrength[],2,FALSE)</f>
        <v>#N/A</v>
      </c>
      <c r="BA485" s="63" t="e">
        <f>VLOOKUP(Data_Geotech[[#This Row],[Field Intact Rock Strength]],Table_FieldStrength[],3,FALSE)</f>
        <v>#N/A</v>
      </c>
      <c r="BB485" s="63" t="e">
        <f>VLOOKUP(Data_Geotech[[#This Row],[Field Intact Rock Strength]],Table_FieldStrength[],4,FALSE)</f>
        <v>#N/A</v>
      </c>
      <c r="BC485" s="63" t="e">
        <f>100-Data_Geotech[[#This Row],[RMR76]]</f>
        <v>#VALUE!</v>
      </c>
      <c r="BD485" s="63" t="e">
        <f>LEFT(Data_Geotech[[#This Row],[Weathering/Alteration]],FIND("-",Data_Geotech[[#This Row],[Weathering/Alteration]])-2)</f>
        <v>#VALUE!</v>
      </c>
    </row>
    <row r="486" spans="1:56" hidden="1" x14ac:dyDescent="0.25">
      <c r="A486" s="14"/>
      <c r="B486" s="166" t="e">
        <f>VLOOKUP(Data_Geotech[[#This Row],[Hole ID]],Data_Log[],2,FALSE)</f>
        <v>#N/A</v>
      </c>
      <c r="C486" s="5"/>
      <c r="D486" s="5"/>
      <c r="E486" s="5">
        <f>(Data_Geotech[[#This Row],[To (m)]]-Data_Geotech[[#This Row],[From (m)]])/2+Data_Geotech[[#This Row],[From (m)]]</f>
        <v>0</v>
      </c>
      <c r="F486" s="13">
        <f>Data_Geotech[[#This Row],[To (m)]]-Data_Geotech[[#This Row],[From (m)]]</f>
        <v>0</v>
      </c>
      <c r="G486" s="5"/>
      <c r="H486" s="13" t="e">
        <f>Data_Geotech[[#This Row],[TCR (m)]]/Data_Geotech[[#This Row],[Run (m)]]*100</f>
        <v>#DIV/0!</v>
      </c>
      <c r="I486" s="5"/>
      <c r="J486" s="5"/>
      <c r="K486" s="5"/>
      <c r="L486" s="13" t="e">
        <f>Data_Geotech[[#This Row],[RQD (m)]]/Data_Geotech[[#This Row],[Run Reel (m)]]*100</f>
        <v>#DIV/0!</v>
      </c>
      <c r="P486" s="115"/>
      <c r="Q486" s="5"/>
      <c r="R486" s="5"/>
      <c r="S486" s="5"/>
      <c r="T486" s="5"/>
      <c r="U486" s="5"/>
      <c r="V486" s="6"/>
      <c r="W486" s="92">
        <f>SUMIFS(Discontinuities!$D$4:$D$9664,Discontinuities!$A$4:$A$9664,A486,Discontinuities!$C$4:$C$9664,"&gt;="&amp;C486,Discontinuities!$C$4:$C$9664,"&lt;"&amp;D486)
-SUMIFS(Discontinuities!$D$4:$D$9664,Discontinuities!$A$4:$A$9664,A486,Discontinuities!$C$4:$C$9664,"&gt;="&amp;C486,Discontinuities!$C$4:$C$9664,"&lt;"&amp;D486,Discontinuities!$E$4:$E$9664,"=BC")
-SUMIFS(Discontinuities!$D$4:$D$9664,Discontinuities!$A$4:$A$9664,A486,Discontinuities!$C$4:$C$9664,"&gt;="&amp;C486,Discontinuities!$C$4:$C$9664,"&lt;"&amp;D486,Discontinuities!$E$4:$E$9664,"=LC")
-SUMIFS(Discontinuities!$D$4:$D$9664,Discontinuities!$A$4:$A$9664,A486,Discontinuities!$C$4:$C$9664,"&gt;="&amp;C486,Discontinuities!$C$4:$C$9664,"&lt;"&amp;D486,Discontinuities!$E$4:$E$9664,"=FLT")</f>
        <v>0</v>
      </c>
      <c r="AA486" s="132"/>
      <c r="AB486" s="159">
        <f>IFERROR(ROUND((Data_Geotech[[#This Row],[Fault (m)]]+Data_Geotech[[#This Row],[Broken Core (m)]]+Data_Geotech[[#This Row],[Lost Core (m)]])*30,0),0)</f>
        <v>0</v>
      </c>
      <c r="AC486" s="135">
        <f>IF(Data_Geotech[[#This Row],[Added fractures 
(BC, FLT, LC)]]+Data_Geotech[[#This Row],[Fracture per interval]]=0,99,1/((Data_Geotech[[#This Row],[Fracture per interval]]+Data_Geotech[[#This Row],[Added fractures 
(BC, FLT, LC)]])/Data_Geotech[[#This Row],[Run (m)]]))</f>
        <v>99</v>
      </c>
      <c r="AD486" s="160" t="str" cm="1">
        <f t="array" ref="AD486">IFERROR(_xlfn.XLOOKUP(1,(A486=PLT!$A$4:$A$8886)*(Geotech!C486&lt;=PLT!$F$4:$F$8886)*(Geotech!D486&gt;=PLT!$F$4:$F$8886)*("Valid"=PLT!$P$4:$P$8886),PLT!$V$4:$V$8886),"")</f>
        <v/>
      </c>
      <c r="AE486" s="161" t="str" cm="1">
        <f t="array" ref="AE486">IFERROR(_xlfn.XLOOKUP(1,(A486=PLT!$A$4:$A$8886)*(Geotech!C486&lt;=PLT!$F$4:$F$8886)*(Geotech!D486&gt;=PLT!$F$4:$F$8886)*(PLT!$V$4:$V$8886&lt;&gt;AD486)*("Valid"=PLT!$P$4:$P$7190),PLT!$V$4:$V$8886),"")</f>
        <v/>
      </c>
      <c r="AF486" s="161" t="str" cm="1">
        <f t="array" ref="AF486">IFERROR(_xlfn.XLOOKUP(1,(A486=PLT!$A$4:$A$8886)*(Geotech!C486&lt;=PLT!$F$4:$F$8886)*(Geotech!D486&gt;=PLT!$F$4:$F$8886)*(PLT!$V$4:$V$8886&lt;&gt;AD486)*(PLT!$V$4:$V$8886&lt;&gt;AE486)*("Valid"=PLT!$P$4:$P$7190),PLT!$V$4:$V$8886),"")</f>
        <v/>
      </c>
      <c r="AG486" s="162" t="str">
        <f>IFERROR(IF(AVERAGE(AD486:AF486)&gt;References!$BO$23,References!$BP$23,
IF(AVERAGE(AD486:AF486)&gt;References!$BO$22,References!$BP$22,
IF(AVERAGE(AD486:AF486)&gt;References!$BO$21,References!$BP$21,
IF(AVERAGE(AD486:AF486)&gt;References!$BO$20,References!$BP$20,
IF(AVERAGE(AD486:AF486)&gt;References!$BO$19,References!$BP$19,
IF(AVERAGE(AD486:AF486)&gt;References!$BO$18,References!$BP$18,
0)))))),"")</f>
        <v/>
      </c>
      <c r="AH486" s="163" t="e">
        <f>VLOOKUP(Data_Geotech[[#This Row],[Field Intact Rock Strength]],Table_RMR76_Strength[],2,FALSE)</f>
        <v>#N/A</v>
      </c>
      <c r="AI486" s="163" t="e">
        <f>IF(Data_Geotech[[#This Row],[RQD (%)]]&lt;=25,3,IF(Data_Geotech[[#This Row],[RQD (%)]]&lt;=50,8,IF(Data_Geotech[[#This Row],[RQD (%)]]&lt;=75,13,IF(Data_Geotech[[#This Row],[RQD (%)]]&lt;=90,17,20))))</f>
        <v>#DIV/0!</v>
      </c>
      <c r="AJ486" s="136">
        <f>IF(Data_Geotech[[#This Row],[Joint spacing (m)]]&lt;=0.05,5,IF(Data_Geotech[[#This Row],[Joint spacing (m)]]&lt;=0.3,10,IF(Data_Geotech[[#This Row],[Joint spacing (m)]]&lt;=1,20,IF(Data_Geotech[[#This Row],[Joint spacing (m)]]&lt;=3,25,30))))</f>
        <v>30</v>
      </c>
      <c r="AK48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6" s="6"/>
      <c r="AM486" s="137" t="str">
        <f>IF(Data_Geotech[[#This Row],[FIRS Code]]="R",IFERROR(SUM(Data_Geotech[[#This Row],[RMR76 - Strength rating]:[RMR76 - Ground water rating]]),""),"")</f>
        <v/>
      </c>
      <c r="AN486" s="164" t="str">
        <f>IF(Data_Geotech[[#This Row],[FIRS Code]]="R",(2*Data_Geotech[[#This Row],[RMR76 - Joint condition rating]])+(IF(Data_Geotech[[#This Row],[RQD (%)]]&gt;80,80/2,Data_Geotech[[#This Row],[RQD (%)]]/2)),"")</f>
        <v/>
      </c>
      <c r="AO486" s="136" t="e">
        <f>LEFT(Data_Geotech[[#This Row],[Joint Set Rating]],FIND("-",Data_Geotech[[#This Row],[Joint Set Rating]],1)-2)</f>
        <v>#VALUE!</v>
      </c>
      <c r="AP48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6" s="143">
        <f t="shared" si="11"/>
        <v>1</v>
      </c>
      <c r="AR486" s="165" t="str">
        <f>IF(Data_Geotech[[#This Row],[FIRS Code]]="R",IFERROR((IF(Data_Geotech[[#This Row],[RQD (%)]]&lt;10,10,Data_Geotech[[#This Row],[RQD (%)]])/Data_Geotech[[#This Row],[Jn rating]])*Data_Geotech[[#This Row],[Jr/Ja]],""),"")</f>
        <v/>
      </c>
      <c r="AS486" s="138" t="str">
        <f>IF(Data_Geotech[[#This Row],[FIRS Code]]="R",IFERROR((IF(Data_Geotech[[#This Row],[RQD (%)]]&lt;10,10,Data_Geotech[[#This Row],[RQD (%)]])/Data_Geotech[[#This Row],[Jn rating]])*Data_Geotech[[#This Row],[Jr/Ja]]*Data_Geotech[[#This Row],[Jw/SRF]],""),"")</f>
        <v/>
      </c>
      <c r="AT486" s="12"/>
      <c r="AU486" s="13" t="e">
        <f>100-Data_Geotech[[#This Row],[RQD (%)]]</f>
        <v>#DIV/0!</v>
      </c>
      <c r="AV486" s="13" t="e">
        <f>100-Data_Geotech[[#This Row],[TCR (%)]]</f>
        <v>#DIV/0!</v>
      </c>
      <c r="AW486" s="62" t="e">
        <f>(Data_Geotech[[#This Row],[Fracture per interval]]+Data_Geotech[[#This Row],[Added fractures 
(BC, FLT, LC)]])/Data_Geotech[[#This Row],[TCR (m)]]</f>
        <v>#DIV/0!</v>
      </c>
      <c r="AX486" s="62" t="str">
        <f>MID(Data_Geotech[[#This Row],[Field Intact Rock Strength]],2,1)</f>
        <v/>
      </c>
      <c r="AY486" s="63" t="e">
        <f>7-MID(Data_Geotech[[#This Row],[Field Intact Rock Strength]],2,1)</f>
        <v>#VALUE!</v>
      </c>
      <c r="AZ486" s="63" t="e">
        <f>VLOOKUP(Data_Geotech[[#This Row],[Field Intact Rock Strength]],Table_FieldStrength[],2,FALSE)</f>
        <v>#N/A</v>
      </c>
      <c r="BA486" s="63" t="e">
        <f>VLOOKUP(Data_Geotech[[#This Row],[Field Intact Rock Strength]],Table_FieldStrength[],3,FALSE)</f>
        <v>#N/A</v>
      </c>
      <c r="BB486" s="63" t="e">
        <f>VLOOKUP(Data_Geotech[[#This Row],[Field Intact Rock Strength]],Table_FieldStrength[],4,FALSE)</f>
        <v>#N/A</v>
      </c>
      <c r="BC486" s="63" t="e">
        <f>100-Data_Geotech[[#This Row],[RMR76]]</f>
        <v>#VALUE!</v>
      </c>
      <c r="BD486" s="63" t="e">
        <f>LEFT(Data_Geotech[[#This Row],[Weathering/Alteration]],FIND("-",Data_Geotech[[#This Row],[Weathering/Alteration]])-2)</f>
        <v>#VALUE!</v>
      </c>
    </row>
    <row r="487" spans="1:56" hidden="1" x14ac:dyDescent="0.25">
      <c r="A487" s="14"/>
      <c r="B487" s="166" t="e">
        <f>VLOOKUP(Data_Geotech[[#This Row],[Hole ID]],Data_Log[],2,FALSE)</f>
        <v>#N/A</v>
      </c>
      <c r="C487" s="5"/>
      <c r="D487" s="5"/>
      <c r="E487" s="5">
        <f>(Data_Geotech[[#This Row],[To (m)]]-Data_Geotech[[#This Row],[From (m)]])/2+Data_Geotech[[#This Row],[From (m)]]</f>
        <v>0</v>
      </c>
      <c r="F487" s="13">
        <f>Data_Geotech[[#This Row],[To (m)]]-Data_Geotech[[#This Row],[From (m)]]</f>
        <v>0</v>
      </c>
      <c r="G487" s="5"/>
      <c r="H487" s="13" t="e">
        <f>Data_Geotech[[#This Row],[TCR (m)]]/Data_Geotech[[#This Row],[Run (m)]]*100</f>
        <v>#DIV/0!</v>
      </c>
      <c r="I487" s="5"/>
      <c r="J487" s="5"/>
      <c r="K487" s="5"/>
      <c r="L487" s="13" t="e">
        <f>Data_Geotech[[#This Row],[RQD (m)]]/Data_Geotech[[#This Row],[Run Reel (m)]]*100</f>
        <v>#DIV/0!</v>
      </c>
      <c r="P487" s="115"/>
      <c r="Q487" s="5"/>
      <c r="R487" s="5"/>
      <c r="S487" s="5"/>
      <c r="T487" s="5"/>
      <c r="U487" s="5"/>
      <c r="V487" s="6"/>
      <c r="W487" s="92">
        <f>SUMIFS(Discontinuities!$D$4:$D$9664,Discontinuities!$A$4:$A$9664,A487,Discontinuities!$C$4:$C$9664,"&gt;="&amp;C487,Discontinuities!$C$4:$C$9664,"&lt;"&amp;D487)
-SUMIFS(Discontinuities!$D$4:$D$9664,Discontinuities!$A$4:$A$9664,A487,Discontinuities!$C$4:$C$9664,"&gt;="&amp;C487,Discontinuities!$C$4:$C$9664,"&lt;"&amp;D487,Discontinuities!$E$4:$E$9664,"=BC")
-SUMIFS(Discontinuities!$D$4:$D$9664,Discontinuities!$A$4:$A$9664,A487,Discontinuities!$C$4:$C$9664,"&gt;="&amp;C487,Discontinuities!$C$4:$C$9664,"&lt;"&amp;D487,Discontinuities!$E$4:$E$9664,"=LC")
-SUMIFS(Discontinuities!$D$4:$D$9664,Discontinuities!$A$4:$A$9664,A487,Discontinuities!$C$4:$C$9664,"&gt;="&amp;C487,Discontinuities!$C$4:$C$9664,"&lt;"&amp;D487,Discontinuities!$E$4:$E$9664,"=FLT")</f>
        <v>0</v>
      </c>
      <c r="AA487" s="132"/>
      <c r="AB487" s="159">
        <f>IFERROR(ROUND((Data_Geotech[[#This Row],[Fault (m)]]+Data_Geotech[[#This Row],[Broken Core (m)]]+Data_Geotech[[#This Row],[Lost Core (m)]])*30,0),0)</f>
        <v>0</v>
      </c>
      <c r="AC487" s="135">
        <f>IF(Data_Geotech[[#This Row],[Added fractures 
(BC, FLT, LC)]]+Data_Geotech[[#This Row],[Fracture per interval]]=0,99,1/((Data_Geotech[[#This Row],[Fracture per interval]]+Data_Geotech[[#This Row],[Added fractures 
(BC, FLT, LC)]])/Data_Geotech[[#This Row],[Run (m)]]))</f>
        <v>99</v>
      </c>
      <c r="AD487" s="160" t="str" cm="1">
        <f t="array" ref="AD487">IFERROR(_xlfn.XLOOKUP(1,(A487=PLT!$A$4:$A$8886)*(Geotech!C487&lt;=PLT!$F$4:$F$8886)*(Geotech!D487&gt;=PLT!$F$4:$F$8886)*("Valid"=PLT!$P$4:$P$8886),PLT!$V$4:$V$8886),"")</f>
        <v/>
      </c>
      <c r="AE487" s="161" t="str" cm="1">
        <f t="array" ref="AE487">IFERROR(_xlfn.XLOOKUP(1,(A487=PLT!$A$4:$A$8886)*(Geotech!C487&lt;=PLT!$F$4:$F$8886)*(Geotech!D487&gt;=PLT!$F$4:$F$8886)*(PLT!$V$4:$V$8886&lt;&gt;AD487)*("Valid"=PLT!$P$4:$P$7190),PLT!$V$4:$V$8886),"")</f>
        <v/>
      </c>
      <c r="AF487" s="161" t="str" cm="1">
        <f t="array" ref="AF487">IFERROR(_xlfn.XLOOKUP(1,(A487=PLT!$A$4:$A$8886)*(Geotech!C487&lt;=PLT!$F$4:$F$8886)*(Geotech!D487&gt;=PLT!$F$4:$F$8886)*(PLT!$V$4:$V$8886&lt;&gt;AD487)*(PLT!$V$4:$V$8886&lt;&gt;AE487)*("Valid"=PLT!$P$4:$P$7190),PLT!$V$4:$V$8886),"")</f>
        <v/>
      </c>
      <c r="AG487" s="162" t="str">
        <f>IFERROR(IF(AVERAGE(AD487:AF487)&gt;References!$BO$23,References!$BP$23,
IF(AVERAGE(AD487:AF487)&gt;References!$BO$22,References!$BP$22,
IF(AVERAGE(AD487:AF487)&gt;References!$BO$21,References!$BP$21,
IF(AVERAGE(AD487:AF487)&gt;References!$BO$20,References!$BP$20,
IF(AVERAGE(AD487:AF487)&gt;References!$BO$19,References!$BP$19,
IF(AVERAGE(AD487:AF487)&gt;References!$BO$18,References!$BP$18,
0)))))),"")</f>
        <v/>
      </c>
      <c r="AH487" s="163" t="e">
        <f>VLOOKUP(Data_Geotech[[#This Row],[Field Intact Rock Strength]],Table_RMR76_Strength[],2,FALSE)</f>
        <v>#N/A</v>
      </c>
      <c r="AI487" s="163" t="e">
        <f>IF(Data_Geotech[[#This Row],[RQD (%)]]&lt;=25,3,IF(Data_Geotech[[#This Row],[RQD (%)]]&lt;=50,8,IF(Data_Geotech[[#This Row],[RQD (%)]]&lt;=75,13,IF(Data_Geotech[[#This Row],[RQD (%)]]&lt;=90,17,20))))</f>
        <v>#DIV/0!</v>
      </c>
      <c r="AJ487" s="136">
        <f>IF(Data_Geotech[[#This Row],[Joint spacing (m)]]&lt;=0.05,5,IF(Data_Geotech[[#This Row],[Joint spacing (m)]]&lt;=0.3,10,IF(Data_Geotech[[#This Row],[Joint spacing (m)]]&lt;=1,20,IF(Data_Geotech[[#This Row],[Joint spacing (m)]]&lt;=3,25,30))))</f>
        <v>30</v>
      </c>
      <c r="AK48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7" s="6"/>
      <c r="AM487" s="137" t="str">
        <f>IF(Data_Geotech[[#This Row],[FIRS Code]]="R",IFERROR(SUM(Data_Geotech[[#This Row],[RMR76 - Strength rating]:[RMR76 - Ground water rating]]),""),"")</f>
        <v/>
      </c>
      <c r="AN487" s="164" t="str">
        <f>IF(Data_Geotech[[#This Row],[FIRS Code]]="R",(2*Data_Geotech[[#This Row],[RMR76 - Joint condition rating]])+(IF(Data_Geotech[[#This Row],[RQD (%)]]&gt;80,80/2,Data_Geotech[[#This Row],[RQD (%)]]/2)),"")</f>
        <v/>
      </c>
      <c r="AO487" s="136" t="e">
        <f>LEFT(Data_Geotech[[#This Row],[Joint Set Rating]],FIND("-",Data_Geotech[[#This Row],[Joint Set Rating]],1)-2)</f>
        <v>#VALUE!</v>
      </c>
      <c r="AP48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7" s="143">
        <f t="shared" si="11"/>
        <v>1</v>
      </c>
      <c r="AR487" s="165" t="str">
        <f>IF(Data_Geotech[[#This Row],[FIRS Code]]="R",IFERROR((IF(Data_Geotech[[#This Row],[RQD (%)]]&lt;10,10,Data_Geotech[[#This Row],[RQD (%)]])/Data_Geotech[[#This Row],[Jn rating]])*Data_Geotech[[#This Row],[Jr/Ja]],""),"")</f>
        <v/>
      </c>
      <c r="AS487" s="138" t="str">
        <f>IF(Data_Geotech[[#This Row],[FIRS Code]]="R",IFERROR((IF(Data_Geotech[[#This Row],[RQD (%)]]&lt;10,10,Data_Geotech[[#This Row],[RQD (%)]])/Data_Geotech[[#This Row],[Jn rating]])*Data_Geotech[[#This Row],[Jr/Ja]]*Data_Geotech[[#This Row],[Jw/SRF]],""),"")</f>
        <v/>
      </c>
      <c r="AT487" s="12"/>
      <c r="AU487" s="13" t="e">
        <f>100-Data_Geotech[[#This Row],[RQD (%)]]</f>
        <v>#DIV/0!</v>
      </c>
      <c r="AV487" s="13" t="e">
        <f>100-Data_Geotech[[#This Row],[TCR (%)]]</f>
        <v>#DIV/0!</v>
      </c>
      <c r="AW487" s="62" t="e">
        <f>(Data_Geotech[[#This Row],[Fracture per interval]]+Data_Geotech[[#This Row],[Added fractures 
(BC, FLT, LC)]])/Data_Geotech[[#This Row],[TCR (m)]]</f>
        <v>#DIV/0!</v>
      </c>
      <c r="AX487" s="62" t="str">
        <f>MID(Data_Geotech[[#This Row],[Field Intact Rock Strength]],2,1)</f>
        <v/>
      </c>
      <c r="AY487" s="63" t="e">
        <f>7-MID(Data_Geotech[[#This Row],[Field Intact Rock Strength]],2,1)</f>
        <v>#VALUE!</v>
      </c>
      <c r="AZ487" s="63" t="e">
        <f>VLOOKUP(Data_Geotech[[#This Row],[Field Intact Rock Strength]],Table_FieldStrength[],2,FALSE)</f>
        <v>#N/A</v>
      </c>
      <c r="BA487" s="63" t="e">
        <f>VLOOKUP(Data_Geotech[[#This Row],[Field Intact Rock Strength]],Table_FieldStrength[],3,FALSE)</f>
        <v>#N/A</v>
      </c>
      <c r="BB487" s="63" t="e">
        <f>VLOOKUP(Data_Geotech[[#This Row],[Field Intact Rock Strength]],Table_FieldStrength[],4,FALSE)</f>
        <v>#N/A</v>
      </c>
      <c r="BC487" s="63" t="e">
        <f>100-Data_Geotech[[#This Row],[RMR76]]</f>
        <v>#VALUE!</v>
      </c>
      <c r="BD487" s="63" t="e">
        <f>LEFT(Data_Geotech[[#This Row],[Weathering/Alteration]],FIND("-",Data_Geotech[[#This Row],[Weathering/Alteration]])-2)</f>
        <v>#VALUE!</v>
      </c>
    </row>
    <row r="488" spans="1:56" hidden="1" x14ac:dyDescent="0.25">
      <c r="A488" s="14"/>
      <c r="B488" s="166" t="e">
        <f>VLOOKUP(Data_Geotech[[#This Row],[Hole ID]],Data_Log[],2,FALSE)</f>
        <v>#N/A</v>
      </c>
      <c r="C488" s="5"/>
      <c r="D488" s="5"/>
      <c r="E488" s="5">
        <f>(Data_Geotech[[#This Row],[To (m)]]-Data_Geotech[[#This Row],[From (m)]])/2+Data_Geotech[[#This Row],[From (m)]]</f>
        <v>0</v>
      </c>
      <c r="F488" s="13">
        <f>Data_Geotech[[#This Row],[To (m)]]-Data_Geotech[[#This Row],[From (m)]]</f>
        <v>0</v>
      </c>
      <c r="G488" s="5"/>
      <c r="H488" s="13" t="e">
        <f>Data_Geotech[[#This Row],[TCR (m)]]/Data_Geotech[[#This Row],[Run (m)]]*100</f>
        <v>#DIV/0!</v>
      </c>
      <c r="I488" s="5"/>
      <c r="J488" s="5"/>
      <c r="K488" s="5"/>
      <c r="L488" s="13" t="e">
        <f>Data_Geotech[[#This Row],[RQD (m)]]/Data_Geotech[[#This Row],[Run Reel (m)]]*100</f>
        <v>#DIV/0!</v>
      </c>
      <c r="P488" s="115"/>
      <c r="Q488" s="5"/>
      <c r="R488" s="5"/>
      <c r="S488" s="5"/>
      <c r="T488" s="5"/>
      <c r="U488" s="5"/>
      <c r="V488" s="6"/>
      <c r="W488" s="92">
        <f>SUMIFS(Discontinuities!$D$4:$D$9664,Discontinuities!$A$4:$A$9664,A488,Discontinuities!$C$4:$C$9664,"&gt;="&amp;C488,Discontinuities!$C$4:$C$9664,"&lt;"&amp;D488)
-SUMIFS(Discontinuities!$D$4:$D$9664,Discontinuities!$A$4:$A$9664,A488,Discontinuities!$C$4:$C$9664,"&gt;="&amp;C488,Discontinuities!$C$4:$C$9664,"&lt;"&amp;D488,Discontinuities!$E$4:$E$9664,"=BC")
-SUMIFS(Discontinuities!$D$4:$D$9664,Discontinuities!$A$4:$A$9664,A488,Discontinuities!$C$4:$C$9664,"&gt;="&amp;C488,Discontinuities!$C$4:$C$9664,"&lt;"&amp;D488,Discontinuities!$E$4:$E$9664,"=LC")
-SUMIFS(Discontinuities!$D$4:$D$9664,Discontinuities!$A$4:$A$9664,A488,Discontinuities!$C$4:$C$9664,"&gt;="&amp;C488,Discontinuities!$C$4:$C$9664,"&lt;"&amp;D488,Discontinuities!$E$4:$E$9664,"=FLT")</f>
        <v>0</v>
      </c>
      <c r="AA488" s="132"/>
      <c r="AB488" s="159">
        <f>IFERROR(ROUND((Data_Geotech[[#This Row],[Fault (m)]]+Data_Geotech[[#This Row],[Broken Core (m)]]+Data_Geotech[[#This Row],[Lost Core (m)]])*30,0),0)</f>
        <v>0</v>
      </c>
      <c r="AC488" s="135">
        <f>IF(Data_Geotech[[#This Row],[Added fractures 
(BC, FLT, LC)]]+Data_Geotech[[#This Row],[Fracture per interval]]=0,99,1/((Data_Geotech[[#This Row],[Fracture per interval]]+Data_Geotech[[#This Row],[Added fractures 
(BC, FLT, LC)]])/Data_Geotech[[#This Row],[Run (m)]]))</f>
        <v>99</v>
      </c>
      <c r="AD488" s="160" t="str" cm="1">
        <f t="array" ref="AD488">IFERROR(_xlfn.XLOOKUP(1,(A488=PLT!$A$4:$A$8886)*(Geotech!C488&lt;=PLT!$F$4:$F$8886)*(Geotech!D488&gt;=PLT!$F$4:$F$8886)*("Valid"=PLT!$P$4:$P$8886),PLT!$V$4:$V$8886),"")</f>
        <v/>
      </c>
      <c r="AE488" s="161" t="str" cm="1">
        <f t="array" ref="AE488">IFERROR(_xlfn.XLOOKUP(1,(A488=PLT!$A$4:$A$8886)*(Geotech!C488&lt;=PLT!$F$4:$F$8886)*(Geotech!D488&gt;=PLT!$F$4:$F$8886)*(PLT!$V$4:$V$8886&lt;&gt;AD488)*("Valid"=PLT!$P$4:$P$7190),PLT!$V$4:$V$8886),"")</f>
        <v/>
      </c>
      <c r="AF488" s="161" t="str" cm="1">
        <f t="array" ref="AF488">IFERROR(_xlfn.XLOOKUP(1,(A488=PLT!$A$4:$A$8886)*(Geotech!C488&lt;=PLT!$F$4:$F$8886)*(Geotech!D488&gt;=PLT!$F$4:$F$8886)*(PLT!$V$4:$V$8886&lt;&gt;AD488)*(PLT!$V$4:$V$8886&lt;&gt;AE488)*("Valid"=PLT!$P$4:$P$7190),PLT!$V$4:$V$8886),"")</f>
        <v/>
      </c>
      <c r="AG488" s="162" t="str">
        <f>IFERROR(IF(AVERAGE(AD488:AF488)&gt;References!$BO$23,References!$BP$23,
IF(AVERAGE(AD488:AF488)&gt;References!$BO$22,References!$BP$22,
IF(AVERAGE(AD488:AF488)&gt;References!$BO$21,References!$BP$21,
IF(AVERAGE(AD488:AF488)&gt;References!$BO$20,References!$BP$20,
IF(AVERAGE(AD488:AF488)&gt;References!$BO$19,References!$BP$19,
IF(AVERAGE(AD488:AF488)&gt;References!$BO$18,References!$BP$18,
0)))))),"")</f>
        <v/>
      </c>
      <c r="AH488" s="163" t="e">
        <f>VLOOKUP(Data_Geotech[[#This Row],[Field Intact Rock Strength]],Table_RMR76_Strength[],2,FALSE)</f>
        <v>#N/A</v>
      </c>
      <c r="AI488" s="163" t="e">
        <f>IF(Data_Geotech[[#This Row],[RQD (%)]]&lt;=25,3,IF(Data_Geotech[[#This Row],[RQD (%)]]&lt;=50,8,IF(Data_Geotech[[#This Row],[RQD (%)]]&lt;=75,13,IF(Data_Geotech[[#This Row],[RQD (%)]]&lt;=90,17,20))))</f>
        <v>#DIV/0!</v>
      </c>
      <c r="AJ488" s="136">
        <f>IF(Data_Geotech[[#This Row],[Joint spacing (m)]]&lt;=0.05,5,IF(Data_Geotech[[#This Row],[Joint spacing (m)]]&lt;=0.3,10,IF(Data_Geotech[[#This Row],[Joint spacing (m)]]&lt;=1,20,IF(Data_Geotech[[#This Row],[Joint spacing (m)]]&lt;=3,25,30))))</f>
        <v>30</v>
      </c>
      <c r="AK48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8" s="6"/>
      <c r="AM488" s="137" t="str">
        <f>IF(Data_Geotech[[#This Row],[FIRS Code]]="R",IFERROR(SUM(Data_Geotech[[#This Row],[RMR76 - Strength rating]:[RMR76 - Ground water rating]]),""),"")</f>
        <v/>
      </c>
      <c r="AN488" s="164" t="str">
        <f>IF(Data_Geotech[[#This Row],[FIRS Code]]="R",(2*Data_Geotech[[#This Row],[RMR76 - Joint condition rating]])+(IF(Data_Geotech[[#This Row],[RQD (%)]]&gt;80,80/2,Data_Geotech[[#This Row],[RQD (%)]]/2)),"")</f>
        <v/>
      </c>
      <c r="AO488" s="136" t="e">
        <f>LEFT(Data_Geotech[[#This Row],[Joint Set Rating]],FIND("-",Data_Geotech[[#This Row],[Joint Set Rating]],1)-2)</f>
        <v>#VALUE!</v>
      </c>
      <c r="AP48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8" s="143">
        <f t="shared" si="11"/>
        <v>1</v>
      </c>
      <c r="AR488" s="165" t="str">
        <f>IF(Data_Geotech[[#This Row],[FIRS Code]]="R",IFERROR((IF(Data_Geotech[[#This Row],[RQD (%)]]&lt;10,10,Data_Geotech[[#This Row],[RQD (%)]])/Data_Geotech[[#This Row],[Jn rating]])*Data_Geotech[[#This Row],[Jr/Ja]],""),"")</f>
        <v/>
      </c>
      <c r="AS488" s="138" t="str">
        <f>IF(Data_Geotech[[#This Row],[FIRS Code]]="R",IFERROR((IF(Data_Geotech[[#This Row],[RQD (%)]]&lt;10,10,Data_Geotech[[#This Row],[RQD (%)]])/Data_Geotech[[#This Row],[Jn rating]])*Data_Geotech[[#This Row],[Jr/Ja]]*Data_Geotech[[#This Row],[Jw/SRF]],""),"")</f>
        <v/>
      </c>
      <c r="AT488" s="12"/>
      <c r="AU488" s="13" t="e">
        <f>100-Data_Geotech[[#This Row],[RQD (%)]]</f>
        <v>#DIV/0!</v>
      </c>
      <c r="AV488" s="13" t="e">
        <f>100-Data_Geotech[[#This Row],[TCR (%)]]</f>
        <v>#DIV/0!</v>
      </c>
      <c r="AW488" s="62" t="e">
        <f>(Data_Geotech[[#This Row],[Fracture per interval]]+Data_Geotech[[#This Row],[Added fractures 
(BC, FLT, LC)]])/Data_Geotech[[#This Row],[TCR (m)]]</f>
        <v>#DIV/0!</v>
      </c>
      <c r="AX488" s="62" t="str">
        <f>MID(Data_Geotech[[#This Row],[Field Intact Rock Strength]],2,1)</f>
        <v/>
      </c>
      <c r="AY488" s="63" t="e">
        <f>7-MID(Data_Geotech[[#This Row],[Field Intact Rock Strength]],2,1)</f>
        <v>#VALUE!</v>
      </c>
      <c r="AZ488" s="63" t="e">
        <f>VLOOKUP(Data_Geotech[[#This Row],[Field Intact Rock Strength]],Table_FieldStrength[],2,FALSE)</f>
        <v>#N/A</v>
      </c>
      <c r="BA488" s="63" t="e">
        <f>VLOOKUP(Data_Geotech[[#This Row],[Field Intact Rock Strength]],Table_FieldStrength[],3,FALSE)</f>
        <v>#N/A</v>
      </c>
      <c r="BB488" s="63" t="e">
        <f>VLOOKUP(Data_Geotech[[#This Row],[Field Intact Rock Strength]],Table_FieldStrength[],4,FALSE)</f>
        <v>#N/A</v>
      </c>
      <c r="BC488" s="63" t="e">
        <f>100-Data_Geotech[[#This Row],[RMR76]]</f>
        <v>#VALUE!</v>
      </c>
      <c r="BD488" s="63" t="e">
        <f>LEFT(Data_Geotech[[#This Row],[Weathering/Alteration]],FIND("-",Data_Geotech[[#This Row],[Weathering/Alteration]])-2)</f>
        <v>#VALUE!</v>
      </c>
    </row>
    <row r="489" spans="1:56" hidden="1" x14ac:dyDescent="0.25">
      <c r="A489" s="14"/>
      <c r="B489" s="166" t="e">
        <f>VLOOKUP(Data_Geotech[[#This Row],[Hole ID]],Data_Log[],2,FALSE)</f>
        <v>#N/A</v>
      </c>
      <c r="C489" s="5"/>
      <c r="D489" s="5"/>
      <c r="E489" s="5">
        <f>(Data_Geotech[[#This Row],[To (m)]]-Data_Geotech[[#This Row],[From (m)]])/2+Data_Geotech[[#This Row],[From (m)]]</f>
        <v>0</v>
      </c>
      <c r="F489" s="13">
        <f>Data_Geotech[[#This Row],[To (m)]]-Data_Geotech[[#This Row],[From (m)]]</f>
        <v>0</v>
      </c>
      <c r="G489" s="5"/>
      <c r="H489" s="13" t="e">
        <f>Data_Geotech[[#This Row],[TCR (m)]]/Data_Geotech[[#This Row],[Run (m)]]*100</f>
        <v>#DIV/0!</v>
      </c>
      <c r="I489" s="5"/>
      <c r="J489" s="5"/>
      <c r="K489" s="5"/>
      <c r="L489" s="13" t="e">
        <f>Data_Geotech[[#This Row],[RQD (m)]]/Data_Geotech[[#This Row],[Run Reel (m)]]*100</f>
        <v>#DIV/0!</v>
      </c>
      <c r="P489" s="115"/>
      <c r="Q489" s="5"/>
      <c r="R489" s="5"/>
      <c r="S489" s="5"/>
      <c r="T489" s="5"/>
      <c r="U489" s="5"/>
      <c r="V489" s="6"/>
      <c r="W489" s="92">
        <f>SUMIFS(Discontinuities!$D$4:$D$9664,Discontinuities!$A$4:$A$9664,A489,Discontinuities!$C$4:$C$9664,"&gt;="&amp;C489,Discontinuities!$C$4:$C$9664,"&lt;"&amp;D489)
-SUMIFS(Discontinuities!$D$4:$D$9664,Discontinuities!$A$4:$A$9664,A489,Discontinuities!$C$4:$C$9664,"&gt;="&amp;C489,Discontinuities!$C$4:$C$9664,"&lt;"&amp;D489,Discontinuities!$E$4:$E$9664,"=BC")
-SUMIFS(Discontinuities!$D$4:$D$9664,Discontinuities!$A$4:$A$9664,A489,Discontinuities!$C$4:$C$9664,"&gt;="&amp;C489,Discontinuities!$C$4:$C$9664,"&lt;"&amp;D489,Discontinuities!$E$4:$E$9664,"=LC")
-SUMIFS(Discontinuities!$D$4:$D$9664,Discontinuities!$A$4:$A$9664,A489,Discontinuities!$C$4:$C$9664,"&gt;="&amp;C489,Discontinuities!$C$4:$C$9664,"&lt;"&amp;D489,Discontinuities!$E$4:$E$9664,"=FLT")</f>
        <v>0</v>
      </c>
      <c r="AA489" s="132"/>
      <c r="AB489" s="159">
        <f>IFERROR(ROUND((Data_Geotech[[#This Row],[Fault (m)]]+Data_Geotech[[#This Row],[Broken Core (m)]]+Data_Geotech[[#This Row],[Lost Core (m)]])*30,0),0)</f>
        <v>0</v>
      </c>
      <c r="AC489" s="135">
        <f>IF(Data_Geotech[[#This Row],[Added fractures 
(BC, FLT, LC)]]+Data_Geotech[[#This Row],[Fracture per interval]]=0,99,1/((Data_Geotech[[#This Row],[Fracture per interval]]+Data_Geotech[[#This Row],[Added fractures 
(BC, FLT, LC)]])/Data_Geotech[[#This Row],[Run (m)]]))</f>
        <v>99</v>
      </c>
      <c r="AD489" s="160" t="str" cm="1">
        <f t="array" ref="AD489">IFERROR(_xlfn.XLOOKUP(1,(A489=PLT!$A$4:$A$8886)*(Geotech!C489&lt;=PLT!$F$4:$F$8886)*(Geotech!D489&gt;=PLT!$F$4:$F$8886)*("Valid"=PLT!$P$4:$P$8886),PLT!$V$4:$V$8886),"")</f>
        <v/>
      </c>
      <c r="AE489" s="161" t="str" cm="1">
        <f t="array" ref="AE489">IFERROR(_xlfn.XLOOKUP(1,(A489=PLT!$A$4:$A$8886)*(Geotech!C489&lt;=PLT!$F$4:$F$8886)*(Geotech!D489&gt;=PLT!$F$4:$F$8886)*(PLT!$V$4:$V$8886&lt;&gt;AD489)*("Valid"=PLT!$P$4:$P$7190),PLT!$V$4:$V$8886),"")</f>
        <v/>
      </c>
      <c r="AF489" s="161" t="str" cm="1">
        <f t="array" ref="AF489">IFERROR(_xlfn.XLOOKUP(1,(A489=PLT!$A$4:$A$8886)*(Geotech!C489&lt;=PLT!$F$4:$F$8886)*(Geotech!D489&gt;=PLT!$F$4:$F$8886)*(PLT!$V$4:$V$8886&lt;&gt;AD489)*(PLT!$V$4:$V$8886&lt;&gt;AE489)*("Valid"=PLT!$P$4:$P$7190),PLT!$V$4:$V$8886),"")</f>
        <v/>
      </c>
      <c r="AG489" s="162" t="str">
        <f>IFERROR(IF(AVERAGE(AD489:AF489)&gt;References!$BO$23,References!$BP$23,
IF(AVERAGE(AD489:AF489)&gt;References!$BO$22,References!$BP$22,
IF(AVERAGE(AD489:AF489)&gt;References!$BO$21,References!$BP$21,
IF(AVERAGE(AD489:AF489)&gt;References!$BO$20,References!$BP$20,
IF(AVERAGE(AD489:AF489)&gt;References!$BO$19,References!$BP$19,
IF(AVERAGE(AD489:AF489)&gt;References!$BO$18,References!$BP$18,
0)))))),"")</f>
        <v/>
      </c>
      <c r="AH489" s="163" t="e">
        <f>VLOOKUP(Data_Geotech[[#This Row],[Field Intact Rock Strength]],Table_RMR76_Strength[],2,FALSE)</f>
        <v>#N/A</v>
      </c>
      <c r="AI489" s="163" t="e">
        <f>IF(Data_Geotech[[#This Row],[RQD (%)]]&lt;=25,3,IF(Data_Geotech[[#This Row],[RQD (%)]]&lt;=50,8,IF(Data_Geotech[[#This Row],[RQD (%)]]&lt;=75,13,IF(Data_Geotech[[#This Row],[RQD (%)]]&lt;=90,17,20))))</f>
        <v>#DIV/0!</v>
      </c>
      <c r="AJ489" s="136">
        <f>IF(Data_Geotech[[#This Row],[Joint spacing (m)]]&lt;=0.05,5,IF(Data_Geotech[[#This Row],[Joint spacing (m)]]&lt;=0.3,10,IF(Data_Geotech[[#This Row],[Joint spacing (m)]]&lt;=1,20,IF(Data_Geotech[[#This Row],[Joint spacing (m)]]&lt;=3,25,30))))</f>
        <v>30</v>
      </c>
      <c r="AK48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89" s="6"/>
      <c r="AM489" s="137" t="str">
        <f>IF(Data_Geotech[[#This Row],[FIRS Code]]="R",IFERROR(SUM(Data_Geotech[[#This Row],[RMR76 - Strength rating]:[RMR76 - Ground water rating]]),""),"")</f>
        <v/>
      </c>
      <c r="AN489" s="164" t="str">
        <f>IF(Data_Geotech[[#This Row],[FIRS Code]]="R",(2*Data_Geotech[[#This Row],[RMR76 - Joint condition rating]])+(IF(Data_Geotech[[#This Row],[RQD (%)]]&gt;80,80/2,Data_Geotech[[#This Row],[RQD (%)]]/2)),"")</f>
        <v/>
      </c>
      <c r="AO489" s="136" t="e">
        <f>LEFT(Data_Geotech[[#This Row],[Joint Set Rating]],FIND("-",Data_Geotech[[#This Row],[Joint Set Rating]],1)-2)</f>
        <v>#VALUE!</v>
      </c>
      <c r="AP48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89" s="143">
        <f t="shared" si="11"/>
        <v>1</v>
      </c>
      <c r="AR489" s="165" t="str">
        <f>IF(Data_Geotech[[#This Row],[FIRS Code]]="R",IFERROR((IF(Data_Geotech[[#This Row],[RQD (%)]]&lt;10,10,Data_Geotech[[#This Row],[RQD (%)]])/Data_Geotech[[#This Row],[Jn rating]])*Data_Geotech[[#This Row],[Jr/Ja]],""),"")</f>
        <v/>
      </c>
      <c r="AS489" s="138" t="str">
        <f>IF(Data_Geotech[[#This Row],[FIRS Code]]="R",IFERROR((IF(Data_Geotech[[#This Row],[RQD (%)]]&lt;10,10,Data_Geotech[[#This Row],[RQD (%)]])/Data_Geotech[[#This Row],[Jn rating]])*Data_Geotech[[#This Row],[Jr/Ja]]*Data_Geotech[[#This Row],[Jw/SRF]],""),"")</f>
        <v/>
      </c>
      <c r="AT489" s="12"/>
      <c r="AU489" s="13" t="e">
        <f>100-Data_Geotech[[#This Row],[RQD (%)]]</f>
        <v>#DIV/0!</v>
      </c>
      <c r="AV489" s="13" t="e">
        <f>100-Data_Geotech[[#This Row],[TCR (%)]]</f>
        <v>#DIV/0!</v>
      </c>
      <c r="AW489" s="62" t="e">
        <f>(Data_Geotech[[#This Row],[Fracture per interval]]+Data_Geotech[[#This Row],[Added fractures 
(BC, FLT, LC)]])/Data_Geotech[[#This Row],[TCR (m)]]</f>
        <v>#DIV/0!</v>
      </c>
      <c r="AX489" s="62" t="str">
        <f>MID(Data_Geotech[[#This Row],[Field Intact Rock Strength]],2,1)</f>
        <v/>
      </c>
      <c r="AY489" s="63" t="e">
        <f>7-MID(Data_Geotech[[#This Row],[Field Intact Rock Strength]],2,1)</f>
        <v>#VALUE!</v>
      </c>
      <c r="AZ489" s="63" t="e">
        <f>VLOOKUP(Data_Geotech[[#This Row],[Field Intact Rock Strength]],Table_FieldStrength[],2,FALSE)</f>
        <v>#N/A</v>
      </c>
      <c r="BA489" s="63" t="e">
        <f>VLOOKUP(Data_Geotech[[#This Row],[Field Intact Rock Strength]],Table_FieldStrength[],3,FALSE)</f>
        <v>#N/A</v>
      </c>
      <c r="BB489" s="63" t="e">
        <f>VLOOKUP(Data_Geotech[[#This Row],[Field Intact Rock Strength]],Table_FieldStrength[],4,FALSE)</f>
        <v>#N/A</v>
      </c>
      <c r="BC489" s="63" t="e">
        <f>100-Data_Geotech[[#This Row],[RMR76]]</f>
        <v>#VALUE!</v>
      </c>
      <c r="BD489" s="63" t="e">
        <f>LEFT(Data_Geotech[[#This Row],[Weathering/Alteration]],FIND("-",Data_Geotech[[#This Row],[Weathering/Alteration]])-2)</f>
        <v>#VALUE!</v>
      </c>
    </row>
    <row r="490" spans="1:56" hidden="1" x14ac:dyDescent="0.25">
      <c r="A490" s="14"/>
      <c r="B490" s="166" t="e">
        <f>VLOOKUP(Data_Geotech[[#This Row],[Hole ID]],Data_Log[],2,FALSE)</f>
        <v>#N/A</v>
      </c>
      <c r="C490" s="5"/>
      <c r="D490" s="5"/>
      <c r="E490" s="5">
        <f>(Data_Geotech[[#This Row],[To (m)]]-Data_Geotech[[#This Row],[From (m)]])/2+Data_Geotech[[#This Row],[From (m)]]</f>
        <v>0</v>
      </c>
      <c r="F490" s="13">
        <f>Data_Geotech[[#This Row],[To (m)]]-Data_Geotech[[#This Row],[From (m)]]</f>
        <v>0</v>
      </c>
      <c r="G490" s="5"/>
      <c r="H490" s="13" t="e">
        <f>Data_Geotech[[#This Row],[TCR (m)]]/Data_Geotech[[#This Row],[Run (m)]]*100</f>
        <v>#DIV/0!</v>
      </c>
      <c r="I490" s="5"/>
      <c r="J490" s="5"/>
      <c r="K490" s="5"/>
      <c r="L490" s="13" t="e">
        <f>Data_Geotech[[#This Row],[RQD (m)]]/Data_Geotech[[#This Row],[Run Reel (m)]]*100</f>
        <v>#DIV/0!</v>
      </c>
      <c r="P490" s="115"/>
      <c r="Q490" s="5"/>
      <c r="R490" s="5"/>
      <c r="S490" s="5"/>
      <c r="T490" s="5"/>
      <c r="U490" s="5"/>
      <c r="V490" s="6"/>
      <c r="W490" s="92">
        <f>SUMIFS(Discontinuities!$D$4:$D$9664,Discontinuities!$A$4:$A$9664,A490,Discontinuities!$C$4:$C$9664,"&gt;="&amp;C490,Discontinuities!$C$4:$C$9664,"&lt;"&amp;D490)
-SUMIFS(Discontinuities!$D$4:$D$9664,Discontinuities!$A$4:$A$9664,A490,Discontinuities!$C$4:$C$9664,"&gt;="&amp;C490,Discontinuities!$C$4:$C$9664,"&lt;"&amp;D490,Discontinuities!$E$4:$E$9664,"=BC")
-SUMIFS(Discontinuities!$D$4:$D$9664,Discontinuities!$A$4:$A$9664,A490,Discontinuities!$C$4:$C$9664,"&gt;="&amp;C490,Discontinuities!$C$4:$C$9664,"&lt;"&amp;D490,Discontinuities!$E$4:$E$9664,"=LC")
-SUMIFS(Discontinuities!$D$4:$D$9664,Discontinuities!$A$4:$A$9664,A490,Discontinuities!$C$4:$C$9664,"&gt;="&amp;C490,Discontinuities!$C$4:$C$9664,"&lt;"&amp;D490,Discontinuities!$E$4:$E$9664,"=FLT")</f>
        <v>0</v>
      </c>
      <c r="AA490" s="132"/>
      <c r="AB490" s="159">
        <f>IFERROR(ROUND((Data_Geotech[[#This Row],[Fault (m)]]+Data_Geotech[[#This Row],[Broken Core (m)]]+Data_Geotech[[#This Row],[Lost Core (m)]])*30,0),0)</f>
        <v>0</v>
      </c>
      <c r="AC490" s="135">
        <f>IF(Data_Geotech[[#This Row],[Added fractures 
(BC, FLT, LC)]]+Data_Geotech[[#This Row],[Fracture per interval]]=0,99,1/((Data_Geotech[[#This Row],[Fracture per interval]]+Data_Geotech[[#This Row],[Added fractures 
(BC, FLT, LC)]])/Data_Geotech[[#This Row],[Run (m)]]))</f>
        <v>99</v>
      </c>
      <c r="AD490" s="160" t="str" cm="1">
        <f t="array" ref="AD490">IFERROR(_xlfn.XLOOKUP(1,(A490=PLT!$A$4:$A$8886)*(Geotech!C490&lt;=PLT!$F$4:$F$8886)*(Geotech!D490&gt;=PLT!$F$4:$F$8886)*("Valid"=PLT!$P$4:$P$8886),PLT!$V$4:$V$8886),"")</f>
        <v/>
      </c>
      <c r="AE490" s="161" t="str" cm="1">
        <f t="array" ref="AE490">IFERROR(_xlfn.XLOOKUP(1,(A490=PLT!$A$4:$A$8886)*(Geotech!C490&lt;=PLT!$F$4:$F$8886)*(Geotech!D490&gt;=PLT!$F$4:$F$8886)*(PLT!$V$4:$V$8886&lt;&gt;AD490)*("Valid"=PLT!$P$4:$P$7190),PLT!$V$4:$V$8886),"")</f>
        <v/>
      </c>
      <c r="AF490" s="161" t="str" cm="1">
        <f t="array" ref="AF490">IFERROR(_xlfn.XLOOKUP(1,(A490=PLT!$A$4:$A$8886)*(Geotech!C490&lt;=PLT!$F$4:$F$8886)*(Geotech!D490&gt;=PLT!$F$4:$F$8886)*(PLT!$V$4:$V$8886&lt;&gt;AD490)*(PLT!$V$4:$V$8886&lt;&gt;AE490)*("Valid"=PLT!$P$4:$P$7190),PLT!$V$4:$V$8886),"")</f>
        <v/>
      </c>
      <c r="AG490" s="162" t="str">
        <f>IFERROR(IF(AVERAGE(AD490:AF490)&gt;References!$BO$23,References!$BP$23,
IF(AVERAGE(AD490:AF490)&gt;References!$BO$22,References!$BP$22,
IF(AVERAGE(AD490:AF490)&gt;References!$BO$21,References!$BP$21,
IF(AVERAGE(AD490:AF490)&gt;References!$BO$20,References!$BP$20,
IF(AVERAGE(AD490:AF490)&gt;References!$BO$19,References!$BP$19,
IF(AVERAGE(AD490:AF490)&gt;References!$BO$18,References!$BP$18,
0)))))),"")</f>
        <v/>
      </c>
      <c r="AH490" s="163" t="e">
        <f>VLOOKUP(Data_Geotech[[#This Row],[Field Intact Rock Strength]],Table_RMR76_Strength[],2,FALSE)</f>
        <v>#N/A</v>
      </c>
      <c r="AI490" s="163" t="e">
        <f>IF(Data_Geotech[[#This Row],[RQD (%)]]&lt;=25,3,IF(Data_Geotech[[#This Row],[RQD (%)]]&lt;=50,8,IF(Data_Geotech[[#This Row],[RQD (%)]]&lt;=75,13,IF(Data_Geotech[[#This Row],[RQD (%)]]&lt;=90,17,20))))</f>
        <v>#DIV/0!</v>
      </c>
      <c r="AJ490" s="136">
        <f>IF(Data_Geotech[[#This Row],[Joint spacing (m)]]&lt;=0.05,5,IF(Data_Geotech[[#This Row],[Joint spacing (m)]]&lt;=0.3,10,IF(Data_Geotech[[#This Row],[Joint spacing (m)]]&lt;=1,20,IF(Data_Geotech[[#This Row],[Joint spacing (m)]]&lt;=3,25,30))))</f>
        <v>30</v>
      </c>
      <c r="AK49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0" s="6"/>
      <c r="AM490" s="137" t="str">
        <f>IF(Data_Geotech[[#This Row],[FIRS Code]]="R",IFERROR(SUM(Data_Geotech[[#This Row],[RMR76 - Strength rating]:[RMR76 - Ground water rating]]),""),"")</f>
        <v/>
      </c>
      <c r="AN490" s="164" t="str">
        <f>IF(Data_Geotech[[#This Row],[FIRS Code]]="R",(2*Data_Geotech[[#This Row],[RMR76 - Joint condition rating]])+(IF(Data_Geotech[[#This Row],[RQD (%)]]&gt;80,80/2,Data_Geotech[[#This Row],[RQD (%)]]/2)),"")</f>
        <v/>
      </c>
      <c r="AO490" s="136" t="e">
        <f>LEFT(Data_Geotech[[#This Row],[Joint Set Rating]],FIND("-",Data_Geotech[[#This Row],[Joint Set Rating]],1)-2)</f>
        <v>#VALUE!</v>
      </c>
      <c r="AP49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0" s="143">
        <f t="shared" si="11"/>
        <v>1</v>
      </c>
      <c r="AR490" s="165" t="str">
        <f>IF(Data_Geotech[[#This Row],[FIRS Code]]="R",IFERROR((IF(Data_Geotech[[#This Row],[RQD (%)]]&lt;10,10,Data_Geotech[[#This Row],[RQD (%)]])/Data_Geotech[[#This Row],[Jn rating]])*Data_Geotech[[#This Row],[Jr/Ja]],""),"")</f>
        <v/>
      </c>
      <c r="AS490" s="138" t="str">
        <f>IF(Data_Geotech[[#This Row],[FIRS Code]]="R",IFERROR((IF(Data_Geotech[[#This Row],[RQD (%)]]&lt;10,10,Data_Geotech[[#This Row],[RQD (%)]])/Data_Geotech[[#This Row],[Jn rating]])*Data_Geotech[[#This Row],[Jr/Ja]]*Data_Geotech[[#This Row],[Jw/SRF]],""),"")</f>
        <v/>
      </c>
      <c r="AT490" s="12"/>
      <c r="AU490" s="13" t="e">
        <f>100-Data_Geotech[[#This Row],[RQD (%)]]</f>
        <v>#DIV/0!</v>
      </c>
      <c r="AV490" s="13" t="e">
        <f>100-Data_Geotech[[#This Row],[TCR (%)]]</f>
        <v>#DIV/0!</v>
      </c>
      <c r="AW490" s="62" t="e">
        <f>(Data_Geotech[[#This Row],[Fracture per interval]]+Data_Geotech[[#This Row],[Added fractures 
(BC, FLT, LC)]])/Data_Geotech[[#This Row],[TCR (m)]]</f>
        <v>#DIV/0!</v>
      </c>
      <c r="AX490" s="62" t="str">
        <f>MID(Data_Geotech[[#This Row],[Field Intact Rock Strength]],2,1)</f>
        <v/>
      </c>
      <c r="AY490" s="63" t="e">
        <f>7-MID(Data_Geotech[[#This Row],[Field Intact Rock Strength]],2,1)</f>
        <v>#VALUE!</v>
      </c>
      <c r="AZ490" s="63" t="e">
        <f>VLOOKUP(Data_Geotech[[#This Row],[Field Intact Rock Strength]],Table_FieldStrength[],2,FALSE)</f>
        <v>#N/A</v>
      </c>
      <c r="BA490" s="63" t="e">
        <f>VLOOKUP(Data_Geotech[[#This Row],[Field Intact Rock Strength]],Table_FieldStrength[],3,FALSE)</f>
        <v>#N/A</v>
      </c>
      <c r="BB490" s="63" t="e">
        <f>VLOOKUP(Data_Geotech[[#This Row],[Field Intact Rock Strength]],Table_FieldStrength[],4,FALSE)</f>
        <v>#N/A</v>
      </c>
      <c r="BC490" s="63" t="e">
        <f>100-Data_Geotech[[#This Row],[RMR76]]</f>
        <v>#VALUE!</v>
      </c>
      <c r="BD490" s="63" t="e">
        <f>LEFT(Data_Geotech[[#This Row],[Weathering/Alteration]],FIND("-",Data_Geotech[[#This Row],[Weathering/Alteration]])-2)</f>
        <v>#VALUE!</v>
      </c>
    </row>
    <row r="491" spans="1:56" hidden="1" x14ac:dyDescent="0.25">
      <c r="A491" s="14"/>
      <c r="B491" s="166" t="e">
        <f>VLOOKUP(Data_Geotech[[#This Row],[Hole ID]],Data_Log[],2,FALSE)</f>
        <v>#N/A</v>
      </c>
      <c r="C491" s="5"/>
      <c r="D491" s="5"/>
      <c r="E491" s="5">
        <f>(Data_Geotech[[#This Row],[To (m)]]-Data_Geotech[[#This Row],[From (m)]])/2+Data_Geotech[[#This Row],[From (m)]]</f>
        <v>0</v>
      </c>
      <c r="F491" s="13">
        <f>Data_Geotech[[#This Row],[To (m)]]-Data_Geotech[[#This Row],[From (m)]]</f>
        <v>0</v>
      </c>
      <c r="G491" s="5"/>
      <c r="H491" s="13" t="e">
        <f>Data_Geotech[[#This Row],[TCR (m)]]/Data_Geotech[[#This Row],[Run (m)]]*100</f>
        <v>#DIV/0!</v>
      </c>
      <c r="I491" s="5"/>
      <c r="J491" s="5"/>
      <c r="K491" s="5"/>
      <c r="L491" s="13" t="e">
        <f>Data_Geotech[[#This Row],[RQD (m)]]/Data_Geotech[[#This Row],[Run Reel (m)]]*100</f>
        <v>#DIV/0!</v>
      </c>
      <c r="P491" s="115"/>
      <c r="Q491" s="5"/>
      <c r="R491" s="5"/>
      <c r="S491" s="5"/>
      <c r="T491" s="5"/>
      <c r="U491" s="5"/>
      <c r="V491" s="6"/>
      <c r="W491" s="92">
        <f>SUMIFS(Discontinuities!$D$4:$D$9664,Discontinuities!$A$4:$A$9664,A491,Discontinuities!$C$4:$C$9664,"&gt;="&amp;C491,Discontinuities!$C$4:$C$9664,"&lt;"&amp;D491)
-SUMIFS(Discontinuities!$D$4:$D$9664,Discontinuities!$A$4:$A$9664,A491,Discontinuities!$C$4:$C$9664,"&gt;="&amp;C491,Discontinuities!$C$4:$C$9664,"&lt;"&amp;D491,Discontinuities!$E$4:$E$9664,"=BC")
-SUMIFS(Discontinuities!$D$4:$D$9664,Discontinuities!$A$4:$A$9664,A491,Discontinuities!$C$4:$C$9664,"&gt;="&amp;C491,Discontinuities!$C$4:$C$9664,"&lt;"&amp;D491,Discontinuities!$E$4:$E$9664,"=LC")
-SUMIFS(Discontinuities!$D$4:$D$9664,Discontinuities!$A$4:$A$9664,A491,Discontinuities!$C$4:$C$9664,"&gt;="&amp;C491,Discontinuities!$C$4:$C$9664,"&lt;"&amp;D491,Discontinuities!$E$4:$E$9664,"=FLT")</f>
        <v>0</v>
      </c>
      <c r="AA491" s="132"/>
      <c r="AB491" s="159">
        <f>IFERROR(ROUND((Data_Geotech[[#This Row],[Fault (m)]]+Data_Geotech[[#This Row],[Broken Core (m)]]+Data_Geotech[[#This Row],[Lost Core (m)]])*30,0),0)</f>
        <v>0</v>
      </c>
      <c r="AC491" s="135">
        <f>IF(Data_Geotech[[#This Row],[Added fractures 
(BC, FLT, LC)]]+Data_Geotech[[#This Row],[Fracture per interval]]=0,99,1/((Data_Geotech[[#This Row],[Fracture per interval]]+Data_Geotech[[#This Row],[Added fractures 
(BC, FLT, LC)]])/Data_Geotech[[#This Row],[Run (m)]]))</f>
        <v>99</v>
      </c>
      <c r="AD491" s="160" t="str" cm="1">
        <f t="array" ref="AD491">IFERROR(_xlfn.XLOOKUP(1,(A491=PLT!$A$4:$A$8886)*(Geotech!C491&lt;=PLT!$F$4:$F$8886)*(Geotech!D491&gt;=PLT!$F$4:$F$8886)*("Valid"=PLT!$P$4:$P$8886),PLT!$V$4:$V$8886),"")</f>
        <v/>
      </c>
      <c r="AE491" s="161" t="str" cm="1">
        <f t="array" ref="AE491">IFERROR(_xlfn.XLOOKUP(1,(A491=PLT!$A$4:$A$8886)*(Geotech!C491&lt;=PLT!$F$4:$F$8886)*(Geotech!D491&gt;=PLT!$F$4:$F$8886)*(PLT!$V$4:$V$8886&lt;&gt;AD491)*("Valid"=PLT!$P$4:$P$7190),PLT!$V$4:$V$8886),"")</f>
        <v/>
      </c>
      <c r="AF491" s="161" t="str" cm="1">
        <f t="array" ref="AF491">IFERROR(_xlfn.XLOOKUP(1,(A491=PLT!$A$4:$A$8886)*(Geotech!C491&lt;=PLT!$F$4:$F$8886)*(Geotech!D491&gt;=PLT!$F$4:$F$8886)*(PLT!$V$4:$V$8886&lt;&gt;AD491)*(PLT!$V$4:$V$8886&lt;&gt;AE491)*("Valid"=PLT!$P$4:$P$7190),PLT!$V$4:$V$8886),"")</f>
        <v/>
      </c>
      <c r="AG491" s="162" t="str">
        <f>IFERROR(IF(AVERAGE(AD491:AF491)&gt;References!$BO$23,References!$BP$23,
IF(AVERAGE(AD491:AF491)&gt;References!$BO$22,References!$BP$22,
IF(AVERAGE(AD491:AF491)&gt;References!$BO$21,References!$BP$21,
IF(AVERAGE(AD491:AF491)&gt;References!$BO$20,References!$BP$20,
IF(AVERAGE(AD491:AF491)&gt;References!$BO$19,References!$BP$19,
IF(AVERAGE(AD491:AF491)&gt;References!$BO$18,References!$BP$18,
0)))))),"")</f>
        <v/>
      </c>
      <c r="AH491" s="163" t="e">
        <f>VLOOKUP(Data_Geotech[[#This Row],[Field Intact Rock Strength]],Table_RMR76_Strength[],2,FALSE)</f>
        <v>#N/A</v>
      </c>
      <c r="AI491" s="163" t="e">
        <f>IF(Data_Geotech[[#This Row],[RQD (%)]]&lt;=25,3,IF(Data_Geotech[[#This Row],[RQD (%)]]&lt;=50,8,IF(Data_Geotech[[#This Row],[RQD (%)]]&lt;=75,13,IF(Data_Geotech[[#This Row],[RQD (%)]]&lt;=90,17,20))))</f>
        <v>#DIV/0!</v>
      </c>
      <c r="AJ491" s="136">
        <f>IF(Data_Geotech[[#This Row],[Joint spacing (m)]]&lt;=0.05,5,IF(Data_Geotech[[#This Row],[Joint spacing (m)]]&lt;=0.3,10,IF(Data_Geotech[[#This Row],[Joint spacing (m)]]&lt;=1,20,IF(Data_Geotech[[#This Row],[Joint spacing (m)]]&lt;=3,25,30))))</f>
        <v>30</v>
      </c>
      <c r="AK49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1" s="6"/>
      <c r="AM491" s="137" t="str">
        <f>IF(Data_Geotech[[#This Row],[FIRS Code]]="R",IFERROR(SUM(Data_Geotech[[#This Row],[RMR76 - Strength rating]:[RMR76 - Ground water rating]]),""),"")</f>
        <v/>
      </c>
      <c r="AN491" s="164" t="str">
        <f>IF(Data_Geotech[[#This Row],[FIRS Code]]="R",(2*Data_Geotech[[#This Row],[RMR76 - Joint condition rating]])+(IF(Data_Geotech[[#This Row],[RQD (%)]]&gt;80,80/2,Data_Geotech[[#This Row],[RQD (%)]]/2)),"")</f>
        <v/>
      </c>
      <c r="AO491" s="136" t="e">
        <f>LEFT(Data_Geotech[[#This Row],[Joint Set Rating]],FIND("-",Data_Geotech[[#This Row],[Joint Set Rating]],1)-2)</f>
        <v>#VALUE!</v>
      </c>
      <c r="AP49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1" s="143">
        <f t="shared" ref="AQ491:AQ517" si="12">1/1</f>
        <v>1</v>
      </c>
      <c r="AR491" s="165" t="str">
        <f>IF(Data_Geotech[[#This Row],[FIRS Code]]="R",IFERROR((IF(Data_Geotech[[#This Row],[RQD (%)]]&lt;10,10,Data_Geotech[[#This Row],[RQD (%)]])/Data_Geotech[[#This Row],[Jn rating]])*Data_Geotech[[#This Row],[Jr/Ja]],""),"")</f>
        <v/>
      </c>
      <c r="AS491" s="138" t="str">
        <f>IF(Data_Geotech[[#This Row],[FIRS Code]]="R",IFERROR((IF(Data_Geotech[[#This Row],[RQD (%)]]&lt;10,10,Data_Geotech[[#This Row],[RQD (%)]])/Data_Geotech[[#This Row],[Jn rating]])*Data_Geotech[[#This Row],[Jr/Ja]]*Data_Geotech[[#This Row],[Jw/SRF]],""),"")</f>
        <v/>
      </c>
      <c r="AT491" s="12"/>
      <c r="AU491" s="13" t="e">
        <f>100-Data_Geotech[[#This Row],[RQD (%)]]</f>
        <v>#DIV/0!</v>
      </c>
      <c r="AV491" s="13" t="e">
        <f>100-Data_Geotech[[#This Row],[TCR (%)]]</f>
        <v>#DIV/0!</v>
      </c>
      <c r="AW491" s="62" t="e">
        <f>(Data_Geotech[[#This Row],[Fracture per interval]]+Data_Geotech[[#This Row],[Added fractures 
(BC, FLT, LC)]])/Data_Geotech[[#This Row],[TCR (m)]]</f>
        <v>#DIV/0!</v>
      </c>
      <c r="AX491" s="62" t="str">
        <f>MID(Data_Geotech[[#This Row],[Field Intact Rock Strength]],2,1)</f>
        <v/>
      </c>
      <c r="AY491" s="63" t="e">
        <f>7-MID(Data_Geotech[[#This Row],[Field Intact Rock Strength]],2,1)</f>
        <v>#VALUE!</v>
      </c>
      <c r="AZ491" s="63" t="e">
        <f>VLOOKUP(Data_Geotech[[#This Row],[Field Intact Rock Strength]],Table_FieldStrength[],2,FALSE)</f>
        <v>#N/A</v>
      </c>
      <c r="BA491" s="63" t="e">
        <f>VLOOKUP(Data_Geotech[[#This Row],[Field Intact Rock Strength]],Table_FieldStrength[],3,FALSE)</f>
        <v>#N/A</v>
      </c>
      <c r="BB491" s="63" t="e">
        <f>VLOOKUP(Data_Geotech[[#This Row],[Field Intact Rock Strength]],Table_FieldStrength[],4,FALSE)</f>
        <v>#N/A</v>
      </c>
      <c r="BC491" s="63" t="e">
        <f>100-Data_Geotech[[#This Row],[RMR76]]</f>
        <v>#VALUE!</v>
      </c>
      <c r="BD491" s="63" t="e">
        <f>LEFT(Data_Geotech[[#This Row],[Weathering/Alteration]],FIND("-",Data_Geotech[[#This Row],[Weathering/Alteration]])-2)</f>
        <v>#VALUE!</v>
      </c>
    </row>
    <row r="492" spans="1:56" hidden="1" x14ac:dyDescent="0.25">
      <c r="A492" s="14"/>
      <c r="B492" s="166" t="e">
        <f>VLOOKUP(Data_Geotech[[#This Row],[Hole ID]],Data_Log[],2,FALSE)</f>
        <v>#N/A</v>
      </c>
      <c r="C492" s="5"/>
      <c r="D492" s="5"/>
      <c r="E492" s="5">
        <f>(Data_Geotech[[#This Row],[To (m)]]-Data_Geotech[[#This Row],[From (m)]])/2+Data_Geotech[[#This Row],[From (m)]]</f>
        <v>0</v>
      </c>
      <c r="F492" s="13">
        <f>Data_Geotech[[#This Row],[To (m)]]-Data_Geotech[[#This Row],[From (m)]]</f>
        <v>0</v>
      </c>
      <c r="G492" s="5"/>
      <c r="H492" s="13" t="e">
        <f>Data_Geotech[[#This Row],[TCR (m)]]/Data_Geotech[[#This Row],[Run (m)]]*100</f>
        <v>#DIV/0!</v>
      </c>
      <c r="I492" s="5"/>
      <c r="J492" s="5"/>
      <c r="K492" s="5"/>
      <c r="L492" s="13" t="e">
        <f>Data_Geotech[[#This Row],[RQD (m)]]/Data_Geotech[[#This Row],[Run Reel (m)]]*100</f>
        <v>#DIV/0!</v>
      </c>
      <c r="P492" s="115"/>
      <c r="Q492" s="5"/>
      <c r="R492" s="5"/>
      <c r="S492" s="5"/>
      <c r="T492" s="5"/>
      <c r="U492" s="5"/>
      <c r="V492" s="6"/>
      <c r="W492" s="92">
        <f>SUMIFS(Discontinuities!$D$4:$D$9664,Discontinuities!$A$4:$A$9664,A492,Discontinuities!$C$4:$C$9664,"&gt;="&amp;C492,Discontinuities!$C$4:$C$9664,"&lt;"&amp;D492)
-SUMIFS(Discontinuities!$D$4:$D$9664,Discontinuities!$A$4:$A$9664,A492,Discontinuities!$C$4:$C$9664,"&gt;="&amp;C492,Discontinuities!$C$4:$C$9664,"&lt;"&amp;D492,Discontinuities!$E$4:$E$9664,"=BC")
-SUMIFS(Discontinuities!$D$4:$D$9664,Discontinuities!$A$4:$A$9664,A492,Discontinuities!$C$4:$C$9664,"&gt;="&amp;C492,Discontinuities!$C$4:$C$9664,"&lt;"&amp;D492,Discontinuities!$E$4:$E$9664,"=LC")
-SUMIFS(Discontinuities!$D$4:$D$9664,Discontinuities!$A$4:$A$9664,A492,Discontinuities!$C$4:$C$9664,"&gt;="&amp;C492,Discontinuities!$C$4:$C$9664,"&lt;"&amp;D492,Discontinuities!$E$4:$E$9664,"=FLT")</f>
        <v>0</v>
      </c>
      <c r="AA492" s="132"/>
      <c r="AB492" s="159">
        <f>IFERROR(ROUND((Data_Geotech[[#This Row],[Fault (m)]]+Data_Geotech[[#This Row],[Broken Core (m)]]+Data_Geotech[[#This Row],[Lost Core (m)]])*30,0),0)</f>
        <v>0</v>
      </c>
      <c r="AC492" s="135">
        <f>IF(Data_Geotech[[#This Row],[Added fractures 
(BC, FLT, LC)]]+Data_Geotech[[#This Row],[Fracture per interval]]=0,99,1/((Data_Geotech[[#This Row],[Fracture per interval]]+Data_Geotech[[#This Row],[Added fractures 
(BC, FLT, LC)]])/Data_Geotech[[#This Row],[Run (m)]]))</f>
        <v>99</v>
      </c>
      <c r="AD492" s="160" t="str" cm="1">
        <f t="array" ref="AD492">IFERROR(_xlfn.XLOOKUP(1,(A492=PLT!$A$4:$A$8886)*(Geotech!C492&lt;=PLT!$F$4:$F$8886)*(Geotech!D492&gt;=PLT!$F$4:$F$8886)*("Valid"=PLT!$P$4:$P$8886),PLT!$V$4:$V$8886),"")</f>
        <v/>
      </c>
      <c r="AE492" s="161" t="str" cm="1">
        <f t="array" ref="AE492">IFERROR(_xlfn.XLOOKUP(1,(A492=PLT!$A$4:$A$8886)*(Geotech!C492&lt;=PLT!$F$4:$F$8886)*(Geotech!D492&gt;=PLT!$F$4:$F$8886)*(PLT!$V$4:$V$8886&lt;&gt;AD492)*("Valid"=PLT!$P$4:$P$7190),PLT!$V$4:$V$8886),"")</f>
        <v/>
      </c>
      <c r="AF492" s="161" t="str" cm="1">
        <f t="array" ref="AF492">IFERROR(_xlfn.XLOOKUP(1,(A492=PLT!$A$4:$A$8886)*(Geotech!C492&lt;=PLT!$F$4:$F$8886)*(Geotech!D492&gt;=PLT!$F$4:$F$8886)*(PLT!$V$4:$V$8886&lt;&gt;AD492)*(PLT!$V$4:$V$8886&lt;&gt;AE492)*("Valid"=PLT!$P$4:$P$7190),PLT!$V$4:$V$8886),"")</f>
        <v/>
      </c>
      <c r="AG492" s="162" t="str">
        <f>IFERROR(IF(AVERAGE(AD492:AF492)&gt;References!$BO$23,References!$BP$23,
IF(AVERAGE(AD492:AF492)&gt;References!$BO$22,References!$BP$22,
IF(AVERAGE(AD492:AF492)&gt;References!$BO$21,References!$BP$21,
IF(AVERAGE(AD492:AF492)&gt;References!$BO$20,References!$BP$20,
IF(AVERAGE(AD492:AF492)&gt;References!$BO$19,References!$BP$19,
IF(AVERAGE(AD492:AF492)&gt;References!$BO$18,References!$BP$18,
0)))))),"")</f>
        <v/>
      </c>
      <c r="AH492" s="163" t="e">
        <f>VLOOKUP(Data_Geotech[[#This Row],[Field Intact Rock Strength]],Table_RMR76_Strength[],2,FALSE)</f>
        <v>#N/A</v>
      </c>
      <c r="AI492" s="163" t="e">
        <f>IF(Data_Geotech[[#This Row],[RQD (%)]]&lt;=25,3,IF(Data_Geotech[[#This Row],[RQD (%)]]&lt;=50,8,IF(Data_Geotech[[#This Row],[RQD (%)]]&lt;=75,13,IF(Data_Geotech[[#This Row],[RQD (%)]]&lt;=90,17,20))))</f>
        <v>#DIV/0!</v>
      </c>
      <c r="AJ492" s="136">
        <f>IF(Data_Geotech[[#This Row],[Joint spacing (m)]]&lt;=0.05,5,IF(Data_Geotech[[#This Row],[Joint spacing (m)]]&lt;=0.3,10,IF(Data_Geotech[[#This Row],[Joint spacing (m)]]&lt;=1,20,IF(Data_Geotech[[#This Row],[Joint spacing (m)]]&lt;=3,25,30))))</f>
        <v>30</v>
      </c>
      <c r="AK49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2" s="6"/>
      <c r="AM492" s="137" t="str">
        <f>IF(Data_Geotech[[#This Row],[FIRS Code]]="R",IFERROR(SUM(Data_Geotech[[#This Row],[RMR76 - Strength rating]:[RMR76 - Ground water rating]]),""),"")</f>
        <v/>
      </c>
      <c r="AN492" s="164" t="str">
        <f>IF(Data_Geotech[[#This Row],[FIRS Code]]="R",(2*Data_Geotech[[#This Row],[RMR76 - Joint condition rating]])+(IF(Data_Geotech[[#This Row],[RQD (%)]]&gt;80,80/2,Data_Geotech[[#This Row],[RQD (%)]]/2)),"")</f>
        <v/>
      </c>
      <c r="AO492" s="136" t="e">
        <f>LEFT(Data_Geotech[[#This Row],[Joint Set Rating]],FIND("-",Data_Geotech[[#This Row],[Joint Set Rating]],1)-2)</f>
        <v>#VALUE!</v>
      </c>
      <c r="AP49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2" s="143">
        <f t="shared" si="12"/>
        <v>1</v>
      </c>
      <c r="AR492" s="165" t="str">
        <f>IF(Data_Geotech[[#This Row],[FIRS Code]]="R",IFERROR((IF(Data_Geotech[[#This Row],[RQD (%)]]&lt;10,10,Data_Geotech[[#This Row],[RQD (%)]])/Data_Geotech[[#This Row],[Jn rating]])*Data_Geotech[[#This Row],[Jr/Ja]],""),"")</f>
        <v/>
      </c>
      <c r="AS492" s="138" t="str">
        <f>IF(Data_Geotech[[#This Row],[FIRS Code]]="R",IFERROR((IF(Data_Geotech[[#This Row],[RQD (%)]]&lt;10,10,Data_Geotech[[#This Row],[RQD (%)]])/Data_Geotech[[#This Row],[Jn rating]])*Data_Geotech[[#This Row],[Jr/Ja]]*Data_Geotech[[#This Row],[Jw/SRF]],""),"")</f>
        <v/>
      </c>
      <c r="AT492" s="12"/>
      <c r="AU492" s="13" t="e">
        <f>100-Data_Geotech[[#This Row],[RQD (%)]]</f>
        <v>#DIV/0!</v>
      </c>
      <c r="AV492" s="13" t="e">
        <f>100-Data_Geotech[[#This Row],[TCR (%)]]</f>
        <v>#DIV/0!</v>
      </c>
      <c r="AW492" s="62" t="e">
        <f>(Data_Geotech[[#This Row],[Fracture per interval]]+Data_Geotech[[#This Row],[Added fractures 
(BC, FLT, LC)]])/Data_Geotech[[#This Row],[TCR (m)]]</f>
        <v>#DIV/0!</v>
      </c>
      <c r="AX492" s="62" t="str">
        <f>MID(Data_Geotech[[#This Row],[Field Intact Rock Strength]],2,1)</f>
        <v/>
      </c>
      <c r="AY492" s="63" t="e">
        <f>7-MID(Data_Geotech[[#This Row],[Field Intact Rock Strength]],2,1)</f>
        <v>#VALUE!</v>
      </c>
      <c r="AZ492" s="63" t="e">
        <f>VLOOKUP(Data_Geotech[[#This Row],[Field Intact Rock Strength]],Table_FieldStrength[],2,FALSE)</f>
        <v>#N/A</v>
      </c>
      <c r="BA492" s="63" t="e">
        <f>VLOOKUP(Data_Geotech[[#This Row],[Field Intact Rock Strength]],Table_FieldStrength[],3,FALSE)</f>
        <v>#N/A</v>
      </c>
      <c r="BB492" s="63" t="e">
        <f>VLOOKUP(Data_Geotech[[#This Row],[Field Intact Rock Strength]],Table_FieldStrength[],4,FALSE)</f>
        <v>#N/A</v>
      </c>
      <c r="BC492" s="63" t="e">
        <f>100-Data_Geotech[[#This Row],[RMR76]]</f>
        <v>#VALUE!</v>
      </c>
      <c r="BD492" s="63" t="e">
        <f>LEFT(Data_Geotech[[#This Row],[Weathering/Alteration]],FIND("-",Data_Geotech[[#This Row],[Weathering/Alteration]])-2)</f>
        <v>#VALUE!</v>
      </c>
    </row>
    <row r="493" spans="1:56" hidden="1" x14ac:dyDescent="0.25">
      <c r="A493" s="14"/>
      <c r="B493" s="166" t="e">
        <f>VLOOKUP(Data_Geotech[[#This Row],[Hole ID]],Data_Log[],2,FALSE)</f>
        <v>#N/A</v>
      </c>
      <c r="C493" s="5"/>
      <c r="D493" s="5"/>
      <c r="E493" s="5">
        <f>(Data_Geotech[[#This Row],[To (m)]]-Data_Geotech[[#This Row],[From (m)]])/2+Data_Geotech[[#This Row],[From (m)]]</f>
        <v>0</v>
      </c>
      <c r="F493" s="13">
        <f>Data_Geotech[[#This Row],[To (m)]]-Data_Geotech[[#This Row],[From (m)]]</f>
        <v>0</v>
      </c>
      <c r="G493" s="5"/>
      <c r="H493" s="13" t="e">
        <f>Data_Geotech[[#This Row],[TCR (m)]]/Data_Geotech[[#This Row],[Run (m)]]*100</f>
        <v>#DIV/0!</v>
      </c>
      <c r="I493" s="5"/>
      <c r="J493" s="5"/>
      <c r="K493" s="5"/>
      <c r="L493" s="13" t="e">
        <f>Data_Geotech[[#This Row],[RQD (m)]]/Data_Geotech[[#This Row],[Run Reel (m)]]*100</f>
        <v>#DIV/0!</v>
      </c>
      <c r="P493" s="115"/>
      <c r="Q493" s="5"/>
      <c r="R493" s="5"/>
      <c r="S493" s="5"/>
      <c r="T493" s="5"/>
      <c r="U493" s="5"/>
      <c r="V493" s="6"/>
      <c r="W493" s="92">
        <f>SUMIFS(Discontinuities!$D$4:$D$9664,Discontinuities!$A$4:$A$9664,A493,Discontinuities!$C$4:$C$9664,"&gt;="&amp;C493,Discontinuities!$C$4:$C$9664,"&lt;"&amp;D493)
-SUMIFS(Discontinuities!$D$4:$D$9664,Discontinuities!$A$4:$A$9664,A493,Discontinuities!$C$4:$C$9664,"&gt;="&amp;C493,Discontinuities!$C$4:$C$9664,"&lt;"&amp;D493,Discontinuities!$E$4:$E$9664,"=BC")
-SUMIFS(Discontinuities!$D$4:$D$9664,Discontinuities!$A$4:$A$9664,A493,Discontinuities!$C$4:$C$9664,"&gt;="&amp;C493,Discontinuities!$C$4:$C$9664,"&lt;"&amp;D493,Discontinuities!$E$4:$E$9664,"=LC")
-SUMIFS(Discontinuities!$D$4:$D$9664,Discontinuities!$A$4:$A$9664,A493,Discontinuities!$C$4:$C$9664,"&gt;="&amp;C493,Discontinuities!$C$4:$C$9664,"&lt;"&amp;D493,Discontinuities!$E$4:$E$9664,"=FLT")</f>
        <v>0</v>
      </c>
      <c r="AA493" s="132"/>
      <c r="AB493" s="159">
        <f>IFERROR(ROUND((Data_Geotech[[#This Row],[Fault (m)]]+Data_Geotech[[#This Row],[Broken Core (m)]]+Data_Geotech[[#This Row],[Lost Core (m)]])*30,0),0)</f>
        <v>0</v>
      </c>
      <c r="AC493" s="135">
        <f>IF(Data_Geotech[[#This Row],[Added fractures 
(BC, FLT, LC)]]+Data_Geotech[[#This Row],[Fracture per interval]]=0,99,1/((Data_Geotech[[#This Row],[Fracture per interval]]+Data_Geotech[[#This Row],[Added fractures 
(BC, FLT, LC)]])/Data_Geotech[[#This Row],[Run (m)]]))</f>
        <v>99</v>
      </c>
      <c r="AD493" s="160" t="str" cm="1">
        <f t="array" ref="AD493">IFERROR(_xlfn.XLOOKUP(1,(A493=PLT!$A$4:$A$8886)*(Geotech!C493&lt;=PLT!$F$4:$F$8886)*(Geotech!D493&gt;=PLT!$F$4:$F$8886)*("Valid"=PLT!$P$4:$P$8886),PLT!$V$4:$V$8886),"")</f>
        <v/>
      </c>
      <c r="AE493" s="161" t="str" cm="1">
        <f t="array" ref="AE493">IFERROR(_xlfn.XLOOKUP(1,(A493=PLT!$A$4:$A$8886)*(Geotech!C493&lt;=PLT!$F$4:$F$8886)*(Geotech!D493&gt;=PLT!$F$4:$F$8886)*(PLT!$V$4:$V$8886&lt;&gt;AD493)*("Valid"=PLT!$P$4:$P$7190),PLT!$V$4:$V$8886),"")</f>
        <v/>
      </c>
      <c r="AF493" s="161" t="str" cm="1">
        <f t="array" ref="AF493">IFERROR(_xlfn.XLOOKUP(1,(A493=PLT!$A$4:$A$8886)*(Geotech!C493&lt;=PLT!$F$4:$F$8886)*(Geotech!D493&gt;=PLT!$F$4:$F$8886)*(PLT!$V$4:$V$8886&lt;&gt;AD493)*(PLT!$V$4:$V$8886&lt;&gt;AE493)*("Valid"=PLT!$P$4:$P$7190),PLT!$V$4:$V$8886),"")</f>
        <v/>
      </c>
      <c r="AG493" s="162" t="str">
        <f>IFERROR(IF(AVERAGE(AD493:AF493)&gt;References!$BO$23,References!$BP$23,
IF(AVERAGE(AD493:AF493)&gt;References!$BO$22,References!$BP$22,
IF(AVERAGE(AD493:AF493)&gt;References!$BO$21,References!$BP$21,
IF(AVERAGE(AD493:AF493)&gt;References!$BO$20,References!$BP$20,
IF(AVERAGE(AD493:AF493)&gt;References!$BO$19,References!$BP$19,
IF(AVERAGE(AD493:AF493)&gt;References!$BO$18,References!$BP$18,
0)))))),"")</f>
        <v/>
      </c>
      <c r="AH493" s="163" t="e">
        <f>VLOOKUP(Data_Geotech[[#This Row],[Field Intact Rock Strength]],Table_RMR76_Strength[],2,FALSE)</f>
        <v>#N/A</v>
      </c>
      <c r="AI493" s="163" t="e">
        <f>IF(Data_Geotech[[#This Row],[RQD (%)]]&lt;=25,3,IF(Data_Geotech[[#This Row],[RQD (%)]]&lt;=50,8,IF(Data_Geotech[[#This Row],[RQD (%)]]&lt;=75,13,IF(Data_Geotech[[#This Row],[RQD (%)]]&lt;=90,17,20))))</f>
        <v>#DIV/0!</v>
      </c>
      <c r="AJ493" s="136">
        <f>IF(Data_Geotech[[#This Row],[Joint spacing (m)]]&lt;=0.05,5,IF(Data_Geotech[[#This Row],[Joint spacing (m)]]&lt;=0.3,10,IF(Data_Geotech[[#This Row],[Joint spacing (m)]]&lt;=1,20,IF(Data_Geotech[[#This Row],[Joint spacing (m)]]&lt;=3,25,30))))</f>
        <v>30</v>
      </c>
      <c r="AK49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3" s="6"/>
      <c r="AM493" s="137" t="str">
        <f>IF(Data_Geotech[[#This Row],[FIRS Code]]="R",IFERROR(SUM(Data_Geotech[[#This Row],[RMR76 - Strength rating]:[RMR76 - Ground water rating]]),""),"")</f>
        <v/>
      </c>
      <c r="AN493" s="164" t="str">
        <f>IF(Data_Geotech[[#This Row],[FIRS Code]]="R",(2*Data_Geotech[[#This Row],[RMR76 - Joint condition rating]])+(IF(Data_Geotech[[#This Row],[RQD (%)]]&gt;80,80/2,Data_Geotech[[#This Row],[RQD (%)]]/2)),"")</f>
        <v/>
      </c>
      <c r="AO493" s="136" t="e">
        <f>LEFT(Data_Geotech[[#This Row],[Joint Set Rating]],FIND("-",Data_Geotech[[#This Row],[Joint Set Rating]],1)-2)</f>
        <v>#VALUE!</v>
      </c>
      <c r="AP49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3" s="143">
        <f t="shared" si="12"/>
        <v>1</v>
      </c>
      <c r="AR493" s="165" t="str">
        <f>IF(Data_Geotech[[#This Row],[FIRS Code]]="R",IFERROR((IF(Data_Geotech[[#This Row],[RQD (%)]]&lt;10,10,Data_Geotech[[#This Row],[RQD (%)]])/Data_Geotech[[#This Row],[Jn rating]])*Data_Geotech[[#This Row],[Jr/Ja]],""),"")</f>
        <v/>
      </c>
      <c r="AS493" s="138" t="str">
        <f>IF(Data_Geotech[[#This Row],[FIRS Code]]="R",IFERROR((IF(Data_Geotech[[#This Row],[RQD (%)]]&lt;10,10,Data_Geotech[[#This Row],[RQD (%)]])/Data_Geotech[[#This Row],[Jn rating]])*Data_Geotech[[#This Row],[Jr/Ja]]*Data_Geotech[[#This Row],[Jw/SRF]],""),"")</f>
        <v/>
      </c>
      <c r="AT493" s="12"/>
      <c r="AU493" s="13" t="e">
        <f>100-Data_Geotech[[#This Row],[RQD (%)]]</f>
        <v>#DIV/0!</v>
      </c>
      <c r="AV493" s="13" t="e">
        <f>100-Data_Geotech[[#This Row],[TCR (%)]]</f>
        <v>#DIV/0!</v>
      </c>
      <c r="AW493" s="62" t="e">
        <f>(Data_Geotech[[#This Row],[Fracture per interval]]+Data_Geotech[[#This Row],[Added fractures 
(BC, FLT, LC)]])/Data_Geotech[[#This Row],[TCR (m)]]</f>
        <v>#DIV/0!</v>
      </c>
      <c r="AX493" s="62" t="str">
        <f>MID(Data_Geotech[[#This Row],[Field Intact Rock Strength]],2,1)</f>
        <v/>
      </c>
      <c r="AY493" s="63" t="e">
        <f>7-MID(Data_Geotech[[#This Row],[Field Intact Rock Strength]],2,1)</f>
        <v>#VALUE!</v>
      </c>
      <c r="AZ493" s="63" t="e">
        <f>VLOOKUP(Data_Geotech[[#This Row],[Field Intact Rock Strength]],Table_FieldStrength[],2,FALSE)</f>
        <v>#N/A</v>
      </c>
      <c r="BA493" s="63" t="e">
        <f>VLOOKUP(Data_Geotech[[#This Row],[Field Intact Rock Strength]],Table_FieldStrength[],3,FALSE)</f>
        <v>#N/A</v>
      </c>
      <c r="BB493" s="63" t="e">
        <f>VLOOKUP(Data_Geotech[[#This Row],[Field Intact Rock Strength]],Table_FieldStrength[],4,FALSE)</f>
        <v>#N/A</v>
      </c>
      <c r="BC493" s="63" t="e">
        <f>100-Data_Geotech[[#This Row],[RMR76]]</f>
        <v>#VALUE!</v>
      </c>
      <c r="BD493" s="63" t="e">
        <f>LEFT(Data_Geotech[[#This Row],[Weathering/Alteration]],FIND("-",Data_Geotech[[#This Row],[Weathering/Alteration]])-2)</f>
        <v>#VALUE!</v>
      </c>
    </row>
    <row r="494" spans="1:56" hidden="1" x14ac:dyDescent="0.25">
      <c r="A494" s="14"/>
      <c r="B494" s="166" t="e">
        <f>VLOOKUP(Data_Geotech[[#This Row],[Hole ID]],Data_Log[],2,FALSE)</f>
        <v>#N/A</v>
      </c>
      <c r="C494" s="5"/>
      <c r="D494" s="5"/>
      <c r="E494" s="5">
        <f>(Data_Geotech[[#This Row],[To (m)]]-Data_Geotech[[#This Row],[From (m)]])/2+Data_Geotech[[#This Row],[From (m)]]</f>
        <v>0</v>
      </c>
      <c r="F494" s="13">
        <f>Data_Geotech[[#This Row],[To (m)]]-Data_Geotech[[#This Row],[From (m)]]</f>
        <v>0</v>
      </c>
      <c r="G494" s="5"/>
      <c r="H494" s="13" t="e">
        <f>Data_Geotech[[#This Row],[TCR (m)]]/Data_Geotech[[#This Row],[Run (m)]]*100</f>
        <v>#DIV/0!</v>
      </c>
      <c r="I494" s="5"/>
      <c r="J494" s="5"/>
      <c r="K494" s="5"/>
      <c r="L494" s="13" t="e">
        <f>Data_Geotech[[#This Row],[RQD (m)]]/Data_Geotech[[#This Row],[Run Reel (m)]]*100</f>
        <v>#DIV/0!</v>
      </c>
      <c r="P494" s="115"/>
      <c r="Q494" s="5"/>
      <c r="R494" s="5"/>
      <c r="S494" s="5"/>
      <c r="T494" s="5"/>
      <c r="U494" s="5"/>
      <c r="V494" s="6"/>
      <c r="W494" s="92">
        <f>SUMIFS(Discontinuities!$D$4:$D$9664,Discontinuities!$A$4:$A$9664,A494,Discontinuities!$C$4:$C$9664,"&gt;="&amp;C494,Discontinuities!$C$4:$C$9664,"&lt;"&amp;D494)
-SUMIFS(Discontinuities!$D$4:$D$9664,Discontinuities!$A$4:$A$9664,A494,Discontinuities!$C$4:$C$9664,"&gt;="&amp;C494,Discontinuities!$C$4:$C$9664,"&lt;"&amp;D494,Discontinuities!$E$4:$E$9664,"=BC")
-SUMIFS(Discontinuities!$D$4:$D$9664,Discontinuities!$A$4:$A$9664,A494,Discontinuities!$C$4:$C$9664,"&gt;="&amp;C494,Discontinuities!$C$4:$C$9664,"&lt;"&amp;D494,Discontinuities!$E$4:$E$9664,"=LC")
-SUMIFS(Discontinuities!$D$4:$D$9664,Discontinuities!$A$4:$A$9664,A494,Discontinuities!$C$4:$C$9664,"&gt;="&amp;C494,Discontinuities!$C$4:$C$9664,"&lt;"&amp;D494,Discontinuities!$E$4:$E$9664,"=FLT")</f>
        <v>0</v>
      </c>
      <c r="AA494" s="132"/>
      <c r="AB494" s="159">
        <f>IFERROR(ROUND((Data_Geotech[[#This Row],[Fault (m)]]+Data_Geotech[[#This Row],[Broken Core (m)]]+Data_Geotech[[#This Row],[Lost Core (m)]])*30,0),0)</f>
        <v>0</v>
      </c>
      <c r="AC494" s="135">
        <f>IF(Data_Geotech[[#This Row],[Added fractures 
(BC, FLT, LC)]]+Data_Geotech[[#This Row],[Fracture per interval]]=0,99,1/((Data_Geotech[[#This Row],[Fracture per interval]]+Data_Geotech[[#This Row],[Added fractures 
(BC, FLT, LC)]])/Data_Geotech[[#This Row],[Run (m)]]))</f>
        <v>99</v>
      </c>
      <c r="AD494" s="160" t="str" cm="1">
        <f t="array" ref="AD494">IFERROR(_xlfn.XLOOKUP(1,(A494=PLT!$A$4:$A$8886)*(Geotech!C494&lt;=PLT!$F$4:$F$8886)*(Geotech!D494&gt;=PLT!$F$4:$F$8886)*("Valid"=PLT!$P$4:$P$8886),PLT!$V$4:$V$8886),"")</f>
        <v/>
      </c>
      <c r="AE494" s="161" t="str" cm="1">
        <f t="array" ref="AE494">IFERROR(_xlfn.XLOOKUP(1,(A494=PLT!$A$4:$A$8886)*(Geotech!C494&lt;=PLT!$F$4:$F$8886)*(Geotech!D494&gt;=PLT!$F$4:$F$8886)*(PLT!$V$4:$V$8886&lt;&gt;AD494)*("Valid"=PLT!$P$4:$P$7190),PLT!$V$4:$V$8886),"")</f>
        <v/>
      </c>
      <c r="AF494" s="161" t="str" cm="1">
        <f t="array" ref="AF494">IFERROR(_xlfn.XLOOKUP(1,(A494=PLT!$A$4:$A$8886)*(Geotech!C494&lt;=PLT!$F$4:$F$8886)*(Geotech!D494&gt;=PLT!$F$4:$F$8886)*(PLT!$V$4:$V$8886&lt;&gt;AD494)*(PLT!$V$4:$V$8886&lt;&gt;AE494)*("Valid"=PLT!$P$4:$P$7190),PLT!$V$4:$V$8886),"")</f>
        <v/>
      </c>
      <c r="AG494" s="162" t="str">
        <f>IFERROR(IF(AVERAGE(AD494:AF494)&gt;References!$BO$23,References!$BP$23,
IF(AVERAGE(AD494:AF494)&gt;References!$BO$22,References!$BP$22,
IF(AVERAGE(AD494:AF494)&gt;References!$BO$21,References!$BP$21,
IF(AVERAGE(AD494:AF494)&gt;References!$BO$20,References!$BP$20,
IF(AVERAGE(AD494:AF494)&gt;References!$BO$19,References!$BP$19,
IF(AVERAGE(AD494:AF494)&gt;References!$BO$18,References!$BP$18,
0)))))),"")</f>
        <v/>
      </c>
      <c r="AH494" s="163" t="e">
        <f>VLOOKUP(Data_Geotech[[#This Row],[Field Intact Rock Strength]],Table_RMR76_Strength[],2,FALSE)</f>
        <v>#N/A</v>
      </c>
      <c r="AI494" s="163" t="e">
        <f>IF(Data_Geotech[[#This Row],[RQD (%)]]&lt;=25,3,IF(Data_Geotech[[#This Row],[RQD (%)]]&lt;=50,8,IF(Data_Geotech[[#This Row],[RQD (%)]]&lt;=75,13,IF(Data_Geotech[[#This Row],[RQD (%)]]&lt;=90,17,20))))</f>
        <v>#DIV/0!</v>
      </c>
      <c r="AJ494" s="136">
        <f>IF(Data_Geotech[[#This Row],[Joint spacing (m)]]&lt;=0.05,5,IF(Data_Geotech[[#This Row],[Joint spacing (m)]]&lt;=0.3,10,IF(Data_Geotech[[#This Row],[Joint spacing (m)]]&lt;=1,20,IF(Data_Geotech[[#This Row],[Joint spacing (m)]]&lt;=3,25,30))))</f>
        <v>30</v>
      </c>
      <c r="AK49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4" s="6"/>
      <c r="AM494" s="137" t="str">
        <f>IF(Data_Geotech[[#This Row],[FIRS Code]]="R",IFERROR(SUM(Data_Geotech[[#This Row],[RMR76 - Strength rating]:[RMR76 - Ground water rating]]),""),"")</f>
        <v/>
      </c>
      <c r="AN494" s="164" t="str">
        <f>IF(Data_Geotech[[#This Row],[FIRS Code]]="R",(2*Data_Geotech[[#This Row],[RMR76 - Joint condition rating]])+(IF(Data_Geotech[[#This Row],[RQD (%)]]&gt;80,80/2,Data_Geotech[[#This Row],[RQD (%)]]/2)),"")</f>
        <v/>
      </c>
      <c r="AO494" s="136" t="e">
        <f>LEFT(Data_Geotech[[#This Row],[Joint Set Rating]],FIND("-",Data_Geotech[[#This Row],[Joint Set Rating]],1)-2)</f>
        <v>#VALUE!</v>
      </c>
      <c r="AP49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4" s="143">
        <f t="shared" si="12"/>
        <v>1</v>
      </c>
      <c r="AR494" s="165" t="str">
        <f>IF(Data_Geotech[[#This Row],[FIRS Code]]="R",IFERROR((IF(Data_Geotech[[#This Row],[RQD (%)]]&lt;10,10,Data_Geotech[[#This Row],[RQD (%)]])/Data_Geotech[[#This Row],[Jn rating]])*Data_Geotech[[#This Row],[Jr/Ja]],""),"")</f>
        <v/>
      </c>
      <c r="AS494" s="138" t="str">
        <f>IF(Data_Geotech[[#This Row],[FIRS Code]]="R",IFERROR((IF(Data_Geotech[[#This Row],[RQD (%)]]&lt;10,10,Data_Geotech[[#This Row],[RQD (%)]])/Data_Geotech[[#This Row],[Jn rating]])*Data_Geotech[[#This Row],[Jr/Ja]]*Data_Geotech[[#This Row],[Jw/SRF]],""),"")</f>
        <v/>
      </c>
      <c r="AT494" s="12"/>
      <c r="AU494" s="13" t="e">
        <f>100-Data_Geotech[[#This Row],[RQD (%)]]</f>
        <v>#DIV/0!</v>
      </c>
      <c r="AV494" s="13" t="e">
        <f>100-Data_Geotech[[#This Row],[TCR (%)]]</f>
        <v>#DIV/0!</v>
      </c>
      <c r="AW494" s="62" t="e">
        <f>(Data_Geotech[[#This Row],[Fracture per interval]]+Data_Geotech[[#This Row],[Added fractures 
(BC, FLT, LC)]])/Data_Geotech[[#This Row],[TCR (m)]]</f>
        <v>#DIV/0!</v>
      </c>
      <c r="AX494" s="62" t="str">
        <f>MID(Data_Geotech[[#This Row],[Field Intact Rock Strength]],2,1)</f>
        <v/>
      </c>
      <c r="AY494" s="63" t="e">
        <f>7-MID(Data_Geotech[[#This Row],[Field Intact Rock Strength]],2,1)</f>
        <v>#VALUE!</v>
      </c>
      <c r="AZ494" s="63" t="e">
        <f>VLOOKUP(Data_Geotech[[#This Row],[Field Intact Rock Strength]],Table_FieldStrength[],2,FALSE)</f>
        <v>#N/A</v>
      </c>
      <c r="BA494" s="63" t="e">
        <f>VLOOKUP(Data_Geotech[[#This Row],[Field Intact Rock Strength]],Table_FieldStrength[],3,FALSE)</f>
        <v>#N/A</v>
      </c>
      <c r="BB494" s="63" t="e">
        <f>VLOOKUP(Data_Geotech[[#This Row],[Field Intact Rock Strength]],Table_FieldStrength[],4,FALSE)</f>
        <v>#N/A</v>
      </c>
      <c r="BC494" s="63" t="e">
        <f>100-Data_Geotech[[#This Row],[RMR76]]</f>
        <v>#VALUE!</v>
      </c>
      <c r="BD494" s="63" t="e">
        <f>LEFT(Data_Geotech[[#This Row],[Weathering/Alteration]],FIND("-",Data_Geotech[[#This Row],[Weathering/Alteration]])-2)</f>
        <v>#VALUE!</v>
      </c>
    </row>
    <row r="495" spans="1:56" hidden="1" x14ac:dyDescent="0.25">
      <c r="A495" s="14"/>
      <c r="B495" s="166" t="e">
        <f>VLOOKUP(Data_Geotech[[#This Row],[Hole ID]],Data_Log[],2,FALSE)</f>
        <v>#N/A</v>
      </c>
      <c r="C495" s="5"/>
      <c r="D495" s="5"/>
      <c r="E495" s="5">
        <f>(Data_Geotech[[#This Row],[To (m)]]-Data_Geotech[[#This Row],[From (m)]])/2+Data_Geotech[[#This Row],[From (m)]]</f>
        <v>0</v>
      </c>
      <c r="F495" s="13">
        <f>Data_Geotech[[#This Row],[To (m)]]-Data_Geotech[[#This Row],[From (m)]]</f>
        <v>0</v>
      </c>
      <c r="G495" s="5"/>
      <c r="H495" s="13" t="e">
        <f>Data_Geotech[[#This Row],[TCR (m)]]/Data_Geotech[[#This Row],[Run (m)]]*100</f>
        <v>#DIV/0!</v>
      </c>
      <c r="I495" s="5"/>
      <c r="J495" s="5"/>
      <c r="K495" s="5"/>
      <c r="L495" s="13" t="e">
        <f>Data_Geotech[[#This Row],[RQD (m)]]/Data_Geotech[[#This Row],[Run Reel (m)]]*100</f>
        <v>#DIV/0!</v>
      </c>
      <c r="P495" s="115"/>
      <c r="Q495" s="5"/>
      <c r="R495" s="5"/>
      <c r="S495" s="5"/>
      <c r="T495" s="5"/>
      <c r="U495" s="5"/>
      <c r="V495" s="6"/>
      <c r="W495" s="92">
        <f>SUMIFS(Discontinuities!$D$4:$D$9664,Discontinuities!$A$4:$A$9664,A495,Discontinuities!$C$4:$C$9664,"&gt;="&amp;C495,Discontinuities!$C$4:$C$9664,"&lt;"&amp;D495)
-SUMIFS(Discontinuities!$D$4:$D$9664,Discontinuities!$A$4:$A$9664,A495,Discontinuities!$C$4:$C$9664,"&gt;="&amp;C495,Discontinuities!$C$4:$C$9664,"&lt;"&amp;D495,Discontinuities!$E$4:$E$9664,"=BC")
-SUMIFS(Discontinuities!$D$4:$D$9664,Discontinuities!$A$4:$A$9664,A495,Discontinuities!$C$4:$C$9664,"&gt;="&amp;C495,Discontinuities!$C$4:$C$9664,"&lt;"&amp;D495,Discontinuities!$E$4:$E$9664,"=LC")
-SUMIFS(Discontinuities!$D$4:$D$9664,Discontinuities!$A$4:$A$9664,A495,Discontinuities!$C$4:$C$9664,"&gt;="&amp;C495,Discontinuities!$C$4:$C$9664,"&lt;"&amp;D495,Discontinuities!$E$4:$E$9664,"=FLT")</f>
        <v>0</v>
      </c>
      <c r="AA495" s="132"/>
      <c r="AB495" s="159">
        <f>IFERROR(ROUND((Data_Geotech[[#This Row],[Fault (m)]]+Data_Geotech[[#This Row],[Broken Core (m)]]+Data_Geotech[[#This Row],[Lost Core (m)]])*30,0),0)</f>
        <v>0</v>
      </c>
      <c r="AC495" s="135">
        <f>IF(Data_Geotech[[#This Row],[Added fractures 
(BC, FLT, LC)]]+Data_Geotech[[#This Row],[Fracture per interval]]=0,99,1/((Data_Geotech[[#This Row],[Fracture per interval]]+Data_Geotech[[#This Row],[Added fractures 
(BC, FLT, LC)]])/Data_Geotech[[#This Row],[Run (m)]]))</f>
        <v>99</v>
      </c>
      <c r="AD495" s="160" t="str" cm="1">
        <f t="array" ref="AD495">IFERROR(_xlfn.XLOOKUP(1,(A495=PLT!$A$4:$A$8886)*(Geotech!C495&lt;=PLT!$F$4:$F$8886)*(Geotech!D495&gt;=PLT!$F$4:$F$8886)*("Valid"=PLT!$P$4:$P$8886),PLT!$V$4:$V$8886),"")</f>
        <v/>
      </c>
      <c r="AE495" s="161" t="str" cm="1">
        <f t="array" ref="AE495">IFERROR(_xlfn.XLOOKUP(1,(A495=PLT!$A$4:$A$8886)*(Geotech!C495&lt;=PLT!$F$4:$F$8886)*(Geotech!D495&gt;=PLT!$F$4:$F$8886)*(PLT!$V$4:$V$8886&lt;&gt;AD495)*("Valid"=PLT!$P$4:$P$7190),PLT!$V$4:$V$8886),"")</f>
        <v/>
      </c>
      <c r="AF495" s="161" t="str" cm="1">
        <f t="array" ref="AF495">IFERROR(_xlfn.XLOOKUP(1,(A495=PLT!$A$4:$A$8886)*(Geotech!C495&lt;=PLT!$F$4:$F$8886)*(Geotech!D495&gt;=PLT!$F$4:$F$8886)*(PLT!$V$4:$V$8886&lt;&gt;AD495)*(PLT!$V$4:$V$8886&lt;&gt;AE495)*("Valid"=PLT!$P$4:$P$7190),PLT!$V$4:$V$8886),"")</f>
        <v/>
      </c>
      <c r="AG495" s="162" t="str">
        <f>IFERROR(IF(AVERAGE(AD495:AF495)&gt;References!$BO$23,References!$BP$23,
IF(AVERAGE(AD495:AF495)&gt;References!$BO$22,References!$BP$22,
IF(AVERAGE(AD495:AF495)&gt;References!$BO$21,References!$BP$21,
IF(AVERAGE(AD495:AF495)&gt;References!$BO$20,References!$BP$20,
IF(AVERAGE(AD495:AF495)&gt;References!$BO$19,References!$BP$19,
IF(AVERAGE(AD495:AF495)&gt;References!$BO$18,References!$BP$18,
0)))))),"")</f>
        <v/>
      </c>
      <c r="AH495" s="163" t="e">
        <f>VLOOKUP(Data_Geotech[[#This Row],[Field Intact Rock Strength]],Table_RMR76_Strength[],2,FALSE)</f>
        <v>#N/A</v>
      </c>
      <c r="AI495" s="163" t="e">
        <f>IF(Data_Geotech[[#This Row],[RQD (%)]]&lt;=25,3,IF(Data_Geotech[[#This Row],[RQD (%)]]&lt;=50,8,IF(Data_Geotech[[#This Row],[RQD (%)]]&lt;=75,13,IF(Data_Geotech[[#This Row],[RQD (%)]]&lt;=90,17,20))))</f>
        <v>#DIV/0!</v>
      </c>
      <c r="AJ495" s="136">
        <f>IF(Data_Geotech[[#This Row],[Joint spacing (m)]]&lt;=0.05,5,IF(Data_Geotech[[#This Row],[Joint spacing (m)]]&lt;=0.3,10,IF(Data_Geotech[[#This Row],[Joint spacing (m)]]&lt;=1,20,IF(Data_Geotech[[#This Row],[Joint spacing (m)]]&lt;=3,25,30))))</f>
        <v>30</v>
      </c>
      <c r="AK49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5" s="6"/>
      <c r="AM495" s="137" t="str">
        <f>IF(Data_Geotech[[#This Row],[FIRS Code]]="R",IFERROR(SUM(Data_Geotech[[#This Row],[RMR76 - Strength rating]:[RMR76 - Ground water rating]]),""),"")</f>
        <v/>
      </c>
      <c r="AN495" s="164" t="str">
        <f>IF(Data_Geotech[[#This Row],[FIRS Code]]="R",(2*Data_Geotech[[#This Row],[RMR76 - Joint condition rating]])+(IF(Data_Geotech[[#This Row],[RQD (%)]]&gt;80,80/2,Data_Geotech[[#This Row],[RQD (%)]]/2)),"")</f>
        <v/>
      </c>
      <c r="AO495" s="136" t="e">
        <f>LEFT(Data_Geotech[[#This Row],[Joint Set Rating]],FIND("-",Data_Geotech[[#This Row],[Joint Set Rating]],1)-2)</f>
        <v>#VALUE!</v>
      </c>
      <c r="AP49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5" s="143">
        <f t="shared" si="12"/>
        <v>1</v>
      </c>
      <c r="AR495" s="165" t="str">
        <f>IF(Data_Geotech[[#This Row],[FIRS Code]]="R",IFERROR((IF(Data_Geotech[[#This Row],[RQD (%)]]&lt;10,10,Data_Geotech[[#This Row],[RQD (%)]])/Data_Geotech[[#This Row],[Jn rating]])*Data_Geotech[[#This Row],[Jr/Ja]],""),"")</f>
        <v/>
      </c>
      <c r="AS495" s="138" t="str">
        <f>IF(Data_Geotech[[#This Row],[FIRS Code]]="R",IFERROR((IF(Data_Geotech[[#This Row],[RQD (%)]]&lt;10,10,Data_Geotech[[#This Row],[RQD (%)]])/Data_Geotech[[#This Row],[Jn rating]])*Data_Geotech[[#This Row],[Jr/Ja]]*Data_Geotech[[#This Row],[Jw/SRF]],""),"")</f>
        <v/>
      </c>
      <c r="AT495" s="12"/>
      <c r="AU495" s="13" t="e">
        <f>100-Data_Geotech[[#This Row],[RQD (%)]]</f>
        <v>#DIV/0!</v>
      </c>
      <c r="AV495" s="13" t="e">
        <f>100-Data_Geotech[[#This Row],[TCR (%)]]</f>
        <v>#DIV/0!</v>
      </c>
      <c r="AW495" s="62" t="e">
        <f>(Data_Geotech[[#This Row],[Fracture per interval]]+Data_Geotech[[#This Row],[Added fractures 
(BC, FLT, LC)]])/Data_Geotech[[#This Row],[TCR (m)]]</f>
        <v>#DIV/0!</v>
      </c>
      <c r="AX495" s="62" t="str">
        <f>MID(Data_Geotech[[#This Row],[Field Intact Rock Strength]],2,1)</f>
        <v/>
      </c>
      <c r="AY495" s="63" t="e">
        <f>7-MID(Data_Geotech[[#This Row],[Field Intact Rock Strength]],2,1)</f>
        <v>#VALUE!</v>
      </c>
      <c r="AZ495" s="63" t="e">
        <f>VLOOKUP(Data_Geotech[[#This Row],[Field Intact Rock Strength]],Table_FieldStrength[],2,FALSE)</f>
        <v>#N/A</v>
      </c>
      <c r="BA495" s="63" t="e">
        <f>VLOOKUP(Data_Geotech[[#This Row],[Field Intact Rock Strength]],Table_FieldStrength[],3,FALSE)</f>
        <v>#N/A</v>
      </c>
      <c r="BB495" s="63" t="e">
        <f>VLOOKUP(Data_Geotech[[#This Row],[Field Intact Rock Strength]],Table_FieldStrength[],4,FALSE)</f>
        <v>#N/A</v>
      </c>
      <c r="BC495" s="63" t="e">
        <f>100-Data_Geotech[[#This Row],[RMR76]]</f>
        <v>#VALUE!</v>
      </c>
      <c r="BD495" s="63" t="e">
        <f>LEFT(Data_Geotech[[#This Row],[Weathering/Alteration]],FIND("-",Data_Geotech[[#This Row],[Weathering/Alteration]])-2)</f>
        <v>#VALUE!</v>
      </c>
    </row>
    <row r="496" spans="1:56" hidden="1" x14ac:dyDescent="0.25">
      <c r="A496" s="14"/>
      <c r="B496" s="166" t="e">
        <f>VLOOKUP(Data_Geotech[[#This Row],[Hole ID]],Data_Log[],2,FALSE)</f>
        <v>#N/A</v>
      </c>
      <c r="C496" s="5"/>
      <c r="D496" s="5"/>
      <c r="E496" s="5">
        <f>(Data_Geotech[[#This Row],[To (m)]]-Data_Geotech[[#This Row],[From (m)]])/2+Data_Geotech[[#This Row],[From (m)]]</f>
        <v>0</v>
      </c>
      <c r="F496" s="13">
        <f>Data_Geotech[[#This Row],[To (m)]]-Data_Geotech[[#This Row],[From (m)]]</f>
        <v>0</v>
      </c>
      <c r="G496" s="5"/>
      <c r="H496" s="13" t="e">
        <f>Data_Geotech[[#This Row],[TCR (m)]]/Data_Geotech[[#This Row],[Run (m)]]*100</f>
        <v>#DIV/0!</v>
      </c>
      <c r="I496" s="5"/>
      <c r="J496" s="5"/>
      <c r="K496" s="5"/>
      <c r="L496" s="13" t="e">
        <f>Data_Geotech[[#This Row],[RQD (m)]]/Data_Geotech[[#This Row],[Run Reel (m)]]*100</f>
        <v>#DIV/0!</v>
      </c>
      <c r="P496" s="115"/>
      <c r="Q496" s="5"/>
      <c r="R496" s="5"/>
      <c r="S496" s="5"/>
      <c r="T496" s="5"/>
      <c r="U496" s="5"/>
      <c r="V496" s="6"/>
      <c r="W496" s="92">
        <f>SUMIFS(Discontinuities!$D$4:$D$9664,Discontinuities!$A$4:$A$9664,A496,Discontinuities!$C$4:$C$9664,"&gt;="&amp;C496,Discontinuities!$C$4:$C$9664,"&lt;"&amp;D496)
-SUMIFS(Discontinuities!$D$4:$D$9664,Discontinuities!$A$4:$A$9664,A496,Discontinuities!$C$4:$C$9664,"&gt;="&amp;C496,Discontinuities!$C$4:$C$9664,"&lt;"&amp;D496,Discontinuities!$E$4:$E$9664,"=BC")
-SUMIFS(Discontinuities!$D$4:$D$9664,Discontinuities!$A$4:$A$9664,A496,Discontinuities!$C$4:$C$9664,"&gt;="&amp;C496,Discontinuities!$C$4:$C$9664,"&lt;"&amp;D496,Discontinuities!$E$4:$E$9664,"=LC")
-SUMIFS(Discontinuities!$D$4:$D$9664,Discontinuities!$A$4:$A$9664,A496,Discontinuities!$C$4:$C$9664,"&gt;="&amp;C496,Discontinuities!$C$4:$C$9664,"&lt;"&amp;D496,Discontinuities!$E$4:$E$9664,"=FLT")</f>
        <v>0</v>
      </c>
      <c r="AA496" s="132"/>
      <c r="AB496" s="159">
        <f>IFERROR(ROUND((Data_Geotech[[#This Row],[Fault (m)]]+Data_Geotech[[#This Row],[Broken Core (m)]]+Data_Geotech[[#This Row],[Lost Core (m)]])*30,0),0)</f>
        <v>0</v>
      </c>
      <c r="AC496" s="135">
        <f>IF(Data_Geotech[[#This Row],[Added fractures 
(BC, FLT, LC)]]+Data_Geotech[[#This Row],[Fracture per interval]]=0,99,1/((Data_Geotech[[#This Row],[Fracture per interval]]+Data_Geotech[[#This Row],[Added fractures 
(BC, FLT, LC)]])/Data_Geotech[[#This Row],[Run (m)]]))</f>
        <v>99</v>
      </c>
      <c r="AD496" s="160" t="str" cm="1">
        <f t="array" ref="AD496">IFERROR(_xlfn.XLOOKUP(1,(A496=PLT!$A$4:$A$8886)*(Geotech!C496&lt;=PLT!$F$4:$F$8886)*(Geotech!D496&gt;=PLT!$F$4:$F$8886)*("Valid"=PLT!$P$4:$P$8886),PLT!$V$4:$V$8886),"")</f>
        <v/>
      </c>
      <c r="AE496" s="161" t="str" cm="1">
        <f t="array" ref="AE496">IFERROR(_xlfn.XLOOKUP(1,(A496=PLT!$A$4:$A$8886)*(Geotech!C496&lt;=PLT!$F$4:$F$8886)*(Geotech!D496&gt;=PLT!$F$4:$F$8886)*(PLT!$V$4:$V$8886&lt;&gt;AD496)*("Valid"=PLT!$P$4:$P$7190),PLT!$V$4:$V$8886),"")</f>
        <v/>
      </c>
      <c r="AF496" s="161" t="str" cm="1">
        <f t="array" ref="AF496">IFERROR(_xlfn.XLOOKUP(1,(A496=PLT!$A$4:$A$8886)*(Geotech!C496&lt;=PLT!$F$4:$F$8886)*(Geotech!D496&gt;=PLT!$F$4:$F$8886)*(PLT!$V$4:$V$8886&lt;&gt;AD496)*(PLT!$V$4:$V$8886&lt;&gt;AE496)*("Valid"=PLT!$P$4:$P$7190),PLT!$V$4:$V$8886),"")</f>
        <v/>
      </c>
      <c r="AG496" s="162" t="str">
        <f>IFERROR(IF(AVERAGE(AD496:AF496)&gt;References!$BO$23,References!$BP$23,
IF(AVERAGE(AD496:AF496)&gt;References!$BO$22,References!$BP$22,
IF(AVERAGE(AD496:AF496)&gt;References!$BO$21,References!$BP$21,
IF(AVERAGE(AD496:AF496)&gt;References!$BO$20,References!$BP$20,
IF(AVERAGE(AD496:AF496)&gt;References!$BO$19,References!$BP$19,
IF(AVERAGE(AD496:AF496)&gt;References!$BO$18,References!$BP$18,
0)))))),"")</f>
        <v/>
      </c>
      <c r="AH496" s="163" t="e">
        <f>VLOOKUP(Data_Geotech[[#This Row],[Field Intact Rock Strength]],Table_RMR76_Strength[],2,FALSE)</f>
        <v>#N/A</v>
      </c>
      <c r="AI496" s="163" t="e">
        <f>IF(Data_Geotech[[#This Row],[RQD (%)]]&lt;=25,3,IF(Data_Geotech[[#This Row],[RQD (%)]]&lt;=50,8,IF(Data_Geotech[[#This Row],[RQD (%)]]&lt;=75,13,IF(Data_Geotech[[#This Row],[RQD (%)]]&lt;=90,17,20))))</f>
        <v>#DIV/0!</v>
      </c>
      <c r="AJ496" s="136">
        <f>IF(Data_Geotech[[#This Row],[Joint spacing (m)]]&lt;=0.05,5,IF(Data_Geotech[[#This Row],[Joint spacing (m)]]&lt;=0.3,10,IF(Data_Geotech[[#This Row],[Joint spacing (m)]]&lt;=1,20,IF(Data_Geotech[[#This Row],[Joint spacing (m)]]&lt;=3,25,30))))</f>
        <v>30</v>
      </c>
      <c r="AK49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6" s="6"/>
      <c r="AM496" s="137" t="str">
        <f>IF(Data_Geotech[[#This Row],[FIRS Code]]="R",IFERROR(SUM(Data_Geotech[[#This Row],[RMR76 - Strength rating]:[RMR76 - Ground water rating]]),""),"")</f>
        <v/>
      </c>
      <c r="AN496" s="164" t="str">
        <f>IF(Data_Geotech[[#This Row],[FIRS Code]]="R",(2*Data_Geotech[[#This Row],[RMR76 - Joint condition rating]])+(IF(Data_Geotech[[#This Row],[RQD (%)]]&gt;80,80/2,Data_Geotech[[#This Row],[RQD (%)]]/2)),"")</f>
        <v/>
      </c>
      <c r="AO496" s="136" t="e">
        <f>LEFT(Data_Geotech[[#This Row],[Joint Set Rating]],FIND("-",Data_Geotech[[#This Row],[Joint Set Rating]],1)-2)</f>
        <v>#VALUE!</v>
      </c>
      <c r="AP49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6" s="143">
        <f t="shared" si="12"/>
        <v>1</v>
      </c>
      <c r="AR496" s="165" t="str">
        <f>IF(Data_Geotech[[#This Row],[FIRS Code]]="R",IFERROR((IF(Data_Geotech[[#This Row],[RQD (%)]]&lt;10,10,Data_Geotech[[#This Row],[RQD (%)]])/Data_Geotech[[#This Row],[Jn rating]])*Data_Geotech[[#This Row],[Jr/Ja]],""),"")</f>
        <v/>
      </c>
      <c r="AS496" s="138" t="str">
        <f>IF(Data_Geotech[[#This Row],[FIRS Code]]="R",IFERROR((IF(Data_Geotech[[#This Row],[RQD (%)]]&lt;10,10,Data_Geotech[[#This Row],[RQD (%)]])/Data_Geotech[[#This Row],[Jn rating]])*Data_Geotech[[#This Row],[Jr/Ja]]*Data_Geotech[[#This Row],[Jw/SRF]],""),"")</f>
        <v/>
      </c>
      <c r="AT496" s="12"/>
      <c r="AU496" s="13" t="e">
        <f>100-Data_Geotech[[#This Row],[RQD (%)]]</f>
        <v>#DIV/0!</v>
      </c>
      <c r="AV496" s="13" t="e">
        <f>100-Data_Geotech[[#This Row],[TCR (%)]]</f>
        <v>#DIV/0!</v>
      </c>
      <c r="AW496" s="62" t="e">
        <f>(Data_Geotech[[#This Row],[Fracture per interval]]+Data_Geotech[[#This Row],[Added fractures 
(BC, FLT, LC)]])/Data_Geotech[[#This Row],[TCR (m)]]</f>
        <v>#DIV/0!</v>
      </c>
      <c r="AX496" s="62" t="str">
        <f>MID(Data_Geotech[[#This Row],[Field Intact Rock Strength]],2,1)</f>
        <v/>
      </c>
      <c r="AY496" s="63" t="e">
        <f>7-MID(Data_Geotech[[#This Row],[Field Intact Rock Strength]],2,1)</f>
        <v>#VALUE!</v>
      </c>
      <c r="AZ496" s="63" t="e">
        <f>VLOOKUP(Data_Geotech[[#This Row],[Field Intact Rock Strength]],Table_FieldStrength[],2,FALSE)</f>
        <v>#N/A</v>
      </c>
      <c r="BA496" s="63" t="e">
        <f>VLOOKUP(Data_Geotech[[#This Row],[Field Intact Rock Strength]],Table_FieldStrength[],3,FALSE)</f>
        <v>#N/A</v>
      </c>
      <c r="BB496" s="63" t="e">
        <f>VLOOKUP(Data_Geotech[[#This Row],[Field Intact Rock Strength]],Table_FieldStrength[],4,FALSE)</f>
        <v>#N/A</v>
      </c>
      <c r="BC496" s="63" t="e">
        <f>100-Data_Geotech[[#This Row],[RMR76]]</f>
        <v>#VALUE!</v>
      </c>
      <c r="BD496" s="63" t="e">
        <f>LEFT(Data_Geotech[[#This Row],[Weathering/Alteration]],FIND("-",Data_Geotech[[#This Row],[Weathering/Alteration]])-2)</f>
        <v>#VALUE!</v>
      </c>
    </row>
    <row r="497" spans="1:56" hidden="1" x14ac:dyDescent="0.25">
      <c r="A497" s="14"/>
      <c r="B497" s="166" t="e">
        <f>VLOOKUP(Data_Geotech[[#This Row],[Hole ID]],Data_Log[],2,FALSE)</f>
        <v>#N/A</v>
      </c>
      <c r="C497" s="5"/>
      <c r="D497" s="5"/>
      <c r="E497" s="5">
        <f>(Data_Geotech[[#This Row],[To (m)]]-Data_Geotech[[#This Row],[From (m)]])/2+Data_Geotech[[#This Row],[From (m)]]</f>
        <v>0</v>
      </c>
      <c r="F497" s="13">
        <f>Data_Geotech[[#This Row],[To (m)]]-Data_Geotech[[#This Row],[From (m)]]</f>
        <v>0</v>
      </c>
      <c r="G497" s="5"/>
      <c r="H497" s="13" t="e">
        <f>Data_Geotech[[#This Row],[TCR (m)]]/Data_Geotech[[#This Row],[Run (m)]]*100</f>
        <v>#DIV/0!</v>
      </c>
      <c r="I497" s="5"/>
      <c r="J497" s="5"/>
      <c r="K497" s="5"/>
      <c r="L497" s="13" t="e">
        <f>Data_Geotech[[#This Row],[RQD (m)]]/Data_Geotech[[#This Row],[Run Reel (m)]]*100</f>
        <v>#DIV/0!</v>
      </c>
      <c r="P497" s="115"/>
      <c r="Q497" s="5"/>
      <c r="R497" s="5"/>
      <c r="S497" s="5"/>
      <c r="T497" s="5"/>
      <c r="U497" s="5"/>
      <c r="V497" s="6"/>
      <c r="W497" s="92">
        <f>SUMIFS(Discontinuities!$D$4:$D$9664,Discontinuities!$A$4:$A$9664,A497,Discontinuities!$C$4:$C$9664,"&gt;="&amp;C497,Discontinuities!$C$4:$C$9664,"&lt;"&amp;D497)
-SUMIFS(Discontinuities!$D$4:$D$9664,Discontinuities!$A$4:$A$9664,A497,Discontinuities!$C$4:$C$9664,"&gt;="&amp;C497,Discontinuities!$C$4:$C$9664,"&lt;"&amp;D497,Discontinuities!$E$4:$E$9664,"=BC")
-SUMIFS(Discontinuities!$D$4:$D$9664,Discontinuities!$A$4:$A$9664,A497,Discontinuities!$C$4:$C$9664,"&gt;="&amp;C497,Discontinuities!$C$4:$C$9664,"&lt;"&amp;D497,Discontinuities!$E$4:$E$9664,"=LC")
-SUMIFS(Discontinuities!$D$4:$D$9664,Discontinuities!$A$4:$A$9664,A497,Discontinuities!$C$4:$C$9664,"&gt;="&amp;C497,Discontinuities!$C$4:$C$9664,"&lt;"&amp;D497,Discontinuities!$E$4:$E$9664,"=FLT")</f>
        <v>0</v>
      </c>
      <c r="AA497" s="132"/>
      <c r="AB497" s="159">
        <f>IFERROR(ROUND((Data_Geotech[[#This Row],[Fault (m)]]+Data_Geotech[[#This Row],[Broken Core (m)]]+Data_Geotech[[#This Row],[Lost Core (m)]])*30,0),0)</f>
        <v>0</v>
      </c>
      <c r="AC497" s="135">
        <f>IF(Data_Geotech[[#This Row],[Added fractures 
(BC, FLT, LC)]]+Data_Geotech[[#This Row],[Fracture per interval]]=0,99,1/((Data_Geotech[[#This Row],[Fracture per interval]]+Data_Geotech[[#This Row],[Added fractures 
(BC, FLT, LC)]])/Data_Geotech[[#This Row],[Run (m)]]))</f>
        <v>99</v>
      </c>
      <c r="AD497" s="160" t="str" cm="1">
        <f t="array" ref="AD497">IFERROR(_xlfn.XLOOKUP(1,(A497=PLT!$A$4:$A$8886)*(Geotech!C497&lt;=PLT!$F$4:$F$8886)*(Geotech!D497&gt;=PLT!$F$4:$F$8886)*("Valid"=PLT!$P$4:$P$8886),PLT!$V$4:$V$8886),"")</f>
        <v/>
      </c>
      <c r="AE497" s="161" t="str" cm="1">
        <f t="array" ref="AE497">IFERROR(_xlfn.XLOOKUP(1,(A497=PLT!$A$4:$A$8886)*(Geotech!C497&lt;=PLT!$F$4:$F$8886)*(Geotech!D497&gt;=PLT!$F$4:$F$8886)*(PLT!$V$4:$V$8886&lt;&gt;AD497)*("Valid"=PLT!$P$4:$P$7190),PLT!$V$4:$V$8886),"")</f>
        <v/>
      </c>
      <c r="AF497" s="161" t="str" cm="1">
        <f t="array" ref="AF497">IFERROR(_xlfn.XLOOKUP(1,(A497=PLT!$A$4:$A$8886)*(Geotech!C497&lt;=PLT!$F$4:$F$8886)*(Geotech!D497&gt;=PLT!$F$4:$F$8886)*(PLT!$V$4:$V$8886&lt;&gt;AD497)*(PLT!$V$4:$V$8886&lt;&gt;AE497)*("Valid"=PLT!$P$4:$P$7190),PLT!$V$4:$V$8886),"")</f>
        <v/>
      </c>
      <c r="AG497" s="162" t="str">
        <f>IFERROR(IF(AVERAGE(AD497:AF497)&gt;References!$BO$23,References!$BP$23,
IF(AVERAGE(AD497:AF497)&gt;References!$BO$22,References!$BP$22,
IF(AVERAGE(AD497:AF497)&gt;References!$BO$21,References!$BP$21,
IF(AVERAGE(AD497:AF497)&gt;References!$BO$20,References!$BP$20,
IF(AVERAGE(AD497:AF497)&gt;References!$BO$19,References!$BP$19,
IF(AVERAGE(AD497:AF497)&gt;References!$BO$18,References!$BP$18,
0)))))),"")</f>
        <v/>
      </c>
      <c r="AH497" s="163" t="e">
        <f>VLOOKUP(Data_Geotech[[#This Row],[Field Intact Rock Strength]],Table_RMR76_Strength[],2,FALSE)</f>
        <v>#N/A</v>
      </c>
      <c r="AI497" s="163" t="e">
        <f>IF(Data_Geotech[[#This Row],[RQD (%)]]&lt;=25,3,IF(Data_Geotech[[#This Row],[RQD (%)]]&lt;=50,8,IF(Data_Geotech[[#This Row],[RQD (%)]]&lt;=75,13,IF(Data_Geotech[[#This Row],[RQD (%)]]&lt;=90,17,20))))</f>
        <v>#DIV/0!</v>
      </c>
      <c r="AJ497" s="136">
        <f>IF(Data_Geotech[[#This Row],[Joint spacing (m)]]&lt;=0.05,5,IF(Data_Geotech[[#This Row],[Joint spacing (m)]]&lt;=0.3,10,IF(Data_Geotech[[#This Row],[Joint spacing (m)]]&lt;=1,20,IF(Data_Geotech[[#This Row],[Joint spacing (m)]]&lt;=3,25,30))))</f>
        <v>30</v>
      </c>
      <c r="AK49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7" s="6"/>
      <c r="AM497" s="137" t="str">
        <f>IF(Data_Geotech[[#This Row],[FIRS Code]]="R",IFERROR(SUM(Data_Geotech[[#This Row],[RMR76 - Strength rating]:[RMR76 - Ground water rating]]),""),"")</f>
        <v/>
      </c>
      <c r="AN497" s="164" t="str">
        <f>IF(Data_Geotech[[#This Row],[FIRS Code]]="R",(2*Data_Geotech[[#This Row],[RMR76 - Joint condition rating]])+(IF(Data_Geotech[[#This Row],[RQD (%)]]&gt;80,80/2,Data_Geotech[[#This Row],[RQD (%)]]/2)),"")</f>
        <v/>
      </c>
      <c r="AO497" s="136" t="e">
        <f>LEFT(Data_Geotech[[#This Row],[Joint Set Rating]],FIND("-",Data_Geotech[[#This Row],[Joint Set Rating]],1)-2)</f>
        <v>#VALUE!</v>
      </c>
      <c r="AP49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7" s="143">
        <f t="shared" si="12"/>
        <v>1</v>
      </c>
      <c r="AR497" s="165" t="str">
        <f>IF(Data_Geotech[[#This Row],[FIRS Code]]="R",IFERROR((IF(Data_Geotech[[#This Row],[RQD (%)]]&lt;10,10,Data_Geotech[[#This Row],[RQD (%)]])/Data_Geotech[[#This Row],[Jn rating]])*Data_Geotech[[#This Row],[Jr/Ja]],""),"")</f>
        <v/>
      </c>
      <c r="AS497" s="138" t="str">
        <f>IF(Data_Geotech[[#This Row],[FIRS Code]]="R",IFERROR((IF(Data_Geotech[[#This Row],[RQD (%)]]&lt;10,10,Data_Geotech[[#This Row],[RQD (%)]])/Data_Geotech[[#This Row],[Jn rating]])*Data_Geotech[[#This Row],[Jr/Ja]]*Data_Geotech[[#This Row],[Jw/SRF]],""),"")</f>
        <v/>
      </c>
      <c r="AT497" s="12"/>
      <c r="AU497" s="13" t="e">
        <f>100-Data_Geotech[[#This Row],[RQD (%)]]</f>
        <v>#DIV/0!</v>
      </c>
      <c r="AV497" s="13" t="e">
        <f>100-Data_Geotech[[#This Row],[TCR (%)]]</f>
        <v>#DIV/0!</v>
      </c>
      <c r="AW497" s="62" t="e">
        <f>(Data_Geotech[[#This Row],[Fracture per interval]]+Data_Geotech[[#This Row],[Added fractures 
(BC, FLT, LC)]])/Data_Geotech[[#This Row],[TCR (m)]]</f>
        <v>#DIV/0!</v>
      </c>
      <c r="AX497" s="62" t="str">
        <f>MID(Data_Geotech[[#This Row],[Field Intact Rock Strength]],2,1)</f>
        <v/>
      </c>
      <c r="AY497" s="63" t="e">
        <f>7-MID(Data_Geotech[[#This Row],[Field Intact Rock Strength]],2,1)</f>
        <v>#VALUE!</v>
      </c>
      <c r="AZ497" s="63" t="e">
        <f>VLOOKUP(Data_Geotech[[#This Row],[Field Intact Rock Strength]],Table_FieldStrength[],2,FALSE)</f>
        <v>#N/A</v>
      </c>
      <c r="BA497" s="63" t="e">
        <f>VLOOKUP(Data_Geotech[[#This Row],[Field Intact Rock Strength]],Table_FieldStrength[],3,FALSE)</f>
        <v>#N/A</v>
      </c>
      <c r="BB497" s="63" t="e">
        <f>VLOOKUP(Data_Geotech[[#This Row],[Field Intact Rock Strength]],Table_FieldStrength[],4,FALSE)</f>
        <v>#N/A</v>
      </c>
      <c r="BC497" s="63" t="e">
        <f>100-Data_Geotech[[#This Row],[RMR76]]</f>
        <v>#VALUE!</v>
      </c>
      <c r="BD497" s="63" t="e">
        <f>LEFT(Data_Geotech[[#This Row],[Weathering/Alteration]],FIND("-",Data_Geotech[[#This Row],[Weathering/Alteration]])-2)</f>
        <v>#VALUE!</v>
      </c>
    </row>
    <row r="498" spans="1:56" hidden="1" x14ac:dyDescent="0.25">
      <c r="A498" s="14"/>
      <c r="B498" s="166" t="e">
        <f>VLOOKUP(Data_Geotech[[#This Row],[Hole ID]],Data_Log[],2,FALSE)</f>
        <v>#N/A</v>
      </c>
      <c r="C498" s="5"/>
      <c r="D498" s="5"/>
      <c r="E498" s="5">
        <f>(Data_Geotech[[#This Row],[To (m)]]-Data_Geotech[[#This Row],[From (m)]])/2+Data_Geotech[[#This Row],[From (m)]]</f>
        <v>0</v>
      </c>
      <c r="F498" s="13">
        <f>Data_Geotech[[#This Row],[To (m)]]-Data_Geotech[[#This Row],[From (m)]]</f>
        <v>0</v>
      </c>
      <c r="G498" s="5"/>
      <c r="H498" s="13" t="e">
        <f>Data_Geotech[[#This Row],[TCR (m)]]/Data_Geotech[[#This Row],[Run (m)]]*100</f>
        <v>#DIV/0!</v>
      </c>
      <c r="I498" s="5"/>
      <c r="J498" s="5"/>
      <c r="K498" s="5"/>
      <c r="L498" s="13" t="e">
        <f>Data_Geotech[[#This Row],[RQD (m)]]/Data_Geotech[[#This Row],[Run Reel (m)]]*100</f>
        <v>#DIV/0!</v>
      </c>
      <c r="P498" s="115"/>
      <c r="Q498" s="5"/>
      <c r="R498" s="5"/>
      <c r="S498" s="5"/>
      <c r="T498" s="5"/>
      <c r="U498" s="5"/>
      <c r="V498" s="6"/>
      <c r="W498" s="92">
        <f>SUMIFS(Discontinuities!$D$4:$D$9664,Discontinuities!$A$4:$A$9664,A498,Discontinuities!$C$4:$C$9664,"&gt;="&amp;C498,Discontinuities!$C$4:$C$9664,"&lt;"&amp;D498)
-SUMIFS(Discontinuities!$D$4:$D$9664,Discontinuities!$A$4:$A$9664,A498,Discontinuities!$C$4:$C$9664,"&gt;="&amp;C498,Discontinuities!$C$4:$C$9664,"&lt;"&amp;D498,Discontinuities!$E$4:$E$9664,"=BC")
-SUMIFS(Discontinuities!$D$4:$D$9664,Discontinuities!$A$4:$A$9664,A498,Discontinuities!$C$4:$C$9664,"&gt;="&amp;C498,Discontinuities!$C$4:$C$9664,"&lt;"&amp;D498,Discontinuities!$E$4:$E$9664,"=LC")
-SUMIFS(Discontinuities!$D$4:$D$9664,Discontinuities!$A$4:$A$9664,A498,Discontinuities!$C$4:$C$9664,"&gt;="&amp;C498,Discontinuities!$C$4:$C$9664,"&lt;"&amp;D498,Discontinuities!$E$4:$E$9664,"=FLT")</f>
        <v>0</v>
      </c>
      <c r="AA498" s="132"/>
      <c r="AB498" s="159">
        <f>IFERROR(ROUND((Data_Geotech[[#This Row],[Fault (m)]]+Data_Geotech[[#This Row],[Broken Core (m)]]+Data_Geotech[[#This Row],[Lost Core (m)]])*30,0),0)</f>
        <v>0</v>
      </c>
      <c r="AC498" s="135">
        <f>IF(Data_Geotech[[#This Row],[Added fractures 
(BC, FLT, LC)]]+Data_Geotech[[#This Row],[Fracture per interval]]=0,99,1/((Data_Geotech[[#This Row],[Fracture per interval]]+Data_Geotech[[#This Row],[Added fractures 
(BC, FLT, LC)]])/Data_Geotech[[#This Row],[Run (m)]]))</f>
        <v>99</v>
      </c>
      <c r="AD498" s="160" t="str" cm="1">
        <f t="array" ref="AD498">IFERROR(_xlfn.XLOOKUP(1,(A498=PLT!$A$4:$A$8886)*(Geotech!C498&lt;=PLT!$F$4:$F$8886)*(Geotech!D498&gt;=PLT!$F$4:$F$8886)*("Valid"=PLT!$P$4:$P$8886),PLT!$V$4:$V$8886),"")</f>
        <v/>
      </c>
      <c r="AE498" s="161" t="str" cm="1">
        <f t="array" ref="AE498">IFERROR(_xlfn.XLOOKUP(1,(A498=PLT!$A$4:$A$8886)*(Geotech!C498&lt;=PLT!$F$4:$F$8886)*(Geotech!D498&gt;=PLT!$F$4:$F$8886)*(PLT!$V$4:$V$8886&lt;&gt;AD498)*("Valid"=PLT!$P$4:$P$7190),PLT!$V$4:$V$8886),"")</f>
        <v/>
      </c>
      <c r="AF498" s="161" t="str" cm="1">
        <f t="array" ref="AF498">IFERROR(_xlfn.XLOOKUP(1,(A498=PLT!$A$4:$A$8886)*(Geotech!C498&lt;=PLT!$F$4:$F$8886)*(Geotech!D498&gt;=PLT!$F$4:$F$8886)*(PLT!$V$4:$V$8886&lt;&gt;AD498)*(PLT!$V$4:$V$8886&lt;&gt;AE498)*("Valid"=PLT!$P$4:$P$7190),PLT!$V$4:$V$8886),"")</f>
        <v/>
      </c>
      <c r="AG498" s="162" t="str">
        <f>IFERROR(IF(AVERAGE(AD498:AF498)&gt;References!$BO$23,References!$BP$23,
IF(AVERAGE(AD498:AF498)&gt;References!$BO$22,References!$BP$22,
IF(AVERAGE(AD498:AF498)&gt;References!$BO$21,References!$BP$21,
IF(AVERAGE(AD498:AF498)&gt;References!$BO$20,References!$BP$20,
IF(AVERAGE(AD498:AF498)&gt;References!$BO$19,References!$BP$19,
IF(AVERAGE(AD498:AF498)&gt;References!$BO$18,References!$BP$18,
0)))))),"")</f>
        <v/>
      </c>
      <c r="AH498" s="163" t="e">
        <f>VLOOKUP(Data_Geotech[[#This Row],[Field Intact Rock Strength]],Table_RMR76_Strength[],2,FALSE)</f>
        <v>#N/A</v>
      </c>
      <c r="AI498" s="163" t="e">
        <f>IF(Data_Geotech[[#This Row],[RQD (%)]]&lt;=25,3,IF(Data_Geotech[[#This Row],[RQD (%)]]&lt;=50,8,IF(Data_Geotech[[#This Row],[RQD (%)]]&lt;=75,13,IF(Data_Geotech[[#This Row],[RQD (%)]]&lt;=90,17,20))))</f>
        <v>#DIV/0!</v>
      </c>
      <c r="AJ498" s="136">
        <f>IF(Data_Geotech[[#This Row],[Joint spacing (m)]]&lt;=0.05,5,IF(Data_Geotech[[#This Row],[Joint spacing (m)]]&lt;=0.3,10,IF(Data_Geotech[[#This Row],[Joint spacing (m)]]&lt;=1,20,IF(Data_Geotech[[#This Row],[Joint spacing (m)]]&lt;=3,25,30))))</f>
        <v>30</v>
      </c>
      <c r="AK49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8" s="6"/>
      <c r="AM498" s="137" t="str">
        <f>IF(Data_Geotech[[#This Row],[FIRS Code]]="R",IFERROR(SUM(Data_Geotech[[#This Row],[RMR76 - Strength rating]:[RMR76 - Ground water rating]]),""),"")</f>
        <v/>
      </c>
      <c r="AN498" s="164" t="str">
        <f>IF(Data_Geotech[[#This Row],[FIRS Code]]="R",(2*Data_Geotech[[#This Row],[RMR76 - Joint condition rating]])+(IF(Data_Geotech[[#This Row],[RQD (%)]]&gt;80,80/2,Data_Geotech[[#This Row],[RQD (%)]]/2)),"")</f>
        <v/>
      </c>
      <c r="AO498" s="136" t="e">
        <f>LEFT(Data_Geotech[[#This Row],[Joint Set Rating]],FIND("-",Data_Geotech[[#This Row],[Joint Set Rating]],1)-2)</f>
        <v>#VALUE!</v>
      </c>
      <c r="AP49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8" s="143">
        <f t="shared" si="12"/>
        <v>1</v>
      </c>
      <c r="AR498" s="165" t="str">
        <f>IF(Data_Geotech[[#This Row],[FIRS Code]]="R",IFERROR((IF(Data_Geotech[[#This Row],[RQD (%)]]&lt;10,10,Data_Geotech[[#This Row],[RQD (%)]])/Data_Geotech[[#This Row],[Jn rating]])*Data_Geotech[[#This Row],[Jr/Ja]],""),"")</f>
        <v/>
      </c>
      <c r="AS498" s="138" t="str">
        <f>IF(Data_Geotech[[#This Row],[FIRS Code]]="R",IFERROR((IF(Data_Geotech[[#This Row],[RQD (%)]]&lt;10,10,Data_Geotech[[#This Row],[RQD (%)]])/Data_Geotech[[#This Row],[Jn rating]])*Data_Geotech[[#This Row],[Jr/Ja]]*Data_Geotech[[#This Row],[Jw/SRF]],""),"")</f>
        <v/>
      </c>
      <c r="AT498" s="12"/>
      <c r="AU498" s="13" t="e">
        <f>100-Data_Geotech[[#This Row],[RQD (%)]]</f>
        <v>#DIV/0!</v>
      </c>
      <c r="AV498" s="13" t="e">
        <f>100-Data_Geotech[[#This Row],[TCR (%)]]</f>
        <v>#DIV/0!</v>
      </c>
      <c r="AW498" s="62" t="e">
        <f>(Data_Geotech[[#This Row],[Fracture per interval]]+Data_Geotech[[#This Row],[Added fractures 
(BC, FLT, LC)]])/Data_Geotech[[#This Row],[TCR (m)]]</f>
        <v>#DIV/0!</v>
      </c>
      <c r="AX498" s="62" t="str">
        <f>MID(Data_Geotech[[#This Row],[Field Intact Rock Strength]],2,1)</f>
        <v/>
      </c>
      <c r="AY498" s="63" t="e">
        <f>7-MID(Data_Geotech[[#This Row],[Field Intact Rock Strength]],2,1)</f>
        <v>#VALUE!</v>
      </c>
      <c r="AZ498" s="63" t="e">
        <f>VLOOKUP(Data_Geotech[[#This Row],[Field Intact Rock Strength]],Table_FieldStrength[],2,FALSE)</f>
        <v>#N/A</v>
      </c>
      <c r="BA498" s="63" t="e">
        <f>VLOOKUP(Data_Geotech[[#This Row],[Field Intact Rock Strength]],Table_FieldStrength[],3,FALSE)</f>
        <v>#N/A</v>
      </c>
      <c r="BB498" s="63" t="e">
        <f>VLOOKUP(Data_Geotech[[#This Row],[Field Intact Rock Strength]],Table_FieldStrength[],4,FALSE)</f>
        <v>#N/A</v>
      </c>
      <c r="BC498" s="63" t="e">
        <f>100-Data_Geotech[[#This Row],[RMR76]]</f>
        <v>#VALUE!</v>
      </c>
      <c r="BD498" s="63" t="e">
        <f>LEFT(Data_Geotech[[#This Row],[Weathering/Alteration]],FIND("-",Data_Geotech[[#This Row],[Weathering/Alteration]])-2)</f>
        <v>#VALUE!</v>
      </c>
    </row>
    <row r="499" spans="1:56" hidden="1" x14ac:dyDescent="0.25">
      <c r="A499" s="14"/>
      <c r="B499" s="166" t="e">
        <f>VLOOKUP(Data_Geotech[[#This Row],[Hole ID]],Data_Log[],2,FALSE)</f>
        <v>#N/A</v>
      </c>
      <c r="C499" s="5"/>
      <c r="D499" s="5"/>
      <c r="E499" s="5">
        <f>(Data_Geotech[[#This Row],[To (m)]]-Data_Geotech[[#This Row],[From (m)]])/2+Data_Geotech[[#This Row],[From (m)]]</f>
        <v>0</v>
      </c>
      <c r="F499" s="13">
        <f>Data_Geotech[[#This Row],[To (m)]]-Data_Geotech[[#This Row],[From (m)]]</f>
        <v>0</v>
      </c>
      <c r="G499" s="5"/>
      <c r="H499" s="13" t="e">
        <f>Data_Geotech[[#This Row],[TCR (m)]]/Data_Geotech[[#This Row],[Run (m)]]*100</f>
        <v>#DIV/0!</v>
      </c>
      <c r="I499" s="5"/>
      <c r="J499" s="5"/>
      <c r="K499" s="5"/>
      <c r="L499" s="13" t="e">
        <f>Data_Geotech[[#This Row],[RQD (m)]]/Data_Geotech[[#This Row],[Run Reel (m)]]*100</f>
        <v>#DIV/0!</v>
      </c>
      <c r="P499" s="115"/>
      <c r="Q499" s="5"/>
      <c r="R499" s="5"/>
      <c r="S499" s="5"/>
      <c r="T499" s="5"/>
      <c r="U499" s="5"/>
      <c r="V499" s="6"/>
      <c r="W499" s="92">
        <f>SUMIFS(Discontinuities!$D$4:$D$9664,Discontinuities!$A$4:$A$9664,A499,Discontinuities!$C$4:$C$9664,"&gt;="&amp;C499,Discontinuities!$C$4:$C$9664,"&lt;"&amp;D499)
-SUMIFS(Discontinuities!$D$4:$D$9664,Discontinuities!$A$4:$A$9664,A499,Discontinuities!$C$4:$C$9664,"&gt;="&amp;C499,Discontinuities!$C$4:$C$9664,"&lt;"&amp;D499,Discontinuities!$E$4:$E$9664,"=BC")
-SUMIFS(Discontinuities!$D$4:$D$9664,Discontinuities!$A$4:$A$9664,A499,Discontinuities!$C$4:$C$9664,"&gt;="&amp;C499,Discontinuities!$C$4:$C$9664,"&lt;"&amp;D499,Discontinuities!$E$4:$E$9664,"=LC")
-SUMIFS(Discontinuities!$D$4:$D$9664,Discontinuities!$A$4:$A$9664,A499,Discontinuities!$C$4:$C$9664,"&gt;="&amp;C499,Discontinuities!$C$4:$C$9664,"&lt;"&amp;D499,Discontinuities!$E$4:$E$9664,"=FLT")</f>
        <v>0</v>
      </c>
      <c r="AA499" s="132"/>
      <c r="AB499" s="159">
        <f>IFERROR(ROUND((Data_Geotech[[#This Row],[Fault (m)]]+Data_Geotech[[#This Row],[Broken Core (m)]]+Data_Geotech[[#This Row],[Lost Core (m)]])*30,0),0)</f>
        <v>0</v>
      </c>
      <c r="AC499" s="135">
        <f>IF(Data_Geotech[[#This Row],[Added fractures 
(BC, FLT, LC)]]+Data_Geotech[[#This Row],[Fracture per interval]]=0,99,1/((Data_Geotech[[#This Row],[Fracture per interval]]+Data_Geotech[[#This Row],[Added fractures 
(BC, FLT, LC)]])/Data_Geotech[[#This Row],[Run (m)]]))</f>
        <v>99</v>
      </c>
      <c r="AD499" s="160" t="str" cm="1">
        <f t="array" ref="AD499">IFERROR(_xlfn.XLOOKUP(1,(A499=PLT!$A$4:$A$8886)*(Geotech!C499&lt;=PLT!$F$4:$F$8886)*(Geotech!D499&gt;=PLT!$F$4:$F$8886)*("Valid"=PLT!$P$4:$P$8886),PLT!$V$4:$V$8886),"")</f>
        <v/>
      </c>
      <c r="AE499" s="161" t="str" cm="1">
        <f t="array" ref="AE499">IFERROR(_xlfn.XLOOKUP(1,(A499=PLT!$A$4:$A$8886)*(Geotech!C499&lt;=PLT!$F$4:$F$8886)*(Geotech!D499&gt;=PLT!$F$4:$F$8886)*(PLT!$V$4:$V$8886&lt;&gt;AD499)*("Valid"=PLT!$P$4:$P$7190),PLT!$V$4:$V$8886),"")</f>
        <v/>
      </c>
      <c r="AF499" s="161" t="str" cm="1">
        <f t="array" ref="AF499">IFERROR(_xlfn.XLOOKUP(1,(A499=PLT!$A$4:$A$8886)*(Geotech!C499&lt;=PLT!$F$4:$F$8886)*(Geotech!D499&gt;=PLT!$F$4:$F$8886)*(PLT!$V$4:$V$8886&lt;&gt;AD499)*(PLT!$V$4:$V$8886&lt;&gt;AE499)*("Valid"=PLT!$P$4:$P$7190),PLT!$V$4:$V$8886),"")</f>
        <v/>
      </c>
      <c r="AG499" s="162" t="str">
        <f>IFERROR(IF(AVERAGE(AD499:AF499)&gt;References!$BO$23,References!$BP$23,
IF(AVERAGE(AD499:AF499)&gt;References!$BO$22,References!$BP$22,
IF(AVERAGE(AD499:AF499)&gt;References!$BO$21,References!$BP$21,
IF(AVERAGE(AD499:AF499)&gt;References!$BO$20,References!$BP$20,
IF(AVERAGE(AD499:AF499)&gt;References!$BO$19,References!$BP$19,
IF(AVERAGE(AD499:AF499)&gt;References!$BO$18,References!$BP$18,
0)))))),"")</f>
        <v/>
      </c>
      <c r="AH499" s="163" t="e">
        <f>VLOOKUP(Data_Geotech[[#This Row],[Field Intact Rock Strength]],Table_RMR76_Strength[],2,FALSE)</f>
        <v>#N/A</v>
      </c>
      <c r="AI499" s="163" t="e">
        <f>IF(Data_Geotech[[#This Row],[RQD (%)]]&lt;=25,3,IF(Data_Geotech[[#This Row],[RQD (%)]]&lt;=50,8,IF(Data_Geotech[[#This Row],[RQD (%)]]&lt;=75,13,IF(Data_Geotech[[#This Row],[RQD (%)]]&lt;=90,17,20))))</f>
        <v>#DIV/0!</v>
      </c>
      <c r="AJ499" s="136">
        <f>IF(Data_Geotech[[#This Row],[Joint spacing (m)]]&lt;=0.05,5,IF(Data_Geotech[[#This Row],[Joint spacing (m)]]&lt;=0.3,10,IF(Data_Geotech[[#This Row],[Joint spacing (m)]]&lt;=1,20,IF(Data_Geotech[[#This Row],[Joint spacing (m)]]&lt;=3,25,30))))</f>
        <v>30</v>
      </c>
      <c r="AK49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499" s="6"/>
      <c r="AM499" s="137" t="str">
        <f>IF(Data_Geotech[[#This Row],[FIRS Code]]="R",IFERROR(SUM(Data_Geotech[[#This Row],[RMR76 - Strength rating]:[RMR76 - Ground water rating]]),""),"")</f>
        <v/>
      </c>
      <c r="AN499" s="164" t="str">
        <f>IF(Data_Geotech[[#This Row],[FIRS Code]]="R",(2*Data_Geotech[[#This Row],[RMR76 - Joint condition rating]])+(IF(Data_Geotech[[#This Row],[RQD (%)]]&gt;80,80/2,Data_Geotech[[#This Row],[RQD (%)]]/2)),"")</f>
        <v/>
      </c>
      <c r="AO499" s="136" t="e">
        <f>LEFT(Data_Geotech[[#This Row],[Joint Set Rating]],FIND("-",Data_Geotech[[#This Row],[Joint Set Rating]],1)-2)</f>
        <v>#VALUE!</v>
      </c>
      <c r="AP49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499" s="143">
        <f t="shared" si="12"/>
        <v>1</v>
      </c>
      <c r="AR499" s="165" t="str">
        <f>IF(Data_Geotech[[#This Row],[FIRS Code]]="R",IFERROR((IF(Data_Geotech[[#This Row],[RQD (%)]]&lt;10,10,Data_Geotech[[#This Row],[RQD (%)]])/Data_Geotech[[#This Row],[Jn rating]])*Data_Geotech[[#This Row],[Jr/Ja]],""),"")</f>
        <v/>
      </c>
      <c r="AS499" s="138" t="str">
        <f>IF(Data_Geotech[[#This Row],[FIRS Code]]="R",IFERROR((IF(Data_Geotech[[#This Row],[RQD (%)]]&lt;10,10,Data_Geotech[[#This Row],[RQD (%)]])/Data_Geotech[[#This Row],[Jn rating]])*Data_Geotech[[#This Row],[Jr/Ja]]*Data_Geotech[[#This Row],[Jw/SRF]],""),"")</f>
        <v/>
      </c>
      <c r="AT499" s="12"/>
      <c r="AU499" s="13" t="e">
        <f>100-Data_Geotech[[#This Row],[RQD (%)]]</f>
        <v>#DIV/0!</v>
      </c>
      <c r="AV499" s="13" t="e">
        <f>100-Data_Geotech[[#This Row],[TCR (%)]]</f>
        <v>#DIV/0!</v>
      </c>
      <c r="AW499" s="62" t="e">
        <f>(Data_Geotech[[#This Row],[Fracture per interval]]+Data_Geotech[[#This Row],[Added fractures 
(BC, FLT, LC)]])/Data_Geotech[[#This Row],[TCR (m)]]</f>
        <v>#DIV/0!</v>
      </c>
      <c r="AX499" s="62" t="str">
        <f>MID(Data_Geotech[[#This Row],[Field Intact Rock Strength]],2,1)</f>
        <v/>
      </c>
      <c r="AY499" s="63" t="e">
        <f>7-MID(Data_Geotech[[#This Row],[Field Intact Rock Strength]],2,1)</f>
        <v>#VALUE!</v>
      </c>
      <c r="AZ499" s="63" t="e">
        <f>VLOOKUP(Data_Geotech[[#This Row],[Field Intact Rock Strength]],Table_FieldStrength[],2,FALSE)</f>
        <v>#N/A</v>
      </c>
      <c r="BA499" s="63" t="e">
        <f>VLOOKUP(Data_Geotech[[#This Row],[Field Intact Rock Strength]],Table_FieldStrength[],3,FALSE)</f>
        <v>#N/A</v>
      </c>
      <c r="BB499" s="63" t="e">
        <f>VLOOKUP(Data_Geotech[[#This Row],[Field Intact Rock Strength]],Table_FieldStrength[],4,FALSE)</f>
        <v>#N/A</v>
      </c>
      <c r="BC499" s="63" t="e">
        <f>100-Data_Geotech[[#This Row],[RMR76]]</f>
        <v>#VALUE!</v>
      </c>
      <c r="BD499" s="63" t="e">
        <f>LEFT(Data_Geotech[[#This Row],[Weathering/Alteration]],FIND("-",Data_Geotech[[#This Row],[Weathering/Alteration]])-2)</f>
        <v>#VALUE!</v>
      </c>
    </row>
    <row r="500" spans="1:56" hidden="1" x14ac:dyDescent="0.25">
      <c r="A500" s="14"/>
      <c r="B500" s="166" t="e">
        <f>VLOOKUP(Data_Geotech[[#This Row],[Hole ID]],Data_Log[],2,FALSE)</f>
        <v>#N/A</v>
      </c>
      <c r="C500" s="5"/>
      <c r="D500" s="5"/>
      <c r="E500" s="5">
        <f>(Data_Geotech[[#This Row],[To (m)]]-Data_Geotech[[#This Row],[From (m)]])/2+Data_Geotech[[#This Row],[From (m)]]</f>
        <v>0</v>
      </c>
      <c r="F500" s="13">
        <f>Data_Geotech[[#This Row],[To (m)]]-Data_Geotech[[#This Row],[From (m)]]</f>
        <v>0</v>
      </c>
      <c r="G500" s="5"/>
      <c r="H500" s="13" t="e">
        <f>Data_Geotech[[#This Row],[TCR (m)]]/Data_Geotech[[#This Row],[Run (m)]]*100</f>
        <v>#DIV/0!</v>
      </c>
      <c r="I500" s="5"/>
      <c r="J500" s="5"/>
      <c r="K500" s="5"/>
      <c r="L500" s="13" t="e">
        <f>Data_Geotech[[#This Row],[RQD (m)]]/Data_Geotech[[#This Row],[Run Reel (m)]]*100</f>
        <v>#DIV/0!</v>
      </c>
      <c r="P500" s="115"/>
      <c r="Q500" s="5"/>
      <c r="R500" s="5"/>
      <c r="S500" s="5"/>
      <c r="T500" s="5"/>
      <c r="U500" s="5"/>
      <c r="V500" s="6"/>
      <c r="W500" s="92">
        <f>SUMIFS(Discontinuities!$D$4:$D$9664,Discontinuities!$A$4:$A$9664,A500,Discontinuities!$C$4:$C$9664,"&gt;="&amp;C500,Discontinuities!$C$4:$C$9664,"&lt;"&amp;D500)
-SUMIFS(Discontinuities!$D$4:$D$9664,Discontinuities!$A$4:$A$9664,A500,Discontinuities!$C$4:$C$9664,"&gt;="&amp;C500,Discontinuities!$C$4:$C$9664,"&lt;"&amp;D500,Discontinuities!$E$4:$E$9664,"=BC")
-SUMIFS(Discontinuities!$D$4:$D$9664,Discontinuities!$A$4:$A$9664,A500,Discontinuities!$C$4:$C$9664,"&gt;="&amp;C500,Discontinuities!$C$4:$C$9664,"&lt;"&amp;D500,Discontinuities!$E$4:$E$9664,"=LC")
-SUMIFS(Discontinuities!$D$4:$D$9664,Discontinuities!$A$4:$A$9664,A500,Discontinuities!$C$4:$C$9664,"&gt;="&amp;C500,Discontinuities!$C$4:$C$9664,"&lt;"&amp;D500,Discontinuities!$E$4:$E$9664,"=FLT")</f>
        <v>0</v>
      </c>
      <c r="AA500" s="132"/>
      <c r="AB500" s="159">
        <f>IFERROR(ROUND((Data_Geotech[[#This Row],[Fault (m)]]+Data_Geotech[[#This Row],[Broken Core (m)]]+Data_Geotech[[#This Row],[Lost Core (m)]])*30,0),0)</f>
        <v>0</v>
      </c>
      <c r="AC500" s="135">
        <f>IF(Data_Geotech[[#This Row],[Added fractures 
(BC, FLT, LC)]]+Data_Geotech[[#This Row],[Fracture per interval]]=0,99,1/((Data_Geotech[[#This Row],[Fracture per interval]]+Data_Geotech[[#This Row],[Added fractures 
(BC, FLT, LC)]])/Data_Geotech[[#This Row],[Run (m)]]))</f>
        <v>99</v>
      </c>
      <c r="AD500" s="160" t="str" cm="1">
        <f t="array" ref="AD500">IFERROR(_xlfn.XLOOKUP(1,(A500=PLT!$A$4:$A$8886)*(Geotech!C500&lt;=PLT!$F$4:$F$8886)*(Geotech!D500&gt;=PLT!$F$4:$F$8886)*("Valid"=PLT!$P$4:$P$8886),PLT!$V$4:$V$8886),"")</f>
        <v/>
      </c>
      <c r="AE500" s="161" t="str" cm="1">
        <f t="array" ref="AE500">IFERROR(_xlfn.XLOOKUP(1,(A500=PLT!$A$4:$A$8886)*(Geotech!C500&lt;=PLT!$F$4:$F$8886)*(Geotech!D500&gt;=PLT!$F$4:$F$8886)*(PLT!$V$4:$V$8886&lt;&gt;AD500)*("Valid"=PLT!$P$4:$P$7190),PLT!$V$4:$V$8886),"")</f>
        <v/>
      </c>
      <c r="AF500" s="161" t="str" cm="1">
        <f t="array" ref="AF500">IFERROR(_xlfn.XLOOKUP(1,(A500=PLT!$A$4:$A$8886)*(Geotech!C500&lt;=PLT!$F$4:$F$8886)*(Geotech!D500&gt;=PLT!$F$4:$F$8886)*(PLT!$V$4:$V$8886&lt;&gt;AD500)*(PLT!$V$4:$V$8886&lt;&gt;AE500)*("Valid"=PLT!$P$4:$P$7190),PLT!$V$4:$V$8886),"")</f>
        <v/>
      </c>
      <c r="AG500" s="162" t="str">
        <f>IFERROR(IF(AVERAGE(AD500:AF500)&gt;References!$BO$23,References!$BP$23,
IF(AVERAGE(AD500:AF500)&gt;References!$BO$22,References!$BP$22,
IF(AVERAGE(AD500:AF500)&gt;References!$BO$21,References!$BP$21,
IF(AVERAGE(AD500:AF500)&gt;References!$BO$20,References!$BP$20,
IF(AVERAGE(AD500:AF500)&gt;References!$BO$19,References!$BP$19,
IF(AVERAGE(AD500:AF500)&gt;References!$BO$18,References!$BP$18,
0)))))),"")</f>
        <v/>
      </c>
      <c r="AH500" s="163" t="e">
        <f>VLOOKUP(Data_Geotech[[#This Row],[Field Intact Rock Strength]],Table_RMR76_Strength[],2,FALSE)</f>
        <v>#N/A</v>
      </c>
      <c r="AI500" s="163" t="e">
        <f>IF(Data_Geotech[[#This Row],[RQD (%)]]&lt;=25,3,IF(Data_Geotech[[#This Row],[RQD (%)]]&lt;=50,8,IF(Data_Geotech[[#This Row],[RQD (%)]]&lt;=75,13,IF(Data_Geotech[[#This Row],[RQD (%)]]&lt;=90,17,20))))</f>
        <v>#DIV/0!</v>
      </c>
      <c r="AJ500" s="136">
        <f>IF(Data_Geotech[[#This Row],[Joint spacing (m)]]&lt;=0.05,5,IF(Data_Geotech[[#This Row],[Joint spacing (m)]]&lt;=0.3,10,IF(Data_Geotech[[#This Row],[Joint spacing (m)]]&lt;=1,20,IF(Data_Geotech[[#This Row],[Joint spacing (m)]]&lt;=3,25,30))))</f>
        <v>30</v>
      </c>
      <c r="AK50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0" s="6"/>
      <c r="AM500" s="137" t="str">
        <f>IF(Data_Geotech[[#This Row],[FIRS Code]]="R",IFERROR(SUM(Data_Geotech[[#This Row],[RMR76 - Strength rating]:[RMR76 - Ground water rating]]),""),"")</f>
        <v/>
      </c>
      <c r="AN500" s="164" t="str">
        <f>IF(Data_Geotech[[#This Row],[FIRS Code]]="R",(2*Data_Geotech[[#This Row],[RMR76 - Joint condition rating]])+(IF(Data_Geotech[[#This Row],[RQD (%)]]&gt;80,80/2,Data_Geotech[[#This Row],[RQD (%)]]/2)),"")</f>
        <v/>
      </c>
      <c r="AO500" s="136" t="e">
        <f>LEFT(Data_Geotech[[#This Row],[Joint Set Rating]],FIND("-",Data_Geotech[[#This Row],[Joint Set Rating]],1)-2)</f>
        <v>#VALUE!</v>
      </c>
      <c r="AP50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0" s="143">
        <f t="shared" si="12"/>
        <v>1</v>
      </c>
      <c r="AR500" s="165" t="str">
        <f>IF(Data_Geotech[[#This Row],[FIRS Code]]="R",IFERROR((IF(Data_Geotech[[#This Row],[RQD (%)]]&lt;10,10,Data_Geotech[[#This Row],[RQD (%)]])/Data_Geotech[[#This Row],[Jn rating]])*Data_Geotech[[#This Row],[Jr/Ja]],""),"")</f>
        <v/>
      </c>
      <c r="AS500" s="138" t="str">
        <f>IF(Data_Geotech[[#This Row],[FIRS Code]]="R",IFERROR((IF(Data_Geotech[[#This Row],[RQD (%)]]&lt;10,10,Data_Geotech[[#This Row],[RQD (%)]])/Data_Geotech[[#This Row],[Jn rating]])*Data_Geotech[[#This Row],[Jr/Ja]]*Data_Geotech[[#This Row],[Jw/SRF]],""),"")</f>
        <v/>
      </c>
      <c r="AT500" s="12"/>
      <c r="AU500" s="13" t="e">
        <f>100-Data_Geotech[[#This Row],[RQD (%)]]</f>
        <v>#DIV/0!</v>
      </c>
      <c r="AV500" s="13" t="e">
        <f>100-Data_Geotech[[#This Row],[TCR (%)]]</f>
        <v>#DIV/0!</v>
      </c>
      <c r="AW500" s="62" t="e">
        <f>(Data_Geotech[[#This Row],[Fracture per interval]]+Data_Geotech[[#This Row],[Added fractures 
(BC, FLT, LC)]])/Data_Geotech[[#This Row],[TCR (m)]]</f>
        <v>#DIV/0!</v>
      </c>
      <c r="AX500" s="62" t="str">
        <f>MID(Data_Geotech[[#This Row],[Field Intact Rock Strength]],2,1)</f>
        <v/>
      </c>
      <c r="AY500" s="63" t="e">
        <f>7-MID(Data_Geotech[[#This Row],[Field Intact Rock Strength]],2,1)</f>
        <v>#VALUE!</v>
      </c>
      <c r="AZ500" s="63" t="e">
        <f>VLOOKUP(Data_Geotech[[#This Row],[Field Intact Rock Strength]],Table_FieldStrength[],2,FALSE)</f>
        <v>#N/A</v>
      </c>
      <c r="BA500" s="63" t="e">
        <f>VLOOKUP(Data_Geotech[[#This Row],[Field Intact Rock Strength]],Table_FieldStrength[],3,FALSE)</f>
        <v>#N/A</v>
      </c>
      <c r="BB500" s="63" t="e">
        <f>VLOOKUP(Data_Geotech[[#This Row],[Field Intact Rock Strength]],Table_FieldStrength[],4,FALSE)</f>
        <v>#N/A</v>
      </c>
      <c r="BC500" s="63" t="e">
        <f>100-Data_Geotech[[#This Row],[RMR76]]</f>
        <v>#VALUE!</v>
      </c>
      <c r="BD500" s="63" t="e">
        <f>LEFT(Data_Geotech[[#This Row],[Weathering/Alteration]],FIND("-",Data_Geotech[[#This Row],[Weathering/Alteration]])-2)</f>
        <v>#VALUE!</v>
      </c>
    </row>
    <row r="501" spans="1:56" hidden="1" x14ac:dyDescent="0.25">
      <c r="A501" s="14"/>
      <c r="B501" s="166" t="e">
        <f>VLOOKUP(Data_Geotech[[#This Row],[Hole ID]],Data_Log[],2,FALSE)</f>
        <v>#N/A</v>
      </c>
      <c r="C501" s="5"/>
      <c r="D501" s="5"/>
      <c r="E501" s="5">
        <f>(Data_Geotech[[#This Row],[To (m)]]-Data_Geotech[[#This Row],[From (m)]])/2+Data_Geotech[[#This Row],[From (m)]]</f>
        <v>0</v>
      </c>
      <c r="F501" s="13">
        <f>Data_Geotech[[#This Row],[To (m)]]-Data_Geotech[[#This Row],[From (m)]]</f>
        <v>0</v>
      </c>
      <c r="G501" s="5"/>
      <c r="H501" s="13" t="e">
        <f>Data_Geotech[[#This Row],[TCR (m)]]/Data_Geotech[[#This Row],[Run (m)]]*100</f>
        <v>#DIV/0!</v>
      </c>
      <c r="I501" s="5"/>
      <c r="J501" s="5"/>
      <c r="K501" s="5"/>
      <c r="L501" s="13" t="e">
        <f>Data_Geotech[[#This Row],[RQD (m)]]/Data_Geotech[[#This Row],[Run Reel (m)]]*100</f>
        <v>#DIV/0!</v>
      </c>
      <c r="P501" s="115"/>
      <c r="Q501" s="5"/>
      <c r="R501" s="5"/>
      <c r="S501" s="5"/>
      <c r="T501" s="5"/>
      <c r="U501" s="5"/>
      <c r="V501" s="6"/>
      <c r="W501" s="92">
        <f>SUMIFS(Discontinuities!$D$4:$D$9664,Discontinuities!$A$4:$A$9664,A501,Discontinuities!$C$4:$C$9664,"&gt;="&amp;C501,Discontinuities!$C$4:$C$9664,"&lt;"&amp;D501)
-SUMIFS(Discontinuities!$D$4:$D$9664,Discontinuities!$A$4:$A$9664,A501,Discontinuities!$C$4:$C$9664,"&gt;="&amp;C501,Discontinuities!$C$4:$C$9664,"&lt;"&amp;D501,Discontinuities!$E$4:$E$9664,"=BC")
-SUMIFS(Discontinuities!$D$4:$D$9664,Discontinuities!$A$4:$A$9664,A501,Discontinuities!$C$4:$C$9664,"&gt;="&amp;C501,Discontinuities!$C$4:$C$9664,"&lt;"&amp;D501,Discontinuities!$E$4:$E$9664,"=LC")
-SUMIFS(Discontinuities!$D$4:$D$9664,Discontinuities!$A$4:$A$9664,A501,Discontinuities!$C$4:$C$9664,"&gt;="&amp;C501,Discontinuities!$C$4:$C$9664,"&lt;"&amp;D501,Discontinuities!$E$4:$E$9664,"=FLT")</f>
        <v>0</v>
      </c>
      <c r="AA501" s="132"/>
      <c r="AB501" s="159">
        <f>IFERROR(ROUND((Data_Geotech[[#This Row],[Fault (m)]]+Data_Geotech[[#This Row],[Broken Core (m)]]+Data_Geotech[[#This Row],[Lost Core (m)]])*30,0),0)</f>
        <v>0</v>
      </c>
      <c r="AC501" s="135">
        <f>IF(Data_Geotech[[#This Row],[Added fractures 
(BC, FLT, LC)]]+Data_Geotech[[#This Row],[Fracture per interval]]=0,99,1/((Data_Geotech[[#This Row],[Fracture per interval]]+Data_Geotech[[#This Row],[Added fractures 
(BC, FLT, LC)]])/Data_Geotech[[#This Row],[Run (m)]]))</f>
        <v>99</v>
      </c>
      <c r="AD501" s="160" t="str" cm="1">
        <f t="array" ref="AD501">IFERROR(_xlfn.XLOOKUP(1,(A501=PLT!$A$4:$A$8886)*(Geotech!C501&lt;=PLT!$F$4:$F$8886)*(Geotech!D501&gt;=PLT!$F$4:$F$8886)*("Valid"=PLT!$P$4:$P$8886),PLT!$V$4:$V$8886),"")</f>
        <v/>
      </c>
      <c r="AE501" s="161" t="str" cm="1">
        <f t="array" ref="AE501">IFERROR(_xlfn.XLOOKUP(1,(A501=PLT!$A$4:$A$8886)*(Geotech!C501&lt;=PLT!$F$4:$F$8886)*(Geotech!D501&gt;=PLT!$F$4:$F$8886)*(PLT!$V$4:$V$8886&lt;&gt;AD501)*("Valid"=PLT!$P$4:$P$7190),PLT!$V$4:$V$8886),"")</f>
        <v/>
      </c>
      <c r="AF501" s="161" t="str" cm="1">
        <f t="array" ref="AF501">IFERROR(_xlfn.XLOOKUP(1,(A501=PLT!$A$4:$A$8886)*(Geotech!C501&lt;=PLT!$F$4:$F$8886)*(Geotech!D501&gt;=PLT!$F$4:$F$8886)*(PLT!$V$4:$V$8886&lt;&gt;AD501)*(PLT!$V$4:$V$8886&lt;&gt;AE501)*("Valid"=PLT!$P$4:$P$7190),PLT!$V$4:$V$8886),"")</f>
        <v/>
      </c>
      <c r="AG501" s="162" t="str">
        <f>IFERROR(IF(AVERAGE(AD501:AF501)&gt;References!$BO$23,References!$BP$23,
IF(AVERAGE(AD501:AF501)&gt;References!$BO$22,References!$BP$22,
IF(AVERAGE(AD501:AF501)&gt;References!$BO$21,References!$BP$21,
IF(AVERAGE(AD501:AF501)&gt;References!$BO$20,References!$BP$20,
IF(AVERAGE(AD501:AF501)&gt;References!$BO$19,References!$BP$19,
IF(AVERAGE(AD501:AF501)&gt;References!$BO$18,References!$BP$18,
0)))))),"")</f>
        <v/>
      </c>
      <c r="AH501" s="163" t="e">
        <f>VLOOKUP(Data_Geotech[[#This Row],[Field Intact Rock Strength]],Table_RMR76_Strength[],2,FALSE)</f>
        <v>#N/A</v>
      </c>
      <c r="AI501" s="163" t="e">
        <f>IF(Data_Geotech[[#This Row],[RQD (%)]]&lt;=25,3,IF(Data_Geotech[[#This Row],[RQD (%)]]&lt;=50,8,IF(Data_Geotech[[#This Row],[RQD (%)]]&lt;=75,13,IF(Data_Geotech[[#This Row],[RQD (%)]]&lt;=90,17,20))))</f>
        <v>#DIV/0!</v>
      </c>
      <c r="AJ501" s="136">
        <f>IF(Data_Geotech[[#This Row],[Joint spacing (m)]]&lt;=0.05,5,IF(Data_Geotech[[#This Row],[Joint spacing (m)]]&lt;=0.3,10,IF(Data_Geotech[[#This Row],[Joint spacing (m)]]&lt;=1,20,IF(Data_Geotech[[#This Row],[Joint spacing (m)]]&lt;=3,25,30))))</f>
        <v>30</v>
      </c>
      <c r="AK50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1" s="6"/>
      <c r="AM501" s="137" t="str">
        <f>IF(Data_Geotech[[#This Row],[FIRS Code]]="R",IFERROR(SUM(Data_Geotech[[#This Row],[RMR76 - Strength rating]:[RMR76 - Ground water rating]]),""),"")</f>
        <v/>
      </c>
      <c r="AN501" s="164" t="str">
        <f>IF(Data_Geotech[[#This Row],[FIRS Code]]="R",(2*Data_Geotech[[#This Row],[RMR76 - Joint condition rating]])+(IF(Data_Geotech[[#This Row],[RQD (%)]]&gt;80,80/2,Data_Geotech[[#This Row],[RQD (%)]]/2)),"")</f>
        <v/>
      </c>
      <c r="AO501" s="136" t="e">
        <f>LEFT(Data_Geotech[[#This Row],[Joint Set Rating]],FIND("-",Data_Geotech[[#This Row],[Joint Set Rating]],1)-2)</f>
        <v>#VALUE!</v>
      </c>
      <c r="AP50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1" s="143">
        <f t="shared" si="12"/>
        <v>1</v>
      </c>
      <c r="AR501" s="165" t="str">
        <f>IF(Data_Geotech[[#This Row],[FIRS Code]]="R",IFERROR((IF(Data_Geotech[[#This Row],[RQD (%)]]&lt;10,10,Data_Geotech[[#This Row],[RQD (%)]])/Data_Geotech[[#This Row],[Jn rating]])*Data_Geotech[[#This Row],[Jr/Ja]],""),"")</f>
        <v/>
      </c>
      <c r="AS501" s="138" t="str">
        <f>IF(Data_Geotech[[#This Row],[FIRS Code]]="R",IFERROR((IF(Data_Geotech[[#This Row],[RQD (%)]]&lt;10,10,Data_Geotech[[#This Row],[RQD (%)]])/Data_Geotech[[#This Row],[Jn rating]])*Data_Geotech[[#This Row],[Jr/Ja]]*Data_Geotech[[#This Row],[Jw/SRF]],""),"")</f>
        <v/>
      </c>
      <c r="AT501" s="12"/>
      <c r="AU501" s="13" t="e">
        <f>100-Data_Geotech[[#This Row],[RQD (%)]]</f>
        <v>#DIV/0!</v>
      </c>
      <c r="AV501" s="13" t="e">
        <f>100-Data_Geotech[[#This Row],[TCR (%)]]</f>
        <v>#DIV/0!</v>
      </c>
      <c r="AW501" s="62" t="e">
        <f>(Data_Geotech[[#This Row],[Fracture per interval]]+Data_Geotech[[#This Row],[Added fractures 
(BC, FLT, LC)]])/Data_Geotech[[#This Row],[TCR (m)]]</f>
        <v>#DIV/0!</v>
      </c>
      <c r="AX501" s="62" t="str">
        <f>MID(Data_Geotech[[#This Row],[Field Intact Rock Strength]],2,1)</f>
        <v/>
      </c>
      <c r="AY501" s="63" t="e">
        <f>7-MID(Data_Geotech[[#This Row],[Field Intact Rock Strength]],2,1)</f>
        <v>#VALUE!</v>
      </c>
      <c r="AZ501" s="63" t="e">
        <f>VLOOKUP(Data_Geotech[[#This Row],[Field Intact Rock Strength]],Table_FieldStrength[],2,FALSE)</f>
        <v>#N/A</v>
      </c>
      <c r="BA501" s="63" t="e">
        <f>VLOOKUP(Data_Geotech[[#This Row],[Field Intact Rock Strength]],Table_FieldStrength[],3,FALSE)</f>
        <v>#N/A</v>
      </c>
      <c r="BB501" s="63" t="e">
        <f>VLOOKUP(Data_Geotech[[#This Row],[Field Intact Rock Strength]],Table_FieldStrength[],4,FALSE)</f>
        <v>#N/A</v>
      </c>
      <c r="BC501" s="63" t="e">
        <f>100-Data_Geotech[[#This Row],[RMR76]]</f>
        <v>#VALUE!</v>
      </c>
      <c r="BD501" s="63" t="e">
        <f>LEFT(Data_Geotech[[#This Row],[Weathering/Alteration]],FIND("-",Data_Geotech[[#This Row],[Weathering/Alteration]])-2)</f>
        <v>#VALUE!</v>
      </c>
    </row>
    <row r="502" spans="1:56" hidden="1" x14ac:dyDescent="0.25">
      <c r="A502" s="14"/>
      <c r="B502" s="166" t="e">
        <f>VLOOKUP(Data_Geotech[[#This Row],[Hole ID]],Data_Log[],2,FALSE)</f>
        <v>#N/A</v>
      </c>
      <c r="C502" s="5"/>
      <c r="D502" s="5"/>
      <c r="E502" s="5">
        <f>(Data_Geotech[[#This Row],[To (m)]]-Data_Geotech[[#This Row],[From (m)]])/2+Data_Geotech[[#This Row],[From (m)]]</f>
        <v>0</v>
      </c>
      <c r="F502" s="13">
        <f>Data_Geotech[[#This Row],[To (m)]]-Data_Geotech[[#This Row],[From (m)]]</f>
        <v>0</v>
      </c>
      <c r="G502" s="5"/>
      <c r="H502" s="13" t="e">
        <f>Data_Geotech[[#This Row],[TCR (m)]]/Data_Geotech[[#This Row],[Run (m)]]*100</f>
        <v>#DIV/0!</v>
      </c>
      <c r="I502" s="5"/>
      <c r="J502" s="5"/>
      <c r="K502" s="5"/>
      <c r="L502" s="13" t="e">
        <f>Data_Geotech[[#This Row],[RQD (m)]]/Data_Geotech[[#This Row],[Run Reel (m)]]*100</f>
        <v>#DIV/0!</v>
      </c>
      <c r="P502" s="115"/>
      <c r="Q502" s="5"/>
      <c r="R502" s="5"/>
      <c r="S502" s="5"/>
      <c r="T502" s="5"/>
      <c r="U502" s="5"/>
      <c r="V502" s="6"/>
      <c r="W502" s="92">
        <f>SUMIFS(Discontinuities!$D$4:$D$9664,Discontinuities!$A$4:$A$9664,A502,Discontinuities!$C$4:$C$9664,"&gt;="&amp;C502,Discontinuities!$C$4:$C$9664,"&lt;"&amp;D502)
-SUMIFS(Discontinuities!$D$4:$D$9664,Discontinuities!$A$4:$A$9664,A502,Discontinuities!$C$4:$C$9664,"&gt;="&amp;C502,Discontinuities!$C$4:$C$9664,"&lt;"&amp;D502,Discontinuities!$E$4:$E$9664,"=BC")
-SUMIFS(Discontinuities!$D$4:$D$9664,Discontinuities!$A$4:$A$9664,A502,Discontinuities!$C$4:$C$9664,"&gt;="&amp;C502,Discontinuities!$C$4:$C$9664,"&lt;"&amp;D502,Discontinuities!$E$4:$E$9664,"=LC")
-SUMIFS(Discontinuities!$D$4:$D$9664,Discontinuities!$A$4:$A$9664,A502,Discontinuities!$C$4:$C$9664,"&gt;="&amp;C502,Discontinuities!$C$4:$C$9664,"&lt;"&amp;D502,Discontinuities!$E$4:$E$9664,"=FLT")</f>
        <v>0</v>
      </c>
      <c r="AA502" s="132"/>
      <c r="AB502" s="159">
        <f>IFERROR(ROUND((Data_Geotech[[#This Row],[Fault (m)]]+Data_Geotech[[#This Row],[Broken Core (m)]]+Data_Geotech[[#This Row],[Lost Core (m)]])*30,0),0)</f>
        <v>0</v>
      </c>
      <c r="AC502" s="135">
        <f>IF(Data_Geotech[[#This Row],[Added fractures 
(BC, FLT, LC)]]+Data_Geotech[[#This Row],[Fracture per interval]]=0,99,1/((Data_Geotech[[#This Row],[Fracture per interval]]+Data_Geotech[[#This Row],[Added fractures 
(BC, FLT, LC)]])/Data_Geotech[[#This Row],[Run (m)]]))</f>
        <v>99</v>
      </c>
      <c r="AD502" s="160" t="str" cm="1">
        <f t="array" ref="AD502">IFERROR(_xlfn.XLOOKUP(1,(A502=PLT!$A$4:$A$8886)*(Geotech!C502&lt;=PLT!$F$4:$F$8886)*(Geotech!D502&gt;=PLT!$F$4:$F$8886)*("Valid"=PLT!$P$4:$P$8886),PLT!$V$4:$V$8886),"")</f>
        <v/>
      </c>
      <c r="AE502" s="161" t="str" cm="1">
        <f t="array" ref="AE502">IFERROR(_xlfn.XLOOKUP(1,(A502=PLT!$A$4:$A$8886)*(Geotech!C502&lt;=PLT!$F$4:$F$8886)*(Geotech!D502&gt;=PLT!$F$4:$F$8886)*(PLT!$V$4:$V$8886&lt;&gt;AD502)*("Valid"=PLT!$P$4:$P$7190),PLT!$V$4:$V$8886),"")</f>
        <v/>
      </c>
      <c r="AF502" s="161" t="str" cm="1">
        <f t="array" ref="AF502">IFERROR(_xlfn.XLOOKUP(1,(A502=PLT!$A$4:$A$8886)*(Geotech!C502&lt;=PLT!$F$4:$F$8886)*(Geotech!D502&gt;=PLT!$F$4:$F$8886)*(PLT!$V$4:$V$8886&lt;&gt;AD502)*(PLT!$V$4:$V$8886&lt;&gt;AE502)*("Valid"=PLT!$P$4:$P$7190),PLT!$V$4:$V$8886),"")</f>
        <v/>
      </c>
      <c r="AG502" s="162" t="str">
        <f>IFERROR(IF(AVERAGE(AD502:AF502)&gt;References!$BO$23,References!$BP$23,
IF(AVERAGE(AD502:AF502)&gt;References!$BO$22,References!$BP$22,
IF(AVERAGE(AD502:AF502)&gt;References!$BO$21,References!$BP$21,
IF(AVERAGE(AD502:AF502)&gt;References!$BO$20,References!$BP$20,
IF(AVERAGE(AD502:AF502)&gt;References!$BO$19,References!$BP$19,
IF(AVERAGE(AD502:AF502)&gt;References!$BO$18,References!$BP$18,
0)))))),"")</f>
        <v/>
      </c>
      <c r="AH502" s="163" t="e">
        <f>VLOOKUP(Data_Geotech[[#This Row],[Field Intact Rock Strength]],Table_RMR76_Strength[],2,FALSE)</f>
        <v>#N/A</v>
      </c>
      <c r="AI502" s="163" t="e">
        <f>IF(Data_Geotech[[#This Row],[RQD (%)]]&lt;=25,3,IF(Data_Geotech[[#This Row],[RQD (%)]]&lt;=50,8,IF(Data_Geotech[[#This Row],[RQD (%)]]&lt;=75,13,IF(Data_Geotech[[#This Row],[RQD (%)]]&lt;=90,17,20))))</f>
        <v>#DIV/0!</v>
      </c>
      <c r="AJ502" s="136">
        <f>IF(Data_Geotech[[#This Row],[Joint spacing (m)]]&lt;=0.05,5,IF(Data_Geotech[[#This Row],[Joint spacing (m)]]&lt;=0.3,10,IF(Data_Geotech[[#This Row],[Joint spacing (m)]]&lt;=1,20,IF(Data_Geotech[[#This Row],[Joint spacing (m)]]&lt;=3,25,30))))</f>
        <v>30</v>
      </c>
      <c r="AK50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2" s="6"/>
      <c r="AM502" s="137" t="str">
        <f>IF(Data_Geotech[[#This Row],[FIRS Code]]="R",IFERROR(SUM(Data_Geotech[[#This Row],[RMR76 - Strength rating]:[RMR76 - Ground water rating]]),""),"")</f>
        <v/>
      </c>
      <c r="AN502" s="164" t="str">
        <f>IF(Data_Geotech[[#This Row],[FIRS Code]]="R",(2*Data_Geotech[[#This Row],[RMR76 - Joint condition rating]])+(IF(Data_Geotech[[#This Row],[RQD (%)]]&gt;80,80/2,Data_Geotech[[#This Row],[RQD (%)]]/2)),"")</f>
        <v/>
      </c>
      <c r="AO502" s="136" t="e">
        <f>LEFT(Data_Geotech[[#This Row],[Joint Set Rating]],FIND("-",Data_Geotech[[#This Row],[Joint Set Rating]],1)-2)</f>
        <v>#VALUE!</v>
      </c>
      <c r="AP50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2" s="143">
        <f t="shared" si="12"/>
        <v>1</v>
      </c>
      <c r="AR502" s="165" t="str">
        <f>IF(Data_Geotech[[#This Row],[FIRS Code]]="R",IFERROR((IF(Data_Geotech[[#This Row],[RQD (%)]]&lt;10,10,Data_Geotech[[#This Row],[RQD (%)]])/Data_Geotech[[#This Row],[Jn rating]])*Data_Geotech[[#This Row],[Jr/Ja]],""),"")</f>
        <v/>
      </c>
      <c r="AS502" s="138" t="str">
        <f>IF(Data_Geotech[[#This Row],[FIRS Code]]="R",IFERROR((IF(Data_Geotech[[#This Row],[RQD (%)]]&lt;10,10,Data_Geotech[[#This Row],[RQD (%)]])/Data_Geotech[[#This Row],[Jn rating]])*Data_Geotech[[#This Row],[Jr/Ja]]*Data_Geotech[[#This Row],[Jw/SRF]],""),"")</f>
        <v/>
      </c>
      <c r="AT502" s="12"/>
      <c r="AU502" s="13" t="e">
        <f>100-Data_Geotech[[#This Row],[RQD (%)]]</f>
        <v>#DIV/0!</v>
      </c>
      <c r="AV502" s="13" t="e">
        <f>100-Data_Geotech[[#This Row],[TCR (%)]]</f>
        <v>#DIV/0!</v>
      </c>
      <c r="AW502" s="62" t="e">
        <f>(Data_Geotech[[#This Row],[Fracture per interval]]+Data_Geotech[[#This Row],[Added fractures 
(BC, FLT, LC)]])/Data_Geotech[[#This Row],[TCR (m)]]</f>
        <v>#DIV/0!</v>
      </c>
      <c r="AX502" s="62" t="str">
        <f>MID(Data_Geotech[[#This Row],[Field Intact Rock Strength]],2,1)</f>
        <v/>
      </c>
      <c r="AY502" s="63" t="e">
        <f>7-MID(Data_Geotech[[#This Row],[Field Intact Rock Strength]],2,1)</f>
        <v>#VALUE!</v>
      </c>
      <c r="AZ502" s="63" t="e">
        <f>VLOOKUP(Data_Geotech[[#This Row],[Field Intact Rock Strength]],Table_FieldStrength[],2,FALSE)</f>
        <v>#N/A</v>
      </c>
      <c r="BA502" s="63" t="e">
        <f>VLOOKUP(Data_Geotech[[#This Row],[Field Intact Rock Strength]],Table_FieldStrength[],3,FALSE)</f>
        <v>#N/A</v>
      </c>
      <c r="BB502" s="63" t="e">
        <f>VLOOKUP(Data_Geotech[[#This Row],[Field Intact Rock Strength]],Table_FieldStrength[],4,FALSE)</f>
        <v>#N/A</v>
      </c>
      <c r="BC502" s="63" t="e">
        <f>100-Data_Geotech[[#This Row],[RMR76]]</f>
        <v>#VALUE!</v>
      </c>
      <c r="BD502" s="63" t="e">
        <f>LEFT(Data_Geotech[[#This Row],[Weathering/Alteration]],FIND("-",Data_Geotech[[#This Row],[Weathering/Alteration]])-2)</f>
        <v>#VALUE!</v>
      </c>
    </row>
    <row r="503" spans="1:56" hidden="1" x14ac:dyDescent="0.25">
      <c r="A503" s="14"/>
      <c r="B503" s="166" t="e">
        <f>VLOOKUP(Data_Geotech[[#This Row],[Hole ID]],Data_Log[],2,FALSE)</f>
        <v>#N/A</v>
      </c>
      <c r="C503" s="5"/>
      <c r="D503" s="5"/>
      <c r="E503" s="5">
        <f>(Data_Geotech[[#This Row],[To (m)]]-Data_Geotech[[#This Row],[From (m)]])/2+Data_Geotech[[#This Row],[From (m)]]</f>
        <v>0</v>
      </c>
      <c r="F503" s="13">
        <f>Data_Geotech[[#This Row],[To (m)]]-Data_Geotech[[#This Row],[From (m)]]</f>
        <v>0</v>
      </c>
      <c r="G503" s="5"/>
      <c r="H503" s="13" t="e">
        <f>Data_Geotech[[#This Row],[TCR (m)]]/Data_Geotech[[#This Row],[Run (m)]]*100</f>
        <v>#DIV/0!</v>
      </c>
      <c r="I503" s="5"/>
      <c r="J503" s="5"/>
      <c r="K503" s="5"/>
      <c r="L503" s="13" t="e">
        <f>Data_Geotech[[#This Row],[RQD (m)]]/Data_Geotech[[#This Row],[Run Reel (m)]]*100</f>
        <v>#DIV/0!</v>
      </c>
      <c r="P503" s="115"/>
      <c r="Q503" s="5"/>
      <c r="R503" s="5"/>
      <c r="S503" s="5"/>
      <c r="T503" s="5"/>
      <c r="U503" s="5"/>
      <c r="V503" s="6"/>
      <c r="W503" s="92">
        <f>SUMIFS(Discontinuities!$D$4:$D$9664,Discontinuities!$A$4:$A$9664,A503,Discontinuities!$C$4:$C$9664,"&gt;="&amp;C503,Discontinuities!$C$4:$C$9664,"&lt;"&amp;D503)
-SUMIFS(Discontinuities!$D$4:$D$9664,Discontinuities!$A$4:$A$9664,A503,Discontinuities!$C$4:$C$9664,"&gt;="&amp;C503,Discontinuities!$C$4:$C$9664,"&lt;"&amp;D503,Discontinuities!$E$4:$E$9664,"=BC")
-SUMIFS(Discontinuities!$D$4:$D$9664,Discontinuities!$A$4:$A$9664,A503,Discontinuities!$C$4:$C$9664,"&gt;="&amp;C503,Discontinuities!$C$4:$C$9664,"&lt;"&amp;D503,Discontinuities!$E$4:$E$9664,"=LC")
-SUMIFS(Discontinuities!$D$4:$D$9664,Discontinuities!$A$4:$A$9664,A503,Discontinuities!$C$4:$C$9664,"&gt;="&amp;C503,Discontinuities!$C$4:$C$9664,"&lt;"&amp;D503,Discontinuities!$E$4:$E$9664,"=FLT")</f>
        <v>0</v>
      </c>
      <c r="AA503" s="132"/>
      <c r="AB503" s="159">
        <f>IFERROR(ROUND((Data_Geotech[[#This Row],[Fault (m)]]+Data_Geotech[[#This Row],[Broken Core (m)]]+Data_Geotech[[#This Row],[Lost Core (m)]])*30,0),0)</f>
        <v>0</v>
      </c>
      <c r="AC503" s="135">
        <f>IF(Data_Geotech[[#This Row],[Added fractures 
(BC, FLT, LC)]]+Data_Geotech[[#This Row],[Fracture per interval]]=0,99,1/((Data_Geotech[[#This Row],[Fracture per interval]]+Data_Geotech[[#This Row],[Added fractures 
(BC, FLT, LC)]])/Data_Geotech[[#This Row],[Run (m)]]))</f>
        <v>99</v>
      </c>
      <c r="AD503" s="160" t="str" cm="1">
        <f t="array" ref="AD503">IFERROR(_xlfn.XLOOKUP(1,(A503=PLT!$A$4:$A$8886)*(Geotech!C503&lt;=PLT!$F$4:$F$8886)*(Geotech!D503&gt;=PLT!$F$4:$F$8886)*("Valid"=PLT!$P$4:$P$8886),PLT!$V$4:$V$8886),"")</f>
        <v/>
      </c>
      <c r="AE503" s="161" t="str" cm="1">
        <f t="array" ref="AE503">IFERROR(_xlfn.XLOOKUP(1,(A503=PLT!$A$4:$A$8886)*(Geotech!C503&lt;=PLT!$F$4:$F$8886)*(Geotech!D503&gt;=PLT!$F$4:$F$8886)*(PLT!$V$4:$V$8886&lt;&gt;AD503)*("Valid"=PLT!$P$4:$P$7190),PLT!$V$4:$V$8886),"")</f>
        <v/>
      </c>
      <c r="AF503" s="161" t="str" cm="1">
        <f t="array" ref="AF503">IFERROR(_xlfn.XLOOKUP(1,(A503=PLT!$A$4:$A$8886)*(Geotech!C503&lt;=PLT!$F$4:$F$8886)*(Geotech!D503&gt;=PLT!$F$4:$F$8886)*(PLT!$V$4:$V$8886&lt;&gt;AD503)*(PLT!$V$4:$V$8886&lt;&gt;AE503)*("Valid"=PLT!$P$4:$P$7190),PLT!$V$4:$V$8886),"")</f>
        <v/>
      </c>
      <c r="AG503" s="162" t="str">
        <f>IFERROR(IF(AVERAGE(AD503:AF503)&gt;References!$BO$23,References!$BP$23,
IF(AVERAGE(AD503:AF503)&gt;References!$BO$22,References!$BP$22,
IF(AVERAGE(AD503:AF503)&gt;References!$BO$21,References!$BP$21,
IF(AVERAGE(AD503:AF503)&gt;References!$BO$20,References!$BP$20,
IF(AVERAGE(AD503:AF503)&gt;References!$BO$19,References!$BP$19,
IF(AVERAGE(AD503:AF503)&gt;References!$BO$18,References!$BP$18,
0)))))),"")</f>
        <v/>
      </c>
      <c r="AH503" s="163" t="e">
        <f>VLOOKUP(Data_Geotech[[#This Row],[Field Intact Rock Strength]],Table_RMR76_Strength[],2,FALSE)</f>
        <v>#N/A</v>
      </c>
      <c r="AI503" s="163" t="e">
        <f>IF(Data_Geotech[[#This Row],[RQD (%)]]&lt;=25,3,IF(Data_Geotech[[#This Row],[RQD (%)]]&lt;=50,8,IF(Data_Geotech[[#This Row],[RQD (%)]]&lt;=75,13,IF(Data_Geotech[[#This Row],[RQD (%)]]&lt;=90,17,20))))</f>
        <v>#DIV/0!</v>
      </c>
      <c r="AJ503" s="136">
        <f>IF(Data_Geotech[[#This Row],[Joint spacing (m)]]&lt;=0.05,5,IF(Data_Geotech[[#This Row],[Joint spacing (m)]]&lt;=0.3,10,IF(Data_Geotech[[#This Row],[Joint spacing (m)]]&lt;=1,20,IF(Data_Geotech[[#This Row],[Joint spacing (m)]]&lt;=3,25,30))))</f>
        <v>30</v>
      </c>
      <c r="AK50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3" s="6"/>
      <c r="AM503" s="137" t="str">
        <f>IF(Data_Geotech[[#This Row],[FIRS Code]]="R",IFERROR(SUM(Data_Geotech[[#This Row],[RMR76 - Strength rating]:[RMR76 - Ground water rating]]),""),"")</f>
        <v/>
      </c>
      <c r="AN503" s="164" t="str">
        <f>IF(Data_Geotech[[#This Row],[FIRS Code]]="R",(2*Data_Geotech[[#This Row],[RMR76 - Joint condition rating]])+(IF(Data_Geotech[[#This Row],[RQD (%)]]&gt;80,80/2,Data_Geotech[[#This Row],[RQD (%)]]/2)),"")</f>
        <v/>
      </c>
      <c r="AO503" s="136" t="e">
        <f>LEFT(Data_Geotech[[#This Row],[Joint Set Rating]],FIND("-",Data_Geotech[[#This Row],[Joint Set Rating]],1)-2)</f>
        <v>#VALUE!</v>
      </c>
      <c r="AP50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3" s="143">
        <f t="shared" si="12"/>
        <v>1</v>
      </c>
      <c r="AR503" s="165" t="str">
        <f>IF(Data_Geotech[[#This Row],[FIRS Code]]="R",IFERROR((IF(Data_Geotech[[#This Row],[RQD (%)]]&lt;10,10,Data_Geotech[[#This Row],[RQD (%)]])/Data_Geotech[[#This Row],[Jn rating]])*Data_Geotech[[#This Row],[Jr/Ja]],""),"")</f>
        <v/>
      </c>
      <c r="AS503" s="138" t="str">
        <f>IF(Data_Geotech[[#This Row],[FIRS Code]]="R",IFERROR((IF(Data_Geotech[[#This Row],[RQD (%)]]&lt;10,10,Data_Geotech[[#This Row],[RQD (%)]])/Data_Geotech[[#This Row],[Jn rating]])*Data_Geotech[[#This Row],[Jr/Ja]]*Data_Geotech[[#This Row],[Jw/SRF]],""),"")</f>
        <v/>
      </c>
      <c r="AT503" s="12"/>
      <c r="AU503" s="13" t="e">
        <f>100-Data_Geotech[[#This Row],[RQD (%)]]</f>
        <v>#DIV/0!</v>
      </c>
      <c r="AV503" s="13" t="e">
        <f>100-Data_Geotech[[#This Row],[TCR (%)]]</f>
        <v>#DIV/0!</v>
      </c>
      <c r="AW503" s="62" t="e">
        <f>(Data_Geotech[[#This Row],[Fracture per interval]]+Data_Geotech[[#This Row],[Added fractures 
(BC, FLT, LC)]])/Data_Geotech[[#This Row],[TCR (m)]]</f>
        <v>#DIV/0!</v>
      </c>
      <c r="AX503" s="62" t="str">
        <f>MID(Data_Geotech[[#This Row],[Field Intact Rock Strength]],2,1)</f>
        <v/>
      </c>
      <c r="AY503" s="63" t="e">
        <f>7-MID(Data_Geotech[[#This Row],[Field Intact Rock Strength]],2,1)</f>
        <v>#VALUE!</v>
      </c>
      <c r="AZ503" s="63" t="e">
        <f>VLOOKUP(Data_Geotech[[#This Row],[Field Intact Rock Strength]],Table_FieldStrength[],2,FALSE)</f>
        <v>#N/A</v>
      </c>
      <c r="BA503" s="63" t="e">
        <f>VLOOKUP(Data_Geotech[[#This Row],[Field Intact Rock Strength]],Table_FieldStrength[],3,FALSE)</f>
        <v>#N/A</v>
      </c>
      <c r="BB503" s="63" t="e">
        <f>VLOOKUP(Data_Geotech[[#This Row],[Field Intact Rock Strength]],Table_FieldStrength[],4,FALSE)</f>
        <v>#N/A</v>
      </c>
      <c r="BC503" s="63" t="e">
        <f>100-Data_Geotech[[#This Row],[RMR76]]</f>
        <v>#VALUE!</v>
      </c>
      <c r="BD503" s="63" t="e">
        <f>LEFT(Data_Geotech[[#This Row],[Weathering/Alteration]],FIND("-",Data_Geotech[[#This Row],[Weathering/Alteration]])-2)</f>
        <v>#VALUE!</v>
      </c>
    </row>
    <row r="504" spans="1:56" hidden="1" x14ac:dyDescent="0.25">
      <c r="A504" s="14"/>
      <c r="B504" s="166" t="e">
        <f>VLOOKUP(Data_Geotech[[#This Row],[Hole ID]],Data_Log[],2,FALSE)</f>
        <v>#N/A</v>
      </c>
      <c r="C504" s="5"/>
      <c r="D504" s="5"/>
      <c r="E504" s="5">
        <f>(Data_Geotech[[#This Row],[To (m)]]-Data_Geotech[[#This Row],[From (m)]])/2+Data_Geotech[[#This Row],[From (m)]]</f>
        <v>0</v>
      </c>
      <c r="F504" s="13">
        <f>Data_Geotech[[#This Row],[To (m)]]-Data_Geotech[[#This Row],[From (m)]]</f>
        <v>0</v>
      </c>
      <c r="G504" s="5"/>
      <c r="H504" s="13" t="e">
        <f>Data_Geotech[[#This Row],[TCR (m)]]/Data_Geotech[[#This Row],[Run (m)]]*100</f>
        <v>#DIV/0!</v>
      </c>
      <c r="I504" s="5"/>
      <c r="J504" s="5"/>
      <c r="K504" s="5"/>
      <c r="L504" s="13" t="e">
        <f>Data_Geotech[[#This Row],[RQD (m)]]/Data_Geotech[[#This Row],[Run Reel (m)]]*100</f>
        <v>#DIV/0!</v>
      </c>
      <c r="P504" s="115"/>
      <c r="Q504" s="5"/>
      <c r="R504" s="5"/>
      <c r="S504" s="5"/>
      <c r="T504" s="5"/>
      <c r="U504" s="5"/>
      <c r="V504" s="6"/>
      <c r="W504" s="92">
        <f>SUMIFS(Discontinuities!$D$4:$D$9664,Discontinuities!$A$4:$A$9664,A504,Discontinuities!$C$4:$C$9664,"&gt;="&amp;C504,Discontinuities!$C$4:$C$9664,"&lt;"&amp;D504)
-SUMIFS(Discontinuities!$D$4:$D$9664,Discontinuities!$A$4:$A$9664,A504,Discontinuities!$C$4:$C$9664,"&gt;="&amp;C504,Discontinuities!$C$4:$C$9664,"&lt;"&amp;D504,Discontinuities!$E$4:$E$9664,"=BC")
-SUMIFS(Discontinuities!$D$4:$D$9664,Discontinuities!$A$4:$A$9664,A504,Discontinuities!$C$4:$C$9664,"&gt;="&amp;C504,Discontinuities!$C$4:$C$9664,"&lt;"&amp;D504,Discontinuities!$E$4:$E$9664,"=LC")
-SUMIFS(Discontinuities!$D$4:$D$9664,Discontinuities!$A$4:$A$9664,A504,Discontinuities!$C$4:$C$9664,"&gt;="&amp;C504,Discontinuities!$C$4:$C$9664,"&lt;"&amp;D504,Discontinuities!$E$4:$E$9664,"=FLT")</f>
        <v>0</v>
      </c>
      <c r="AA504" s="132"/>
      <c r="AB504" s="159">
        <f>IFERROR(ROUND((Data_Geotech[[#This Row],[Fault (m)]]+Data_Geotech[[#This Row],[Broken Core (m)]]+Data_Geotech[[#This Row],[Lost Core (m)]])*30,0),0)</f>
        <v>0</v>
      </c>
      <c r="AC504" s="135">
        <f>IF(Data_Geotech[[#This Row],[Added fractures 
(BC, FLT, LC)]]+Data_Geotech[[#This Row],[Fracture per interval]]=0,99,1/((Data_Geotech[[#This Row],[Fracture per interval]]+Data_Geotech[[#This Row],[Added fractures 
(BC, FLT, LC)]])/Data_Geotech[[#This Row],[Run (m)]]))</f>
        <v>99</v>
      </c>
      <c r="AD504" s="160" t="str" cm="1">
        <f t="array" ref="AD504">IFERROR(_xlfn.XLOOKUP(1,(A504=PLT!$A$4:$A$8886)*(Geotech!C504&lt;=PLT!$F$4:$F$8886)*(Geotech!D504&gt;=PLT!$F$4:$F$8886)*("Valid"=PLT!$P$4:$P$8886),PLT!$V$4:$V$8886),"")</f>
        <v/>
      </c>
      <c r="AE504" s="161" t="str" cm="1">
        <f t="array" ref="AE504">IFERROR(_xlfn.XLOOKUP(1,(A504=PLT!$A$4:$A$8886)*(Geotech!C504&lt;=PLT!$F$4:$F$8886)*(Geotech!D504&gt;=PLT!$F$4:$F$8886)*(PLT!$V$4:$V$8886&lt;&gt;AD504)*("Valid"=PLT!$P$4:$P$7190),PLT!$V$4:$V$8886),"")</f>
        <v/>
      </c>
      <c r="AF504" s="161" t="str" cm="1">
        <f t="array" ref="AF504">IFERROR(_xlfn.XLOOKUP(1,(A504=PLT!$A$4:$A$8886)*(Geotech!C504&lt;=PLT!$F$4:$F$8886)*(Geotech!D504&gt;=PLT!$F$4:$F$8886)*(PLT!$V$4:$V$8886&lt;&gt;AD504)*(PLT!$V$4:$V$8886&lt;&gt;AE504)*("Valid"=PLT!$P$4:$P$7190),PLT!$V$4:$V$8886),"")</f>
        <v/>
      </c>
      <c r="AG504" s="162" t="str">
        <f>IFERROR(IF(AVERAGE(AD504:AF504)&gt;References!$BO$23,References!$BP$23,
IF(AVERAGE(AD504:AF504)&gt;References!$BO$22,References!$BP$22,
IF(AVERAGE(AD504:AF504)&gt;References!$BO$21,References!$BP$21,
IF(AVERAGE(AD504:AF504)&gt;References!$BO$20,References!$BP$20,
IF(AVERAGE(AD504:AF504)&gt;References!$BO$19,References!$BP$19,
IF(AVERAGE(AD504:AF504)&gt;References!$BO$18,References!$BP$18,
0)))))),"")</f>
        <v/>
      </c>
      <c r="AH504" s="163" t="e">
        <f>VLOOKUP(Data_Geotech[[#This Row],[Field Intact Rock Strength]],Table_RMR76_Strength[],2,FALSE)</f>
        <v>#N/A</v>
      </c>
      <c r="AI504" s="163" t="e">
        <f>IF(Data_Geotech[[#This Row],[RQD (%)]]&lt;=25,3,IF(Data_Geotech[[#This Row],[RQD (%)]]&lt;=50,8,IF(Data_Geotech[[#This Row],[RQD (%)]]&lt;=75,13,IF(Data_Geotech[[#This Row],[RQD (%)]]&lt;=90,17,20))))</f>
        <v>#DIV/0!</v>
      </c>
      <c r="AJ504" s="136">
        <f>IF(Data_Geotech[[#This Row],[Joint spacing (m)]]&lt;=0.05,5,IF(Data_Geotech[[#This Row],[Joint spacing (m)]]&lt;=0.3,10,IF(Data_Geotech[[#This Row],[Joint spacing (m)]]&lt;=1,20,IF(Data_Geotech[[#This Row],[Joint spacing (m)]]&lt;=3,25,30))))</f>
        <v>30</v>
      </c>
      <c r="AK50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4" s="6"/>
      <c r="AM504" s="137" t="str">
        <f>IF(Data_Geotech[[#This Row],[FIRS Code]]="R",IFERROR(SUM(Data_Geotech[[#This Row],[RMR76 - Strength rating]:[RMR76 - Ground water rating]]),""),"")</f>
        <v/>
      </c>
      <c r="AN504" s="164" t="str">
        <f>IF(Data_Geotech[[#This Row],[FIRS Code]]="R",(2*Data_Geotech[[#This Row],[RMR76 - Joint condition rating]])+(IF(Data_Geotech[[#This Row],[RQD (%)]]&gt;80,80/2,Data_Geotech[[#This Row],[RQD (%)]]/2)),"")</f>
        <v/>
      </c>
      <c r="AO504" s="136" t="e">
        <f>LEFT(Data_Geotech[[#This Row],[Joint Set Rating]],FIND("-",Data_Geotech[[#This Row],[Joint Set Rating]],1)-2)</f>
        <v>#VALUE!</v>
      </c>
      <c r="AP50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4" s="143">
        <f t="shared" si="12"/>
        <v>1</v>
      </c>
      <c r="AR504" s="165" t="str">
        <f>IF(Data_Geotech[[#This Row],[FIRS Code]]="R",IFERROR((IF(Data_Geotech[[#This Row],[RQD (%)]]&lt;10,10,Data_Geotech[[#This Row],[RQD (%)]])/Data_Geotech[[#This Row],[Jn rating]])*Data_Geotech[[#This Row],[Jr/Ja]],""),"")</f>
        <v/>
      </c>
      <c r="AS504" s="138" t="str">
        <f>IF(Data_Geotech[[#This Row],[FIRS Code]]="R",IFERROR((IF(Data_Geotech[[#This Row],[RQD (%)]]&lt;10,10,Data_Geotech[[#This Row],[RQD (%)]])/Data_Geotech[[#This Row],[Jn rating]])*Data_Geotech[[#This Row],[Jr/Ja]]*Data_Geotech[[#This Row],[Jw/SRF]],""),"")</f>
        <v/>
      </c>
      <c r="AT504" s="12"/>
      <c r="AU504" s="13" t="e">
        <f>100-Data_Geotech[[#This Row],[RQD (%)]]</f>
        <v>#DIV/0!</v>
      </c>
      <c r="AV504" s="13" t="e">
        <f>100-Data_Geotech[[#This Row],[TCR (%)]]</f>
        <v>#DIV/0!</v>
      </c>
      <c r="AW504" s="62" t="e">
        <f>(Data_Geotech[[#This Row],[Fracture per interval]]+Data_Geotech[[#This Row],[Added fractures 
(BC, FLT, LC)]])/Data_Geotech[[#This Row],[TCR (m)]]</f>
        <v>#DIV/0!</v>
      </c>
      <c r="AX504" s="62" t="str">
        <f>MID(Data_Geotech[[#This Row],[Field Intact Rock Strength]],2,1)</f>
        <v/>
      </c>
      <c r="AY504" s="63" t="e">
        <f>7-MID(Data_Geotech[[#This Row],[Field Intact Rock Strength]],2,1)</f>
        <v>#VALUE!</v>
      </c>
      <c r="AZ504" s="63" t="e">
        <f>VLOOKUP(Data_Geotech[[#This Row],[Field Intact Rock Strength]],Table_FieldStrength[],2,FALSE)</f>
        <v>#N/A</v>
      </c>
      <c r="BA504" s="63" t="e">
        <f>VLOOKUP(Data_Geotech[[#This Row],[Field Intact Rock Strength]],Table_FieldStrength[],3,FALSE)</f>
        <v>#N/A</v>
      </c>
      <c r="BB504" s="63" t="e">
        <f>VLOOKUP(Data_Geotech[[#This Row],[Field Intact Rock Strength]],Table_FieldStrength[],4,FALSE)</f>
        <v>#N/A</v>
      </c>
      <c r="BC504" s="63" t="e">
        <f>100-Data_Geotech[[#This Row],[RMR76]]</f>
        <v>#VALUE!</v>
      </c>
      <c r="BD504" s="63" t="e">
        <f>LEFT(Data_Geotech[[#This Row],[Weathering/Alteration]],FIND("-",Data_Geotech[[#This Row],[Weathering/Alteration]])-2)</f>
        <v>#VALUE!</v>
      </c>
    </row>
    <row r="505" spans="1:56" hidden="1" x14ac:dyDescent="0.25">
      <c r="A505" s="14"/>
      <c r="B505" s="166" t="e">
        <f>VLOOKUP(Data_Geotech[[#This Row],[Hole ID]],Data_Log[],2,FALSE)</f>
        <v>#N/A</v>
      </c>
      <c r="C505" s="5"/>
      <c r="D505" s="5"/>
      <c r="E505" s="5">
        <f>(Data_Geotech[[#This Row],[To (m)]]-Data_Geotech[[#This Row],[From (m)]])/2+Data_Geotech[[#This Row],[From (m)]]</f>
        <v>0</v>
      </c>
      <c r="F505" s="13">
        <f>Data_Geotech[[#This Row],[To (m)]]-Data_Geotech[[#This Row],[From (m)]]</f>
        <v>0</v>
      </c>
      <c r="G505" s="5"/>
      <c r="H505" s="13" t="e">
        <f>Data_Geotech[[#This Row],[TCR (m)]]/Data_Geotech[[#This Row],[Run (m)]]*100</f>
        <v>#DIV/0!</v>
      </c>
      <c r="I505" s="5"/>
      <c r="J505" s="5"/>
      <c r="K505" s="5"/>
      <c r="L505" s="13" t="e">
        <f>Data_Geotech[[#This Row],[RQD (m)]]/Data_Geotech[[#This Row],[Run Reel (m)]]*100</f>
        <v>#DIV/0!</v>
      </c>
      <c r="P505" s="115"/>
      <c r="Q505" s="5"/>
      <c r="R505" s="5"/>
      <c r="S505" s="5"/>
      <c r="T505" s="5"/>
      <c r="U505" s="5"/>
      <c r="V505" s="6"/>
      <c r="W505" s="92">
        <f>SUMIFS(Discontinuities!$D$4:$D$9664,Discontinuities!$A$4:$A$9664,A505,Discontinuities!$C$4:$C$9664,"&gt;="&amp;C505,Discontinuities!$C$4:$C$9664,"&lt;"&amp;D505)
-SUMIFS(Discontinuities!$D$4:$D$9664,Discontinuities!$A$4:$A$9664,A505,Discontinuities!$C$4:$C$9664,"&gt;="&amp;C505,Discontinuities!$C$4:$C$9664,"&lt;"&amp;D505,Discontinuities!$E$4:$E$9664,"=BC")
-SUMIFS(Discontinuities!$D$4:$D$9664,Discontinuities!$A$4:$A$9664,A505,Discontinuities!$C$4:$C$9664,"&gt;="&amp;C505,Discontinuities!$C$4:$C$9664,"&lt;"&amp;D505,Discontinuities!$E$4:$E$9664,"=LC")
-SUMIFS(Discontinuities!$D$4:$D$9664,Discontinuities!$A$4:$A$9664,A505,Discontinuities!$C$4:$C$9664,"&gt;="&amp;C505,Discontinuities!$C$4:$C$9664,"&lt;"&amp;D505,Discontinuities!$E$4:$E$9664,"=FLT")</f>
        <v>0</v>
      </c>
      <c r="AA505" s="132"/>
      <c r="AB505" s="159">
        <f>IFERROR(ROUND((Data_Geotech[[#This Row],[Fault (m)]]+Data_Geotech[[#This Row],[Broken Core (m)]]+Data_Geotech[[#This Row],[Lost Core (m)]])*30,0),0)</f>
        <v>0</v>
      </c>
      <c r="AC505" s="135">
        <f>IF(Data_Geotech[[#This Row],[Added fractures 
(BC, FLT, LC)]]+Data_Geotech[[#This Row],[Fracture per interval]]=0,99,1/((Data_Geotech[[#This Row],[Fracture per interval]]+Data_Geotech[[#This Row],[Added fractures 
(BC, FLT, LC)]])/Data_Geotech[[#This Row],[Run (m)]]))</f>
        <v>99</v>
      </c>
      <c r="AD505" s="160" t="str" cm="1">
        <f t="array" ref="AD505">IFERROR(_xlfn.XLOOKUP(1,(A505=PLT!$A$4:$A$8886)*(Geotech!C505&lt;=PLT!$F$4:$F$8886)*(Geotech!D505&gt;=PLT!$F$4:$F$8886)*("Valid"=PLT!$P$4:$P$8886),PLT!$V$4:$V$8886),"")</f>
        <v/>
      </c>
      <c r="AE505" s="161" t="str" cm="1">
        <f t="array" ref="AE505">IFERROR(_xlfn.XLOOKUP(1,(A505=PLT!$A$4:$A$8886)*(Geotech!C505&lt;=PLT!$F$4:$F$8886)*(Geotech!D505&gt;=PLT!$F$4:$F$8886)*(PLT!$V$4:$V$8886&lt;&gt;AD505)*("Valid"=PLT!$P$4:$P$7190),PLT!$V$4:$V$8886),"")</f>
        <v/>
      </c>
      <c r="AF505" s="161" t="str" cm="1">
        <f t="array" ref="AF505">IFERROR(_xlfn.XLOOKUP(1,(A505=PLT!$A$4:$A$8886)*(Geotech!C505&lt;=PLT!$F$4:$F$8886)*(Geotech!D505&gt;=PLT!$F$4:$F$8886)*(PLT!$V$4:$V$8886&lt;&gt;AD505)*(PLT!$V$4:$V$8886&lt;&gt;AE505)*("Valid"=PLT!$P$4:$P$7190),PLT!$V$4:$V$8886),"")</f>
        <v/>
      </c>
      <c r="AG505" s="162" t="str">
        <f>IFERROR(IF(AVERAGE(AD505:AF505)&gt;References!$BO$23,References!$BP$23,
IF(AVERAGE(AD505:AF505)&gt;References!$BO$22,References!$BP$22,
IF(AVERAGE(AD505:AF505)&gt;References!$BO$21,References!$BP$21,
IF(AVERAGE(AD505:AF505)&gt;References!$BO$20,References!$BP$20,
IF(AVERAGE(AD505:AF505)&gt;References!$BO$19,References!$BP$19,
IF(AVERAGE(AD505:AF505)&gt;References!$BO$18,References!$BP$18,
0)))))),"")</f>
        <v/>
      </c>
      <c r="AH505" s="163" t="e">
        <f>VLOOKUP(Data_Geotech[[#This Row],[Field Intact Rock Strength]],Table_RMR76_Strength[],2,FALSE)</f>
        <v>#N/A</v>
      </c>
      <c r="AI505" s="163" t="e">
        <f>IF(Data_Geotech[[#This Row],[RQD (%)]]&lt;=25,3,IF(Data_Geotech[[#This Row],[RQD (%)]]&lt;=50,8,IF(Data_Geotech[[#This Row],[RQD (%)]]&lt;=75,13,IF(Data_Geotech[[#This Row],[RQD (%)]]&lt;=90,17,20))))</f>
        <v>#DIV/0!</v>
      </c>
      <c r="AJ505" s="136">
        <f>IF(Data_Geotech[[#This Row],[Joint spacing (m)]]&lt;=0.05,5,IF(Data_Geotech[[#This Row],[Joint spacing (m)]]&lt;=0.3,10,IF(Data_Geotech[[#This Row],[Joint spacing (m)]]&lt;=1,20,IF(Data_Geotech[[#This Row],[Joint spacing (m)]]&lt;=3,25,30))))</f>
        <v>30</v>
      </c>
      <c r="AK50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5" s="6"/>
      <c r="AM505" s="137" t="str">
        <f>IF(Data_Geotech[[#This Row],[FIRS Code]]="R",IFERROR(SUM(Data_Geotech[[#This Row],[RMR76 - Strength rating]:[RMR76 - Ground water rating]]),""),"")</f>
        <v/>
      </c>
      <c r="AN505" s="164" t="str">
        <f>IF(Data_Geotech[[#This Row],[FIRS Code]]="R",(2*Data_Geotech[[#This Row],[RMR76 - Joint condition rating]])+(IF(Data_Geotech[[#This Row],[RQD (%)]]&gt;80,80/2,Data_Geotech[[#This Row],[RQD (%)]]/2)),"")</f>
        <v/>
      </c>
      <c r="AO505" s="136" t="e">
        <f>LEFT(Data_Geotech[[#This Row],[Joint Set Rating]],FIND("-",Data_Geotech[[#This Row],[Joint Set Rating]],1)-2)</f>
        <v>#VALUE!</v>
      </c>
      <c r="AP50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5" s="143">
        <f t="shared" si="12"/>
        <v>1</v>
      </c>
      <c r="AR505" s="165" t="str">
        <f>IF(Data_Geotech[[#This Row],[FIRS Code]]="R",IFERROR((IF(Data_Geotech[[#This Row],[RQD (%)]]&lt;10,10,Data_Geotech[[#This Row],[RQD (%)]])/Data_Geotech[[#This Row],[Jn rating]])*Data_Geotech[[#This Row],[Jr/Ja]],""),"")</f>
        <v/>
      </c>
      <c r="AS505" s="138" t="str">
        <f>IF(Data_Geotech[[#This Row],[FIRS Code]]="R",IFERROR((IF(Data_Geotech[[#This Row],[RQD (%)]]&lt;10,10,Data_Geotech[[#This Row],[RQD (%)]])/Data_Geotech[[#This Row],[Jn rating]])*Data_Geotech[[#This Row],[Jr/Ja]]*Data_Geotech[[#This Row],[Jw/SRF]],""),"")</f>
        <v/>
      </c>
      <c r="AT505" s="12"/>
      <c r="AU505" s="13" t="e">
        <f>100-Data_Geotech[[#This Row],[RQD (%)]]</f>
        <v>#DIV/0!</v>
      </c>
      <c r="AV505" s="13" t="e">
        <f>100-Data_Geotech[[#This Row],[TCR (%)]]</f>
        <v>#DIV/0!</v>
      </c>
      <c r="AW505" s="62" t="e">
        <f>(Data_Geotech[[#This Row],[Fracture per interval]]+Data_Geotech[[#This Row],[Added fractures 
(BC, FLT, LC)]])/Data_Geotech[[#This Row],[TCR (m)]]</f>
        <v>#DIV/0!</v>
      </c>
      <c r="AX505" s="62" t="str">
        <f>MID(Data_Geotech[[#This Row],[Field Intact Rock Strength]],2,1)</f>
        <v/>
      </c>
      <c r="AY505" s="63" t="e">
        <f>7-MID(Data_Geotech[[#This Row],[Field Intact Rock Strength]],2,1)</f>
        <v>#VALUE!</v>
      </c>
      <c r="AZ505" s="63" t="e">
        <f>VLOOKUP(Data_Geotech[[#This Row],[Field Intact Rock Strength]],Table_FieldStrength[],2,FALSE)</f>
        <v>#N/A</v>
      </c>
      <c r="BA505" s="63" t="e">
        <f>VLOOKUP(Data_Geotech[[#This Row],[Field Intact Rock Strength]],Table_FieldStrength[],3,FALSE)</f>
        <v>#N/A</v>
      </c>
      <c r="BB505" s="63" t="e">
        <f>VLOOKUP(Data_Geotech[[#This Row],[Field Intact Rock Strength]],Table_FieldStrength[],4,FALSE)</f>
        <v>#N/A</v>
      </c>
      <c r="BC505" s="63" t="e">
        <f>100-Data_Geotech[[#This Row],[RMR76]]</f>
        <v>#VALUE!</v>
      </c>
      <c r="BD505" s="63" t="e">
        <f>LEFT(Data_Geotech[[#This Row],[Weathering/Alteration]],FIND("-",Data_Geotech[[#This Row],[Weathering/Alteration]])-2)</f>
        <v>#VALUE!</v>
      </c>
    </row>
    <row r="506" spans="1:56" hidden="1" x14ac:dyDescent="0.25">
      <c r="A506" s="14"/>
      <c r="B506" s="166" t="e">
        <f>VLOOKUP(Data_Geotech[[#This Row],[Hole ID]],Data_Log[],2,FALSE)</f>
        <v>#N/A</v>
      </c>
      <c r="C506" s="5"/>
      <c r="D506" s="5"/>
      <c r="E506" s="5">
        <f>(Data_Geotech[[#This Row],[To (m)]]-Data_Geotech[[#This Row],[From (m)]])/2+Data_Geotech[[#This Row],[From (m)]]</f>
        <v>0</v>
      </c>
      <c r="F506" s="13">
        <f>Data_Geotech[[#This Row],[To (m)]]-Data_Geotech[[#This Row],[From (m)]]</f>
        <v>0</v>
      </c>
      <c r="G506" s="5"/>
      <c r="H506" s="13" t="e">
        <f>Data_Geotech[[#This Row],[TCR (m)]]/Data_Geotech[[#This Row],[Run (m)]]*100</f>
        <v>#DIV/0!</v>
      </c>
      <c r="I506" s="5"/>
      <c r="J506" s="5"/>
      <c r="K506" s="5"/>
      <c r="L506" s="13" t="e">
        <f>Data_Geotech[[#This Row],[RQD (m)]]/Data_Geotech[[#This Row],[Run Reel (m)]]*100</f>
        <v>#DIV/0!</v>
      </c>
      <c r="P506" s="115"/>
      <c r="Q506" s="5"/>
      <c r="R506" s="5"/>
      <c r="S506" s="5"/>
      <c r="T506" s="5"/>
      <c r="U506" s="5"/>
      <c r="V506" s="6"/>
      <c r="W506" s="92">
        <f>SUMIFS(Discontinuities!$D$4:$D$9664,Discontinuities!$A$4:$A$9664,A506,Discontinuities!$C$4:$C$9664,"&gt;="&amp;C506,Discontinuities!$C$4:$C$9664,"&lt;"&amp;D506)
-SUMIFS(Discontinuities!$D$4:$D$9664,Discontinuities!$A$4:$A$9664,A506,Discontinuities!$C$4:$C$9664,"&gt;="&amp;C506,Discontinuities!$C$4:$C$9664,"&lt;"&amp;D506,Discontinuities!$E$4:$E$9664,"=BC")
-SUMIFS(Discontinuities!$D$4:$D$9664,Discontinuities!$A$4:$A$9664,A506,Discontinuities!$C$4:$C$9664,"&gt;="&amp;C506,Discontinuities!$C$4:$C$9664,"&lt;"&amp;D506,Discontinuities!$E$4:$E$9664,"=LC")
-SUMIFS(Discontinuities!$D$4:$D$9664,Discontinuities!$A$4:$A$9664,A506,Discontinuities!$C$4:$C$9664,"&gt;="&amp;C506,Discontinuities!$C$4:$C$9664,"&lt;"&amp;D506,Discontinuities!$E$4:$E$9664,"=FLT")</f>
        <v>0</v>
      </c>
      <c r="AA506" s="132"/>
      <c r="AB506" s="159">
        <f>IFERROR(ROUND((Data_Geotech[[#This Row],[Fault (m)]]+Data_Geotech[[#This Row],[Broken Core (m)]]+Data_Geotech[[#This Row],[Lost Core (m)]])*30,0),0)</f>
        <v>0</v>
      </c>
      <c r="AC506" s="135">
        <f>IF(Data_Geotech[[#This Row],[Added fractures 
(BC, FLT, LC)]]+Data_Geotech[[#This Row],[Fracture per interval]]=0,99,1/((Data_Geotech[[#This Row],[Fracture per interval]]+Data_Geotech[[#This Row],[Added fractures 
(BC, FLT, LC)]])/Data_Geotech[[#This Row],[Run (m)]]))</f>
        <v>99</v>
      </c>
      <c r="AD506" s="160" t="str" cm="1">
        <f t="array" ref="AD506">IFERROR(_xlfn.XLOOKUP(1,(A506=PLT!$A$4:$A$8886)*(Geotech!C506&lt;=PLT!$F$4:$F$8886)*(Geotech!D506&gt;=PLT!$F$4:$F$8886)*("Valid"=PLT!$P$4:$P$8886),PLT!$V$4:$V$8886),"")</f>
        <v/>
      </c>
      <c r="AE506" s="161" t="str" cm="1">
        <f t="array" ref="AE506">IFERROR(_xlfn.XLOOKUP(1,(A506=PLT!$A$4:$A$8886)*(Geotech!C506&lt;=PLT!$F$4:$F$8886)*(Geotech!D506&gt;=PLT!$F$4:$F$8886)*(PLT!$V$4:$V$8886&lt;&gt;AD506)*("Valid"=PLT!$P$4:$P$7190),PLT!$V$4:$V$8886),"")</f>
        <v/>
      </c>
      <c r="AF506" s="161" t="str" cm="1">
        <f t="array" ref="AF506">IFERROR(_xlfn.XLOOKUP(1,(A506=PLT!$A$4:$A$8886)*(Geotech!C506&lt;=PLT!$F$4:$F$8886)*(Geotech!D506&gt;=PLT!$F$4:$F$8886)*(PLT!$V$4:$V$8886&lt;&gt;AD506)*(PLT!$V$4:$V$8886&lt;&gt;AE506)*("Valid"=PLT!$P$4:$P$7190),PLT!$V$4:$V$8886),"")</f>
        <v/>
      </c>
      <c r="AG506" s="162" t="str">
        <f>IFERROR(IF(AVERAGE(AD506:AF506)&gt;References!$BO$23,References!$BP$23,
IF(AVERAGE(AD506:AF506)&gt;References!$BO$22,References!$BP$22,
IF(AVERAGE(AD506:AF506)&gt;References!$BO$21,References!$BP$21,
IF(AVERAGE(AD506:AF506)&gt;References!$BO$20,References!$BP$20,
IF(AVERAGE(AD506:AF506)&gt;References!$BO$19,References!$BP$19,
IF(AVERAGE(AD506:AF506)&gt;References!$BO$18,References!$BP$18,
0)))))),"")</f>
        <v/>
      </c>
      <c r="AH506" s="163" t="e">
        <f>VLOOKUP(Data_Geotech[[#This Row],[Field Intact Rock Strength]],Table_RMR76_Strength[],2,FALSE)</f>
        <v>#N/A</v>
      </c>
      <c r="AI506" s="163" t="e">
        <f>IF(Data_Geotech[[#This Row],[RQD (%)]]&lt;=25,3,IF(Data_Geotech[[#This Row],[RQD (%)]]&lt;=50,8,IF(Data_Geotech[[#This Row],[RQD (%)]]&lt;=75,13,IF(Data_Geotech[[#This Row],[RQD (%)]]&lt;=90,17,20))))</f>
        <v>#DIV/0!</v>
      </c>
      <c r="AJ506" s="136">
        <f>IF(Data_Geotech[[#This Row],[Joint spacing (m)]]&lt;=0.05,5,IF(Data_Geotech[[#This Row],[Joint spacing (m)]]&lt;=0.3,10,IF(Data_Geotech[[#This Row],[Joint spacing (m)]]&lt;=1,20,IF(Data_Geotech[[#This Row],[Joint spacing (m)]]&lt;=3,25,30))))</f>
        <v>30</v>
      </c>
      <c r="AK50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6" s="6"/>
      <c r="AM506" s="137" t="str">
        <f>IF(Data_Geotech[[#This Row],[FIRS Code]]="R",IFERROR(SUM(Data_Geotech[[#This Row],[RMR76 - Strength rating]:[RMR76 - Ground water rating]]),""),"")</f>
        <v/>
      </c>
      <c r="AN506" s="164" t="str">
        <f>IF(Data_Geotech[[#This Row],[FIRS Code]]="R",(2*Data_Geotech[[#This Row],[RMR76 - Joint condition rating]])+(IF(Data_Geotech[[#This Row],[RQD (%)]]&gt;80,80/2,Data_Geotech[[#This Row],[RQD (%)]]/2)),"")</f>
        <v/>
      </c>
      <c r="AO506" s="136" t="e">
        <f>LEFT(Data_Geotech[[#This Row],[Joint Set Rating]],FIND("-",Data_Geotech[[#This Row],[Joint Set Rating]],1)-2)</f>
        <v>#VALUE!</v>
      </c>
      <c r="AP50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6" s="143">
        <f t="shared" si="12"/>
        <v>1</v>
      </c>
      <c r="AR506" s="165" t="str">
        <f>IF(Data_Geotech[[#This Row],[FIRS Code]]="R",IFERROR((IF(Data_Geotech[[#This Row],[RQD (%)]]&lt;10,10,Data_Geotech[[#This Row],[RQD (%)]])/Data_Geotech[[#This Row],[Jn rating]])*Data_Geotech[[#This Row],[Jr/Ja]],""),"")</f>
        <v/>
      </c>
      <c r="AS506" s="138" t="str">
        <f>IF(Data_Geotech[[#This Row],[FIRS Code]]="R",IFERROR((IF(Data_Geotech[[#This Row],[RQD (%)]]&lt;10,10,Data_Geotech[[#This Row],[RQD (%)]])/Data_Geotech[[#This Row],[Jn rating]])*Data_Geotech[[#This Row],[Jr/Ja]]*Data_Geotech[[#This Row],[Jw/SRF]],""),"")</f>
        <v/>
      </c>
      <c r="AT506" s="12"/>
      <c r="AU506" s="13" t="e">
        <f>100-Data_Geotech[[#This Row],[RQD (%)]]</f>
        <v>#DIV/0!</v>
      </c>
      <c r="AV506" s="13" t="e">
        <f>100-Data_Geotech[[#This Row],[TCR (%)]]</f>
        <v>#DIV/0!</v>
      </c>
      <c r="AW506" s="62" t="e">
        <f>(Data_Geotech[[#This Row],[Fracture per interval]]+Data_Geotech[[#This Row],[Added fractures 
(BC, FLT, LC)]])/Data_Geotech[[#This Row],[TCR (m)]]</f>
        <v>#DIV/0!</v>
      </c>
      <c r="AX506" s="62" t="str">
        <f>MID(Data_Geotech[[#This Row],[Field Intact Rock Strength]],2,1)</f>
        <v/>
      </c>
      <c r="AY506" s="63" t="e">
        <f>7-MID(Data_Geotech[[#This Row],[Field Intact Rock Strength]],2,1)</f>
        <v>#VALUE!</v>
      </c>
      <c r="AZ506" s="63" t="e">
        <f>VLOOKUP(Data_Geotech[[#This Row],[Field Intact Rock Strength]],Table_FieldStrength[],2,FALSE)</f>
        <v>#N/A</v>
      </c>
      <c r="BA506" s="63" t="e">
        <f>VLOOKUP(Data_Geotech[[#This Row],[Field Intact Rock Strength]],Table_FieldStrength[],3,FALSE)</f>
        <v>#N/A</v>
      </c>
      <c r="BB506" s="63" t="e">
        <f>VLOOKUP(Data_Geotech[[#This Row],[Field Intact Rock Strength]],Table_FieldStrength[],4,FALSE)</f>
        <v>#N/A</v>
      </c>
      <c r="BC506" s="63" t="e">
        <f>100-Data_Geotech[[#This Row],[RMR76]]</f>
        <v>#VALUE!</v>
      </c>
      <c r="BD506" s="63" t="e">
        <f>LEFT(Data_Geotech[[#This Row],[Weathering/Alteration]],FIND("-",Data_Geotech[[#This Row],[Weathering/Alteration]])-2)</f>
        <v>#VALUE!</v>
      </c>
    </row>
    <row r="507" spans="1:56" hidden="1" x14ac:dyDescent="0.25">
      <c r="A507" s="14"/>
      <c r="B507" s="166" t="e">
        <f>VLOOKUP(Data_Geotech[[#This Row],[Hole ID]],Data_Log[],2,FALSE)</f>
        <v>#N/A</v>
      </c>
      <c r="C507" s="5"/>
      <c r="D507" s="5"/>
      <c r="E507" s="5">
        <f>(Data_Geotech[[#This Row],[To (m)]]-Data_Geotech[[#This Row],[From (m)]])/2+Data_Geotech[[#This Row],[From (m)]]</f>
        <v>0</v>
      </c>
      <c r="F507" s="13">
        <f>Data_Geotech[[#This Row],[To (m)]]-Data_Geotech[[#This Row],[From (m)]]</f>
        <v>0</v>
      </c>
      <c r="G507" s="5"/>
      <c r="H507" s="13" t="e">
        <f>Data_Geotech[[#This Row],[TCR (m)]]/Data_Geotech[[#This Row],[Run (m)]]*100</f>
        <v>#DIV/0!</v>
      </c>
      <c r="I507" s="5"/>
      <c r="J507" s="5"/>
      <c r="K507" s="5"/>
      <c r="L507" s="13" t="e">
        <f>Data_Geotech[[#This Row],[RQD (m)]]/Data_Geotech[[#This Row],[Run Reel (m)]]*100</f>
        <v>#DIV/0!</v>
      </c>
      <c r="P507" s="115"/>
      <c r="Q507" s="5"/>
      <c r="R507" s="5"/>
      <c r="S507" s="5"/>
      <c r="T507" s="5"/>
      <c r="U507" s="5"/>
      <c r="V507" s="6"/>
      <c r="W507" s="92">
        <f>SUMIFS(Discontinuities!$D$4:$D$9664,Discontinuities!$A$4:$A$9664,A507,Discontinuities!$C$4:$C$9664,"&gt;="&amp;C507,Discontinuities!$C$4:$C$9664,"&lt;"&amp;D507)
-SUMIFS(Discontinuities!$D$4:$D$9664,Discontinuities!$A$4:$A$9664,A507,Discontinuities!$C$4:$C$9664,"&gt;="&amp;C507,Discontinuities!$C$4:$C$9664,"&lt;"&amp;D507,Discontinuities!$E$4:$E$9664,"=BC")
-SUMIFS(Discontinuities!$D$4:$D$9664,Discontinuities!$A$4:$A$9664,A507,Discontinuities!$C$4:$C$9664,"&gt;="&amp;C507,Discontinuities!$C$4:$C$9664,"&lt;"&amp;D507,Discontinuities!$E$4:$E$9664,"=LC")
-SUMIFS(Discontinuities!$D$4:$D$9664,Discontinuities!$A$4:$A$9664,A507,Discontinuities!$C$4:$C$9664,"&gt;="&amp;C507,Discontinuities!$C$4:$C$9664,"&lt;"&amp;D507,Discontinuities!$E$4:$E$9664,"=FLT")</f>
        <v>0</v>
      </c>
      <c r="AA507" s="132"/>
      <c r="AB507" s="159">
        <f>IFERROR(ROUND((Data_Geotech[[#This Row],[Fault (m)]]+Data_Geotech[[#This Row],[Broken Core (m)]]+Data_Geotech[[#This Row],[Lost Core (m)]])*30,0),0)</f>
        <v>0</v>
      </c>
      <c r="AC507" s="135">
        <f>IF(Data_Geotech[[#This Row],[Added fractures 
(BC, FLT, LC)]]+Data_Geotech[[#This Row],[Fracture per interval]]=0,99,1/((Data_Geotech[[#This Row],[Fracture per interval]]+Data_Geotech[[#This Row],[Added fractures 
(BC, FLT, LC)]])/Data_Geotech[[#This Row],[Run (m)]]))</f>
        <v>99</v>
      </c>
      <c r="AD507" s="160" t="str" cm="1">
        <f t="array" ref="AD507">IFERROR(_xlfn.XLOOKUP(1,(A507=PLT!$A$4:$A$8886)*(Geotech!C507&lt;=PLT!$F$4:$F$8886)*(Geotech!D507&gt;=PLT!$F$4:$F$8886)*("Valid"=PLT!$P$4:$P$8886),PLT!$V$4:$V$8886),"")</f>
        <v/>
      </c>
      <c r="AE507" s="161" t="str" cm="1">
        <f t="array" ref="AE507">IFERROR(_xlfn.XLOOKUP(1,(A507=PLT!$A$4:$A$8886)*(Geotech!C507&lt;=PLT!$F$4:$F$8886)*(Geotech!D507&gt;=PLT!$F$4:$F$8886)*(PLT!$V$4:$V$8886&lt;&gt;AD507)*("Valid"=PLT!$P$4:$P$7190),PLT!$V$4:$V$8886),"")</f>
        <v/>
      </c>
      <c r="AF507" s="161" t="str" cm="1">
        <f t="array" ref="AF507">IFERROR(_xlfn.XLOOKUP(1,(A507=PLT!$A$4:$A$8886)*(Geotech!C507&lt;=PLT!$F$4:$F$8886)*(Geotech!D507&gt;=PLT!$F$4:$F$8886)*(PLT!$V$4:$V$8886&lt;&gt;AD507)*(PLT!$V$4:$V$8886&lt;&gt;AE507)*("Valid"=PLT!$P$4:$P$7190),PLT!$V$4:$V$8886),"")</f>
        <v/>
      </c>
      <c r="AG507" s="162" t="str">
        <f>IFERROR(IF(AVERAGE(AD507:AF507)&gt;References!$BO$23,References!$BP$23,
IF(AVERAGE(AD507:AF507)&gt;References!$BO$22,References!$BP$22,
IF(AVERAGE(AD507:AF507)&gt;References!$BO$21,References!$BP$21,
IF(AVERAGE(AD507:AF507)&gt;References!$BO$20,References!$BP$20,
IF(AVERAGE(AD507:AF507)&gt;References!$BO$19,References!$BP$19,
IF(AVERAGE(AD507:AF507)&gt;References!$BO$18,References!$BP$18,
0)))))),"")</f>
        <v/>
      </c>
      <c r="AH507" s="163" t="e">
        <f>VLOOKUP(Data_Geotech[[#This Row],[Field Intact Rock Strength]],Table_RMR76_Strength[],2,FALSE)</f>
        <v>#N/A</v>
      </c>
      <c r="AI507" s="163" t="e">
        <f>IF(Data_Geotech[[#This Row],[RQD (%)]]&lt;=25,3,IF(Data_Geotech[[#This Row],[RQD (%)]]&lt;=50,8,IF(Data_Geotech[[#This Row],[RQD (%)]]&lt;=75,13,IF(Data_Geotech[[#This Row],[RQD (%)]]&lt;=90,17,20))))</f>
        <v>#DIV/0!</v>
      </c>
      <c r="AJ507" s="136">
        <f>IF(Data_Geotech[[#This Row],[Joint spacing (m)]]&lt;=0.05,5,IF(Data_Geotech[[#This Row],[Joint spacing (m)]]&lt;=0.3,10,IF(Data_Geotech[[#This Row],[Joint spacing (m)]]&lt;=1,20,IF(Data_Geotech[[#This Row],[Joint spacing (m)]]&lt;=3,25,30))))</f>
        <v>30</v>
      </c>
      <c r="AK50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7" s="6"/>
      <c r="AM507" s="137" t="str">
        <f>IF(Data_Geotech[[#This Row],[FIRS Code]]="R",IFERROR(SUM(Data_Geotech[[#This Row],[RMR76 - Strength rating]:[RMR76 - Ground water rating]]),""),"")</f>
        <v/>
      </c>
      <c r="AN507" s="164" t="str">
        <f>IF(Data_Geotech[[#This Row],[FIRS Code]]="R",(2*Data_Geotech[[#This Row],[RMR76 - Joint condition rating]])+(IF(Data_Geotech[[#This Row],[RQD (%)]]&gt;80,80/2,Data_Geotech[[#This Row],[RQD (%)]]/2)),"")</f>
        <v/>
      </c>
      <c r="AO507" s="136" t="e">
        <f>LEFT(Data_Geotech[[#This Row],[Joint Set Rating]],FIND("-",Data_Geotech[[#This Row],[Joint Set Rating]],1)-2)</f>
        <v>#VALUE!</v>
      </c>
      <c r="AP50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7" s="143">
        <f t="shared" si="12"/>
        <v>1</v>
      </c>
      <c r="AR507" s="165" t="str">
        <f>IF(Data_Geotech[[#This Row],[FIRS Code]]="R",IFERROR((IF(Data_Geotech[[#This Row],[RQD (%)]]&lt;10,10,Data_Geotech[[#This Row],[RQD (%)]])/Data_Geotech[[#This Row],[Jn rating]])*Data_Geotech[[#This Row],[Jr/Ja]],""),"")</f>
        <v/>
      </c>
      <c r="AS507" s="138" t="str">
        <f>IF(Data_Geotech[[#This Row],[FIRS Code]]="R",IFERROR((IF(Data_Geotech[[#This Row],[RQD (%)]]&lt;10,10,Data_Geotech[[#This Row],[RQD (%)]])/Data_Geotech[[#This Row],[Jn rating]])*Data_Geotech[[#This Row],[Jr/Ja]]*Data_Geotech[[#This Row],[Jw/SRF]],""),"")</f>
        <v/>
      </c>
      <c r="AT507" s="12"/>
      <c r="AU507" s="13" t="e">
        <f>100-Data_Geotech[[#This Row],[RQD (%)]]</f>
        <v>#DIV/0!</v>
      </c>
      <c r="AV507" s="13" t="e">
        <f>100-Data_Geotech[[#This Row],[TCR (%)]]</f>
        <v>#DIV/0!</v>
      </c>
      <c r="AW507" s="62" t="e">
        <f>(Data_Geotech[[#This Row],[Fracture per interval]]+Data_Geotech[[#This Row],[Added fractures 
(BC, FLT, LC)]])/Data_Geotech[[#This Row],[TCR (m)]]</f>
        <v>#DIV/0!</v>
      </c>
      <c r="AX507" s="62" t="str">
        <f>MID(Data_Geotech[[#This Row],[Field Intact Rock Strength]],2,1)</f>
        <v/>
      </c>
      <c r="AY507" s="63" t="e">
        <f>7-MID(Data_Geotech[[#This Row],[Field Intact Rock Strength]],2,1)</f>
        <v>#VALUE!</v>
      </c>
      <c r="AZ507" s="63" t="e">
        <f>VLOOKUP(Data_Geotech[[#This Row],[Field Intact Rock Strength]],Table_FieldStrength[],2,FALSE)</f>
        <v>#N/A</v>
      </c>
      <c r="BA507" s="63" t="e">
        <f>VLOOKUP(Data_Geotech[[#This Row],[Field Intact Rock Strength]],Table_FieldStrength[],3,FALSE)</f>
        <v>#N/A</v>
      </c>
      <c r="BB507" s="63" t="e">
        <f>VLOOKUP(Data_Geotech[[#This Row],[Field Intact Rock Strength]],Table_FieldStrength[],4,FALSE)</f>
        <v>#N/A</v>
      </c>
      <c r="BC507" s="63" t="e">
        <f>100-Data_Geotech[[#This Row],[RMR76]]</f>
        <v>#VALUE!</v>
      </c>
      <c r="BD507" s="63" t="e">
        <f>LEFT(Data_Geotech[[#This Row],[Weathering/Alteration]],FIND("-",Data_Geotech[[#This Row],[Weathering/Alteration]])-2)</f>
        <v>#VALUE!</v>
      </c>
    </row>
    <row r="508" spans="1:56" hidden="1" x14ac:dyDescent="0.25">
      <c r="A508" s="14"/>
      <c r="B508" s="166" t="e">
        <f>VLOOKUP(Data_Geotech[[#This Row],[Hole ID]],Data_Log[],2,FALSE)</f>
        <v>#N/A</v>
      </c>
      <c r="C508" s="5"/>
      <c r="D508" s="5"/>
      <c r="E508" s="5">
        <f>(Data_Geotech[[#This Row],[To (m)]]-Data_Geotech[[#This Row],[From (m)]])/2+Data_Geotech[[#This Row],[From (m)]]</f>
        <v>0</v>
      </c>
      <c r="F508" s="13">
        <f>Data_Geotech[[#This Row],[To (m)]]-Data_Geotech[[#This Row],[From (m)]]</f>
        <v>0</v>
      </c>
      <c r="G508" s="5"/>
      <c r="H508" s="13" t="e">
        <f>Data_Geotech[[#This Row],[TCR (m)]]/Data_Geotech[[#This Row],[Run (m)]]*100</f>
        <v>#DIV/0!</v>
      </c>
      <c r="I508" s="5"/>
      <c r="J508" s="5"/>
      <c r="K508" s="5"/>
      <c r="L508" s="13" t="e">
        <f>Data_Geotech[[#This Row],[RQD (m)]]/Data_Geotech[[#This Row],[Run Reel (m)]]*100</f>
        <v>#DIV/0!</v>
      </c>
      <c r="P508" s="115"/>
      <c r="Q508" s="5"/>
      <c r="R508" s="5"/>
      <c r="S508" s="5"/>
      <c r="T508" s="5"/>
      <c r="U508" s="5"/>
      <c r="V508" s="6"/>
      <c r="W508" s="92">
        <f>SUMIFS(Discontinuities!$D$4:$D$9664,Discontinuities!$A$4:$A$9664,A508,Discontinuities!$C$4:$C$9664,"&gt;="&amp;C508,Discontinuities!$C$4:$C$9664,"&lt;"&amp;D508)
-SUMIFS(Discontinuities!$D$4:$D$9664,Discontinuities!$A$4:$A$9664,A508,Discontinuities!$C$4:$C$9664,"&gt;="&amp;C508,Discontinuities!$C$4:$C$9664,"&lt;"&amp;D508,Discontinuities!$E$4:$E$9664,"=BC")
-SUMIFS(Discontinuities!$D$4:$D$9664,Discontinuities!$A$4:$A$9664,A508,Discontinuities!$C$4:$C$9664,"&gt;="&amp;C508,Discontinuities!$C$4:$C$9664,"&lt;"&amp;D508,Discontinuities!$E$4:$E$9664,"=LC")
-SUMIFS(Discontinuities!$D$4:$D$9664,Discontinuities!$A$4:$A$9664,A508,Discontinuities!$C$4:$C$9664,"&gt;="&amp;C508,Discontinuities!$C$4:$C$9664,"&lt;"&amp;D508,Discontinuities!$E$4:$E$9664,"=FLT")</f>
        <v>0</v>
      </c>
      <c r="AA508" s="132"/>
      <c r="AB508" s="159">
        <f>IFERROR(ROUND((Data_Geotech[[#This Row],[Fault (m)]]+Data_Geotech[[#This Row],[Broken Core (m)]]+Data_Geotech[[#This Row],[Lost Core (m)]])*30,0),0)</f>
        <v>0</v>
      </c>
      <c r="AC508" s="135">
        <f>IF(Data_Geotech[[#This Row],[Added fractures 
(BC, FLT, LC)]]+Data_Geotech[[#This Row],[Fracture per interval]]=0,99,1/((Data_Geotech[[#This Row],[Fracture per interval]]+Data_Geotech[[#This Row],[Added fractures 
(BC, FLT, LC)]])/Data_Geotech[[#This Row],[Run (m)]]))</f>
        <v>99</v>
      </c>
      <c r="AD508" s="160" t="str" cm="1">
        <f t="array" ref="AD508">IFERROR(_xlfn.XLOOKUP(1,(A508=PLT!$A$4:$A$8886)*(Geotech!C508&lt;=PLT!$F$4:$F$8886)*(Geotech!D508&gt;=PLT!$F$4:$F$8886)*("Valid"=PLT!$P$4:$P$8886),PLT!$V$4:$V$8886),"")</f>
        <v/>
      </c>
      <c r="AE508" s="161" t="str" cm="1">
        <f t="array" ref="AE508">IFERROR(_xlfn.XLOOKUP(1,(A508=PLT!$A$4:$A$8886)*(Geotech!C508&lt;=PLT!$F$4:$F$8886)*(Geotech!D508&gt;=PLT!$F$4:$F$8886)*(PLT!$V$4:$V$8886&lt;&gt;AD508)*("Valid"=PLT!$P$4:$P$7190),PLT!$V$4:$V$8886),"")</f>
        <v/>
      </c>
      <c r="AF508" s="161" t="str" cm="1">
        <f t="array" ref="AF508">IFERROR(_xlfn.XLOOKUP(1,(A508=PLT!$A$4:$A$8886)*(Geotech!C508&lt;=PLT!$F$4:$F$8886)*(Geotech!D508&gt;=PLT!$F$4:$F$8886)*(PLT!$V$4:$V$8886&lt;&gt;AD508)*(PLT!$V$4:$V$8886&lt;&gt;AE508)*("Valid"=PLT!$P$4:$P$7190),PLT!$V$4:$V$8886),"")</f>
        <v/>
      </c>
      <c r="AG508" s="162" t="str">
        <f>IFERROR(IF(AVERAGE(AD508:AF508)&gt;References!$BO$23,References!$BP$23,
IF(AVERAGE(AD508:AF508)&gt;References!$BO$22,References!$BP$22,
IF(AVERAGE(AD508:AF508)&gt;References!$BO$21,References!$BP$21,
IF(AVERAGE(AD508:AF508)&gt;References!$BO$20,References!$BP$20,
IF(AVERAGE(AD508:AF508)&gt;References!$BO$19,References!$BP$19,
IF(AVERAGE(AD508:AF508)&gt;References!$BO$18,References!$BP$18,
0)))))),"")</f>
        <v/>
      </c>
      <c r="AH508" s="163" t="e">
        <f>VLOOKUP(Data_Geotech[[#This Row],[Field Intact Rock Strength]],Table_RMR76_Strength[],2,FALSE)</f>
        <v>#N/A</v>
      </c>
      <c r="AI508" s="163" t="e">
        <f>IF(Data_Geotech[[#This Row],[RQD (%)]]&lt;=25,3,IF(Data_Geotech[[#This Row],[RQD (%)]]&lt;=50,8,IF(Data_Geotech[[#This Row],[RQD (%)]]&lt;=75,13,IF(Data_Geotech[[#This Row],[RQD (%)]]&lt;=90,17,20))))</f>
        <v>#DIV/0!</v>
      </c>
      <c r="AJ508" s="136">
        <f>IF(Data_Geotech[[#This Row],[Joint spacing (m)]]&lt;=0.05,5,IF(Data_Geotech[[#This Row],[Joint spacing (m)]]&lt;=0.3,10,IF(Data_Geotech[[#This Row],[Joint spacing (m)]]&lt;=1,20,IF(Data_Geotech[[#This Row],[Joint spacing (m)]]&lt;=3,25,30))))</f>
        <v>30</v>
      </c>
      <c r="AK508"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8" s="6"/>
      <c r="AM508" s="137" t="str">
        <f>IF(Data_Geotech[[#This Row],[FIRS Code]]="R",IFERROR(SUM(Data_Geotech[[#This Row],[RMR76 - Strength rating]:[RMR76 - Ground water rating]]),""),"")</f>
        <v/>
      </c>
      <c r="AN508" s="164" t="str">
        <f>IF(Data_Geotech[[#This Row],[FIRS Code]]="R",(2*Data_Geotech[[#This Row],[RMR76 - Joint condition rating]])+(IF(Data_Geotech[[#This Row],[RQD (%)]]&gt;80,80/2,Data_Geotech[[#This Row],[RQD (%)]]/2)),"")</f>
        <v/>
      </c>
      <c r="AO508" s="136" t="e">
        <f>LEFT(Data_Geotech[[#This Row],[Joint Set Rating]],FIND("-",Data_Geotech[[#This Row],[Joint Set Rating]],1)-2)</f>
        <v>#VALUE!</v>
      </c>
      <c r="AP508"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8" s="143">
        <f t="shared" si="12"/>
        <v>1</v>
      </c>
      <c r="AR508" s="165" t="str">
        <f>IF(Data_Geotech[[#This Row],[FIRS Code]]="R",IFERROR((IF(Data_Geotech[[#This Row],[RQD (%)]]&lt;10,10,Data_Geotech[[#This Row],[RQD (%)]])/Data_Geotech[[#This Row],[Jn rating]])*Data_Geotech[[#This Row],[Jr/Ja]],""),"")</f>
        <v/>
      </c>
      <c r="AS508" s="138" t="str">
        <f>IF(Data_Geotech[[#This Row],[FIRS Code]]="R",IFERROR((IF(Data_Geotech[[#This Row],[RQD (%)]]&lt;10,10,Data_Geotech[[#This Row],[RQD (%)]])/Data_Geotech[[#This Row],[Jn rating]])*Data_Geotech[[#This Row],[Jr/Ja]]*Data_Geotech[[#This Row],[Jw/SRF]],""),"")</f>
        <v/>
      </c>
      <c r="AT508" s="12"/>
      <c r="AU508" s="13" t="e">
        <f>100-Data_Geotech[[#This Row],[RQD (%)]]</f>
        <v>#DIV/0!</v>
      </c>
      <c r="AV508" s="13" t="e">
        <f>100-Data_Geotech[[#This Row],[TCR (%)]]</f>
        <v>#DIV/0!</v>
      </c>
      <c r="AW508" s="62" t="e">
        <f>(Data_Geotech[[#This Row],[Fracture per interval]]+Data_Geotech[[#This Row],[Added fractures 
(BC, FLT, LC)]])/Data_Geotech[[#This Row],[TCR (m)]]</f>
        <v>#DIV/0!</v>
      </c>
      <c r="AX508" s="62" t="str">
        <f>MID(Data_Geotech[[#This Row],[Field Intact Rock Strength]],2,1)</f>
        <v/>
      </c>
      <c r="AY508" s="63" t="e">
        <f>7-MID(Data_Geotech[[#This Row],[Field Intact Rock Strength]],2,1)</f>
        <v>#VALUE!</v>
      </c>
      <c r="AZ508" s="63" t="e">
        <f>VLOOKUP(Data_Geotech[[#This Row],[Field Intact Rock Strength]],Table_FieldStrength[],2,FALSE)</f>
        <v>#N/A</v>
      </c>
      <c r="BA508" s="63" t="e">
        <f>VLOOKUP(Data_Geotech[[#This Row],[Field Intact Rock Strength]],Table_FieldStrength[],3,FALSE)</f>
        <v>#N/A</v>
      </c>
      <c r="BB508" s="63" t="e">
        <f>VLOOKUP(Data_Geotech[[#This Row],[Field Intact Rock Strength]],Table_FieldStrength[],4,FALSE)</f>
        <v>#N/A</v>
      </c>
      <c r="BC508" s="63" t="e">
        <f>100-Data_Geotech[[#This Row],[RMR76]]</f>
        <v>#VALUE!</v>
      </c>
      <c r="BD508" s="63" t="e">
        <f>LEFT(Data_Geotech[[#This Row],[Weathering/Alteration]],FIND("-",Data_Geotech[[#This Row],[Weathering/Alteration]])-2)</f>
        <v>#VALUE!</v>
      </c>
    </row>
    <row r="509" spans="1:56" hidden="1" x14ac:dyDescent="0.25">
      <c r="A509" s="14"/>
      <c r="B509" s="166" t="e">
        <f>VLOOKUP(Data_Geotech[[#This Row],[Hole ID]],Data_Log[],2,FALSE)</f>
        <v>#N/A</v>
      </c>
      <c r="C509" s="5"/>
      <c r="D509" s="5"/>
      <c r="E509" s="5">
        <f>(Data_Geotech[[#This Row],[To (m)]]-Data_Geotech[[#This Row],[From (m)]])/2+Data_Geotech[[#This Row],[From (m)]]</f>
        <v>0</v>
      </c>
      <c r="F509" s="13">
        <f>Data_Geotech[[#This Row],[To (m)]]-Data_Geotech[[#This Row],[From (m)]]</f>
        <v>0</v>
      </c>
      <c r="G509" s="5"/>
      <c r="H509" s="13" t="e">
        <f>Data_Geotech[[#This Row],[TCR (m)]]/Data_Geotech[[#This Row],[Run (m)]]*100</f>
        <v>#DIV/0!</v>
      </c>
      <c r="I509" s="5"/>
      <c r="J509" s="5"/>
      <c r="K509" s="5"/>
      <c r="L509" s="13" t="e">
        <f>Data_Geotech[[#This Row],[RQD (m)]]/Data_Geotech[[#This Row],[Run Reel (m)]]*100</f>
        <v>#DIV/0!</v>
      </c>
      <c r="P509" s="115"/>
      <c r="Q509" s="5"/>
      <c r="R509" s="5"/>
      <c r="S509" s="5"/>
      <c r="T509" s="5"/>
      <c r="U509" s="5"/>
      <c r="V509" s="6"/>
      <c r="W509" s="92">
        <f>SUMIFS(Discontinuities!$D$4:$D$9664,Discontinuities!$A$4:$A$9664,A509,Discontinuities!$C$4:$C$9664,"&gt;="&amp;C509,Discontinuities!$C$4:$C$9664,"&lt;"&amp;D509)
-SUMIFS(Discontinuities!$D$4:$D$9664,Discontinuities!$A$4:$A$9664,A509,Discontinuities!$C$4:$C$9664,"&gt;="&amp;C509,Discontinuities!$C$4:$C$9664,"&lt;"&amp;D509,Discontinuities!$E$4:$E$9664,"=BC")
-SUMIFS(Discontinuities!$D$4:$D$9664,Discontinuities!$A$4:$A$9664,A509,Discontinuities!$C$4:$C$9664,"&gt;="&amp;C509,Discontinuities!$C$4:$C$9664,"&lt;"&amp;D509,Discontinuities!$E$4:$E$9664,"=LC")
-SUMIFS(Discontinuities!$D$4:$D$9664,Discontinuities!$A$4:$A$9664,A509,Discontinuities!$C$4:$C$9664,"&gt;="&amp;C509,Discontinuities!$C$4:$C$9664,"&lt;"&amp;D509,Discontinuities!$E$4:$E$9664,"=FLT")</f>
        <v>0</v>
      </c>
      <c r="AA509" s="132"/>
      <c r="AB509" s="159">
        <f>IFERROR(ROUND((Data_Geotech[[#This Row],[Fault (m)]]+Data_Geotech[[#This Row],[Broken Core (m)]]+Data_Geotech[[#This Row],[Lost Core (m)]])*30,0),0)</f>
        <v>0</v>
      </c>
      <c r="AC509" s="135">
        <f>IF(Data_Geotech[[#This Row],[Added fractures 
(BC, FLT, LC)]]+Data_Geotech[[#This Row],[Fracture per interval]]=0,99,1/((Data_Geotech[[#This Row],[Fracture per interval]]+Data_Geotech[[#This Row],[Added fractures 
(BC, FLT, LC)]])/Data_Geotech[[#This Row],[Run (m)]]))</f>
        <v>99</v>
      </c>
      <c r="AD509" s="160" t="str" cm="1">
        <f t="array" ref="AD509">IFERROR(_xlfn.XLOOKUP(1,(A509=PLT!$A$4:$A$8886)*(Geotech!C509&lt;=PLT!$F$4:$F$8886)*(Geotech!D509&gt;=PLT!$F$4:$F$8886)*("Valid"=PLT!$P$4:$P$8886),PLT!$V$4:$V$8886),"")</f>
        <v/>
      </c>
      <c r="AE509" s="161" t="str" cm="1">
        <f t="array" ref="AE509">IFERROR(_xlfn.XLOOKUP(1,(A509=PLT!$A$4:$A$8886)*(Geotech!C509&lt;=PLT!$F$4:$F$8886)*(Geotech!D509&gt;=PLT!$F$4:$F$8886)*(PLT!$V$4:$V$8886&lt;&gt;AD509)*("Valid"=PLT!$P$4:$P$7190),PLT!$V$4:$V$8886),"")</f>
        <v/>
      </c>
      <c r="AF509" s="161" t="str" cm="1">
        <f t="array" ref="AF509">IFERROR(_xlfn.XLOOKUP(1,(A509=PLT!$A$4:$A$8886)*(Geotech!C509&lt;=PLT!$F$4:$F$8886)*(Geotech!D509&gt;=PLT!$F$4:$F$8886)*(PLT!$V$4:$V$8886&lt;&gt;AD509)*(PLT!$V$4:$V$8886&lt;&gt;AE509)*("Valid"=PLT!$P$4:$P$7190),PLT!$V$4:$V$8886),"")</f>
        <v/>
      </c>
      <c r="AG509" s="162" t="str">
        <f>IFERROR(IF(AVERAGE(AD509:AF509)&gt;References!$BO$23,References!$BP$23,
IF(AVERAGE(AD509:AF509)&gt;References!$BO$22,References!$BP$22,
IF(AVERAGE(AD509:AF509)&gt;References!$BO$21,References!$BP$21,
IF(AVERAGE(AD509:AF509)&gt;References!$BO$20,References!$BP$20,
IF(AVERAGE(AD509:AF509)&gt;References!$BO$19,References!$BP$19,
IF(AVERAGE(AD509:AF509)&gt;References!$BO$18,References!$BP$18,
0)))))),"")</f>
        <v/>
      </c>
      <c r="AH509" s="163" t="e">
        <f>VLOOKUP(Data_Geotech[[#This Row],[Field Intact Rock Strength]],Table_RMR76_Strength[],2,FALSE)</f>
        <v>#N/A</v>
      </c>
      <c r="AI509" s="163" t="e">
        <f>IF(Data_Geotech[[#This Row],[RQD (%)]]&lt;=25,3,IF(Data_Geotech[[#This Row],[RQD (%)]]&lt;=50,8,IF(Data_Geotech[[#This Row],[RQD (%)]]&lt;=75,13,IF(Data_Geotech[[#This Row],[RQD (%)]]&lt;=90,17,20))))</f>
        <v>#DIV/0!</v>
      </c>
      <c r="AJ509" s="136">
        <f>IF(Data_Geotech[[#This Row],[Joint spacing (m)]]&lt;=0.05,5,IF(Data_Geotech[[#This Row],[Joint spacing (m)]]&lt;=0.3,10,IF(Data_Geotech[[#This Row],[Joint spacing (m)]]&lt;=1,20,IF(Data_Geotech[[#This Row],[Joint spacing (m)]]&lt;=3,25,30))))</f>
        <v>30</v>
      </c>
      <c r="AK509"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09" s="6"/>
      <c r="AM509" s="137" t="str">
        <f>IF(Data_Geotech[[#This Row],[FIRS Code]]="R",IFERROR(SUM(Data_Geotech[[#This Row],[RMR76 - Strength rating]:[RMR76 - Ground water rating]]),""),"")</f>
        <v/>
      </c>
      <c r="AN509" s="164" t="str">
        <f>IF(Data_Geotech[[#This Row],[FIRS Code]]="R",(2*Data_Geotech[[#This Row],[RMR76 - Joint condition rating]])+(IF(Data_Geotech[[#This Row],[RQD (%)]]&gt;80,80/2,Data_Geotech[[#This Row],[RQD (%)]]/2)),"")</f>
        <v/>
      </c>
      <c r="AO509" s="136" t="e">
        <f>LEFT(Data_Geotech[[#This Row],[Joint Set Rating]],FIND("-",Data_Geotech[[#This Row],[Joint Set Rating]],1)-2)</f>
        <v>#VALUE!</v>
      </c>
      <c r="AP509"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09" s="143">
        <f t="shared" si="12"/>
        <v>1</v>
      </c>
      <c r="AR509" s="165" t="str">
        <f>IF(Data_Geotech[[#This Row],[FIRS Code]]="R",IFERROR((IF(Data_Geotech[[#This Row],[RQD (%)]]&lt;10,10,Data_Geotech[[#This Row],[RQD (%)]])/Data_Geotech[[#This Row],[Jn rating]])*Data_Geotech[[#This Row],[Jr/Ja]],""),"")</f>
        <v/>
      </c>
      <c r="AS509" s="138" t="str">
        <f>IF(Data_Geotech[[#This Row],[FIRS Code]]="R",IFERROR((IF(Data_Geotech[[#This Row],[RQD (%)]]&lt;10,10,Data_Geotech[[#This Row],[RQD (%)]])/Data_Geotech[[#This Row],[Jn rating]])*Data_Geotech[[#This Row],[Jr/Ja]]*Data_Geotech[[#This Row],[Jw/SRF]],""),"")</f>
        <v/>
      </c>
      <c r="AT509" s="12"/>
      <c r="AU509" s="13" t="e">
        <f>100-Data_Geotech[[#This Row],[RQD (%)]]</f>
        <v>#DIV/0!</v>
      </c>
      <c r="AV509" s="13" t="e">
        <f>100-Data_Geotech[[#This Row],[TCR (%)]]</f>
        <v>#DIV/0!</v>
      </c>
      <c r="AW509" s="62" t="e">
        <f>(Data_Geotech[[#This Row],[Fracture per interval]]+Data_Geotech[[#This Row],[Added fractures 
(BC, FLT, LC)]])/Data_Geotech[[#This Row],[TCR (m)]]</f>
        <v>#DIV/0!</v>
      </c>
      <c r="AX509" s="62" t="str">
        <f>MID(Data_Geotech[[#This Row],[Field Intact Rock Strength]],2,1)</f>
        <v/>
      </c>
      <c r="AY509" s="63" t="e">
        <f>7-MID(Data_Geotech[[#This Row],[Field Intact Rock Strength]],2,1)</f>
        <v>#VALUE!</v>
      </c>
      <c r="AZ509" s="63" t="e">
        <f>VLOOKUP(Data_Geotech[[#This Row],[Field Intact Rock Strength]],Table_FieldStrength[],2,FALSE)</f>
        <v>#N/A</v>
      </c>
      <c r="BA509" s="63" t="e">
        <f>VLOOKUP(Data_Geotech[[#This Row],[Field Intact Rock Strength]],Table_FieldStrength[],3,FALSE)</f>
        <v>#N/A</v>
      </c>
      <c r="BB509" s="63" t="e">
        <f>VLOOKUP(Data_Geotech[[#This Row],[Field Intact Rock Strength]],Table_FieldStrength[],4,FALSE)</f>
        <v>#N/A</v>
      </c>
      <c r="BC509" s="63" t="e">
        <f>100-Data_Geotech[[#This Row],[RMR76]]</f>
        <v>#VALUE!</v>
      </c>
      <c r="BD509" s="63" t="e">
        <f>LEFT(Data_Geotech[[#This Row],[Weathering/Alteration]],FIND("-",Data_Geotech[[#This Row],[Weathering/Alteration]])-2)</f>
        <v>#VALUE!</v>
      </c>
    </row>
    <row r="510" spans="1:56" hidden="1" x14ac:dyDescent="0.25">
      <c r="A510" s="14"/>
      <c r="B510" s="166" t="e">
        <f>VLOOKUP(Data_Geotech[[#This Row],[Hole ID]],Data_Log[],2,FALSE)</f>
        <v>#N/A</v>
      </c>
      <c r="C510" s="5"/>
      <c r="D510" s="5"/>
      <c r="E510" s="5">
        <f>(Data_Geotech[[#This Row],[To (m)]]-Data_Geotech[[#This Row],[From (m)]])/2+Data_Geotech[[#This Row],[From (m)]]</f>
        <v>0</v>
      </c>
      <c r="F510" s="13">
        <f>Data_Geotech[[#This Row],[To (m)]]-Data_Geotech[[#This Row],[From (m)]]</f>
        <v>0</v>
      </c>
      <c r="G510" s="5"/>
      <c r="H510" s="13" t="e">
        <f>Data_Geotech[[#This Row],[TCR (m)]]/Data_Geotech[[#This Row],[Run (m)]]*100</f>
        <v>#DIV/0!</v>
      </c>
      <c r="I510" s="5"/>
      <c r="J510" s="5"/>
      <c r="K510" s="5"/>
      <c r="L510" s="13" t="e">
        <f>Data_Geotech[[#This Row],[RQD (m)]]/Data_Geotech[[#This Row],[Run Reel (m)]]*100</f>
        <v>#DIV/0!</v>
      </c>
      <c r="P510" s="115"/>
      <c r="Q510" s="5"/>
      <c r="R510" s="5"/>
      <c r="S510" s="5"/>
      <c r="T510" s="5"/>
      <c r="U510" s="5"/>
      <c r="V510" s="6"/>
      <c r="W510" s="92">
        <f>SUMIFS(Discontinuities!$D$4:$D$9664,Discontinuities!$A$4:$A$9664,A510,Discontinuities!$C$4:$C$9664,"&gt;="&amp;C510,Discontinuities!$C$4:$C$9664,"&lt;"&amp;D510)
-SUMIFS(Discontinuities!$D$4:$D$9664,Discontinuities!$A$4:$A$9664,A510,Discontinuities!$C$4:$C$9664,"&gt;="&amp;C510,Discontinuities!$C$4:$C$9664,"&lt;"&amp;D510,Discontinuities!$E$4:$E$9664,"=BC")
-SUMIFS(Discontinuities!$D$4:$D$9664,Discontinuities!$A$4:$A$9664,A510,Discontinuities!$C$4:$C$9664,"&gt;="&amp;C510,Discontinuities!$C$4:$C$9664,"&lt;"&amp;D510,Discontinuities!$E$4:$E$9664,"=LC")
-SUMIFS(Discontinuities!$D$4:$D$9664,Discontinuities!$A$4:$A$9664,A510,Discontinuities!$C$4:$C$9664,"&gt;="&amp;C510,Discontinuities!$C$4:$C$9664,"&lt;"&amp;D510,Discontinuities!$E$4:$E$9664,"=FLT")</f>
        <v>0</v>
      </c>
      <c r="AA510" s="132"/>
      <c r="AB510" s="159">
        <f>IFERROR(ROUND((Data_Geotech[[#This Row],[Fault (m)]]+Data_Geotech[[#This Row],[Broken Core (m)]]+Data_Geotech[[#This Row],[Lost Core (m)]])*30,0),0)</f>
        <v>0</v>
      </c>
      <c r="AC510" s="135">
        <f>IF(Data_Geotech[[#This Row],[Added fractures 
(BC, FLT, LC)]]+Data_Geotech[[#This Row],[Fracture per interval]]=0,99,1/((Data_Geotech[[#This Row],[Fracture per interval]]+Data_Geotech[[#This Row],[Added fractures 
(BC, FLT, LC)]])/Data_Geotech[[#This Row],[Run (m)]]))</f>
        <v>99</v>
      </c>
      <c r="AD510" s="160" t="str" cm="1">
        <f t="array" ref="AD510">IFERROR(_xlfn.XLOOKUP(1,(A510=PLT!$A$4:$A$8886)*(Geotech!C510&lt;=PLT!$F$4:$F$8886)*(Geotech!D510&gt;=PLT!$F$4:$F$8886)*("Valid"=PLT!$P$4:$P$8886),PLT!$V$4:$V$8886),"")</f>
        <v/>
      </c>
      <c r="AE510" s="161" t="str" cm="1">
        <f t="array" ref="AE510">IFERROR(_xlfn.XLOOKUP(1,(A510=PLT!$A$4:$A$8886)*(Geotech!C510&lt;=PLT!$F$4:$F$8886)*(Geotech!D510&gt;=PLT!$F$4:$F$8886)*(PLT!$V$4:$V$8886&lt;&gt;AD510)*("Valid"=PLT!$P$4:$P$7190),PLT!$V$4:$V$8886),"")</f>
        <v/>
      </c>
      <c r="AF510" s="161" t="str" cm="1">
        <f t="array" ref="AF510">IFERROR(_xlfn.XLOOKUP(1,(A510=PLT!$A$4:$A$8886)*(Geotech!C510&lt;=PLT!$F$4:$F$8886)*(Geotech!D510&gt;=PLT!$F$4:$F$8886)*(PLT!$V$4:$V$8886&lt;&gt;AD510)*(PLT!$V$4:$V$8886&lt;&gt;AE510)*("Valid"=PLT!$P$4:$P$7190),PLT!$V$4:$V$8886),"")</f>
        <v/>
      </c>
      <c r="AG510" s="162" t="str">
        <f>IFERROR(IF(AVERAGE(AD510:AF510)&gt;References!$BO$23,References!$BP$23,
IF(AVERAGE(AD510:AF510)&gt;References!$BO$22,References!$BP$22,
IF(AVERAGE(AD510:AF510)&gt;References!$BO$21,References!$BP$21,
IF(AVERAGE(AD510:AF510)&gt;References!$BO$20,References!$BP$20,
IF(AVERAGE(AD510:AF510)&gt;References!$BO$19,References!$BP$19,
IF(AVERAGE(AD510:AF510)&gt;References!$BO$18,References!$BP$18,
0)))))),"")</f>
        <v/>
      </c>
      <c r="AH510" s="163" t="e">
        <f>VLOOKUP(Data_Geotech[[#This Row],[Field Intact Rock Strength]],Table_RMR76_Strength[],2,FALSE)</f>
        <v>#N/A</v>
      </c>
      <c r="AI510" s="163" t="e">
        <f>IF(Data_Geotech[[#This Row],[RQD (%)]]&lt;=25,3,IF(Data_Geotech[[#This Row],[RQD (%)]]&lt;=50,8,IF(Data_Geotech[[#This Row],[RQD (%)]]&lt;=75,13,IF(Data_Geotech[[#This Row],[RQD (%)]]&lt;=90,17,20))))</f>
        <v>#DIV/0!</v>
      </c>
      <c r="AJ510" s="136">
        <f>IF(Data_Geotech[[#This Row],[Joint spacing (m)]]&lt;=0.05,5,IF(Data_Geotech[[#This Row],[Joint spacing (m)]]&lt;=0.3,10,IF(Data_Geotech[[#This Row],[Joint spacing (m)]]&lt;=1,20,IF(Data_Geotech[[#This Row],[Joint spacing (m)]]&lt;=3,25,30))))</f>
        <v>30</v>
      </c>
      <c r="AK510"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0" s="6"/>
      <c r="AM510" s="137" t="str">
        <f>IF(Data_Geotech[[#This Row],[FIRS Code]]="R",IFERROR(SUM(Data_Geotech[[#This Row],[RMR76 - Strength rating]:[RMR76 - Ground water rating]]),""),"")</f>
        <v/>
      </c>
      <c r="AN510" s="164" t="str">
        <f>IF(Data_Geotech[[#This Row],[FIRS Code]]="R",(2*Data_Geotech[[#This Row],[RMR76 - Joint condition rating]])+(IF(Data_Geotech[[#This Row],[RQD (%)]]&gt;80,80/2,Data_Geotech[[#This Row],[RQD (%)]]/2)),"")</f>
        <v/>
      </c>
      <c r="AO510" s="136" t="e">
        <f>LEFT(Data_Geotech[[#This Row],[Joint Set Rating]],FIND("-",Data_Geotech[[#This Row],[Joint Set Rating]],1)-2)</f>
        <v>#VALUE!</v>
      </c>
      <c r="AP510"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0" s="143">
        <f t="shared" si="12"/>
        <v>1</v>
      </c>
      <c r="AR510" s="165" t="str">
        <f>IF(Data_Geotech[[#This Row],[FIRS Code]]="R",IFERROR((IF(Data_Geotech[[#This Row],[RQD (%)]]&lt;10,10,Data_Geotech[[#This Row],[RQD (%)]])/Data_Geotech[[#This Row],[Jn rating]])*Data_Geotech[[#This Row],[Jr/Ja]],""),"")</f>
        <v/>
      </c>
      <c r="AS510" s="138" t="str">
        <f>IF(Data_Geotech[[#This Row],[FIRS Code]]="R",IFERROR((IF(Data_Geotech[[#This Row],[RQD (%)]]&lt;10,10,Data_Geotech[[#This Row],[RQD (%)]])/Data_Geotech[[#This Row],[Jn rating]])*Data_Geotech[[#This Row],[Jr/Ja]]*Data_Geotech[[#This Row],[Jw/SRF]],""),"")</f>
        <v/>
      </c>
      <c r="AT510" s="12"/>
      <c r="AU510" s="13" t="e">
        <f>100-Data_Geotech[[#This Row],[RQD (%)]]</f>
        <v>#DIV/0!</v>
      </c>
      <c r="AV510" s="13" t="e">
        <f>100-Data_Geotech[[#This Row],[TCR (%)]]</f>
        <v>#DIV/0!</v>
      </c>
      <c r="AW510" s="62" t="e">
        <f>(Data_Geotech[[#This Row],[Fracture per interval]]+Data_Geotech[[#This Row],[Added fractures 
(BC, FLT, LC)]])/Data_Geotech[[#This Row],[TCR (m)]]</f>
        <v>#DIV/0!</v>
      </c>
      <c r="AX510" s="62" t="str">
        <f>MID(Data_Geotech[[#This Row],[Field Intact Rock Strength]],2,1)</f>
        <v/>
      </c>
      <c r="AY510" s="63" t="e">
        <f>7-MID(Data_Geotech[[#This Row],[Field Intact Rock Strength]],2,1)</f>
        <v>#VALUE!</v>
      </c>
      <c r="AZ510" s="63" t="e">
        <f>VLOOKUP(Data_Geotech[[#This Row],[Field Intact Rock Strength]],Table_FieldStrength[],2,FALSE)</f>
        <v>#N/A</v>
      </c>
      <c r="BA510" s="63" t="e">
        <f>VLOOKUP(Data_Geotech[[#This Row],[Field Intact Rock Strength]],Table_FieldStrength[],3,FALSE)</f>
        <v>#N/A</v>
      </c>
      <c r="BB510" s="63" t="e">
        <f>VLOOKUP(Data_Geotech[[#This Row],[Field Intact Rock Strength]],Table_FieldStrength[],4,FALSE)</f>
        <v>#N/A</v>
      </c>
      <c r="BC510" s="63" t="e">
        <f>100-Data_Geotech[[#This Row],[RMR76]]</f>
        <v>#VALUE!</v>
      </c>
      <c r="BD510" s="63" t="e">
        <f>LEFT(Data_Geotech[[#This Row],[Weathering/Alteration]],FIND("-",Data_Geotech[[#This Row],[Weathering/Alteration]])-2)</f>
        <v>#VALUE!</v>
      </c>
    </row>
    <row r="511" spans="1:56" hidden="1" x14ac:dyDescent="0.25">
      <c r="A511" s="14"/>
      <c r="B511" s="166" t="e">
        <f>VLOOKUP(Data_Geotech[[#This Row],[Hole ID]],Data_Log[],2,FALSE)</f>
        <v>#N/A</v>
      </c>
      <c r="C511" s="5"/>
      <c r="D511" s="5"/>
      <c r="E511" s="5">
        <f>(Data_Geotech[[#This Row],[To (m)]]-Data_Geotech[[#This Row],[From (m)]])/2+Data_Geotech[[#This Row],[From (m)]]</f>
        <v>0</v>
      </c>
      <c r="F511" s="13">
        <f>Data_Geotech[[#This Row],[To (m)]]-Data_Geotech[[#This Row],[From (m)]]</f>
        <v>0</v>
      </c>
      <c r="G511" s="5"/>
      <c r="H511" s="13" t="e">
        <f>Data_Geotech[[#This Row],[TCR (m)]]/Data_Geotech[[#This Row],[Run (m)]]*100</f>
        <v>#DIV/0!</v>
      </c>
      <c r="I511" s="5"/>
      <c r="J511" s="5"/>
      <c r="K511" s="5"/>
      <c r="L511" s="13" t="e">
        <f>Data_Geotech[[#This Row],[RQD (m)]]/Data_Geotech[[#This Row],[Run Reel (m)]]*100</f>
        <v>#DIV/0!</v>
      </c>
      <c r="P511" s="115"/>
      <c r="Q511" s="5"/>
      <c r="R511" s="5"/>
      <c r="S511" s="5"/>
      <c r="T511" s="5"/>
      <c r="U511" s="5"/>
      <c r="V511" s="6"/>
      <c r="W511" s="92">
        <f>SUMIFS(Discontinuities!$D$4:$D$9664,Discontinuities!$A$4:$A$9664,A511,Discontinuities!$C$4:$C$9664,"&gt;="&amp;C511,Discontinuities!$C$4:$C$9664,"&lt;"&amp;D511)
-SUMIFS(Discontinuities!$D$4:$D$9664,Discontinuities!$A$4:$A$9664,A511,Discontinuities!$C$4:$C$9664,"&gt;="&amp;C511,Discontinuities!$C$4:$C$9664,"&lt;"&amp;D511,Discontinuities!$E$4:$E$9664,"=BC")
-SUMIFS(Discontinuities!$D$4:$D$9664,Discontinuities!$A$4:$A$9664,A511,Discontinuities!$C$4:$C$9664,"&gt;="&amp;C511,Discontinuities!$C$4:$C$9664,"&lt;"&amp;D511,Discontinuities!$E$4:$E$9664,"=LC")
-SUMIFS(Discontinuities!$D$4:$D$9664,Discontinuities!$A$4:$A$9664,A511,Discontinuities!$C$4:$C$9664,"&gt;="&amp;C511,Discontinuities!$C$4:$C$9664,"&lt;"&amp;D511,Discontinuities!$E$4:$E$9664,"=FLT")</f>
        <v>0</v>
      </c>
      <c r="AA511" s="132"/>
      <c r="AB511" s="159">
        <f>IFERROR(ROUND((Data_Geotech[[#This Row],[Fault (m)]]+Data_Geotech[[#This Row],[Broken Core (m)]]+Data_Geotech[[#This Row],[Lost Core (m)]])*30,0),0)</f>
        <v>0</v>
      </c>
      <c r="AC511" s="135">
        <f>IF(Data_Geotech[[#This Row],[Added fractures 
(BC, FLT, LC)]]+Data_Geotech[[#This Row],[Fracture per interval]]=0,99,1/((Data_Geotech[[#This Row],[Fracture per interval]]+Data_Geotech[[#This Row],[Added fractures 
(BC, FLT, LC)]])/Data_Geotech[[#This Row],[Run (m)]]))</f>
        <v>99</v>
      </c>
      <c r="AD511" s="160" t="str" cm="1">
        <f t="array" ref="AD511">IFERROR(_xlfn.XLOOKUP(1,(A511=PLT!$A$4:$A$8886)*(Geotech!C511&lt;=PLT!$F$4:$F$8886)*(Geotech!D511&gt;=PLT!$F$4:$F$8886)*("Valid"=PLT!$P$4:$P$8886),PLT!$V$4:$V$8886),"")</f>
        <v/>
      </c>
      <c r="AE511" s="161" t="str" cm="1">
        <f t="array" ref="AE511">IFERROR(_xlfn.XLOOKUP(1,(A511=PLT!$A$4:$A$8886)*(Geotech!C511&lt;=PLT!$F$4:$F$8886)*(Geotech!D511&gt;=PLT!$F$4:$F$8886)*(PLT!$V$4:$V$8886&lt;&gt;AD511)*("Valid"=PLT!$P$4:$P$7190),PLT!$V$4:$V$8886),"")</f>
        <v/>
      </c>
      <c r="AF511" s="161" t="str" cm="1">
        <f t="array" ref="AF511">IFERROR(_xlfn.XLOOKUP(1,(A511=PLT!$A$4:$A$8886)*(Geotech!C511&lt;=PLT!$F$4:$F$8886)*(Geotech!D511&gt;=PLT!$F$4:$F$8886)*(PLT!$V$4:$V$8886&lt;&gt;AD511)*(PLT!$V$4:$V$8886&lt;&gt;AE511)*("Valid"=PLT!$P$4:$P$7190),PLT!$V$4:$V$8886),"")</f>
        <v/>
      </c>
      <c r="AG511" s="162" t="str">
        <f>IFERROR(IF(AVERAGE(AD511:AF511)&gt;References!$BO$23,References!$BP$23,
IF(AVERAGE(AD511:AF511)&gt;References!$BO$22,References!$BP$22,
IF(AVERAGE(AD511:AF511)&gt;References!$BO$21,References!$BP$21,
IF(AVERAGE(AD511:AF511)&gt;References!$BO$20,References!$BP$20,
IF(AVERAGE(AD511:AF511)&gt;References!$BO$19,References!$BP$19,
IF(AVERAGE(AD511:AF511)&gt;References!$BO$18,References!$BP$18,
0)))))),"")</f>
        <v/>
      </c>
      <c r="AH511" s="163" t="e">
        <f>VLOOKUP(Data_Geotech[[#This Row],[Field Intact Rock Strength]],Table_RMR76_Strength[],2,FALSE)</f>
        <v>#N/A</v>
      </c>
      <c r="AI511" s="163" t="e">
        <f>IF(Data_Geotech[[#This Row],[RQD (%)]]&lt;=25,3,IF(Data_Geotech[[#This Row],[RQD (%)]]&lt;=50,8,IF(Data_Geotech[[#This Row],[RQD (%)]]&lt;=75,13,IF(Data_Geotech[[#This Row],[RQD (%)]]&lt;=90,17,20))))</f>
        <v>#DIV/0!</v>
      </c>
      <c r="AJ511" s="136">
        <f>IF(Data_Geotech[[#This Row],[Joint spacing (m)]]&lt;=0.05,5,IF(Data_Geotech[[#This Row],[Joint spacing (m)]]&lt;=0.3,10,IF(Data_Geotech[[#This Row],[Joint spacing (m)]]&lt;=1,20,IF(Data_Geotech[[#This Row],[Joint spacing (m)]]&lt;=3,25,30))))</f>
        <v>30</v>
      </c>
      <c r="AK511"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1" s="6"/>
      <c r="AM511" s="137" t="str">
        <f>IF(Data_Geotech[[#This Row],[FIRS Code]]="R",IFERROR(SUM(Data_Geotech[[#This Row],[RMR76 - Strength rating]:[RMR76 - Ground water rating]]),""),"")</f>
        <v/>
      </c>
      <c r="AN511" s="164" t="str">
        <f>IF(Data_Geotech[[#This Row],[FIRS Code]]="R",(2*Data_Geotech[[#This Row],[RMR76 - Joint condition rating]])+(IF(Data_Geotech[[#This Row],[RQD (%)]]&gt;80,80/2,Data_Geotech[[#This Row],[RQD (%)]]/2)),"")</f>
        <v/>
      </c>
      <c r="AO511" s="136" t="e">
        <f>LEFT(Data_Geotech[[#This Row],[Joint Set Rating]],FIND("-",Data_Geotech[[#This Row],[Joint Set Rating]],1)-2)</f>
        <v>#VALUE!</v>
      </c>
      <c r="AP511"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1" s="143">
        <f t="shared" si="12"/>
        <v>1</v>
      </c>
      <c r="AR511" s="165" t="str">
        <f>IF(Data_Geotech[[#This Row],[FIRS Code]]="R",IFERROR((IF(Data_Geotech[[#This Row],[RQD (%)]]&lt;10,10,Data_Geotech[[#This Row],[RQD (%)]])/Data_Geotech[[#This Row],[Jn rating]])*Data_Geotech[[#This Row],[Jr/Ja]],""),"")</f>
        <v/>
      </c>
      <c r="AS511" s="138" t="str">
        <f>IF(Data_Geotech[[#This Row],[FIRS Code]]="R",IFERROR((IF(Data_Geotech[[#This Row],[RQD (%)]]&lt;10,10,Data_Geotech[[#This Row],[RQD (%)]])/Data_Geotech[[#This Row],[Jn rating]])*Data_Geotech[[#This Row],[Jr/Ja]]*Data_Geotech[[#This Row],[Jw/SRF]],""),"")</f>
        <v/>
      </c>
      <c r="AT511" s="12"/>
      <c r="AU511" s="13" t="e">
        <f>100-Data_Geotech[[#This Row],[RQD (%)]]</f>
        <v>#DIV/0!</v>
      </c>
      <c r="AV511" s="13" t="e">
        <f>100-Data_Geotech[[#This Row],[TCR (%)]]</f>
        <v>#DIV/0!</v>
      </c>
      <c r="AW511" s="62" t="e">
        <f>(Data_Geotech[[#This Row],[Fracture per interval]]+Data_Geotech[[#This Row],[Added fractures 
(BC, FLT, LC)]])/Data_Geotech[[#This Row],[TCR (m)]]</f>
        <v>#DIV/0!</v>
      </c>
      <c r="AX511" s="62" t="str">
        <f>MID(Data_Geotech[[#This Row],[Field Intact Rock Strength]],2,1)</f>
        <v/>
      </c>
      <c r="AY511" s="63" t="e">
        <f>7-MID(Data_Geotech[[#This Row],[Field Intact Rock Strength]],2,1)</f>
        <v>#VALUE!</v>
      </c>
      <c r="AZ511" s="63" t="e">
        <f>VLOOKUP(Data_Geotech[[#This Row],[Field Intact Rock Strength]],Table_FieldStrength[],2,FALSE)</f>
        <v>#N/A</v>
      </c>
      <c r="BA511" s="63" t="e">
        <f>VLOOKUP(Data_Geotech[[#This Row],[Field Intact Rock Strength]],Table_FieldStrength[],3,FALSE)</f>
        <v>#N/A</v>
      </c>
      <c r="BB511" s="63" t="e">
        <f>VLOOKUP(Data_Geotech[[#This Row],[Field Intact Rock Strength]],Table_FieldStrength[],4,FALSE)</f>
        <v>#N/A</v>
      </c>
      <c r="BC511" s="63" t="e">
        <f>100-Data_Geotech[[#This Row],[RMR76]]</f>
        <v>#VALUE!</v>
      </c>
      <c r="BD511" s="63" t="e">
        <f>LEFT(Data_Geotech[[#This Row],[Weathering/Alteration]],FIND("-",Data_Geotech[[#This Row],[Weathering/Alteration]])-2)</f>
        <v>#VALUE!</v>
      </c>
    </row>
    <row r="512" spans="1:56" hidden="1" x14ac:dyDescent="0.25">
      <c r="A512" s="14"/>
      <c r="B512" s="166" t="e">
        <f>VLOOKUP(Data_Geotech[[#This Row],[Hole ID]],Data_Log[],2,FALSE)</f>
        <v>#N/A</v>
      </c>
      <c r="C512" s="5"/>
      <c r="D512" s="5"/>
      <c r="E512" s="5">
        <f>(Data_Geotech[[#This Row],[To (m)]]-Data_Geotech[[#This Row],[From (m)]])/2+Data_Geotech[[#This Row],[From (m)]]</f>
        <v>0</v>
      </c>
      <c r="F512" s="13">
        <f>Data_Geotech[[#This Row],[To (m)]]-Data_Geotech[[#This Row],[From (m)]]</f>
        <v>0</v>
      </c>
      <c r="G512" s="5"/>
      <c r="H512" s="13" t="e">
        <f>Data_Geotech[[#This Row],[TCR (m)]]/Data_Geotech[[#This Row],[Run (m)]]*100</f>
        <v>#DIV/0!</v>
      </c>
      <c r="I512" s="5"/>
      <c r="J512" s="5"/>
      <c r="K512" s="5"/>
      <c r="L512" s="13" t="e">
        <f>Data_Geotech[[#This Row],[RQD (m)]]/Data_Geotech[[#This Row],[Run Reel (m)]]*100</f>
        <v>#DIV/0!</v>
      </c>
      <c r="P512" s="115"/>
      <c r="Q512" s="5"/>
      <c r="R512" s="5"/>
      <c r="S512" s="5"/>
      <c r="T512" s="5"/>
      <c r="U512" s="5"/>
      <c r="V512" s="6"/>
      <c r="W512" s="92">
        <f>SUMIFS(Discontinuities!$D$4:$D$9664,Discontinuities!$A$4:$A$9664,A512,Discontinuities!$C$4:$C$9664,"&gt;="&amp;C512,Discontinuities!$C$4:$C$9664,"&lt;"&amp;D512)
-SUMIFS(Discontinuities!$D$4:$D$9664,Discontinuities!$A$4:$A$9664,A512,Discontinuities!$C$4:$C$9664,"&gt;="&amp;C512,Discontinuities!$C$4:$C$9664,"&lt;"&amp;D512,Discontinuities!$E$4:$E$9664,"=BC")
-SUMIFS(Discontinuities!$D$4:$D$9664,Discontinuities!$A$4:$A$9664,A512,Discontinuities!$C$4:$C$9664,"&gt;="&amp;C512,Discontinuities!$C$4:$C$9664,"&lt;"&amp;D512,Discontinuities!$E$4:$E$9664,"=LC")
-SUMIFS(Discontinuities!$D$4:$D$9664,Discontinuities!$A$4:$A$9664,A512,Discontinuities!$C$4:$C$9664,"&gt;="&amp;C512,Discontinuities!$C$4:$C$9664,"&lt;"&amp;D512,Discontinuities!$E$4:$E$9664,"=FLT")</f>
        <v>0</v>
      </c>
      <c r="AA512" s="132"/>
      <c r="AB512" s="159">
        <f>IFERROR(ROUND((Data_Geotech[[#This Row],[Fault (m)]]+Data_Geotech[[#This Row],[Broken Core (m)]]+Data_Geotech[[#This Row],[Lost Core (m)]])*30,0),0)</f>
        <v>0</v>
      </c>
      <c r="AC512" s="135">
        <f>IF(Data_Geotech[[#This Row],[Added fractures 
(BC, FLT, LC)]]+Data_Geotech[[#This Row],[Fracture per interval]]=0,99,1/((Data_Geotech[[#This Row],[Fracture per interval]]+Data_Geotech[[#This Row],[Added fractures 
(BC, FLT, LC)]])/Data_Geotech[[#This Row],[Run (m)]]))</f>
        <v>99</v>
      </c>
      <c r="AD512" s="160" t="str" cm="1">
        <f t="array" ref="AD512">IFERROR(_xlfn.XLOOKUP(1,(A512=PLT!$A$4:$A$8886)*(Geotech!C512&lt;=PLT!$F$4:$F$8886)*(Geotech!D512&gt;=PLT!$F$4:$F$8886)*("Valid"=PLT!$P$4:$P$8886),PLT!$V$4:$V$8886),"")</f>
        <v/>
      </c>
      <c r="AE512" s="161" t="str" cm="1">
        <f t="array" ref="AE512">IFERROR(_xlfn.XLOOKUP(1,(A512=PLT!$A$4:$A$8886)*(Geotech!C512&lt;=PLT!$F$4:$F$8886)*(Geotech!D512&gt;=PLT!$F$4:$F$8886)*(PLT!$V$4:$V$8886&lt;&gt;AD512)*("Valid"=PLT!$P$4:$P$7190),PLT!$V$4:$V$8886),"")</f>
        <v/>
      </c>
      <c r="AF512" s="161" t="str" cm="1">
        <f t="array" ref="AF512">IFERROR(_xlfn.XLOOKUP(1,(A512=PLT!$A$4:$A$8886)*(Geotech!C512&lt;=PLT!$F$4:$F$8886)*(Geotech!D512&gt;=PLT!$F$4:$F$8886)*(PLT!$V$4:$V$8886&lt;&gt;AD512)*(PLT!$V$4:$V$8886&lt;&gt;AE512)*("Valid"=PLT!$P$4:$P$7190),PLT!$V$4:$V$8886),"")</f>
        <v/>
      </c>
      <c r="AG512" s="162" t="str">
        <f>IFERROR(IF(AVERAGE(AD512:AF512)&gt;References!$BO$23,References!$BP$23,
IF(AVERAGE(AD512:AF512)&gt;References!$BO$22,References!$BP$22,
IF(AVERAGE(AD512:AF512)&gt;References!$BO$21,References!$BP$21,
IF(AVERAGE(AD512:AF512)&gt;References!$BO$20,References!$BP$20,
IF(AVERAGE(AD512:AF512)&gt;References!$BO$19,References!$BP$19,
IF(AVERAGE(AD512:AF512)&gt;References!$BO$18,References!$BP$18,
0)))))),"")</f>
        <v/>
      </c>
      <c r="AH512" s="163" t="e">
        <f>VLOOKUP(Data_Geotech[[#This Row],[Field Intact Rock Strength]],Table_RMR76_Strength[],2,FALSE)</f>
        <v>#N/A</v>
      </c>
      <c r="AI512" s="163" t="e">
        <f>IF(Data_Geotech[[#This Row],[RQD (%)]]&lt;=25,3,IF(Data_Geotech[[#This Row],[RQD (%)]]&lt;=50,8,IF(Data_Geotech[[#This Row],[RQD (%)]]&lt;=75,13,IF(Data_Geotech[[#This Row],[RQD (%)]]&lt;=90,17,20))))</f>
        <v>#DIV/0!</v>
      </c>
      <c r="AJ512" s="136">
        <f>IF(Data_Geotech[[#This Row],[Joint spacing (m)]]&lt;=0.05,5,IF(Data_Geotech[[#This Row],[Joint spacing (m)]]&lt;=0.3,10,IF(Data_Geotech[[#This Row],[Joint spacing (m)]]&lt;=1,20,IF(Data_Geotech[[#This Row],[Joint spacing (m)]]&lt;=3,25,30))))</f>
        <v>30</v>
      </c>
      <c r="AK512"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2" s="6"/>
      <c r="AM512" s="137" t="str">
        <f>IF(Data_Geotech[[#This Row],[FIRS Code]]="R",IFERROR(SUM(Data_Geotech[[#This Row],[RMR76 - Strength rating]:[RMR76 - Ground water rating]]),""),"")</f>
        <v/>
      </c>
      <c r="AN512" s="164" t="str">
        <f>IF(Data_Geotech[[#This Row],[FIRS Code]]="R",(2*Data_Geotech[[#This Row],[RMR76 - Joint condition rating]])+(IF(Data_Geotech[[#This Row],[RQD (%)]]&gt;80,80/2,Data_Geotech[[#This Row],[RQD (%)]]/2)),"")</f>
        <v/>
      </c>
      <c r="AO512" s="136" t="e">
        <f>LEFT(Data_Geotech[[#This Row],[Joint Set Rating]],FIND("-",Data_Geotech[[#This Row],[Joint Set Rating]],1)-2)</f>
        <v>#VALUE!</v>
      </c>
      <c r="AP512"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2" s="143">
        <f t="shared" si="12"/>
        <v>1</v>
      </c>
      <c r="AR512" s="165" t="str">
        <f>IF(Data_Geotech[[#This Row],[FIRS Code]]="R",IFERROR((IF(Data_Geotech[[#This Row],[RQD (%)]]&lt;10,10,Data_Geotech[[#This Row],[RQD (%)]])/Data_Geotech[[#This Row],[Jn rating]])*Data_Geotech[[#This Row],[Jr/Ja]],""),"")</f>
        <v/>
      </c>
      <c r="AS512" s="138" t="str">
        <f>IF(Data_Geotech[[#This Row],[FIRS Code]]="R",IFERROR((IF(Data_Geotech[[#This Row],[RQD (%)]]&lt;10,10,Data_Geotech[[#This Row],[RQD (%)]])/Data_Geotech[[#This Row],[Jn rating]])*Data_Geotech[[#This Row],[Jr/Ja]]*Data_Geotech[[#This Row],[Jw/SRF]],""),"")</f>
        <v/>
      </c>
      <c r="AT512" s="12"/>
      <c r="AU512" s="13" t="e">
        <f>100-Data_Geotech[[#This Row],[RQD (%)]]</f>
        <v>#DIV/0!</v>
      </c>
      <c r="AV512" s="13" t="e">
        <f>100-Data_Geotech[[#This Row],[TCR (%)]]</f>
        <v>#DIV/0!</v>
      </c>
      <c r="AW512" s="62" t="e">
        <f>(Data_Geotech[[#This Row],[Fracture per interval]]+Data_Geotech[[#This Row],[Added fractures 
(BC, FLT, LC)]])/Data_Geotech[[#This Row],[TCR (m)]]</f>
        <v>#DIV/0!</v>
      </c>
      <c r="AX512" s="62" t="str">
        <f>MID(Data_Geotech[[#This Row],[Field Intact Rock Strength]],2,1)</f>
        <v/>
      </c>
      <c r="AY512" s="63" t="e">
        <f>7-MID(Data_Geotech[[#This Row],[Field Intact Rock Strength]],2,1)</f>
        <v>#VALUE!</v>
      </c>
      <c r="AZ512" s="63" t="e">
        <f>VLOOKUP(Data_Geotech[[#This Row],[Field Intact Rock Strength]],Table_FieldStrength[],2,FALSE)</f>
        <v>#N/A</v>
      </c>
      <c r="BA512" s="63" t="e">
        <f>VLOOKUP(Data_Geotech[[#This Row],[Field Intact Rock Strength]],Table_FieldStrength[],3,FALSE)</f>
        <v>#N/A</v>
      </c>
      <c r="BB512" s="63" t="e">
        <f>VLOOKUP(Data_Geotech[[#This Row],[Field Intact Rock Strength]],Table_FieldStrength[],4,FALSE)</f>
        <v>#N/A</v>
      </c>
      <c r="BC512" s="63" t="e">
        <f>100-Data_Geotech[[#This Row],[RMR76]]</f>
        <v>#VALUE!</v>
      </c>
      <c r="BD512" s="63" t="e">
        <f>LEFT(Data_Geotech[[#This Row],[Weathering/Alteration]],FIND("-",Data_Geotech[[#This Row],[Weathering/Alteration]])-2)</f>
        <v>#VALUE!</v>
      </c>
    </row>
    <row r="513" spans="1:56" hidden="1" x14ac:dyDescent="0.25">
      <c r="A513" s="14"/>
      <c r="B513" s="166" t="e">
        <f>VLOOKUP(Data_Geotech[[#This Row],[Hole ID]],Data_Log[],2,FALSE)</f>
        <v>#N/A</v>
      </c>
      <c r="C513" s="5"/>
      <c r="D513" s="5"/>
      <c r="E513" s="5">
        <f>(Data_Geotech[[#This Row],[To (m)]]-Data_Geotech[[#This Row],[From (m)]])/2+Data_Geotech[[#This Row],[From (m)]]</f>
        <v>0</v>
      </c>
      <c r="F513" s="13">
        <f>Data_Geotech[[#This Row],[To (m)]]-Data_Geotech[[#This Row],[From (m)]]</f>
        <v>0</v>
      </c>
      <c r="G513" s="5"/>
      <c r="H513" s="13" t="e">
        <f>Data_Geotech[[#This Row],[TCR (m)]]/Data_Geotech[[#This Row],[Run (m)]]*100</f>
        <v>#DIV/0!</v>
      </c>
      <c r="I513" s="5"/>
      <c r="J513" s="5"/>
      <c r="K513" s="5"/>
      <c r="L513" s="13" t="e">
        <f>Data_Geotech[[#This Row],[RQD (m)]]/Data_Geotech[[#This Row],[Run Reel (m)]]*100</f>
        <v>#DIV/0!</v>
      </c>
      <c r="P513" s="115"/>
      <c r="Q513" s="5"/>
      <c r="R513" s="5"/>
      <c r="S513" s="5"/>
      <c r="T513" s="5"/>
      <c r="U513" s="5"/>
      <c r="V513" s="6"/>
      <c r="W513" s="92">
        <f>SUMIFS(Discontinuities!$D$4:$D$9664,Discontinuities!$A$4:$A$9664,A513,Discontinuities!$C$4:$C$9664,"&gt;="&amp;C513,Discontinuities!$C$4:$C$9664,"&lt;"&amp;D513)
-SUMIFS(Discontinuities!$D$4:$D$9664,Discontinuities!$A$4:$A$9664,A513,Discontinuities!$C$4:$C$9664,"&gt;="&amp;C513,Discontinuities!$C$4:$C$9664,"&lt;"&amp;D513,Discontinuities!$E$4:$E$9664,"=BC")
-SUMIFS(Discontinuities!$D$4:$D$9664,Discontinuities!$A$4:$A$9664,A513,Discontinuities!$C$4:$C$9664,"&gt;="&amp;C513,Discontinuities!$C$4:$C$9664,"&lt;"&amp;D513,Discontinuities!$E$4:$E$9664,"=LC")
-SUMIFS(Discontinuities!$D$4:$D$9664,Discontinuities!$A$4:$A$9664,A513,Discontinuities!$C$4:$C$9664,"&gt;="&amp;C513,Discontinuities!$C$4:$C$9664,"&lt;"&amp;D513,Discontinuities!$E$4:$E$9664,"=FLT")</f>
        <v>0</v>
      </c>
      <c r="AA513" s="132"/>
      <c r="AB513" s="159">
        <f>IFERROR(ROUND((Data_Geotech[[#This Row],[Fault (m)]]+Data_Geotech[[#This Row],[Broken Core (m)]]+Data_Geotech[[#This Row],[Lost Core (m)]])*30,0),0)</f>
        <v>0</v>
      </c>
      <c r="AC513" s="135">
        <f>IF(Data_Geotech[[#This Row],[Added fractures 
(BC, FLT, LC)]]+Data_Geotech[[#This Row],[Fracture per interval]]=0,99,1/((Data_Geotech[[#This Row],[Fracture per interval]]+Data_Geotech[[#This Row],[Added fractures 
(BC, FLT, LC)]])/Data_Geotech[[#This Row],[Run (m)]]))</f>
        <v>99</v>
      </c>
      <c r="AD513" s="160" t="str" cm="1">
        <f t="array" ref="AD513">IFERROR(_xlfn.XLOOKUP(1,(A513=PLT!$A$4:$A$8886)*(Geotech!C513&lt;=PLT!$F$4:$F$8886)*(Geotech!D513&gt;=PLT!$F$4:$F$8886)*("Valid"=PLT!$P$4:$P$8886),PLT!$V$4:$V$8886),"")</f>
        <v/>
      </c>
      <c r="AE513" s="161" t="str" cm="1">
        <f t="array" ref="AE513">IFERROR(_xlfn.XLOOKUP(1,(A513=PLT!$A$4:$A$8886)*(Geotech!C513&lt;=PLT!$F$4:$F$8886)*(Geotech!D513&gt;=PLT!$F$4:$F$8886)*(PLT!$V$4:$V$8886&lt;&gt;AD513)*("Valid"=PLT!$P$4:$P$7190),PLT!$V$4:$V$8886),"")</f>
        <v/>
      </c>
      <c r="AF513" s="161" t="str" cm="1">
        <f t="array" ref="AF513">IFERROR(_xlfn.XLOOKUP(1,(A513=PLT!$A$4:$A$8886)*(Geotech!C513&lt;=PLT!$F$4:$F$8886)*(Geotech!D513&gt;=PLT!$F$4:$F$8886)*(PLT!$V$4:$V$8886&lt;&gt;AD513)*(PLT!$V$4:$V$8886&lt;&gt;AE513)*("Valid"=PLT!$P$4:$P$7190),PLT!$V$4:$V$8886),"")</f>
        <v/>
      </c>
      <c r="AG513" s="162" t="str">
        <f>IFERROR(IF(AVERAGE(AD513:AF513)&gt;References!$BO$23,References!$BP$23,
IF(AVERAGE(AD513:AF513)&gt;References!$BO$22,References!$BP$22,
IF(AVERAGE(AD513:AF513)&gt;References!$BO$21,References!$BP$21,
IF(AVERAGE(AD513:AF513)&gt;References!$BO$20,References!$BP$20,
IF(AVERAGE(AD513:AF513)&gt;References!$BO$19,References!$BP$19,
IF(AVERAGE(AD513:AF513)&gt;References!$BO$18,References!$BP$18,
0)))))),"")</f>
        <v/>
      </c>
      <c r="AH513" s="163" t="e">
        <f>VLOOKUP(Data_Geotech[[#This Row],[Field Intact Rock Strength]],Table_RMR76_Strength[],2,FALSE)</f>
        <v>#N/A</v>
      </c>
      <c r="AI513" s="163" t="e">
        <f>IF(Data_Geotech[[#This Row],[RQD (%)]]&lt;=25,3,IF(Data_Geotech[[#This Row],[RQD (%)]]&lt;=50,8,IF(Data_Geotech[[#This Row],[RQD (%)]]&lt;=75,13,IF(Data_Geotech[[#This Row],[RQD (%)]]&lt;=90,17,20))))</f>
        <v>#DIV/0!</v>
      </c>
      <c r="AJ513" s="136">
        <f>IF(Data_Geotech[[#This Row],[Joint spacing (m)]]&lt;=0.05,5,IF(Data_Geotech[[#This Row],[Joint spacing (m)]]&lt;=0.3,10,IF(Data_Geotech[[#This Row],[Joint spacing (m)]]&lt;=1,20,IF(Data_Geotech[[#This Row],[Joint spacing (m)]]&lt;=3,25,30))))</f>
        <v>30</v>
      </c>
      <c r="AK513"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3" s="6"/>
      <c r="AM513" s="137" t="str">
        <f>IF(Data_Geotech[[#This Row],[FIRS Code]]="R",IFERROR(SUM(Data_Geotech[[#This Row],[RMR76 - Strength rating]:[RMR76 - Ground water rating]]),""),"")</f>
        <v/>
      </c>
      <c r="AN513" s="164" t="str">
        <f>IF(Data_Geotech[[#This Row],[FIRS Code]]="R",(2*Data_Geotech[[#This Row],[RMR76 - Joint condition rating]])+(IF(Data_Geotech[[#This Row],[RQD (%)]]&gt;80,80/2,Data_Geotech[[#This Row],[RQD (%)]]/2)),"")</f>
        <v/>
      </c>
      <c r="AO513" s="136" t="e">
        <f>LEFT(Data_Geotech[[#This Row],[Joint Set Rating]],FIND("-",Data_Geotech[[#This Row],[Joint Set Rating]],1)-2)</f>
        <v>#VALUE!</v>
      </c>
      <c r="AP513"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3" s="143">
        <f t="shared" si="12"/>
        <v>1</v>
      </c>
      <c r="AR513" s="165" t="str">
        <f>IF(Data_Geotech[[#This Row],[FIRS Code]]="R",IFERROR((IF(Data_Geotech[[#This Row],[RQD (%)]]&lt;10,10,Data_Geotech[[#This Row],[RQD (%)]])/Data_Geotech[[#This Row],[Jn rating]])*Data_Geotech[[#This Row],[Jr/Ja]],""),"")</f>
        <v/>
      </c>
      <c r="AS513" s="138" t="str">
        <f>IF(Data_Geotech[[#This Row],[FIRS Code]]="R",IFERROR((IF(Data_Geotech[[#This Row],[RQD (%)]]&lt;10,10,Data_Geotech[[#This Row],[RQD (%)]])/Data_Geotech[[#This Row],[Jn rating]])*Data_Geotech[[#This Row],[Jr/Ja]]*Data_Geotech[[#This Row],[Jw/SRF]],""),"")</f>
        <v/>
      </c>
      <c r="AT513" s="12"/>
      <c r="AU513" s="13" t="e">
        <f>100-Data_Geotech[[#This Row],[RQD (%)]]</f>
        <v>#DIV/0!</v>
      </c>
      <c r="AV513" s="13" t="e">
        <f>100-Data_Geotech[[#This Row],[TCR (%)]]</f>
        <v>#DIV/0!</v>
      </c>
      <c r="AW513" s="62" t="e">
        <f>(Data_Geotech[[#This Row],[Fracture per interval]]+Data_Geotech[[#This Row],[Added fractures 
(BC, FLT, LC)]])/Data_Geotech[[#This Row],[TCR (m)]]</f>
        <v>#DIV/0!</v>
      </c>
      <c r="AX513" s="62" t="str">
        <f>MID(Data_Geotech[[#This Row],[Field Intact Rock Strength]],2,1)</f>
        <v/>
      </c>
      <c r="AY513" s="63" t="e">
        <f>7-MID(Data_Geotech[[#This Row],[Field Intact Rock Strength]],2,1)</f>
        <v>#VALUE!</v>
      </c>
      <c r="AZ513" s="63" t="e">
        <f>VLOOKUP(Data_Geotech[[#This Row],[Field Intact Rock Strength]],Table_FieldStrength[],2,FALSE)</f>
        <v>#N/A</v>
      </c>
      <c r="BA513" s="63" t="e">
        <f>VLOOKUP(Data_Geotech[[#This Row],[Field Intact Rock Strength]],Table_FieldStrength[],3,FALSE)</f>
        <v>#N/A</v>
      </c>
      <c r="BB513" s="63" t="e">
        <f>VLOOKUP(Data_Geotech[[#This Row],[Field Intact Rock Strength]],Table_FieldStrength[],4,FALSE)</f>
        <v>#N/A</v>
      </c>
      <c r="BC513" s="63" t="e">
        <f>100-Data_Geotech[[#This Row],[RMR76]]</f>
        <v>#VALUE!</v>
      </c>
      <c r="BD513" s="63" t="e">
        <f>LEFT(Data_Geotech[[#This Row],[Weathering/Alteration]],FIND("-",Data_Geotech[[#This Row],[Weathering/Alteration]])-2)</f>
        <v>#VALUE!</v>
      </c>
    </row>
    <row r="514" spans="1:56" hidden="1" x14ac:dyDescent="0.25">
      <c r="A514" s="14"/>
      <c r="B514" s="166" t="e">
        <f>VLOOKUP(Data_Geotech[[#This Row],[Hole ID]],Data_Log[],2,FALSE)</f>
        <v>#N/A</v>
      </c>
      <c r="C514" s="5"/>
      <c r="D514" s="5"/>
      <c r="E514" s="5">
        <f>(Data_Geotech[[#This Row],[To (m)]]-Data_Geotech[[#This Row],[From (m)]])/2+Data_Geotech[[#This Row],[From (m)]]</f>
        <v>0</v>
      </c>
      <c r="F514" s="13">
        <f>Data_Geotech[[#This Row],[To (m)]]-Data_Geotech[[#This Row],[From (m)]]</f>
        <v>0</v>
      </c>
      <c r="G514" s="5"/>
      <c r="H514" s="13" t="e">
        <f>Data_Geotech[[#This Row],[TCR (m)]]/Data_Geotech[[#This Row],[Run (m)]]*100</f>
        <v>#DIV/0!</v>
      </c>
      <c r="I514" s="5"/>
      <c r="J514" s="5"/>
      <c r="K514" s="5"/>
      <c r="L514" s="13" t="e">
        <f>Data_Geotech[[#This Row],[RQD (m)]]/Data_Geotech[[#This Row],[Run Reel (m)]]*100</f>
        <v>#DIV/0!</v>
      </c>
      <c r="P514" s="115"/>
      <c r="Q514" s="5"/>
      <c r="R514" s="5"/>
      <c r="S514" s="5"/>
      <c r="T514" s="5"/>
      <c r="U514" s="5"/>
      <c r="V514" s="6"/>
      <c r="W514" s="92">
        <f>SUMIFS(Discontinuities!$D$4:$D$9664,Discontinuities!$A$4:$A$9664,A514,Discontinuities!$C$4:$C$9664,"&gt;="&amp;C514,Discontinuities!$C$4:$C$9664,"&lt;"&amp;D514)
-SUMIFS(Discontinuities!$D$4:$D$9664,Discontinuities!$A$4:$A$9664,A514,Discontinuities!$C$4:$C$9664,"&gt;="&amp;C514,Discontinuities!$C$4:$C$9664,"&lt;"&amp;D514,Discontinuities!$E$4:$E$9664,"=BC")
-SUMIFS(Discontinuities!$D$4:$D$9664,Discontinuities!$A$4:$A$9664,A514,Discontinuities!$C$4:$C$9664,"&gt;="&amp;C514,Discontinuities!$C$4:$C$9664,"&lt;"&amp;D514,Discontinuities!$E$4:$E$9664,"=LC")
-SUMIFS(Discontinuities!$D$4:$D$9664,Discontinuities!$A$4:$A$9664,A514,Discontinuities!$C$4:$C$9664,"&gt;="&amp;C514,Discontinuities!$C$4:$C$9664,"&lt;"&amp;D514,Discontinuities!$E$4:$E$9664,"=FLT")</f>
        <v>0</v>
      </c>
      <c r="AA514" s="132"/>
      <c r="AB514" s="159">
        <f>IFERROR(ROUND((Data_Geotech[[#This Row],[Fault (m)]]+Data_Geotech[[#This Row],[Broken Core (m)]]+Data_Geotech[[#This Row],[Lost Core (m)]])*30,0),0)</f>
        <v>0</v>
      </c>
      <c r="AC514" s="135">
        <f>IF(Data_Geotech[[#This Row],[Added fractures 
(BC, FLT, LC)]]+Data_Geotech[[#This Row],[Fracture per interval]]=0,99,1/((Data_Geotech[[#This Row],[Fracture per interval]]+Data_Geotech[[#This Row],[Added fractures 
(BC, FLT, LC)]])/Data_Geotech[[#This Row],[Run (m)]]))</f>
        <v>99</v>
      </c>
      <c r="AD514" s="160" t="str" cm="1">
        <f t="array" ref="AD514">IFERROR(_xlfn.XLOOKUP(1,(A514=PLT!$A$4:$A$8886)*(Geotech!C514&lt;=PLT!$F$4:$F$8886)*(Geotech!D514&gt;=PLT!$F$4:$F$8886)*("Valid"=PLT!$P$4:$P$8886),PLT!$V$4:$V$8886),"")</f>
        <v/>
      </c>
      <c r="AE514" s="161" t="str" cm="1">
        <f t="array" ref="AE514">IFERROR(_xlfn.XLOOKUP(1,(A514=PLT!$A$4:$A$8886)*(Geotech!C514&lt;=PLT!$F$4:$F$8886)*(Geotech!D514&gt;=PLT!$F$4:$F$8886)*(PLT!$V$4:$V$8886&lt;&gt;AD514)*("Valid"=PLT!$P$4:$P$7190),PLT!$V$4:$V$8886),"")</f>
        <v/>
      </c>
      <c r="AF514" s="161" t="str" cm="1">
        <f t="array" ref="AF514">IFERROR(_xlfn.XLOOKUP(1,(A514=PLT!$A$4:$A$8886)*(Geotech!C514&lt;=PLT!$F$4:$F$8886)*(Geotech!D514&gt;=PLT!$F$4:$F$8886)*(PLT!$V$4:$V$8886&lt;&gt;AD514)*(PLT!$V$4:$V$8886&lt;&gt;AE514)*("Valid"=PLT!$P$4:$P$7190),PLT!$V$4:$V$8886),"")</f>
        <v/>
      </c>
      <c r="AG514" s="162" t="str">
        <f>IFERROR(IF(AVERAGE(AD514:AF514)&gt;References!$BO$23,References!$BP$23,
IF(AVERAGE(AD514:AF514)&gt;References!$BO$22,References!$BP$22,
IF(AVERAGE(AD514:AF514)&gt;References!$BO$21,References!$BP$21,
IF(AVERAGE(AD514:AF514)&gt;References!$BO$20,References!$BP$20,
IF(AVERAGE(AD514:AF514)&gt;References!$BO$19,References!$BP$19,
IF(AVERAGE(AD514:AF514)&gt;References!$BO$18,References!$BP$18,
0)))))),"")</f>
        <v/>
      </c>
      <c r="AH514" s="163" t="e">
        <f>VLOOKUP(Data_Geotech[[#This Row],[Field Intact Rock Strength]],Table_RMR76_Strength[],2,FALSE)</f>
        <v>#N/A</v>
      </c>
      <c r="AI514" s="163" t="e">
        <f>IF(Data_Geotech[[#This Row],[RQD (%)]]&lt;=25,3,IF(Data_Geotech[[#This Row],[RQD (%)]]&lt;=50,8,IF(Data_Geotech[[#This Row],[RQD (%)]]&lt;=75,13,IF(Data_Geotech[[#This Row],[RQD (%)]]&lt;=90,17,20))))</f>
        <v>#DIV/0!</v>
      </c>
      <c r="AJ514" s="136">
        <f>IF(Data_Geotech[[#This Row],[Joint spacing (m)]]&lt;=0.05,5,IF(Data_Geotech[[#This Row],[Joint spacing (m)]]&lt;=0.3,10,IF(Data_Geotech[[#This Row],[Joint spacing (m)]]&lt;=1,20,IF(Data_Geotech[[#This Row],[Joint spacing (m)]]&lt;=3,25,30))))</f>
        <v>30</v>
      </c>
      <c r="AK514"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4" s="6"/>
      <c r="AM514" s="137" t="str">
        <f>IF(Data_Geotech[[#This Row],[FIRS Code]]="R",IFERROR(SUM(Data_Geotech[[#This Row],[RMR76 - Strength rating]:[RMR76 - Ground water rating]]),""),"")</f>
        <v/>
      </c>
      <c r="AN514" s="164" t="str">
        <f>IF(Data_Geotech[[#This Row],[FIRS Code]]="R",(2*Data_Geotech[[#This Row],[RMR76 - Joint condition rating]])+(IF(Data_Geotech[[#This Row],[RQD (%)]]&gt;80,80/2,Data_Geotech[[#This Row],[RQD (%)]]/2)),"")</f>
        <v/>
      </c>
      <c r="AO514" s="136" t="e">
        <f>LEFT(Data_Geotech[[#This Row],[Joint Set Rating]],FIND("-",Data_Geotech[[#This Row],[Joint Set Rating]],1)-2)</f>
        <v>#VALUE!</v>
      </c>
      <c r="AP514"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4" s="143">
        <f t="shared" si="12"/>
        <v>1</v>
      </c>
      <c r="AR514" s="165" t="str">
        <f>IF(Data_Geotech[[#This Row],[FIRS Code]]="R",IFERROR((IF(Data_Geotech[[#This Row],[RQD (%)]]&lt;10,10,Data_Geotech[[#This Row],[RQD (%)]])/Data_Geotech[[#This Row],[Jn rating]])*Data_Geotech[[#This Row],[Jr/Ja]],""),"")</f>
        <v/>
      </c>
      <c r="AS514" s="138" t="str">
        <f>IF(Data_Geotech[[#This Row],[FIRS Code]]="R",IFERROR((IF(Data_Geotech[[#This Row],[RQD (%)]]&lt;10,10,Data_Geotech[[#This Row],[RQD (%)]])/Data_Geotech[[#This Row],[Jn rating]])*Data_Geotech[[#This Row],[Jr/Ja]]*Data_Geotech[[#This Row],[Jw/SRF]],""),"")</f>
        <v/>
      </c>
      <c r="AT514" s="12"/>
      <c r="AU514" s="13" t="e">
        <f>100-Data_Geotech[[#This Row],[RQD (%)]]</f>
        <v>#DIV/0!</v>
      </c>
      <c r="AV514" s="13" t="e">
        <f>100-Data_Geotech[[#This Row],[TCR (%)]]</f>
        <v>#DIV/0!</v>
      </c>
      <c r="AW514" s="62" t="e">
        <f>(Data_Geotech[[#This Row],[Fracture per interval]]+Data_Geotech[[#This Row],[Added fractures 
(BC, FLT, LC)]])/Data_Geotech[[#This Row],[TCR (m)]]</f>
        <v>#DIV/0!</v>
      </c>
      <c r="AX514" s="62" t="str">
        <f>MID(Data_Geotech[[#This Row],[Field Intact Rock Strength]],2,1)</f>
        <v/>
      </c>
      <c r="AY514" s="63" t="e">
        <f>7-MID(Data_Geotech[[#This Row],[Field Intact Rock Strength]],2,1)</f>
        <v>#VALUE!</v>
      </c>
      <c r="AZ514" s="63" t="e">
        <f>VLOOKUP(Data_Geotech[[#This Row],[Field Intact Rock Strength]],Table_FieldStrength[],2,FALSE)</f>
        <v>#N/A</v>
      </c>
      <c r="BA514" s="63" t="e">
        <f>VLOOKUP(Data_Geotech[[#This Row],[Field Intact Rock Strength]],Table_FieldStrength[],3,FALSE)</f>
        <v>#N/A</v>
      </c>
      <c r="BB514" s="63" t="e">
        <f>VLOOKUP(Data_Geotech[[#This Row],[Field Intact Rock Strength]],Table_FieldStrength[],4,FALSE)</f>
        <v>#N/A</v>
      </c>
      <c r="BC514" s="63" t="e">
        <f>100-Data_Geotech[[#This Row],[RMR76]]</f>
        <v>#VALUE!</v>
      </c>
      <c r="BD514" s="63" t="e">
        <f>LEFT(Data_Geotech[[#This Row],[Weathering/Alteration]],FIND("-",Data_Geotech[[#This Row],[Weathering/Alteration]])-2)</f>
        <v>#VALUE!</v>
      </c>
    </row>
    <row r="515" spans="1:56" hidden="1" x14ac:dyDescent="0.25">
      <c r="A515" s="14"/>
      <c r="B515" s="166" t="e">
        <f>VLOOKUP(Data_Geotech[[#This Row],[Hole ID]],Data_Log[],2,FALSE)</f>
        <v>#N/A</v>
      </c>
      <c r="C515" s="5"/>
      <c r="D515" s="5"/>
      <c r="E515" s="5">
        <f>(Data_Geotech[[#This Row],[To (m)]]-Data_Geotech[[#This Row],[From (m)]])/2+Data_Geotech[[#This Row],[From (m)]]</f>
        <v>0</v>
      </c>
      <c r="F515" s="13">
        <f>Data_Geotech[[#This Row],[To (m)]]-Data_Geotech[[#This Row],[From (m)]]</f>
        <v>0</v>
      </c>
      <c r="G515" s="5"/>
      <c r="H515" s="13" t="e">
        <f>Data_Geotech[[#This Row],[TCR (m)]]/Data_Geotech[[#This Row],[Run (m)]]*100</f>
        <v>#DIV/0!</v>
      </c>
      <c r="I515" s="5"/>
      <c r="J515" s="5"/>
      <c r="K515" s="5"/>
      <c r="L515" s="13" t="e">
        <f>Data_Geotech[[#This Row],[RQD (m)]]/Data_Geotech[[#This Row],[Run Reel (m)]]*100</f>
        <v>#DIV/0!</v>
      </c>
      <c r="P515" s="115"/>
      <c r="Q515" s="5"/>
      <c r="R515" s="5"/>
      <c r="S515" s="5"/>
      <c r="T515" s="5"/>
      <c r="U515" s="5"/>
      <c r="V515" s="6"/>
      <c r="W515" s="92">
        <f>SUMIFS(Discontinuities!$D$4:$D$9664,Discontinuities!$A$4:$A$9664,A515,Discontinuities!$C$4:$C$9664,"&gt;="&amp;C515,Discontinuities!$C$4:$C$9664,"&lt;"&amp;D515)
-SUMIFS(Discontinuities!$D$4:$D$9664,Discontinuities!$A$4:$A$9664,A515,Discontinuities!$C$4:$C$9664,"&gt;="&amp;C515,Discontinuities!$C$4:$C$9664,"&lt;"&amp;D515,Discontinuities!$E$4:$E$9664,"=BC")
-SUMIFS(Discontinuities!$D$4:$D$9664,Discontinuities!$A$4:$A$9664,A515,Discontinuities!$C$4:$C$9664,"&gt;="&amp;C515,Discontinuities!$C$4:$C$9664,"&lt;"&amp;D515,Discontinuities!$E$4:$E$9664,"=LC")
-SUMIFS(Discontinuities!$D$4:$D$9664,Discontinuities!$A$4:$A$9664,A515,Discontinuities!$C$4:$C$9664,"&gt;="&amp;C515,Discontinuities!$C$4:$C$9664,"&lt;"&amp;D515,Discontinuities!$E$4:$E$9664,"=FLT")</f>
        <v>0</v>
      </c>
      <c r="AA515" s="132"/>
      <c r="AB515" s="159">
        <f>IFERROR(ROUND((Data_Geotech[[#This Row],[Fault (m)]]+Data_Geotech[[#This Row],[Broken Core (m)]]+Data_Geotech[[#This Row],[Lost Core (m)]])*30,0),0)</f>
        <v>0</v>
      </c>
      <c r="AC515" s="135">
        <f>IF(Data_Geotech[[#This Row],[Added fractures 
(BC, FLT, LC)]]+Data_Geotech[[#This Row],[Fracture per interval]]=0,99,1/((Data_Geotech[[#This Row],[Fracture per interval]]+Data_Geotech[[#This Row],[Added fractures 
(BC, FLT, LC)]])/Data_Geotech[[#This Row],[Run (m)]]))</f>
        <v>99</v>
      </c>
      <c r="AD515" s="160" t="str" cm="1">
        <f t="array" ref="AD515">IFERROR(_xlfn.XLOOKUP(1,(A515=PLT!$A$4:$A$8886)*(Geotech!C515&lt;=PLT!$F$4:$F$8886)*(Geotech!D515&gt;=PLT!$F$4:$F$8886)*("Valid"=PLT!$P$4:$P$8886),PLT!$V$4:$V$8886),"")</f>
        <v/>
      </c>
      <c r="AE515" s="161" t="str" cm="1">
        <f t="array" ref="AE515">IFERROR(_xlfn.XLOOKUP(1,(A515=PLT!$A$4:$A$8886)*(Geotech!C515&lt;=PLT!$F$4:$F$8886)*(Geotech!D515&gt;=PLT!$F$4:$F$8886)*(PLT!$V$4:$V$8886&lt;&gt;AD515)*("Valid"=PLT!$P$4:$P$7190),PLT!$V$4:$V$8886),"")</f>
        <v/>
      </c>
      <c r="AF515" s="161" t="str" cm="1">
        <f t="array" ref="AF515">IFERROR(_xlfn.XLOOKUP(1,(A515=PLT!$A$4:$A$8886)*(Geotech!C515&lt;=PLT!$F$4:$F$8886)*(Geotech!D515&gt;=PLT!$F$4:$F$8886)*(PLT!$V$4:$V$8886&lt;&gt;AD515)*(PLT!$V$4:$V$8886&lt;&gt;AE515)*("Valid"=PLT!$P$4:$P$7190),PLT!$V$4:$V$8886),"")</f>
        <v/>
      </c>
      <c r="AG515" s="162" t="str">
        <f>IFERROR(IF(AVERAGE(AD515:AF515)&gt;References!$BO$23,References!$BP$23,
IF(AVERAGE(AD515:AF515)&gt;References!$BO$22,References!$BP$22,
IF(AVERAGE(AD515:AF515)&gt;References!$BO$21,References!$BP$21,
IF(AVERAGE(AD515:AF515)&gt;References!$BO$20,References!$BP$20,
IF(AVERAGE(AD515:AF515)&gt;References!$BO$19,References!$BP$19,
IF(AVERAGE(AD515:AF515)&gt;References!$BO$18,References!$BP$18,
0)))))),"")</f>
        <v/>
      </c>
      <c r="AH515" s="163" t="e">
        <f>VLOOKUP(Data_Geotech[[#This Row],[Field Intact Rock Strength]],Table_RMR76_Strength[],2,FALSE)</f>
        <v>#N/A</v>
      </c>
      <c r="AI515" s="163" t="e">
        <f>IF(Data_Geotech[[#This Row],[RQD (%)]]&lt;=25,3,IF(Data_Geotech[[#This Row],[RQD (%)]]&lt;=50,8,IF(Data_Geotech[[#This Row],[RQD (%)]]&lt;=75,13,IF(Data_Geotech[[#This Row],[RQD (%)]]&lt;=90,17,20))))</f>
        <v>#DIV/0!</v>
      </c>
      <c r="AJ515" s="136">
        <f>IF(Data_Geotech[[#This Row],[Joint spacing (m)]]&lt;=0.05,5,IF(Data_Geotech[[#This Row],[Joint spacing (m)]]&lt;=0.3,10,IF(Data_Geotech[[#This Row],[Joint spacing (m)]]&lt;=1,20,IF(Data_Geotech[[#This Row],[Joint spacing (m)]]&lt;=3,25,30))))</f>
        <v>30</v>
      </c>
      <c r="AK515"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5" s="6"/>
      <c r="AM515" s="137" t="str">
        <f>IF(Data_Geotech[[#This Row],[FIRS Code]]="R",IFERROR(SUM(Data_Geotech[[#This Row],[RMR76 - Strength rating]:[RMR76 - Ground water rating]]),""),"")</f>
        <v/>
      </c>
      <c r="AN515" s="164" t="str">
        <f>IF(Data_Geotech[[#This Row],[FIRS Code]]="R",(2*Data_Geotech[[#This Row],[RMR76 - Joint condition rating]])+(IF(Data_Geotech[[#This Row],[RQD (%)]]&gt;80,80/2,Data_Geotech[[#This Row],[RQD (%)]]/2)),"")</f>
        <v/>
      </c>
      <c r="AO515" s="136" t="e">
        <f>LEFT(Data_Geotech[[#This Row],[Joint Set Rating]],FIND("-",Data_Geotech[[#This Row],[Joint Set Rating]],1)-2)</f>
        <v>#VALUE!</v>
      </c>
      <c r="AP515"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5" s="143">
        <f t="shared" si="12"/>
        <v>1</v>
      </c>
      <c r="AR515" s="165" t="str">
        <f>IF(Data_Geotech[[#This Row],[FIRS Code]]="R",IFERROR((IF(Data_Geotech[[#This Row],[RQD (%)]]&lt;10,10,Data_Geotech[[#This Row],[RQD (%)]])/Data_Geotech[[#This Row],[Jn rating]])*Data_Geotech[[#This Row],[Jr/Ja]],""),"")</f>
        <v/>
      </c>
      <c r="AS515" s="138" t="str">
        <f>IF(Data_Geotech[[#This Row],[FIRS Code]]="R",IFERROR((IF(Data_Geotech[[#This Row],[RQD (%)]]&lt;10,10,Data_Geotech[[#This Row],[RQD (%)]])/Data_Geotech[[#This Row],[Jn rating]])*Data_Geotech[[#This Row],[Jr/Ja]]*Data_Geotech[[#This Row],[Jw/SRF]],""),"")</f>
        <v/>
      </c>
      <c r="AT515" s="12"/>
      <c r="AU515" s="13" t="e">
        <f>100-Data_Geotech[[#This Row],[RQD (%)]]</f>
        <v>#DIV/0!</v>
      </c>
      <c r="AV515" s="13" t="e">
        <f>100-Data_Geotech[[#This Row],[TCR (%)]]</f>
        <v>#DIV/0!</v>
      </c>
      <c r="AW515" s="62" t="e">
        <f>(Data_Geotech[[#This Row],[Fracture per interval]]+Data_Geotech[[#This Row],[Added fractures 
(BC, FLT, LC)]])/Data_Geotech[[#This Row],[TCR (m)]]</f>
        <v>#DIV/0!</v>
      </c>
      <c r="AX515" s="62" t="str">
        <f>MID(Data_Geotech[[#This Row],[Field Intact Rock Strength]],2,1)</f>
        <v/>
      </c>
      <c r="AY515" s="63" t="e">
        <f>7-MID(Data_Geotech[[#This Row],[Field Intact Rock Strength]],2,1)</f>
        <v>#VALUE!</v>
      </c>
      <c r="AZ515" s="63" t="e">
        <f>VLOOKUP(Data_Geotech[[#This Row],[Field Intact Rock Strength]],Table_FieldStrength[],2,FALSE)</f>
        <v>#N/A</v>
      </c>
      <c r="BA515" s="63" t="e">
        <f>VLOOKUP(Data_Geotech[[#This Row],[Field Intact Rock Strength]],Table_FieldStrength[],3,FALSE)</f>
        <v>#N/A</v>
      </c>
      <c r="BB515" s="63" t="e">
        <f>VLOOKUP(Data_Geotech[[#This Row],[Field Intact Rock Strength]],Table_FieldStrength[],4,FALSE)</f>
        <v>#N/A</v>
      </c>
      <c r="BC515" s="63" t="e">
        <f>100-Data_Geotech[[#This Row],[RMR76]]</f>
        <v>#VALUE!</v>
      </c>
      <c r="BD515" s="63" t="e">
        <f>LEFT(Data_Geotech[[#This Row],[Weathering/Alteration]],FIND("-",Data_Geotech[[#This Row],[Weathering/Alteration]])-2)</f>
        <v>#VALUE!</v>
      </c>
    </row>
    <row r="516" spans="1:56" hidden="1" x14ac:dyDescent="0.25">
      <c r="A516" s="14"/>
      <c r="B516" s="166" t="e">
        <f>VLOOKUP(Data_Geotech[[#This Row],[Hole ID]],Data_Log[],2,FALSE)</f>
        <v>#N/A</v>
      </c>
      <c r="C516" s="5"/>
      <c r="D516" s="5"/>
      <c r="E516" s="5">
        <f>(Data_Geotech[[#This Row],[To (m)]]-Data_Geotech[[#This Row],[From (m)]])/2+Data_Geotech[[#This Row],[From (m)]]</f>
        <v>0</v>
      </c>
      <c r="F516" s="13">
        <f>Data_Geotech[[#This Row],[To (m)]]-Data_Geotech[[#This Row],[From (m)]]</f>
        <v>0</v>
      </c>
      <c r="G516" s="5"/>
      <c r="H516" s="13" t="e">
        <f>Data_Geotech[[#This Row],[TCR (m)]]/Data_Geotech[[#This Row],[Run (m)]]*100</f>
        <v>#DIV/0!</v>
      </c>
      <c r="I516" s="5"/>
      <c r="J516" s="5"/>
      <c r="K516" s="5"/>
      <c r="L516" s="13" t="e">
        <f>Data_Geotech[[#This Row],[RQD (m)]]/Data_Geotech[[#This Row],[Run Reel (m)]]*100</f>
        <v>#DIV/0!</v>
      </c>
      <c r="P516" s="115"/>
      <c r="Q516" s="5"/>
      <c r="R516" s="5"/>
      <c r="S516" s="5"/>
      <c r="T516" s="5"/>
      <c r="U516" s="5"/>
      <c r="V516" s="6"/>
      <c r="W516" s="92">
        <f>SUMIFS(Discontinuities!$D$4:$D$9664,Discontinuities!$A$4:$A$9664,A516,Discontinuities!$C$4:$C$9664,"&gt;="&amp;C516,Discontinuities!$C$4:$C$9664,"&lt;"&amp;D516)
-SUMIFS(Discontinuities!$D$4:$D$9664,Discontinuities!$A$4:$A$9664,A516,Discontinuities!$C$4:$C$9664,"&gt;="&amp;C516,Discontinuities!$C$4:$C$9664,"&lt;"&amp;D516,Discontinuities!$E$4:$E$9664,"=BC")
-SUMIFS(Discontinuities!$D$4:$D$9664,Discontinuities!$A$4:$A$9664,A516,Discontinuities!$C$4:$C$9664,"&gt;="&amp;C516,Discontinuities!$C$4:$C$9664,"&lt;"&amp;D516,Discontinuities!$E$4:$E$9664,"=LC")
-SUMIFS(Discontinuities!$D$4:$D$9664,Discontinuities!$A$4:$A$9664,A516,Discontinuities!$C$4:$C$9664,"&gt;="&amp;C516,Discontinuities!$C$4:$C$9664,"&lt;"&amp;D516,Discontinuities!$E$4:$E$9664,"=FLT")</f>
        <v>0</v>
      </c>
      <c r="AA516" s="132"/>
      <c r="AB516" s="159">
        <f>IFERROR(ROUND((Data_Geotech[[#This Row],[Fault (m)]]+Data_Geotech[[#This Row],[Broken Core (m)]]+Data_Geotech[[#This Row],[Lost Core (m)]])*30,0),0)</f>
        <v>0</v>
      </c>
      <c r="AC516" s="135">
        <f>IF(Data_Geotech[[#This Row],[Added fractures 
(BC, FLT, LC)]]+Data_Geotech[[#This Row],[Fracture per interval]]=0,99,1/((Data_Geotech[[#This Row],[Fracture per interval]]+Data_Geotech[[#This Row],[Added fractures 
(BC, FLT, LC)]])/Data_Geotech[[#This Row],[Run (m)]]))</f>
        <v>99</v>
      </c>
      <c r="AD516" s="160" t="str" cm="1">
        <f t="array" ref="AD516">IFERROR(_xlfn.XLOOKUP(1,(A516=PLT!$A$4:$A$8886)*(Geotech!C516&lt;=PLT!$F$4:$F$8886)*(Geotech!D516&gt;=PLT!$F$4:$F$8886)*("Valid"=PLT!$P$4:$P$8886),PLT!$V$4:$V$8886),"")</f>
        <v/>
      </c>
      <c r="AE516" s="161" t="str" cm="1">
        <f t="array" ref="AE516">IFERROR(_xlfn.XLOOKUP(1,(A516=PLT!$A$4:$A$8886)*(Geotech!C516&lt;=PLT!$F$4:$F$8886)*(Geotech!D516&gt;=PLT!$F$4:$F$8886)*(PLT!$V$4:$V$8886&lt;&gt;AD516)*("Valid"=PLT!$P$4:$P$7190),PLT!$V$4:$V$8886),"")</f>
        <v/>
      </c>
      <c r="AF516" s="161" t="str" cm="1">
        <f t="array" ref="AF516">IFERROR(_xlfn.XLOOKUP(1,(A516=PLT!$A$4:$A$8886)*(Geotech!C516&lt;=PLT!$F$4:$F$8886)*(Geotech!D516&gt;=PLT!$F$4:$F$8886)*(PLT!$V$4:$V$8886&lt;&gt;AD516)*(PLT!$V$4:$V$8886&lt;&gt;AE516)*("Valid"=PLT!$P$4:$P$7190),PLT!$V$4:$V$8886),"")</f>
        <v/>
      </c>
      <c r="AG516" s="162" t="str">
        <f>IFERROR(IF(AVERAGE(AD516:AF516)&gt;References!$BO$23,References!$BP$23,
IF(AVERAGE(AD516:AF516)&gt;References!$BO$22,References!$BP$22,
IF(AVERAGE(AD516:AF516)&gt;References!$BO$21,References!$BP$21,
IF(AVERAGE(AD516:AF516)&gt;References!$BO$20,References!$BP$20,
IF(AVERAGE(AD516:AF516)&gt;References!$BO$19,References!$BP$19,
IF(AVERAGE(AD516:AF516)&gt;References!$BO$18,References!$BP$18,
0)))))),"")</f>
        <v/>
      </c>
      <c r="AH516" s="163" t="e">
        <f>VLOOKUP(Data_Geotech[[#This Row],[Field Intact Rock Strength]],Table_RMR76_Strength[],2,FALSE)</f>
        <v>#N/A</v>
      </c>
      <c r="AI516" s="163" t="e">
        <f>IF(Data_Geotech[[#This Row],[RQD (%)]]&lt;=25,3,IF(Data_Geotech[[#This Row],[RQD (%)]]&lt;=50,8,IF(Data_Geotech[[#This Row],[RQD (%)]]&lt;=75,13,IF(Data_Geotech[[#This Row],[RQD (%)]]&lt;=90,17,20))))</f>
        <v>#DIV/0!</v>
      </c>
      <c r="AJ516" s="136">
        <f>IF(Data_Geotech[[#This Row],[Joint spacing (m)]]&lt;=0.05,5,IF(Data_Geotech[[#This Row],[Joint spacing (m)]]&lt;=0.3,10,IF(Data_Geotech[[#This Row],[Joint spacing (m)]]&lt;=1,20,IF(Data_Geotech[[#This Row],[Joint spacing (m)]]&lt;=3,25,30))))</f>
        <v>30</v>
      </c>
      <c r="AK516"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6" s="6"/>
      <c r="AM516" s="137" t="str">
        <f>IF(Data_Geotech[[#This Row],[FIRS Code]]="R",IFERROR(SUM(Data_Geotech[[#This Row],[RMR76 - Strength rating]:[RMR76 - Ground water rating]]),""),"")</f>
        <v/>
      </c>
      <c r="AN516" s="164" t="str">
        <f>IF(Data_Geotech[[#This Row],[FIRS Code]]="R",(2*Data_Geotech[[#This Row],[RMR76 - Joint condition rating]])+(IF(Data_Geotech[[#This Row],[RQD (%)]]&gt;80,80/2,Data_Geotech[[#This Row],[RQD (%)]]/2)),"")</f>
        <v/>
      </c>
      <c r="AO516" s="136" t="e">
        <f>LEFT(Data_Geotech[[#This Row],[Joint Set Rating]],FIND("-",Data_Geotech[[#This Row],[Joint Set Rating]],1)-2)</f>
        <v>#VALUE!</v>
      </c>
      <c r="AP516"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6" s="143">
        <f t="shared" si="12"/>
        <v>1</v>
      </c>
      <c r="AR516" s="165" t="str">
        <f>IF(Data_Geotech[[#This Row],[FIRS Code]]="R",IFERROR((IF(Data_Geotech[[#This Row],[RQD (%)]]&lt;10,10,Data_Geotech[[#This Row],[RQD (%)]])/Data_Geotech[[#This Row],[Jn rating]])*Data_Geotech[[#This Row],[Jr/Ja]],""),"")</f>
        <v/>
      </c>
      <c r="AS516" s="138" t="str">
        <f>IF(Data_Geotech[[#This Row],[FIRS Code]]="R",IFERROR((IF(Data_Geotech[[#This Row],[RQD (%)]]&lt;10,10,Data_Geotech[[#This Row],[RQD (%)]])/Data_Geotech[[#This Row],[Jn rating]])*Data_Geotech[[#This Row],[Jr/Ja]]*Data_Geotech[[#This Row],[Jw/SRF]],""),"")</f>
        <v/>
      </c>
      <c r="AT516" s="12"/>
      <c r="AU516" s="13" t="e">
        <f>100-Data_Geotech[[#This Row],[RQD (%)]]</f>
        <v>#DIV/0!</v>
      </c>
      <c r="AV516" s="13" t="e">
        <f>100-Data_Geotech[[#This Row],[TCR (%)]]</f>
        <v>#DIV/0!</v>
      </c>
      <c r="AW516" s="62" t="e">
        <f>(Data_Geotech[[#This Row],[Fracture per interval]]+Data_Geotech[[#This Row],[Added fractures 
(BC, FLT, LC)]])/Data_Geotech[[#This Row],[TCR (m)]]</f>
        <v>#DIV/0!</v>
      </c>
      <c r="AX516" s="62" t="str">
        <f>MID(Data_Geotech[[#This Row],[Field Intact Rock Strength]],2,1)</f>
        <v/>
      </c>
      <c r="AY516" s="63" t="e">
        <f>7-MID(Data_Geotech[[#This Row],[Field Intact Rock Strength]],2,1)</f>
        <v>#VALUE!</v>
      </c>
      <c r="AZ516" s="63" t="e">
        <f>VLOOKUP(Data_Geotech[[#This Row],[Field Intact Rock Strength]],Table_FieldStrength[],2,FALSE)</f>
        <v>#N/A</v>
      </c>
      <c r="BA516" s="63" t="e">
        <f>VLOOKUP(Data_Geotech[[#This Row],[Field Intact Rock Strength]],Table_FieldStrength[],3,FALSE)</f>
        <v>#N/A</v>
      </c>
      <c r="BB516" s="63" t="e">
        <f>VLOOKUP(Data_Geotech[[#This Row],[Field Intact Rock Strength]],Table_FieldStrength[],4,FALSE)</f>
        <v>#N/A</v>
      </c>
      <c r="BC516" s="63" t="e">
        <f>100-Data_Geotech[[#This Row],[RMR76]]</f>
        <v>#VALUE!</v>
      </c>
      <c r="BD516" s="63" t="e">
        <f>LEFT(Data_Geotech[[#This Row],[Weathering/Alteration]],FIND("-",Data_Geotech[[#This Row],[Weathering/Alteration]])-2)</f>
        <v>#VALUE!</v>
      </c>
    </row>
    <row r="517" spans="1:56" hidden="1" x14ac:dyDescent="0.25">
      <c r="A517" s="14"/>
      <c r="B517" s="166" t="e">
        <f>VLOOKUP(Data_Geotech[[#This Row],[Hole ID]],Data_Log[],2,FALSE)</f>
        <v>#N/A</v>
      </c>
      <c r="C517" s="5"/>
      <c r="D517" s="5"/>
      <c r="E517" s="5">
        <f>(Data_Geotech[[#This Row],[To (m)]]-Data_Geotech[[#This Row],[From (m)]])/2+Data_Geotech[[#This Row],[From (m)]]</f>
        <v>0</v>
      </c>
      <c r="F517" s="13">
        <f>Data_Geotech[[#This Row],[To (m)]]-Data_Geotech[[#This Row],[From (m)]]</f>
        <v>0</v>
      </c>
      <c r="G517" s="5"/>
      <c r="H517" s="13" t="e">
        <f>Data_Geotech[[#This Row],[TCR (m)]]/Data_Geotech[[#This Row],[Run (m)]]*100</f>
        <v>#DIV/0!</v>
      </c>
      <c r="I517" s="5"/>
      <c r="J517" s="5"/>
      <c r="K517" s="5"/>
      <c r="L517" s="13" t="e">
        <f>Data_Geotech[[#This Row],[RQD (m)]]/Data_Geotech[[#This Row],[Run Reel (m)]]*100</f>
        <v>#DIV/0!</v>
      </c>
      <c r="P517" s="115"/>
      <c r="Q517" s="5"/>
      <c r="R517" s="5"/>
      <c r="S517" s="5"/>
      <c r="T517" s="5"/>
      <c r="U517" s="5"/>
      <c r="V517" s="6"/>
      <c r="W517" s="92">
        <f>SUMIFS(Discontinuities!$D$4:$D$9664,Discontinuities!$A$4:$A$9664,A517,Discontinuities!$C$4:$C$9664,"&gt;="&amp;C517,Discontinuities!$C$4:$C$9664,"&lt;"&amp;D517)
-SUMIFS(Discontinuities!$D$4:$D$9664,Discontinuities!$A$4:$A$9664,A517,Discontinuities!$C$4:$C$9664,"&gt;="&amp;C517,Discontinuities!$C$4:$C$9664,"&lt;"&amp;D517,Discontinuities!$E$4:$E$9664,"=BC")
-SUMIFS(Discontinuities!$D$4:$D$9664,Discontinuities!$A$4:$A$9664,A517,Discontinuities!$C$4:$C$9664,"&gt;="&amp;C517,Discontinuities!$C$4:$C$9664,"&lt;"&amp;D517,Discontinuities!$E$4:$E$9664,"=LC")
-SUMIFS(Discontinuities!$D$4:$D$9664,Discontinuities!$A$4:$A$9664,A517,Discontinuities!$C$4:$C$9664,"&gt;="&amp;C517,Discontinuities!$C$4:$C$9664,"&lt;"&amp;D517,Discontinuities!$E$4:$E$9664,"=FLT")</f>
        <v>0</v>
      </c>
      <c r="AA517" s="132"/>
      <c r="AB517" s="159">
        <f>IFERROR(ROUND((Data_Geotech[[#This Row],[Fault (m)]]+Data_Geotech[[#This Row],[Broken Core (m)]]+Data_Geotech[[#This Row],[Lost Core (m)]])*30,0),0)</f>
        <v>0</v>
      </c>
      <c r="AC517" s="135">
        <f>IF(Data_Geotech[[#This Row],[Added fractures 
(BC, FLT, LC)]]+Data_Geotech[[#This Row],[Fracture per interval]]=0,99,1/((Data_Geotech[[#This Row],[Fracture per interval]]+Data_Geotech[[#This Row],[Added fractures 
(BC, FLT, LC)]])/Data_Geotech[[#This Row],[Run (m)]]))</f>
        <v>99</v>
      </c>
      <c r="AD517" s="160" t="str" cm="1">
        <f t="array" ref="AD517">IFERROR(_xlfn.XLOOKUP(1,(A517=PLT!$A$4:$A$8886)*(Geotech!C517&lt;=PLT!$F$4:$F$8886)*(Geotech!D517&gt;=PLT!$F$4:$F$8886)*("Valid"=PLT!$P$4:$P$8886),PLT!$V$4:$V$8886),"")</f>
        <v/>
      </c>
      <c r="AE517" s="161" t="str" cm="1">
        <f t="array" ref="AE517">IFERROR(_xlfn.XLOOKUP(1,(A517=PLT!$A$4:$A$8886)*(Geotech!C517&lt;=PLT!$F$4:$F$8886)*(Geotech!D517&gt;=PLT!$F$4:$F$8886)*(PLT!$V$4:$V$8886&lt;&gt;AD517)*("Valid"=PLT!$P$4:$P$7190),PLT!$V$4:$V$8886),"")</f>
        <v/>
      </c>
      <c r="AF517" s="161" t="str" cm="1">
        <f t="array" ref="AF517">IFERROR(_xlfn.XLOOKUP(1,(A517=PLT!$A$4:$A$8886)*(Geotech!C517&lt;=PLT!$F$4:$F$8886)*(Geotech!D517&gt;=PLT!$F$4:$F$8886)*(PLT!$V$4:$V$8886&lt;&gt;AD517)*(PLT!$V$4:$V$8886&lt;&gt;AE517)*("Valid"=PLT!$P$4:$P$7190),PLT!$V$4:$V$8886),"")</f>
        <v/>
      </c>
      <c r="AG517" s="162" t="str">
        <f>IFERROR(IF(AVERAGE(AD517:AF517)&gt;References!$BO$23,References!$BP$23,
IF(AVERAGE(AD517:AF517)&gt;References!$BO$22,References!$BP$22,
IF(AVERAGE(AD517:AF517)&gt;References!$BO$21,References!$BP$21,
IF(AVERAGE(AD517:AF517)&gt;References!$BO$20,References!$BP$20,
IF(AVERAGE(AD517:AF517)&gt;References!$BO$19,References!$BP$19,
IF(AVERAGE(AD517:AF517)&gt;References!$BO$18,References!$BP$18,
0)))))),"")</f>
        <v/>
      </c>
      <c r="AH517" s="163" t="e">
        <f>VLOOKUP(Data_Geotech[[#This Row],[Field Intact Rock Strength]],Table_RMR76_Strength[],2,FALSE)</f>
        <v>#N/A</v>
      </c>
      <c r="AI517" s="163" t="e">
        <f>IF(Data_Geotech[[#This Row],[RQD (%)]]&lt;=25,3,IF(Data_Geotech[[#This Row],[RQD (%)]]&lt;=50,8,IF(Data_Geotech[[#This Row],[RQD (%)]]&lt;=75,13,IF(Data_Geotech[[#This Row],[RQD (%)]]&lt;=90,17,20))))</f>
        <v>#DIV/0!</v>
      </c>
      <c r="AJ517" s="136">
        <f>IF(Data_Geotech[[#This Row],[Joint spacing (m)]]&lt;=0.05,5,IF(Data_Geotech[[#This Row],[Joint spacing (m)]]&lt;=0.3,10,IF(Data_Geotech[[#This Row],[Joint spacing (m)]]&lt;=1,20,IF(Data_Geotech[[#This Row],[Joint spacing (m)]]&lt;=3,25,30))))</f>
        <v>30</v>
      </c>
      <c r="AK517" s="142">
        <f>IFERROR(AVERAGEIFS(Data_Discontinuities[[#All],[JCR]],Data_Discontinuities[[#All],[Hole ID]],"="&amp;Data_Geotech[[#This Row],[Hole ID]],Data_Discontinuities[[#All],[Depth (m)]],"&gt;="&amp;Data_Geotech[[#This Row],[From (m)]],Data_Discontinuities[[#All],[Depth (m)]],"&lt;"&amp;Data_Geotech[[#This Row],[To (m)]]),IF(Data_Geotech[[#This Row],[Added fractures 
(BC, FLT, LC)]]=0,IF(Data_Geotech[[#This Row],[Fracture per interval]]=0,25,6),6))</f>
        <v>25</v>
      </c>
      <c r="AL517" s="6"/>
      <c r="AM517" s="137" t="str">
        <f>IF(Data_Geotech[[#This Row],[FIRS Code]]="R",IFERROR(SUM(Data_Geotech[[#This Row],[RMR76 - Strength rating]:[RMR76 - Ground water rating]]),""),"")</f>
        <v/>
      </c>
      <c r="AN517" s="164" t="str">
        <f>IF(Data_Geotech[[#This Row],[FIRS Code]]="R",(2*Data_Geotech[[#This Row],[RMR76 - Joint condition rating]])+(IF(Data_Geotech[[#This Row],[RQD (%)]]&gt;80,80/2,Data_Geotech[[#This Row],[RQD (%)]]/2)),"")</f>
        <v/>
      </c>
      <c r="AO517" s="136" t="e">
        <f>LEFT(Data_Geotech[[#This Row],[Joint Set Rating]],FIND("-",Data_Geotech[[#This Row],[Joint Set Rating]],1)-2)</f>
        <v>#VALUE!</v>
      </c>
      <c r="AP517" s="145">
        <f>IFERROR(AVERAGEIFS(Data_Discontinuities[[#All],[Jr/Ja]],Data_Discontinuities[[#All],[Hole ID]],"="&amp;Data_Geotech[[#This Row],[Hole ID]],Data_Discontinuities[[#All],[Depth (m)]],"&gt;="&amp;Data_Geotech[[#This Row],[From (m)]],Data_Discontinuities[[#All],[Depth (m)]],"&lt;"&amp;Data_Geotech[[#This Row],[To (m)]]),IF(Data_Geotech[[#This Row],[Added fractures 
(BC, FLT, LC)]]&gt;Data_Geotech[[#This Row],[Fracture per interval]],1/4,IF(Data_Geotech[[#This Row],[Fracture per interval]]=0,4/0.75,"ERROR: should never happen!")))</f>
        <v>5.333333333333333</v>
      </c>
      <c r="AQ517" s="143">
        <f t="shared" si="12"/>
        <v>1</v>
      </c>
      <c r="AR517" s="165" t="str">
        <f>IF(Data_Geotech[[#This Row],[FIRS Code]]="R",IFERROR((IF(Data_Geotech[[#This Row],[RQD (%)]]&lt;10,10,Data_Geotech[[#This Row],[RQD (%)]])/Data_Geotech[[#This Row],[Jn rating]])*Data_Geotech[[#This Row],[Jr/Ja]],""),"")</f>
        <v/>
      </c>
      <c r="AS517" s="138" t="str">
        <f>IF(Data_Geotech[[#This Row],[FIRS Code]]="R",IFERROR((IF(Data_Geotech[[#This Row],[RQD (%)]]&lt;10,10,Data_Geotech[[#This Row],[RQD (%)]])/Data_Geotech[[#This Row],[Jn rating]])*Data_Geotech[[#This Row],[Jr/Ja]]*Data_Geotech[[#This Row],[Jw/SRF]],""),"")</f>
        <v/>
      </c>
      <c r="AT517" s="12"/>
      <c r="AU517" s="13" t="e">
        <f>100-Data_Geotech[[#This Row],[RQD (%)]]</f>
        <v>#DIV/0!</v>
      </c>
      <c r="AV517" s="13" t="e">
        <f>100-Data_Geotech[[#This Row],[TCR (%)]]</f>
        <v>#DIV/0!</v>
      </c>
      <c r="AW517" s="62" t="e">
        <f>(Data_Geotech[[#This Row],[Fracture per interval]]+Data_Geotech[[#This Row],[Added fractures 
(BC, FLT, LC)]])/Data_Geotech[[#This Row],[TCR (m)]]</f>
        <v>#DIV/0!</v>
      </c>
      <c r="AX517" s="62" t="str">
        <f>MID(Data_Geotech[[#This Row],[Field Intact Rock Strength]],2,1)</f>
        <v/>
      </c>
      <c r="AY517" s="63" t="e">
        <f>7-MID(Data_Geotech[[#This Row],[Field Intact Rock Strength]],2,1)</f>
        <v>#VALUE!</v>
      </c>
      <c r="AZ517" s="63" t="e">
        <f>VLOOKUP(Data_Geotech[[#This Row],[Field Intact Rock Strength]],Table_FieldStrength[],2,FALSE)</f>
        <v>#N/A</v>
      </c>
      <c r="BA517" s="63" t="e">
        <f>VLOOKUP(Data_Geotech[[#This Row],[Field Intact Rock Strength]],Table_FieldStrength[],3,FALSE)</f>
        <v>#N/A</v>
      </c>
      <c r="BB517" s="63" t="e">
        <f>VLOOKUP(Data_Geotech[[#This Row],[Field Intact Rock Strength]],Table_FieldStrength[],4,FALSE)</f>
        <v>#N/A</v>
      </c>
      <c r="BC517" s="63" t="e">
        <f>100-Data_Geotech[[#This Row],[RMR76]]</f>
        <v>#VALUE!</v>
      </c>
      <c r="BD517" s="63" t="e">
        <f>LEFT(Data_Geotech[[#This Row],[Weathering/Alteration]],FIND("-",Data_Geotech[[#This Row],[Weathering/Alteration]])-2)</f>
        <v>#VALUE!</v>
      </c>
    </row>
  </sheetData>
  <mergeCells count="1">
    <mergeCell ref="AO2:AS2"/>
  </mergeCells>
  <phoneticPr fontId="4" type="noConversion"/>
  <conditionalFormatting sqref="H4:J4 L4:L1048576 H5:H217 I11:J106 I110:J110 J111:J113 I114:J128 I130:J217 H218:J1048576">
    <cfRule type="expression" dxfId="12" priority="3">
      <formula>H4&gt;100.001</formula>
    </cfRule>
  </conditionalFormatting>
  <conditionalFormatting sqref="K4:K8 K11:K24 K26:K51 K53:K92 K94:K106 K110:K128 K130:K300">
    <cfRule type="expression" dxfId="11" priority="32">
      <formula>K4&gt;(J4-R4-S4-T4-U4)+0.001</formula>
    </cfRule>
  </conditionalFormatting>
  <conditionalFormatting sqref="K9">
    <cfRule type="expression" dxfId="10" priority="37">
      <formula>K9&gt;(J9-R9-#REF!-T9-U9)+0.001</formula>
    </cfRule>
  </conditionalFormatting>
  <conditionalFormatting sqref="K10">
    <cfRule type="expression" dxfId="9" priority="38">
      <formula>K10&gt;(J10-R10-S9-T10-U10)+0.001</formula>
    </cfRule>
  </conditionalFormatting>
  <conditionalFormatting sqref="W4:W1048576">
    <cfRule type="expression" dxfId="8" priority="4">
      <formula>W4&lt;&gt;V4</formula>
    </cfRule>
  </conditionalFormatting>
  <dataValidations count="2">
    <dataValidation type="list" allowBlank="1" showInputMessage="1" showErrorMessage="1" sqref="O4:O517" xr:uid="{DA3C3FEB-D0E1-4C46-BB37-E67F601A82C7}">
      <formula1>INDIRECT("Table_Weathering[Description]")</formula1>
    </dataValidation>
    <dataValidation type="list" allowBlank="1" showInputMessage="1" showErrorMessage="1" sqref="P4:P7 P9:P300" xr:uid="{8B221CFD-34EE-4DAA-979A-27084560524F}">
      <formula1>INDIRECT("Table_FieldStrength[Description]")</formula1>
    </dataValidation>
  </dataValidations>
  <pageMargins left="0.7" right="0.7" top="0.75" bottom="0.75" header="0.3" footer="0.3"/>
  <pageSetup orientation="portrait" r:id="rId1"/>
  <ignoredErrors>
    <ignoredError sqref="AO8 AE4:AF4" calculatedColumn="1"/>
    <ignoredError sqref="AH5" evalError="1"/>
  </ignoredErrors>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73BCADFB-4E6E-4E5B-A432-780969E9B073}">
          <x14:formula1>
            <xm:f>References!$W$5:$W$8</xm:f>
          </x14:formula1>
          <xm:sqref>Q1:Q2 Q4:Q1048576</xm:sqref>
        </x14:dataValidation>
        <x14:dataValidation type="list" allowBlank="1" showInputMessage="1" showErrorMessage="1" xr:uid="{D979CDAC-0C73-4433-96F1-6FA3E6593D81}">
          <x14:formula1>
            <xm:f>'Site Specific Lists'!$B$5:$B$26</xm:f>
          </x14:formula1>
          <xm:sqref>M1:N2 M4:N1048576</xm:sqref>
        </x14:dataValidation>
        <x14:dataValidation type="list" allowBlank="1" showInputMessage="1" showErrorMessage="1" xr:uid="{C1B01669-8801-4A1E-AA9D-78561B929771}">
          <x14:formula1>
            <xm:f>References!$U$5:$U$14</xm:f>
          </x14:formula1>
          <xm:sqref>X4:X517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99B7-CB28-4673-8796-860D21466EC1}">
  <sheetPr codeName="Sheet4">
    <tabColor theme="4"/>
  </sheetPr>
  <dimension ref="A1:W1614"/>
  <sheetViews>
    <sheetView topLeftCell="A630" zoomScale="80" zoomScaleNormal="85" workbookViewId="0">
      <selection activeCell="F670" sqref="F670"/>
    </sheetView>
  </sheetViews>
  <sheetFormatPr baseColWidth="10" defaultColWidth="10.7109375" defaultRowHeight="15" customHeight="1" x14ac:dyDescent="0.25"/>
  <cols>
    <col min="1" max="1" width="20" style="14" bestFit="1" customWidth="1"/>
    <col min="2" max="2" width="14.42578125" style="14" customWidth="1"/>
    <col min="3" max="3" width="14.5703125" customWidth="1"/>
    <col min="4" max="4" width="5.7109375" customWidth="1"/>
    <col min="5" max="5" width="16.85546875" bestFit="1" customWidth="1"/>
    <col min="6" max="6" width="8" customWidth="1"/>
    <col min="7" max="7" width="7.28515625" customWidth="1"/>
    <col min="8" max="8" width="28" customWidth="1"/>
    <col min="9" max="9" width="11" bestFit="1" customWidth="1"/>
    <col min="10" max="10" width="15.140625" bestFit="1" customWidth="1"/>
    <col min="11" max="11" width="18.28515625" bestFit="1" customWidth="1"/>
    <col min="12" max="12" width="14.42578125" bestFit="1" customWidth="1"/>
    <col min="13" max="13" width="16" bestFit="1" customWidth="1"/>
    <col min="14" max="14" width="18.42578125" bestFit="1" customWidth="1"/>
    <col min="15" max="15" width="23.5703125" style="6" bestFit="1" customWidth="1"/>
    <col min="16" max="18" width="11" customWidth="1"/>
    <col min="19" max="20" width="10.7109375" bestFit="1" customWidth="1"/>
    <col min="21" max="21" width="7.140625" style="6" bestFit="1" customWidth="1"/>
    <col min="22" max="22" width="8.5703125" bestFit="1" customWidth="1"/>
    <col min="23" max="23" width="29.7109375" customWidth="1"/>
    <col min="24" max="24" width="7.5703125" customWidth="1"/>
  </cols>
  <sheetData>
    <row r="1" spans="1:23" ht="21" x14ac:dyDescent="0.25">
      <c r="A1" s="18" t="s">
        <v>110</v>
      </c>
      <c r="B1" s="18"/>
      <c r="C1" s="18"/>
      <c r="D1" s="18"/>
      <c r="E1" s="18"/>
      <c r="F1" s="18"/>
      <c r="G1" s="18"/>
      <c r="H1" s="18"/>
      <c r="I1" s="18"/>
      <c r="J1" s="18"/>
      <c r="K1" s="18"/>
      <c r="L1" s="18"/>
      <c r="M1" s="18"/>
      <c r="N1" s="18"/>
      <c r="O1" s="37"/>
      <c r="P1" s="18"/>
      <c r="Q1" s="18"/>
      <c r="R1" s="18"/>
      <c r="S1" s="18"/>
      <c r="T1" s="18"/>
      <c r="U1" s="37"/>
      <c r="V1" s="18"/>
      <c r="W1" s="18"/>
    </row>
    <row r="2" spans="1:23" x14ac:dyDescent="0.25">
      <c r="B2" s="6"/>
      <c r="C2" s="6"/>
      <c r="D2" s="6"/>
    </row>
    <row r="3" spans="1:23" s="57" customFormat="1" ht="60" x14ac:dyDescent="0.25">
      <c r="A3" s="51" t="s">
        <v>1</v>
      </c>
      <c r="B3" s="54" t="s">
        <v>2</v>
      </c>
      <c r="C3" s="50" t="s">
        <v>47</v>
      </c>
      <c r="D3" s="50" t="s">
        <v>111</v>
      </c>
      <c r="E3" s="50" t="s">
        <v>112</v>
      </c>
      <c r="F3" s="50" t="s">
        <v>113</v>
      </c>
      <c r="G3" s="50" t="s">
        <v>114</v>
      </c>
      <c r="H3" s="50" t="s">
        <v>115</v>
      </c>
      <c r="I3" s="50" t="s">
        <v>116</v>
      </c>
      <c r="J3" s="50" t="s">
        <v>117</v>
      </c>
      <c r="K3" s="50" t="s">
        <v>118</v>
      </c>
      <c r="L3" s="50" t="s">
        <v>119</v>
      </c>
      <c r="M3" s="50" t="s">
        <v>120</v>
      </c>
      <c r="N3" s="50" t="s">
        <v>121</v>
      </c>
      <c r="O3" s="55" t="s">
        <v>69</v>
      </c>
      <c r="P3" s="86" t="s">
        <v>122</v>
      </c>
      <c r="Q3" s="86" t="s">
        <v>123</v>
      </c>
      <c r="R3" s="86" t="s">
        <v>124</v>
      </c>
      <c r="S3" s="55" t="s">
        <v>125</v>
      </c>
      <c r="T3" s="50" t="s">
        <v>126</v>
      </c>
      <c r="U3" s="50" t="s">
        <v>95</v>
      </c>
      <c r="V3" s="131" t="s">
        <v>127</v>
      </c>
      <c r="W3" s="52" t="s">
        <v>25</v>
      </c>
    </row>
    <row r="4" spans="1:23" x14ac:dyDescent="0.25">
      <c r="A4" s="150" t="s">
        <v>26</v>
      </c>
      <c r="B4" s="16" t="str">
        <f>VLOOKUP(Data_Discontinuities[[#This Row],[Hole ID]],Data_Log[],2,FALSE)</f>
        <v>CGF-01</v>
      </c>
      <c r="C4" s="8">
        <v>50.47</v>
      </c>
      <c r="D4" s="8">
        <v>1</v>
      </c>
      <c r="E4" s="7" t="s">
        <v>445</v>
      </c>
      <c r="F4" s="7"/>
      <c r="G4" s="7"/>
      <c r="H4" s="118"/>
      <c r="I4" s="7" t="s">
        <v>286</v>
      </c>
      <c r="J4" s="7" t="s">
        <v>352</v>
      </c>
      <c r="K4" s="7" t="s">
        <v>322</v>
      </c>
      <c r="L4" s="7"/>
      <c r="M4" s="7"/>
      <c r="N4" s="7"/>
      <c r="O4" s="84" t="str" cm="1">
        <f t="array" ref="O4">_xlfn.XLOOKUP(1,(A4=Geotech!$A$4:$A$10094)*(Data_Discontinuities[[#This Row],[Depth (m)]]&gt;=Geotech!$C$4:$C$10094)*(Data_Discontinuities[[#This Row],[Depth (m)]]&lt;Geotech!$D$4:$D$10094),Geotech!$M$4:$M$10094)</f>
        <v>Diorite</v>
      </c>
      <c r="P4" s="84"/>
      <c r="Q4" s="84"/>
      <c r="R4" s="84"/>
      <c r="S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 s="70">
        <f>IFERROR(Data_Discontinuities[[#This Row],[Joint roughness]]/Data_Discontinuities[[#This Row],[Joint alteration]],"")</f>
        <v>3</v>
      </c>
      <c r="V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 s="87"/>
    </row>
    <row r="5" spans="1:23" x14ac:dyDescent="0.25">
      <c r="A5" s="150" t="s">
        <v>26</v>
      </c>
      <c r="B5" s="17" t="str">
        <f>VLOOKUP(Data_Discontinuities[[#This Row],[Hole ID]],Data_Log[],2,FALSE)</f>
        <v>CGF-01</v>
      </c>
      <c r="C5" s="8">
        <v>51.48</v>
      </c>
      <c r="D5" s="8">
        <v>1</v>
      </c>
      <c r="E5" s="7" t="s">
        <v>445</v>
      </c>
      <c r="F5" s="7"/>
      <c r="G5" s="7"/>
      <c r="H5" s="118"/>
      <c r="I5" s="7" t="s">
        <v>286</v>
      </c>
      <c r="J5" s="7" t="s">
        <v>352</v>
      </c>
      <c r="K5" s="7" t="s">
        <v>290</v>
      </c>
      <c r="L5" s="7"/>
      <c r="M5" s="7"/>
      <c r="N5" s="7"/>
      <c r="O5" s="84" t="str" cm="1">
        <f t="array" ref="O5">_xlfn.XLOOKUP(1,(A5=Geotech!$A$4:$A$10094)*(Data_Discontinuities[[#This Row],[Depth (m)]]&gt;=Geotech!$C$4:$C$10094)*(Data_Discontinuities[[#This Row],[Depth (m)]]&lt;Geotech!$D$4:$D$10094),Geotech!$M$4:$M$10094)</f>
        <v>Diorite</v>
      </c>
      <c r="P5" s="84"/>
      <c r="Q5" s="84"/>
      <c r="R5" s="84"/>
      <c r="S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 s="71">
        <f>IFERROR(Data_Discontinuities[[#This Row],[Joint roughness]]/Data_Discontinuities[[#This Row],[Joint alteration]],"")</f>
        <v>1.5</v>
      </c>
      <c r="V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 s="87"/>
    </row>
    <row r="6" spans="1:23" x14ac:dyDescent="0.25">
      <c r="A6" s="150" t="s">
        <v>26</v>
      </c>
      <c r="B6" s="17" t="str">
        <f>VLOOKUP(Data_Discontinuities[[#This Row],[Hole ID]],Data_Log[],2,FALSE)</f>
        <v>CGF-01</v>
      </c>
      <c r="C6" s="8">
        <v>52.11</v>
      </c>
      <c r="D6" s="8">
        <v>1</v>
      </c>
      <c r="E6" s="7" t="s">
        <v>445</v>
      </c>
      <c r="F6" s="7"/>
      <c r="G6" s="7"/>
      <c r="H6" s="118"/>
      <c r="I6" s="7" t="s">
        <v>286</v>
      </c>
      <c r="J6" s="7" t="s">
        <v>352</v>
      </c>
      <c r="K6" s="7" t="s">
        <v>322</v>
      </c>
      <c r="L6" s="7"/>
      <c r="M6" s="7"/>
      <c r="N6" s="7"/>
      <c r="O6" s="84" t="str" cm="1">
        <f t="array" ref="O6">_xlfn.XLOOKUP(1,(A6=Geotech!$A$4:$A$10094)*(Data_Discontinuities[[#This Row],[Depth (m)]]&gt;=Geotech!$C$4:$C$10094)*(Data_Discontinuities[[#This Row],[Depth (m)]]&lt;Geotech!$D$4:$D$10094),Geotech!$M$4:$M$10094)</f>
        <v>Diorite</v>
      </c>
      <c r="P6" s="84"/>
      <c r="Q6" s="84"/>
      <c r="R6" s="84"/>
      <c r="S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 s="71">
        <f>IFERROR(Data_Discontinuities[[#This Row],[Joint roughness]]/Data_Discontinuities[[#This Row],[Joint alteration]],"")</f>
        <v>3</v>
      </c>
      <c r="V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 s="87"/>
    </row>
    <row r="7" spans="1:23" x14ac:dyDescent="0.25">
      <c r="A7" s="150" t="s">
        <v>26</v>
      </c>
      <c r="B7" s="17" t="str">
        <f>VLOOKUP(Data_Discontinuities[[#This Row],[Hole ID]],Data_Log[],2,FALSE)</f>
        <v>CGF-01</v>
      </c>
      <c r="C7" s="8">
        <v>52.73</v>
      </c>
      <c r="D7" s="8">
        <v>1</v>
      </c>
      <c r="E7" s="7" t="s">
        <v>420</v>
      </c>
      <c r="F7" s="7"/>
      <c r="G7" s="7"/>
      <c r="H7" s="118"/>
      <c r="I7" s="7" t="s">
        <v>251</v>
      </c>
      <c r="J7" s="7" t="s">
        <v>288</v>
      </c>
      <c r="K7" s="7" t="s">
        <v>290</v>
      </c>
      <c r="L7" s="7"/>
      <c r="M7" s="7"/>
      <c r="N7" s="7"/>
      <c r="O7" s="84" t="str" cm="1">
        <f t="array" ref="O7">_xlfn.XLOOKUP(1,(A7=Geotech!$A$4:$A$10094)*(Data_Discontinuities[[#This Row],[Depth (m)]]&gt;=Geotech!$C$4:$C$10094)*(Data_Discontinuities[[#This Row],[Depth (m)]]&lt;Geotech!$D$4:$D$10094),Geotech!$M$4:$M$10094)</f>
        <v>Boulamarque granodiorite</v>
      </c>
      <c r="P7" s="84"/>
      <c r="Q7" s="84"/>
      <c r="R7" s="84"/>
      <c r="S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 s="71">
        <f>IFERROR(Data_Discontinuities[[#This Row],[Joint roughness]]/Data_Discontinuities[[#This Row],[Joint alteration]],"")</f>
        <v>0.25</v>
      </c>
      <c r="V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7" s="87"/>
    </row>
    <row r="8" spans="1:23" x14ac:dyDescent="0.25">
      <c r="A8" s="150" t="s">
        <v>26</v>
      </c>
      <c r="B8" s="17" t="str">
        <f>VLOOKUP(Data_Discontinuities[[#This Row],[Hole ID]],Data_Log[],2,FALSE)</f>
        <v>CGF-01</v>
      </c>
      <c r="C8" s="8">
        <v>53.13</v>
      </c>
      <c r="D8" s="8">
        <v>1</v>
      </c>
      <c r="E8" s="7" t="s">
        <v>420</v>
      </c>
      <c r="F8" s="7"/>
      <c r="G8" s="7"/>
      <c r="H8" s="118"/>
      <c r="I8" s="7" t="s">
        <v>286</v>
      </c>
      <c r="J8" s="7" t="s">
        <v>352</v>
      </c>
      <c r="K8" s="7" t="s">
        <v>382</v>
      </c>
      <c r="L8" s="7" t="s">
        <v>546</v>
      </c>
      <c r="M8" s="7"/>
      <c r="N8" s="7"/>
      <c r="O8" s="84" t="str" cm="1">
        <f t="array" ref="O8">_xlfn.XLOOKUP(1,(A8=Geotech!$A$4:$A$10094)*(Data_Discontinuities[[#This Row],[Depth (m)]]&gt;=Geotech!$C$4:$C$10094)*(Data_Discontinuities[[#This Row],[Depth (m)]]&lt;Geotech!$D$4:$D$10094),Geotech!$M$4:$M$10094)</f>
        <v>Diorite</v>
      </c>
      <c r="P8" s="84"/>
      <c r="Q8" s="84"/>
      <c r="R8" s="84"/>
      <c r="S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8" s="71">
        <f>IFERROR(Data_Discontinuities[[#This Row],[Joint roughness]]/Data_Discontinuities[[#This Row],[Joint alteration]],"")</f>
        <v>0.75</v>
      </c>
      <c r="V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8" s="87"/>
    </row>
    <row r="9" spans="1:23" x14ac:dyDescent="0.25">
      <c r="A9" s="150" t="s">
        <v>26</v>
      </c>
      <c r="B9" s="17" t="str">
        <f>VLOOKUP(Data_Discontinuities[[#This Row],[Hole ID]],Data_Log[],2,FALSE)</f>
        <v>CGF-01</v>
      </c>
      <c r="C9" s="8">
        <v>53.6</v>
      </c>
      <c r="D9" s="8">
        <v>1</v>
      </c>
      <c r="E9" s="7" t="s">
        <v>445</v>
      </c>
      <c r="F9" s="7"/>
      <c r="G9" s="7"/>
      <c r="H9" s="118"/>
      <c r="I9" s="7" t="s">
        <v>251</v>
      </c>
      <c r="J9" s="7" t="s">
        <v>352</v>
      </c>
      <c r="K9" s="7" t="s">
        <v>382</v>
      </c>
      <c r="L9" s="7" t="s">
        <v>546</v>
      </c>
      <c r="M9" s="7" t="s">
        <v>447</v>
      </c>
      <c r="N9" s="7"/>
      <c r="O9" s="84" t="str" cm="1">
        <f t="array" ref="O9">_xlfn.XLOOKUP(1,(A9=Geotech!$A$4:$A$10094)*(Data_Discontinuities[[#This Row],[Depth (m)]]&gt;=Geotech!$C$4:$C$10094)*(Data_Discontinuities[[#This Row],[Depth (m)]]&lt;Geotech!$D$4:$D$10094),Geotech!$M$4:$M$10094)</f>
        <v>Diorite</v>
      </c>
      <c r="P9" s="84"/>
      <c r="Q9" s="84"/>
      <c r="R9" s="84"/>
      <c r="S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9" s="71">
        <f>IFERROR(Data_Discontinuities[[#This Row],[Joint roughness]]/Data_Discontinuities[[#This Row],[Joint alteration]],"")</f>
        <v>0.375</v>
      </c>
      <c r="V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9" s="87"/>
    </row>
    <row r="10" spans="1:23" x14ac:dyDescent="0.25">
      <c r="A10" s="150" t="s">
        <v>26</v>
      </c>
      <c r="B10" s="17" t="str">
        <f>VLOOKUP(Data_Discontinuities[[#This Row],[Hole ID]],Data_Log[],2,FALSE)</f>
        <v>CGF-01</v>
      </c>
      <c r="C10" s="8">
        <v>53.66</v>
      </c>
      <c r="D10" s="8">
        <v>1</v>
      </c>
      <c r="E10" s="7" t="s">
        <v>445</v>
      </c>
      <c r="F10" s="7"/>
      <c r="G10" s="7"/>
      <c r="H10" s="118"/>
      <c r="I10" s="7" t="s">
        <v>318</v>
      </c>
      <c r="J10" s="7" t="s">
        <v>320</v>
      </c>
      <c r="K10" s="7" t="s">
        <v>382</v>
      </c>
      <c r="L10" s="7" t="s">
        <v>546</v>
      </c>
      <c r="M10" s="7"/>
      <c r="N10" s="7"/>
      <c r="O10" s="84" t="str" cm="1">
        <f t="array" ref="O10">_xlfn.XLOOKUP(1,(A10=Geotech!$A$4:$A$10094)*(Data_Discontinuities[[#This Row],[Depth (m)]]&gt;=Geotech!$C$4:$C$10094)*(Data_Discontinuities[[#This Row],[Depth (m)]]&lt;Geotech!$D$4:$D$10094),Geotech!$M$4:$M$10094)</f>
        <v>Diorite</v>
      </c>
      <c r="P10" s="84"/>
      <c r="Q10" s="84"/>
      <c r="R10" s="84"/>
      <c r="S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0" s="71">
        <f>IFERROR(Data_Discontinuities[[#This Row],[Joint roughness]]/Data_Discontinuities[[#This Row],[Joint alteration]],"")</f>
        <v>0.5</v>
      </c>
      <c r="V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0" s="87"/>
    </row>
    <row r="11" spans="1:23" x14ac:dyDescent="0.25">
      <c r="A11" s="150" t="s">
        <v>26</v>
      </c>
      <c r="B11" s="17" t="str">
        <f>VLOOKUP(Data_Discontinuities[[#This Row],[Hole ID]],Data_Log[],2,FALSE)</f>
        <v>CGF-01</v>
      </c>
      <c r="C11" s="8">
        <v>54.18</v>
      </c>
      <c r="D11" s="8">
        <v>1</v>
      </c>
      <c r="E11" s="7" t="s">
        <v>445</v>
      </c>
      <c r="F11" s="7"/>
      <c r="G11" s="7"/>
      <c r="H11" s="118"/>
      <c r="I11" s="7" t="s">
        <v>286</v>
      </c>
      <c r="J11" s="7" t="s">
        <v>352</v>
      </c>
      <c r="K11" s="7" t="s">
        <v>382</v>
      </c>
      <c r="L11" s="7" t="s">
        <v>437</v>
      </c>
      <c r="M11" s="7" t="s">
        <v>447</v>
      </c>
      <c r="N11" s="7"/>
      <c r="O11" s="84" t="str" cm="1">
        <f t="array" ref="O11">_xlfn.XLOOKUP(1,(A11=Geotech!$A$4:$A$10094)*(Data_Discontinuities[[#This Row],[Depth (m)]]&gt;=Geotech!$C$4:$C$10094)*(Data_Discontinuities[[#This Row],[Depth (m)]]&lt;Geotech!$D$4:$D$10094),Geotech!$M$4:$M$10094)</f>
        <v>Diorite</v>
      </c>
      <c r="P11" s="84"/>
      <c r="Q11" s="84"/>
      <c r="R11" s="84"/>
      <c r="S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1" s="71">
        <f>IFERROR(Data_Discontinuities[[#This Row],[Joint roughness]]/Data_Discontinuities[[#This Row],[Joint alteration]],"")</f>
        <v>0.75</v>
      </c>
      <c r="V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 s="87"/>
    </row>
    <row r="12" spans="1:23" x14ac:dyDescent="0.25">
      <c r="A12" s="150" t="s">
        <v>26</v>
      </c>
      <c r="B12" s="17" t="str">
        <f>VLOOKUP(Data_Discontinuities[[#This Row],[Hole ID]],Data_Log[],2,FALSE)</f>
        <v>CGF-01</v>
      </c>
      <c r="C12" s="8">
        <v>54.44</v>
      </c>
      <c r="D12" s="8">
        <v>1</v>
      </c>
      <c r="E12" s="7" t="s">
        <v>445</v>
      </c>
      <c r="F12" s="7"/>
      <c r="G12" s="7"/>
      <c r="H12" s="118"/>
      <c r="I12" s="7" t="s">
        <v>286</v>
      </c>
      <c r="J12" s="7" t="s">
        <v>352</v>
      </c>
      <c r="K12" s="7" t="s">
        <v>382</v>
      </c>
      <c r="L12" s="7" t="s">
        <v>546</v>
      </c>
      <c r="M12" s="7" t="s">
        <v>437</v>
      </c>
      <c r="N12" s="7"/>
      <c r="O12" s="84" t="str" cm="1">
        <f t="array" ref="O12">_xlfn.XLOOKUP(1,(A12=Geotech!$A$4:$A$10094)*(Data_Discontinuities[[#This Row],[Depth (m)]]&gt;=Geotech!$C$4:$C$10094)*(Data_Discontinuities[[#This Row],[Depth (m)]]&lt;Geotech!$D$4:$D$10094),Geotech!$M$4:$M$10094)</f>
        <v>Diorite</v>
      </c>
      <c r="P12" s="84"/>
      <c r="Q12" s="84"/>
      <c r="R12" s="84"/>
      <c r="S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2" s="71">
        <f>IFERROR(Data_Discontinuities[[#This Row],[Joint roughness]]/Data_Discontinuities[[#This Row],[Joint alteration]],"")</f>
        <v>0.75</v>
      </c>
      <c r="V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 s="87"/>
    </row>
    <row r="13" spans="1:23" x14ac:dyDescent="0.25">
      <c r="A13" s="150" t="s">
        <v>26</v>
      </c>
      <c r="B13" s="17" t="str">
        <f>VLOOKUP(Data_Discontinuities[[#This Row],[Hole ID]],Data_Log[],2,FALSE)</f>
        <v>CGF-01</v>
      </c>
      <c r="C13" s="8">
        <v>54.77</v>
      </c>
      <c r="D13" s="8">
        <v>1</v>
      </c>
      <c r="E13" s="7" t="s">
        <v>445</v>
      </c>
      <c r="F13" s="7"/>
      <c r="G13" s="7"/>
      <c r="H13" s="118"/>
      <c r="I13" s="7" t="s">
        <v>286</v>
      </c>
      <c r="J13" s="7" t="s">
        <v>352</v>
      </c>
      <c r="K13" s="7" t="s">
        <v>382</v>
      </c>
      <c r="L13" s="7" t="s">
        <v>437</v>
      </c>
      <c r="M13" s="7" t="s">
        <v>546</v>
      </c>
      <c r="N13" s="7"/>
      <c r="O13" s="84" t="str" cm="1">
        <f t="array" ref="O13">_xlfn.XLOOKUP(1,(A13=Geotech!$A$4:$A$10094)*(Data_Discontinuities[[#This Row],[Depth (m)]]&gt;=Geotech!$C$4:$C$10094)*(Data_Discontinuities[[#This Row],[Depth (m)]]&lt;Geotech!$D$4:$D$10094),Geotech!$M$4:$M$10094)</f>
        <v>Diorite</v>
      </c>
      <c r="P13" s="84"/>
      <c r="Q13" s="84"/>
      <c r="R13" s="84"/>
      <c r="S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3" s="71">
        <f>IFERROR(Data_Discontinuities[[#This Row],[Joint roughness]]/Data_Discontinuities[[#This Row],[Joint alteration]],"")</f>
        <v>0.75</v>
      </c>
      <c r="V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3" s="87"/>
    </row>
    <row r="14" spans="1:23" x14ac:dyDescent="0.25">
      <c r="A14" s="150" t="s">
        <v>26</v>
      </c>
      <c r="B14" s="17" t="str">
        <f>VLOOKUP(Data_Discontinuities[[#This Row],[Hole ID]],Data_Log[],2,FALSE)</f>
        <v>CGF-01</v>
      </c>
      <c r="C14" s="8">
        <v>56.93</v>
      </c>
      <c r="D14" s="8">
        <v>1</v>
      </c>
      <c r="E14" s="7" t="s">
        <v>420</v>
      </c>
      <c r="F14" s="7"/>
      <c r="G14" s="7"/>
      <c r="H14" s="118"/>
      <c r="I14" s="7" t="s">
        <v>286</v>
      </c>
      <c r="J14" s="7" t="s">
        <v>352</v>
      </c>
      <c r="K14" s="7" t="s">
        <v>406</v>
      </c>
      <c r="L14" s="7" t="s">
        <v>437</v>
      </c>
      <c r="M14" s="7"/>
      <c r="N14" s="7"/>
      <c r="O14" s="84" t="str" cm="1">
        <f t="array" ref="O14">_xlfn.XLOOKUP(1,(A14=Geotech!$A$4:$A$10094)*(Data_Discontinuities[[#This Row],[Depth (m)]]&gt;=Geotech!$C$4:$C$10094)*(Data_Discontinuities[[#This Row],[Depth (m)]]&lt;Geotech!$D$4:$D$10094),Geotech!$M$4:$M$10094)</f>
        <v>Diorite</v>
      </c>
      <c r="P14" s="84"/>
      <c r="Q14" s="84"/>
      <c r="R14" s="84"/>
      <c r="S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4" s="71">
        <f>IFERROR(Data_Discontinuities[[#This Row],[Joint roughness]]/Data_Discontinuities[[#This Row],[Joint alteration]],"")</f>
        <v>0.75</v>
      </c>
      <c r="V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4" s="87"/>
    </row>
    <row r="15" spans="1:23" x14ac:dyDescent="0.25">
      <c r="A15" s="150" t="s">
        <v>26</v>
      </c>
      <c r="B15" s="17" t="str">
        <f>VLOOKUP(Data_Discontinuities[[#This Row],[Hole ID]],Data_Log[],2,FALSE)</f>
        <v>CGF-01</v>
      </c>
      <c r="C15" s="8">
        <v>57.44</v>
      </c>
      <c r="D15" s="8">
        <v>1</v>
      </c>
      <c r="E15" s="7" t="s">
        <v>445</v>
      </c>
      <c r="F15" s="7"/>
      <c r="G15" s="7"/>
      <c r="H15" s="118"/>
      <c r="I15" s="7" t="s">
        <v>286</v>
      </c>
      <c r="J15" s="7" t="s">
        <v>320</v>
      </c>
      <c r="K15" s="7" t="s">
        <v>382</v>
      </c>
      <c r="L15" s="7" t="s">
        <v>437</v>
      </c>
      <c r="M15" s="7"/>
      <c r="N15" s="7"/>
      <c r="O15" s="84" t="str" cm="1">
        <f t="array" ref="O15">_xlfn.XLOOKUP(1,(A15=Geotech!$A$4:$A$10094)*(Data_Discontinuities[[#This Row],[Depth (m)]]&gt;=Geotech!$C$4:$C$10094)*(Data_Discontinuities[[#This Row],[Depth (m)]]&lt;Geotech!$D$4:$D$10094),Geotech!$M$4:$M$10094)</f>
        <v>Diorite</v>
      </c>
      <c r="P15" s="84"/>
      <c r="Q15" s="84"/>
      <c r="R15" s="84"/>
      <c r="S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5" s="71">
        <f>IFERROR(Data_Discontinuities[[#This Row],[Joint roughness]]/Data_Discontinuities[[#This Row],[Joint alteration]],"")</f>
        <v>0.5</v>
      </c>
      <c r="V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5" s="87"/>
    </row>
    <row r="16" spans="1:23" x14ac:dyDescent="0.25">
      <c r="A16" s="150" t="s">
        <v>26</v>
      </c>
      <c r="B16" s="17" t="str">
        <f>VLOOKUP(Data_Discontinuities[[#This Row],[Hole ID]],Data_Log[],2,FALSE)</f>
        <v>CGF-01</v>
      </c>
      <c r="C16" s="8">
        <v>57.49</v>
      </c>
      <c r="D16" s="8">
        <v>1</v>
      </c>
      <c r="E16" s="7" t="s">
        <v>445</v>
      </c>
      <c r="F16" s="7"/>
      <c r="G16" s="7"/>
      <c r="H16" s="118"/>
      <c r="I16" s="7" t="s">
        <v>286</v>
      </c>
      <c r="J16" s="7" t="s">
        <v>320</v>
      </c>
      <c r="K16" s="7" t="s">
        <v>382</v>
      </c>
      <c r="L16" s="7" t="s">
        <v>437</v>
      </c>
      <c r="M16" s="7"/>
      <c r="N16" s="7"/>
      <c r="O16" s="84" t="str" cm="1">
        <f t="array" ref="O16">_xlfn.XLOOKUP(1,(A16=Geotech!$A$4:$A$10094)*(Data_Discontinuities[[#This Row],[Depth (m)]]&gt;=Geotech!$C$4:$C$10094)*(Data_Discontinuities[[#This Row],[Depth (m)]]&lt;Geotech!$D$4:$D$10094),Geotech!$M$4:$M$10094)</f>
        <v>Diorite</v>
      </c>
      <c r="P16" s="84"/>
      <c r="Q16" s="84"/>
      <c r="R16" s="84"/>
      <c r="S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6" s="71">
        <f>IFERROR(Data_Discontinuities[[#This Row],[Joint roughness]]/Data_Discontinuities[[#This Row],[Joint alteration]],"")</f>
        <v>0.5</v>
      </c>
      <c r="V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6" s="87"/>
    </row>
    <row r="17" spans="1:23" x14ac:dyDescent="0.25">
      <c r="A17" s="150" t="s">
        <v>26</v>
      </c>
      <c r="B17" s="17" t="str">
        <f>VLOOKUP(Data_Discontinuities[[#This Row],[Hole ID]],Data_Log[],2,FALSE)</f>
        <v>CGF-01</v>
      </c>
      <c r="C17" s="8">
        <v>57.81</v>
      </c>
      <c r="D17" s="8">
        <v>1</v>
      </c>
      <c r="E17" s="7" t="s">
        <v>420</v>
      </c>
      <c r="F17" s="7"/>
      <c r="G17" s="7"/>
      <c r="H17" s="118"/>
      <c r="I17" s="7" t="s">
        <v>318</v>
      </c>
      <c r="J17" s="7" t="s">
        <v>380</v>
      </c>
      <c r="K17" s="7" t="s">
        <v>382</v>
      </c>
      <c r="L17" s="7" t="s">
        <v>546</v>
      </c>
      <c r="M17" s="7" t="s">
        <v>447</v>
      </c>
      <c r="N17" s="7"/>
      <c r="O17" s="84" t="str" cm="1">
        <f t="array" ref="O17">_xlfn.XLOOKUP(1,(A17=Geotech!$A$4:$A$10094)*(Data_Discontinuities[[#This Row],[Depth (m)]]&gt;=Geotech!$C$4:$C$10094)*(Data_Discontinuities[[#This Row],[Depth (m)]]&lt;Geotech!$D$4:$D$10094),Geotech!$M$4:$M$10094)</f>
        <v>Boulamarque granodiorite</v>
      </c>
      <c r="P17" s="84"/>
      <c r="Q17" s="84"/>
      <c r="R17" s="84"/>
      <c r="S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7" s="71">
        <f>IFERROR(Data_Discontinuities[[#This Row],[Joint roughness]]/Data_Discontinuities[[#This Row],[Joint alteration]],"")</f>
        <v>0.75</v>
      </c>
      <c r="V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7" s="87"/>
    </row>
    <row r="18" spans="1:23" x14ac:dyDescent="0.25">
      <c r="A18" s="150" t="s">
        <v>26</v>
      </c>
      <c r="B18" s="17" t="str">
        <f>VLOOKUP(Data_Discontinuities[[#This Row],[Hole ID]],Data_Log[],2,FALSE)</f>
        <v>CGF-01</v>
      </c>
      <c r="C18" s="8">
        <v>57.86</v>
      </c>
      <c r="D18" s="8">
        <v>1</v>
      </c>
      <c r="E18" s="7" t="s">
        <v>420</v>
      </c>
      <c r="F18" s="7"/>
      <c r="G18" s="7"/>
      <c r="H18" s="118"/>
      <c r="I18" s="7" t="s">
        <v>318</v>
      </c>
      <c r="J18" s="7" t="s">
        <v>352</v>
      </c>
      <c r="K18" s="7" t="s">
        <v>354</v>
      </c>
      <c r="L18" s="7"/>
      <c r="M18" s="7"/>
      <c r="N18" s="7"/>
      <c r="O18" s="84" t="str" cm="1">
        <f t="array" ref="O18">_xlfn.XLOOKUP(1,(A18=Geotech!$A$4:$A$10094)*(Data_Discontinuities[[#This Row],[Depth (m)]]&gt;=Geotech!$C$4:$C$10094)*(Data_Discontinuities[[#This Row],[Depth (m)]]&lt;Geotech!$D$4:$D$10094),Geotech!$M$4:$M$10094)</f>
        <v>Boulamarque granodiorite</v>
      </c>
      <c r="P18" s="84"/>
      <c r="Q18" s="84"/>
      <c r="R18" s="84"/>
      <c r="S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8" s="71">
        <f>IFERROR(Data_Discontinuities[[#This Row],[Joint roughness]]/Data_Discontinuities[[#This Row],[Joint alteration]],"")</f>
        <v>1.5</v>
      </c>
      <c r="V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8" s="87"/>
    </row>
    <row r="19" spans="1:23" x14ac:dyDescent="0.25">
      <c r="A19" s="150" t="s">
        <v>26</v>
      </c>
      <c r="B19" s="17" t="str">
        <f>VLOOKUP(Data_Discontinuities[[#This Row],[Hole ID]],Data_Log[],2,FALSE)</f>
        <v>CGF-01</v>
      </c>
      <c r="C19" s="8">
        <v>57.92</v>
      </c>
      <c r="D19" s="8">
        <v>1</v>
      </c>
      <c r="E19" s="7" t="s">
        <v>420</v>
      </c>
      <c r="F19" s="7"/>
      <c r="G19" s="7"/>
      <c r="H19" s="118"/>
      <c r="I19" s="7" t="s">
        <v>286</v>
      </c>
      <c r="J19" s="7" t="s">
        <v>352</v>
      </c>
      <c r="K19" s="7" t="s">
        <v>354</v>
      </c>
      <c r="L19" s="7"/>
      <c r="M19" s="7"/>
      <c r="N19" s="7"/>
      <c r="O19" s="84" t="str" cm="1">
        <f t="array" ref="O19">_xlfn.XLOOKUP(1,(A19=Geotech!$A$4:$A$10094)*(Data_Discontinuities[[#This Row],[Depth (m)]]&gt;=Geotech!$C$4:$C$10094)*(Data_Discontinuities[[#This Row],[Depth (m)]]&lt;Geotech!$D$4:$D$10094),Geotech!$M$4:$M$10094)</f>
        <v>Boulamarque granodiorite</v>
      </c>
      <c r="P19" s="84"/>
      <c r="Q19" s="84"/>
      <c r="R19" s="84"/>
      <c r="S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 s="71">
        <f>IFERROR(Data_Discontinuities[[#This Row],[Joint roughness]]/Data_Discontinuities[[#This Row],[Joint alteration]],"")</f>
        <v>1.5</v>
      </c>
      <c r="V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9" s="87"/>
    </row>
    <row r="20" spans="1:23" x14ac:dyDescent="0.25">
      <c r="A20" s="150" t="s">
        <v>26</v>
      </c>
      <c r="B20" s="17" t="str">
        <f>VLOOKUP(Data_Discontinuities[[#This Row],[Hole ID]],Data_Log[],2,FALSE)</f>
        <v>CGF-01</v>
      </c>
      <c r="C20" s="8">
        <v>58.4</v>
      </c>
      <c r="D20" s="8">
        <v>1</v>
      </c>
      <c r="E20" s="7" t="s">
        <v>445</v>
      </c>
      <c r="F20" s="7"/>
      <c r="G20" s="7"/>
      <c r="H20" s="118"/>
      <c r="I20" s="7" t="s">
        <v>286</v>
      </c>
      <c r="J20" s="7" t="s">
        <v>352</v>
      </c>
      <c r="K20" s="7" t="s">
        <v>354</v>
      </c>
      <c r="L20" s="7"/>
      <c r="M20" s="7"/>
      <c r="N20" s="7"/>
      <c r="O20" s="84" t="str" cm="1">
        <f t="array" ref="O20">_xlfn.XLOOKUP(1,(A20=Geotech!$A$4:$A$10094)*(Data_Discontinuities[[#This Row],[Depth (m)]]&gt;=Geotech!$C$4:$C$10094)*(Data_Discontinuities[[#This Row],[Depth (m)]]&lt;Geotech!$D$4:$D$10094),Geotech!$M$4:$M$10094)</f>
        <v>Boulamarque granodiorite</v>
      </c>
      <c r="P20" s="84"/>
      <c r="Q20" s="84"/>
      <c r="R20" s="84"/>
      <c r="S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 s="71">
        <f>IFERROR(Data_Discontinuities[[#This Row],[Joint roughness]]/Data_Discontinuities[[#This Row],[Joint alteration]],"")</f>
        <v>1.5</v>
      </c>
      <c r="V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0" s="87"/>
    </row>
    <row r="21" spans="1:23" x14ac:dyDescent="0.25">
      <c r="A21" s="150" t="s">
        <v>26</v>
      </c>
      <c r="B21" s="17" t="str">
        <f>VLOOKUP(Data_Discontinuities[[#This Row],[Hole ID]],Data_Log[],2,FALSE)</f>
        <v>CGF-01</v>
      </c>
      <c r="C21" s="8">
        <v>59.87</v>
      </c>
      <c r="D21" s="8">
        <v>1</v>
      </c>
      <c r="E21" s="7" t="s">
        <v>420</v>
      </c>
      <c r="F21" s="7"/>
      <c r="G21" s="7"/>
      <c r="H21" s="118"/>
      <c r="I21" s="7" t="s">
        <v>251</v>
      </c>
      <c r="J21" s="7" t="s">
        <v>352</v>
      </c>
      <c r="K21" s="7" t="s">
        <v>354</v>
      </c>
      <c r="L21" s="7"/>
      <c r="M21" s="7"/>
      <c r="N21" s="7"/>
      <c r="O21" s="84" t="str" cm="1">
        <f t="array" ref="O21">_xlfn.XLOOKUP(1,(A21=Geotech!$A$4:$A$10094)*(Data_Discontinuities[[#This Row],[Depth (m)]]&gt;=Geotech!$C$4:$C$10094)*(Data_Discontinuities[[#This Row],[Depth (m)]]&lt;Geotech!$D$4:$D$10094),Geotech!$M$4:$M$10094)</f>
        <v>Boulamarque granodiorite</v>
      </c>
      <c r="P21" s="84"/>
      <c r="Q21" s="84"/>
      <c r="R21" s="84"/>
      <c r="S2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 s="71">
        <f>IFERROR(Data_Discontinuities[[#This Row],[Joint roughness]]/Data_Discontinuities[[#This Row],[Joint alteration]],"")</f>
        <v>0.75</v>
      </c>
      <c r="V2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1" s="87"/>
    </row>
    <row r="22" spans="1:23" x14ac:dyDescent="0.25">
      <c r="A22" s="150" t="s">
        <v>26</v>
      </c>
      <c r="B22" s="17" t="str">
        <f>VLOOKUP(Data_Discontinuities[[#This Row],[Hole ID]],Data_Log[],2,FALSE)</f>
        <v>CGF-01</v>
      </c>
      <c r="C22" s="8">
        <v>59.95</v>
      </c>
      <c r="D22" s="8">
        <v>1</v>
      </c>
      <c r="E22" s="7" t="s">
        <v>420</v>
      </c>
      <c r="F22" s="7"/>
      <c r="G22" s="7"/>
      <c r="H22" s="118"/>
      <c r="I22" s="7" t="s">
        <v>251</v>
      </c>
      <c r="J22" s="7" t="s">
        <v>352</v>
      </c>
      <c r="K22" s="7" t="s">
        <v>354</v>
      </c>
      <c r="L22" s="7"/>
      <c r="M22" s="7"/>
      <c r="N22" s="7"/>
      <c r="O22" s="84" t="str" cm="1">
        <f t="array" ref="O22">_xlfn.XLOOKUP(1,(A22=Geotech!$A$4:$A$10094)*(Data_Discontinuities[[#This Row],[Depth (m)]]&gt;=Geotech!$C$4:$C$10094)*(Data_Discontinuities[[#This Row],[Depth (m)]]&lt;Geotech!$D$4:$D$10094),Geotech!$M$4:$M$10094)</f>
        <v>Boulamarque granodiorite</v>
      </c>
      <c r="P22" s="84"/>
      <c r="Q22" s="84"/>
      <c r="R22" s="84"/>
      <c r="S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 s="71">
        <f>IFERROR(Data_Discontinuities[[#This Row],[Joint roughness]]/Data_Discontinuities[[#This Row],[Joint alteration]],"")</f>
        <v>0.75</v>
      </c>
      <c r="V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2" s="87"/>
    </row>
    <row r="23" spans="1:23" x14ac:dyDescent="0.25">
      <c r="A23" s="150" t="s">
        <v>26</v>
      </c>
      <c r="B23" s="17" t="str">
        <f>VLOOKUP(Data_Discontinuities[[#This Row],[Hole ID]],Data_Log[],2,FALSE)</f>
        <v>CGF-01</v>
      </c>
      <c r="C23" s="8">
        <v>61.16</v>
      </c>
      <c r="D23" s="8">
        <v>1</v>
      </c>
      <c r="E23" s="7" t="s">
        <v>445</v>
      </c>
      <c r="F23" s="7"/>
      <c r="G23" s="7"/>
      <c r="H23" s="118"/>
      <c r="I23" s="7" t="s">
        <v>286</v>
      </c>
      <c r="J23" s="7" t="s">
        <v>352</v>
      </c>
      <c r="K23" s="7" t="s">
        <v>354</v>
      </c>
      <c r="L23" s="7"/>
      <c r="M23" s="7"/>
      <c r="N23" s="7"/>
      <c r="O23" s="84" t="str" cm="1">
        <f t="array" ref="O23">_xlfn.XLOOKUP(1,(A23=Geotech!$A$4:$A$10094)*(Data_Discontinuities[[#This Row],[Depth (m)]]&gt;=Geotech!$C$4:$C$10094)*(Data_Discontinuities[[#This Row],[Depth (m)]]&lt;Geotech!$D$4:$D$10094),Geotech!$M$4:$M$10094)</f>
        <v>Boulamarque granodiorite</v>
      </c>
      <c r="P23" s="84"/>
      <c r="Q23" s="84"/>
      <c r="R23" s="84"/>
      <c r="S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3" s="71">
        <f>IFERROR(Data_Discontinuities[[#This Row],[Joint roughness]]/Data_Discontinuities[[#This Row],[Joint alteration]],"")</f>
        <v>1.5</v>
      </c>
      <c r="V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3" s="87"/>
    </row>
    <row r="24" spans="1:23" x14ac:dyDescent="0.25">
      <c r="A24" s="150" t="s">
        <v>26</v>
      </c>
      <c r="B24" s="17" t="str">
        <f>VLOOKUP(Data_Discontinuities[[#This Row],[Hole ID]],Data_Log[],2,FALSE)</f>
        <v>CGF-01</v>
      </c>
      <c r="C24" s="8">
        <v>61.39</v>
      </c>
      <c r="D24" s="8">
        <v>1</v>
      </c>
      <c r="E24" s="7" t="s">
        <v>420</v>
      </c>
      <c r="F24" s="7"/>
      <c r="G24" s="7"/>
      <c r="H24" s="118"/>
      <c r="I24" s="7" t="s">
        <v>286</v>
      </c>
      <c r="J24" s="7" t="s">
        <v>352</v>
      </c>
      <c r="K24" s="7" t="s">
        <v>382</v>
      </c>
      <c r="L24" s="7" t="s">
        <v>437</v>
      </c>
      <c r="M24" s="7" t="s">
        <v>447</v>
      </c>
      <c r="N24" s="7"/>
      <c r="O24" s="84" t="str" cm="1">
        <f t="array" ref="O24">_xlfn.XLOOKUP(1,(A24=Geotech!$A$4:$A$10094)*(Data_Discontinuities[[#This Row],[Depth (m)]]&gt;=Geotech!$C$4:$C$10094)*(Data_Discontinuities[[#This Row],[Depth (m)]]&lt;Geotech!$D$4:$D$10094),Geotech!$M$4:$M$10094)</f>
        <v>Boulamarque granodiorite</v>
      </c>
      <c r="P24" s="84"/>
      <c r="Q24" s="84"/>
      <c r="R24" s="84"/>
      <c r="S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4" s="71">
        <f>IFERROR(Data_Discontinuities[[#This Row],[Joint roughness]]/Data_Discontinuities[[#This Row],[Joint alteration]],"")</f>
        <v>0.75</v>
      </c>
      <c r="V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 s="87"/>
    </row>
    <row r="25" spans="1:23" x14ac:dyDescent="0.25">
      <c r="A25" s="150" t="s">
        <v>26</v>
      </c>
      <c r="B25" s="17" t="str">
        <f>VLOOKUP(Data_Discontinuities[[#This Row],[Hole ID]],Data_Log[],2,FALSE)</f>
        <v>CGF-01</v>
      </c>
      <c r="C25" s="8">
        <v>61.56</v>
      </c>
      <c r="D25" s="8">
        <v>1</v>
      </c>
      <c r="E25" s="7" t="s">
        <v>420</v>
      </c>
      <c r="F25" s="7"/>
      <c r="G25" s="7"/>
      <c r="H25" s="118"/>
      <c r="I25" s="7" t="s">
        <v>286</v>
      </c>
      <c r="J25" s="7" t="s">
        <v>352</v>
      </c>
      <c r="K25" s="7" t="s">
        <v>382</v>
      </c>
      <c r="L25" s="7" t="s">
        <v>546</v>
      </c>
      <c r="M25" s="7" t="s">
        <v>437</v>
      </c>
      <c r="N25" s="7"/>
      <c r="O25" s="84" t="str" cm="1">
        <f t="array" ref="O25">_xlfn.XLOOKUP(1,(A25=Geotech!$A$4:$A$10094)*(Data_Discontinuities[[#This Row],[Depth (m)]]&gt;=Geotech!$C$4:$C$10094)*(Data_Discontinuities[[#This Row],[Depth (m)]]&lt;Geotech!$D$4:$D$10094),Geotech!$M$4:$M$10094)</f>
        <v>Boulamarque granodiorite</v>
      </c>
      <c r="P25" s="84"/>
      <c r="Q25" s="84"/>
      <c r="R25" s="84"/>
      <c r="S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5" s="71">
        <f>IFERROR(Data_Discontinuities[[#This Row],[Joint roughness]]/Data_Discontinuities[[#This Row],[Joint alteration]],"")</f>
        <v>0.75</v>
      </c>
      <c r="V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5" s="87"/>
    </row>
    <row r="26" spans="1:23" x14ac:dyDescent="0.25">
      <c r="A26" s="150" t="s">
        <v>26</v>
      </c>
      <c r="B26" s="17" t="str">
        <f>VLOOKUP(Data_Discontinuities[[#This Row],[Hole ID]],Data_Log[],2,FALSE)</f>
        <v>CGF-01</v>
      </c>
      <c r="C26" s="8">
        <v>62</v>
      </c>
      <c r="D26" s="8">
        <v>1</v>
      </c>
      <c r="E26" s="7" t="s">
        <v>445</v>
      </c>
      <c r="F26" s="7"/>
      <c r="G26" s="7"/>
      <c r="H26" s="118"/>
      <c r="I26" s="7" t="s">
        <v>286</v>
      </c>
      <c r="J26" s="7" t="s">
        <v>352</v>
      </c>
      <c r="K26" s="7" t="s">
        <v>354</v>
      </c>
      <c r="L26" s="7"/>
      <c r="M26" s="7"/>
      <c r="N26" s="7"/>
      <c r="O26" s="84" t="str" cm="1">
        <f t="array" ref="O26">_xlfn.XLOOKUP(1,(A26=Geotech!$A$4:$A$10094)*(Data_Discontinuities[[#This Row],[Depth (m)]]&gt;=Geotech!$C$4:$C$10094)*(Data_Discontinuities[[#This Row],[Depth (m)]]&lt;Geotech!$D$4:$D$10094),Geotech!$M$4:$M$10094)</f>
        <v>Boulamarque granodiorite</v>
      </c>
      <c r="P26" s="84"/>
      <c r="Q26" s="84"/>
      <c r="R26" s="84"/>
      <c r="S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 s="71">
        <f>IFERROR(Data_Discontinuities[[#This Row],[Joint roughness]]/Data_Discontinuities[[#This Row],[Joint alteration]],"")</f>
        <v>1.5</v>
      </c>
      <c r="V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6" s="87"/>
    </row>
    <row r="27" spans="1:23" x14ac:dyDescent="0.25">
      <c r="A27" s="150" t="s">
        <v>26</v>
      </c>
      <c r="B27" s="17" t="str">
        <f>VLOOKUP(Data_Discontinuities[[#This Row],[Hole ID]],Data_Log[],2,FALSE)</f>
        <v>CGF-01</v>
      </c>
      <c r="C27" s="8">
        <v>62.06</v>
      </c>
      <c r="D27" s="8">
        <v>1</v>
      </c>
      <c r="E27" s="7" t="s">
        <v>445</v>
      </c>
      <c r="F27" s="7"/>
      <c r="G27" s="7"/>
      <c r="H27" s="118"/>
      <c r="I27" s="7" t="s">
        <v>286</v>
      </c>
      <c r="J27" s="7" t="s">
        <v>320</v>
      </c>
      <c r="K27" s="7" t="s">
        <v>354</v>
      </c>
      <c r="L27" s="7"/>
      <c r="M27" s="7"/>
      <c r="N27" s="7"/>
      <c r="O27" s="84" t="str" cm="1">
        <f t="array" ref="O27">_xlfn.XLOOKUP(1,(A27=Geotech!$A$4:$A$10094)*(Data_Discontinuities[[#This Row],[Depth (m)]]&gt;=Geotech!$C$4:$C$10094)*(Data_Discontinuities[[#This Row],[Depth (m)]]&lt;Geotech!$D$4:$D$10094),Geotech!$M$4:$M$10094)</f>
        <v>Boulamarque granodiorite</v>
      </c>
      <c r="P27" s="84"/>
      <c r="Q27" s="84"/>
      <c r="R27" s="84"/>
      <c r="S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7" s="71">
        <f>IFERROR(Data_Discontinuities[[#This Row],[Joint roughness]]/Data_Discontinuities[[#This Row],[Joint alteration]],"")</f>
        <v>1</v>
      </c>
      <c r="V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7" s="87"/>
    </row>
    <row r="28" spans="1:23" x14ac:dyDescent="0.25">
      <c r="A28" s="150" t="s">
        <v>26</v>
      </c>
      <c r="B28" s="17" t="str">
        <f>VLOOKUP(Data_Discontinuities[[#This Row],[Hole ID]],Data_Log[],2,FALSE)</f>
        <v>CGF-01</v>
      </c>
      <c r="C28" s="8">
        <v>62.29</v>
      </c>
      <c r="D28" s="8">
        <v>1</v>
      </c>
      <c r="E28" s="7" t="s">
        <v>445</v>
      </c>
      <c r="F28" s="7"/>
      <c r="G28" s="7"/>
      <c r="H28" s="118"/>
      <c r="I28" s="7" t="s">
        <v>286</v>
      </c>
      <c r="J28" s="7" t="s">
        <v>352</v>
      </c>
      <c r="K28" s="7" t="s">
        <v>354</v>
      </c>
      <c r="L28" s="7"/>
      <c r="M28" s="7"/>
      <c r="N28" s="7"/>
      <c r="O28" s="84" t="str" cm="1">
        <f t="array" ref="O28">_xlfn.XLOOKUP(1,(A28=Geotech!$A$4:$A$10094)*(Data_Discontinuities[[#This Row],[Depth (m)]]&gt;=Geotech!$C$4:$C$10094)*(Data_Discontinuities[[#This Row],[Depth (m)]]&lt;Geotech!$D$4:$D$10094),Geotech!$M$4:$M$10094)</f>
        <v>Boulamarque granodiorite</v>
      </c>
      <c r="P28" s="84"/>
      <c r="Q28" s="84"/>
      <c r="R28" s="84"/>
      <c r="S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 s="71">
        <f>IFERROR(Data_Discontinuities[[#This Row],[Joint roughness]]/Data_Discontinuities[[#This Row],[Joint alteration]],"")</f>
        <v>1.5</v>
      </c>
      <c r="V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 s="87"/>
    </row>
    <row r="29" spans="1:23" x14ac:dyDescent="0.25">
      <c r="A29" s="150" t="s">
        <v>26</v>
      </c>
      <c r="B29" s="17" t="str">
        <f>VLOOKUP(Data_Discontinuities[[#This Row],[Hole ID]],Data_Log[],2,FALSE)</f>
        <v>CGF-01</v>
      </c>
      <c r="C29" s="8">
        <v>62.97</v>
      </c>
      <c r="D29" s="8">
        <v>1</v>
      </c>
      <c r="E29" s="7" t="s">
        <v>420</v>
      </c>
      <c r="F29" s="7"/>
      <c r="G29" s="7"/>
      <c r="H29" s="118"/>
      <c r="I29" s="7" t="s">
        <v>286</v>
      </c>
      <c r="J29" s="7" t="s">
        <v>352</v>
      </c>
      <c r="K29" s="7" t="s">
        <v>382</v>
      </c>
      <c r="L29" s="7" t="s">
        <v>541</v>
      </c>
      <c r="M29" s="7" t="s">
        <v>437</v>
      </c>
      <c r="N29" s="7"/>
      <c r="O29" s="84" t="str" cm="1">
        <f t="array" ref="O29">_xlfn.XLOOKUP(1,(A29=Geotech!$A$4:$A$10094)*(Data_Discontinuities[[#This Row],[Depth (m)]]&gt;=Geotech!$C$4:$C$10094)*(Data_Discontinuities[[#This Row],[Depth (m)]]&lt;Geotech!$D$4:$D$10094),Geotech!$M$4:$M$10094)</f>
        <v>Boulamarque granodiorite</v>
      </c>
      <c r="P29" s="84"/>
      <c r="Q29" s="84"/>
      <c r="R29" s="84"/>
      <c r="S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9" s="71">
        <f>IFERROR(Data_Discontinuities[[#This Row],[Joint roughness]]/Data_Discontinuities[[#This Row],[Joint alteration]],"")</f>
        <v>0.75</v>
      </c>
      <c r="V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9" s="87"/>
    </row>
    <row r="30" spans="1:23" x14ac:dyDescent="0.25">
      <c r="A30" s="150" t="s">
        <v>26</v>
      </c>
      <c r="B30" s="17" t="str">
        <f>VLOOKUP(Data_Discontinuities[[#This Row],[Hole ID]],Data_Log[],2,FALSE)</f>
        <v>CGF-01</v>
      </c>
      <c r="C30" s="8">
        <v>63.24</v>
      </c>
      <c r="D30" s="8">
        <v>1</v>
      </c>
      <c r="E30" s="7" t="s">
        <v>348</v>
      </c>
      <c r="F30" s="7"/>
      <c r="G30" s="7"/>
      <c r="H30" s="118"/>
      <c r="I30" s="7" t="s">
        <v>286</v>
      </c>
      <c r="J30" s="7" t="s">
        <v>320</v>
      </c>
      <c r="K30" s="7" t="s">
        <v>406</v>
      </c>
      <c r="L30" s="7" t="s">
        <v>437</v>
      </c>
      <c r="M30" s="7"/>
      <c r="N30" s="7"/>
      <c r="O30" s="84" t="str" cm="1">
        <f t="array" ref="O30">_xlfn.XLOOKUP(1,(A30=Geotech!$A$4:$A$10094)*(Data_Discontinuities[[#This Row],[Depth (m)]]&gt;=Geotech!$C$4:$C$10094)*(Data_Discontinuities[[#This Row],[Depth (m)]]&lt;Geotech!$D$4:$D$10094),Geotech!$M$4:$M$10094)</f>
        <v>Boulamarque granodiorite</v>
      </c>
      <c r="P30" s="84"/>
      <c r="Q30" s="84"/>
      <c r="R30" s="84"/>
      <c r="S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0" s="71">
        <f>IFERROR(Data_Discontinuities[[#This Row],[Joint roughness]]/Data_Discontinuities[[#This Row],[Joint alteration]],"")</f>
        <v>0.5</v>
      </c>
      <c r="V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0" s="87"/>
    </row>
    <row r="31" spans="1:23" x14ac:dyDescent="0.25">
      <c r="A31" s="150" t="s">
        <v>26</v>
      </c>
      <c r="B31" s="17" t="str">
        <f>VLOOKUP(Data_Discontinuities[[#This Row],[Hole ID]],Data_Log[],2,FALSE)</f>
        <v>CGF-01</v>
      </c>
      <c r="C31" s="8">
        <v>63.51</v>
      </c>
      <c r="D31" s="8">
        <v>1</v>
      </c>
      <c r="E31" s="7" t="s">
        <v>348</v>
      </c>
      <c r="F31" s="7"/>
      <c r="G31" s="7"/>
      <c r="H31" s="118"/>
      <c r="I31" s="7" t="s">
        <v>318</v>
      </c>
      <c r="J31" s="7" t="s">
        <v>320</v>
      </c>
      <c r="K31" s="7" t="s">
        <v>354</v>
      </c>
      <c r="L31" s="7"/>
      <c r="M31" s="7"/>
      <c r="N31" s="7"/>
      <c r="O31" s="84" t="str" cm="1">
        <f t="array" ref="O31">_xlfn.XLOOKUP(1,(A31=Geotech!$A$4:$A$10094)*(Data_Discontinuities[[#This Row],[Depth (m)]]&gt;=Geotech!$C$4:$C$10094)*(Data_Discontinuities[[#This Row],[Depth (m)]]&lt;Geotech!$D$4:$D$10094),Geotech!$M$4:$M$10094)</f>
        <v>Diorite</v>
      </c>
      <c r="P31" s="84"/>
      <c r="Q31" s="84"/>
      <c r="R31" s="84"/>
      <c r="S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 s="71">
        <f>IFERROR(Data_Discontinuities[[#This Row],[Joint roughness]]/Data_Discontinuities[[#This Row],[Joint alteration]],"")</f>
        <v>1</v>
      </c>
      <c r="V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1" s="87"/>
    </row>
    <row r="32" spans="1:23" x14ac:dyDescent="0.25">
      <c r="A32" s="150" t="s">
        <v>26</v>
      </c>
      <c r="B32" s="17" t="str">
        <f>VLOOKUP(Data_Discontinuities[[#This Row],[Hole ID]],Data_Log[],2,FALSE)</f>
        <v>CGF-01</v>
      </c>
      <c r="C32" s="8">
        <v>63.63</v>
      </c>
      <c r="D32" s="8">
        <v>1</v>
      </c>
      <c r="E32" s="7" t="s">
        <v>445</v>
      </c>
      <c r="F32" s="7"/>
      <c r="G32" s="7"/>
      <c r="H32" s="118"/>
      <c r="I32" s="7" t="s">
        <v>286</v>
      </c>
      <c r="J32" s="7" t="s">
        <v>320</v>
      </c>
      <c r="K32" s="7" t="s">
        <v>382</v>
      </c>
      <c r="L32" s="7" t="s">
        <v>437</v>
      </c>
      <c r="M32" s="7"/>
      <c r="N32" s="7"/>
      <c r="O32" s="84" t="str" cm="1">
        <f t="array" ref="O32">_xlfn.XLOOKUP(1,(A32=Geotech!$A$4:$A$10094)*(Data_Discontinuities[[#This Row],[Depth (m)]]&gt;=Geotech!$C$4:$C$10094)*(Data_Discontinuities[[#This Row],[Depth (m)]]&lt;Geotech!$D$4:$D$10094),Geotech!$M$4:$M$10094)</f>
        <v>Diorite</v>
      </c>
      <c r="P32" s="84"/>
      <c r="Q32" s="84"/>
      <c r="R32" s="84"/>
      <c r="S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2" s="71">
        <f>IFERROR(Data_Discontinuities[[#This Row],[Joint roughness]]/Data_Discontinuities[[#This Row],[Joint alteration]],"")</f>
        <v>0.5</v>
      </c>
      <c r="V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2" s="87"/>
    </row>
    <row r="33" spans="1:23" x14ac:dyDescent="0.25">
      <c r="A33" s="150" t="s">
        <v>26</v>
      </c>
      <c r="B33" s="17" t="str">
        <f>VLOOKUP(Data_Discontinuities[[#This Row],[Hole ID]],Data_Log[],2,FALSE)</f>
        <v>CGF-01</v>
      </c>
      <c r="C33" s="8">
        <v>63.85</v>
      </c>
      <c r="D33" s="8">
        <v>1</v>
      </c>
      <c r="E33" s="7" t="s">
        <v>445</v>
      </c>
      <c r="F33" s="7"/>
      <c r="G33" s="7"/>
      <c r="H33" s="118"/>
      <c r="I33" s="7" t="s">
        <v>286</v>
      </c>
      <c r="J33" s="7" t="s">
        <v>320</v>
      </c>
      <c r="K33" s="7" t="s">
        <v>354</v>
      </c>
      <c r="L33" s="7"/>
      <c r="M33" s="7"/>
      <c r="N33" s="7"/>
      <c r="O33" s="84" t="str" cm="1">
        <f t="array" ref="O33">_xlfn.XLOOKUP(1,(A33=Geotech!$A$4:$A$10094)*(Data_Discontinuities[[#This Row],[Depth (m)]]&gt;=Geotech!$C$4:$C$10094)*(Data_Discontinuities[[#This Row],[Depth (m)]]&lt;Geotech!$D$4:$D$10094),Geotech!$M$4:$M$10094)</f>
        <v>Diorite</v>
      </c>
      <c r="P33" s="84"/>
      <c r="Q33" s="84"/>
      <c r="R33" s="84"/>
      <c r="S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 s="71">
        <f>IFERROR(Data_Discontinuities[[#This Row],[Joint roughness]]/Data_Discontinuities[[#This Row],[Joint alteration]],"")</f>
        <v>1</v>
      </c>
      <c r="V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3" s="87"/>
    </row>
    <row r="34" spans="1:23" x14ac:dyDescent="0.25">
      <c r="A34" s="150" t="s">
        <v>26</v>
      </c>
      <c r="B34" s="17" t="str">
        <f>VLOOKUP(Data_Discontinuities[[#This Row],[Hole ID]],Data_Log[],2,FALSE)</f>
        <v>CGF-01</v>
      </c>
      <c r="C34" s="8">
        <v>65.06</v>
      </c>
      <c r="D34" s="8">
        <v>1</v>
      </c>
      <c r="E34" s="7" t="s">
        <v>445</v>
      </c>
      <c r="F34" s="7"/>
      <c r="G34" s="7"/>
      <c r="H34" s="118"/>
      <c r="I34" s="7" t="s">
        <v>251</v>
      </c>
      <c r="J34" s="7" t="s">
        <v>352</v>
      </c>
      <c r="K34" s="7" t="s">
        <v>382</v>
      </c>
      <c r="L34" s="7" t="s">
        <v>437</v>
      </c>
      <c r="M34" s="7" t="s">
        <v>546</v>
      </c>
      <c r="N34" s="7"/>
      <c r="O34" s="84" t="str" cm="1">
        <f t="array" ref="O34">_xlfn.XLOOKUP(1,(A34=Geotech!$A$4:$A$10094)*(Data_Discontinuities[[#This Row],[Depth (m)]]&gt;=Geotech!$C$4:$C$10094)*(Data_Discontinuities[[#This Row],[Depth (m)]]&lt;Geotech!$D$4:$D$10094),Geotech!$M$4:$M$10094)</f>
        <v>Diorite</v>
      </c>
      <c r="P34" s="84"/>
      <c r="Q34" s="84"/>
      <c r="R34" s="84"/>
      <c r="S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4" s="71">
        <f>IFERROR(Data_Discontinuities[[#This Row],[Joint roughness]]/Data_Discontinuities[[#This Row],[Joint alteration]],"")</f>
        <v>0.375</v>
      </c>
      <c r="V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4" s="87"/>
    </row>
    <row r="35" spans="1:23" x14ac:dyDescent="0.25">
      <c r="A35" s="150" t="s">
        <v>26</v>
      </c>
      <c r="B35" s="17" t="str">
        <f>VLOOKUP(Data_Discontinuities[[#This Row],[Hole ID]],Data_Log[],2,FALSE)</f>
        <v>CGF-01</v>
      </c>
      <c r="C35" s="8">
        <v>65.55</v>
      </c>
      <c r="D35" s="8">
        <v>1</v>
      </c>
      <c r="E35" s="7" t="s">
        <v>248</v>
      </c>
      <c r="F35" s="7"/>
      <c r="G35" s="7"/>
      <c r="H35" s="118"/>
      <c r="I35" s="7"/>
      <c r="J35" s="7"/>
      <c r="K35" s="7"/>
      <c r="L35" s="7"/>
      <c r="M35" s="7"/>
      <c r="N35" s="7">
        <v>0.05</v>
      </c>
      <c r="O35" s="84" t="str" cm="1">
        <f t="array" ref="O35">_xlfn.XLOOKUP(1,(A35=Geotech!$A$4:$A$10094)*(Data_Discontinuities[[#This Row],[Depth (m)]]&gt;=Geotech!$C$4:$C$10094)*(Data_Discontinuities[[#This Row],[Depth (m)]]&lt;Geotech!$D$4:$D$10094),Geotech!$M$4:$M$10094)</f>
        <v>Diorite</v>
      </c>
      <c r="P35" s="84"/>
      <c r="Q35" s="84"/>
      <c r="R35" s="84"/>
      <c r="S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5" s="71" t="str">
        <f>IFERROR(Data_Discontinuities[[#This Row],[Joint roughness]]/Data_Discontinuities[[#This Row],[Joint alteration]],"")</f>
        <v/>
      </c>
      <c r="V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5" s="87"/>
    </row>
    <row r="36" spans="1:23" x14ac:dyDescent="0.25">
      <c r="A36" s="150" t="s">
        <v>26</v>
      </c>
      <c r="B36" s="17" t="str">
        <f>VLOOKUP(Data_Discontinuities[[#This Row],[Hole ID]],Data_Log[],2,FALSE)</f>
        <v>CGF-01</v>
      </c>
      <c r="C36" s="8">
        <v>66.489999999999995</v>
      </c>
      <c r="D36" s="8">
        <v>1</v>
      </c>
      <c r="E36" s="7" t="s">
        <v>445</v>
      </c>
      <c r="F36" s="7"/>
      <c r="G36" s="7"/>
      <c r="H36" s="118"/>
      <c r="I36" s="7" t="s">
        <v>251</v>
      </c>
      <c r="J36" s="7" t="s">
        <v>320</v>
      </c>
      <c r="K36" s="7" t="s">
        <v>354</v>
      </c>
      <c r="L36" s="7"/>
      <c r="M36" s="7"/>
      <c r="N36" s="7"/>
      <c r="O36" s="84" t="str" cm="1">
        <f t="array" ref="O36">_xlfn.XLOOKUP(1,(A36=Geotech!$A$4:$A$10094)*(Data_Discontinuities[[#This Row],[Depth (m)]]&gt;=Geotech!$C$4:$C$10094)*(Data_Discontinuities[[#This Row],[Depth (m)]]&lt;Geotech!$D$4:$D$10094),Geotech!$M$4:$M$10094)</f>
        <v>Diorite</v>
      </c>
      <c r="P36" s="84"/>
      <c r="Q36" s="84"/>
      <c r="R36" s="84"/>
      <c r="S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6" s="71">
        <f>IFERROR(Data_Discontinuities[[#This Row],[Joint roughness]]/Data_Discontinuities[[#This Row],[Joint alteration]],"")</f>
        <v>0.5</v>
      </c>
      <c r="V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6" s="87"/>
    </row>
    <row r="37" spans="1:23" x14ac:dyDescent="0.25">
      <c r="A37" s="150" t="s">
        <v>26</v>
      </c>
      <c r="B37" s="17" t="str">
        <f>VLOOKUP(Data_Discontinuities[[#This Row],[Hole ID]],Data_Log[],2,FALSE)</f>
        <v>CGF-01</v>
      </c>
      <c r="C37" s="8">
        <v>67.37</v>
      </c>
      <c r="D37" s="8">
        <v>1</v>
      </c>
      <c r="E37" s="7" t="s">
        <v>445</v>
      </c>
      <c r="F37" s="7"/>
      <c r="G37" s="7"/>
      <c r="H37" s="118"/>
      <c r="I37" s="7" t="s">
        <v>318</v>
      </c>
      <c r="J37" s="7" t="s">
        <v>352</v>
      </c>
      <c r="K37" s="7" t="s">
        <v>382</v>
      </c>
      <c r="L37" s="7" t="s">
        <v>437</v>
      </c>
      <c r="M37" s="7"/>
      <c r="N37" s="7"/>
      <c r="O37" s="84" t="str" cm="1">
        <f t="array" ref="O37">_xlfn.XLOOKUP(1,(A37=Geotech!$A$4:$A$10094)*(Data_Discontinuities[[#This Row],[Depth (m)]]&gt;=Geotech!$C$4:$C$10094)*(Data_Discontinuities[[#This Row],[Depth (m)]]&lt;Geotech!$D$4:$D$10094),Geotech!$M$4:$M$10094)</f>
        <v>Diorite</v>
      </c>
      <c r="P37" s="84"/>
      <c r="Q37" s="84"/>
      <c r="R37" s="84"/>
      <c r="S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7" s="71">
        <f>IFERROR(Data_Discontinuities[[#This Row],[Joint roughness]]/Data_Discontinuities[[#This Row],[Joint alteration]],"")</f>
        <v>0.75</v>
      </c>
      <c r="V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7" s="87"/>
    </row>
    <row r="38" spans="1:23" x14ac:dyDescent="0.25">
      <c r="A38" s="150" t="s">
        <v>26</v>
      </c>
      <c r="B38" s="17" t="str">
        <f>VLOOKUP(Data_Discontinuities[[#This Row],[Hole ID]],Data_Log[],2,FALSE)</f>
        <v>CGF-01</v>
      </c>
      <c r="C38" s="8">
        <v>68.34</v>
      </c>
      <c r="D38" s="8">
        <v>1</v>
      </c>
      <c r="E38" s="7" t="s">
        <v>445</v>
      </c>
      <c r="F38" s="7"/>
      <c r="G38" s="7"/>
      <c r="H38" s="118"/>
      <c r="I38" s="7" t="s">
        <v>286</v>
      </c>
      <c r="J38" s="7" t="s">
        <v>352</v>
      </c>
      <c r="K38" s="7" t="s">
        <v>354</v>
      </c>
      <c r="L38" s="7"/>
      <c r="M38" s="7"/>
      <c r="N38" s="7"/>
      <c r="O38" s="84" t="str" cm="1">
        <f t="array" ref="O38">_xlfn.XLOOKUP(1,(A38=Geotech!$A$4:$A$10094)*(Data_Discontinuities[[#This Row],[Depth (m)]]&gt;=Geotech!$C$4:$C$10094)*(Data_Discontinuities[[#This Row],[Depth (m)]]&lt;Geotech!$D$4:$D$10094),Geotech!$M$4:$M$10094)</f>
        <v>Diorite</v>
      </c>
      <c r="P38" s="84"/>
      <c r="Q38" s="84"/>
      <c r="R38" s="84"/>
      <c r="S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8" s="71">
        <f>IFERROR(Data_Discontinuities[[#This Row],[Joint roughness]]/Data_Discontinuities[[#This Row],[Joint alteration]],"")</f>
        <v>1.5</v>
      </c>
      <c r="V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8" s="87"/>
    </row>
    <row r="39" spans="1:23" x14ac:dyDescent="0.25">
      <c r="A39" s="150" t="s">
        <v>26</v>
      </c>
      <c r="B39" s="17" t="str">
        <f>VLOOKUP(Data_Discontinuities[[#This Row],[Hole ID]],Data_Log[],2,FALSE)</f>
        <v>CGF-01</v>
      </c>
      <c r="C39" s="8">
        <v>68.45</v>
      </c>
      <c r="D39" s="8">
        <v>1</v>
      </c>
      <c r="E39" s="7" t="s">
        <v>445</v>
      </c>
      <c r="F39" s="7"/>
      <c r="G39" s="7"/>
      <c r="H39" s="118"/>
      <c r="I39" s="7" t="s">
        <v>318</v>
      </c>
      <c r="J39" s="7" t="s">
        <v>352</v>
      </c>
      <c r="K39" s="7" t="s">
        <v>354</v>
      </c>
      <c r="L39" s="7"/>
      <c r="M39" s="7"/>
      <c r="N39" s="7"/>
      <c r="O39" s="84" t="str" cm="1">
        <f t="array" ref="O39">_xlfn.XLOOKUP(1,(A39=Geotech!$A$4:$A$10094)*(Data_Discontinuities[[#This Row],[Depth (m)]]&gt;=Geotech!$C$4:$C$10094)*(Data_Discontinuities[[#This Row],[Depth (m)]]&lt;Geotech!$D$4:$D$10094),Geotech!$M$4:$M$10094)</f>
        <v>Diorite</v>
      </c>
      <c r="P39" s="84"/>
      <c r="Q39" s="84"/>
      <c r="R39" s="84"/>
      <c r="S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 s="71">
        <f>IFERROR(Data_Discontinuities[[#This Row],[Joint roughness]]/Data_Discontinuities[[#This Row],[Joint alteration]],"")</f>
        <v>1.5</v>
      </c>
      <c r="V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9" s="87"/>
    </row>
    <row r="40" spans="1:23" x14ac:dyDescent="0.25">
      <c r="A40" s="150" t="s">
        <v>26</v>
      </c>
      <c r="B40" s="17" t="str">
        <f>VLOOKUP(Data_Discontinuities[[#This Row],[Hole ID]],Data_Log[],2,FALSE)</f>
        <v>CGF-01</v>
      </c>
      <c r="C40" s="8">
        <v>68.83</v>
      </c>
      <c r="D40" s="8">
        <v>1</v>
      </c>
      <c r="E40" s="7" t="s">
        <v>445</v>
      </c>
      <c r="F40" s="7"/>
      <c r="G40" s="7"/>
      <c r="H40" s="118"/>
      <c r="I40" s="7" t="s">
        <v>286</v>
      </c>
      <c r="J40" s="7" t="s">
        <v>352</v>
      </c>
      <c r="K40" s="7" t="s">
        <v>322</v>
      </c>
      <c r="L40" s="7"/>
      <c r="M40" s="7"/>
      <c r="N40" s="7"/>
      <c r="O40" s="84" t="str" cm="1">
        <f t="array" ref="O40">_xlfn.XLOOKUP(1,(A40=Geotech!$A$4:$A$10094)*(Data_Discontinuities[[#This Row],[Depth (m)]]&gt;=Geotech!$C$4:$C$10094)*(Data_Discontinuities[[#This Row],[Depth (m)]]&lt;Geotech!$D$4:$D$10094),Geotech!$M$4:$M$10094)</f>
        <v>Diorite</v>
      </c>
      <c r="P40" s="84"/>
      <c r="Q40" s="84"/>
      <c r="R40" s="84"/>
      <c r="S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0" s="71">
        <f>IFERROR(Data_Discontinuities[[#This Row],[Joint roughness]]/Data_Discontinuities[[#This Row],[Joint alteration]],"")</f>
        <v>3</v>
      </c>
      <c r="V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0" s="87"/>
    </row>
    <row r="41" spans="1:23" x14ac:dyDescent="0.25">
      <c r="A41" s="150" t="s">
        <v>26</v>
      </c>
      <c r="B41" s="17" t="str">
        <f>VLOOKUP(Data_Discontinuities[[#This Row],[Hole ID]],Data_Log[],2,FALSE)</f>
        <v>CGF-01</v>
      </c>
      <c r="C41" s="8">
        <v>68.98</v>
      </c>
      <c r="D41" s="8">
        <v>1</v>
      </c>
      <c r="E41" s="7" t="s">
        <v>445</v>
      </c>
      <c r="F41" s="7"/>
      <c r="G41" s="7"/>
      <c r="H41" s="118"/>
      <c r="I41" s="7" t="s">
        <v>378</v>
      </c>
      <c r="J41" s="7" t="s">
        <v>380</v>
      </c>
      <c r="K41" s="7" t="s">
        <v>290</v>
      </c>
      <c r="L41" s="7"/>
      <c r="M41" s="7"/>
      <c r="N41" s="7"/>
      <c r="O41" s="84" t="str" cm="1">
        <f t="array" ref="O41">_xlfn.XLOOKUP(1,(A41=Geotech!$A$4:$A$10094)*(Data_Discontinuities[[#This Row],[Depth (m)]]&gt;=Geotech!$C$4:$C$10094)*(Data_Discontinuities[[#This Row],[Depth (m)]]&lt;Geotech!$D$4:$D$10094),Geotech!$M$4:$M$10094)</f>
        <v>Diorite</v>
      </c>
      <c r="P41" s="84"/>
      <c r="Q41" s="84"/>
      <c r="R41" s="84"/>
      <c r="S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1" s="71">
        <f>IFERROR(Data_Discontinuities[[#This Row],[Joint roughness]]/Data_Discontinuities[[#This Row],[Joint alteration]],"")</f>
        <v>1.5</v>
      </c>
      <c r="V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1" s="87"/>
    </row>
    <row r="42" spans="1:23" x14ac:dyDescent="0.25">
      <c r="A42" s="150" t="s">
        <v>26</v>
      </c>
      <c r="B42" s="17" t="str">
        <f>VLOOKUP(Data_Discontinuities[[#This Row],[Hole ID]],Data_Log[],2,FALSE)</f>
        <v>CGF-01</v>
      </c>
      <c r="C42" s="8">
        <v>70.23</v>
      </c>
      <c r="D42" s="8">
        <v>1</v>
      </c>
      <c r="E42" s="7" t="s">
        <v>420</v>
      </c>
      <c r="F42" s="7"/>
      <c r="G42" s="7"/>
      <c r="H42" s="118"/>
      <c r="I42" s="7" t="s">
        <v>251</v>
      </c>
      <c r="J42" s="7" t="s">
        <v>320</v>
      </c>
      <c r="K42" s="7" t="s">
        <v>290</v>
      </c>
      <c r="L42" s="7"/>
      <c r="M42" s="7"/>
      <c r="N42" s="7"/>
      <c r="O42" s="84" t="str" cm="1">
        <f t="array" ref="O42">_xlfn.XLOOKUP(1,(A42=Geotech!$A$4:$A$10094)*(Data_Discontinuities[[#This Row],[Depth (m)]]&gt;=Geotech!$C$4:$C$10094)*(Data_Discontinuities[[#This Row],[Depth (m)]]&lt;Geotech!$D$4:$D$10094),Geotech!$M$4:$M$10094)</f>
        <v>Boulamarque granodiorite</v>
      </c>
      <c r="P42" s="84"/>
      <c r="Q42" s="84"/>
      <c r="R42" s="84"/>
      <c r="S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 s="71">
        <f>IFERROR(Data_Discontinuities[[#This Row],[Joint roughness]]/Data_Discontinuities[[#This Row],[Joint alteration]],"")</f>
        <v>0.5</v>
      </c>
      <c r="V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2" s="87"/>
    </row>
    <row r="43" spans="1:23" x14ac:dyDescent="0.25">
      <c r="A43" s="150" t="s">
        <v>26</v>
      </c>
      <c r="B43" s="17" t="str">
        <f>VLOOKUP(Data_Discontinuities[[#This Row],[Hole ID]],Data_Log[],2,FALSE)</f>
        <v>CGF-01</v>
      </c>
      <c r="C43" s="8">
        <v>70.400000000000006</v>
      </c>
      <c r="D43" s="8">
        <v>1</v>
      </c>
      <c r="E43" s="7" t="s">
        <v>420</v>
      </c>
      <c r="F43" s="7"/>
      <c r="G43" s="7"/>
      <c r="H43" s="118"/>
      <c r="I43" s="7" t="s">
        <v>286</v>
      </c>
      <c r="J43" s="7" t="s">
        <v>320</v>
      </c>
      <c r="K43" s="7" t="s">
        <v>290</v>
      </c>
      <c r="L43" s="7"/>
      <c r="M43" s="7"/>
      <c r="N43" s="7"/>
      <c r="O43" s="84" t="str" cm="1">
        <f t="array" ref="O43">_xlfn.XLOOKUP(1,(A43=Geotech!$A$4:$A$10094)*(Data_Discontinuities[[#This Row],[Depth (m)]]&gt;=Geotech!$C$4:$C$10094)*(Data_Discontinuities[[#This Row],[Depth (m)]]&lt;Geotech!$D$4:$D$10094),Geotech!$M$4:$M$10094)</f>
        <v>Boulamarque granodiorite</v>
      </c>
      <c r="P43" s="84"/>
      <c r="Q43" s="84"/>
      <c r="R43" s="84"/>
      <c r="S4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3" s="71">
        <f>IFERROR(Data_Discontinuities[[#This Row],[Joint roughness]]/Data_Discontinuities[[#This Row],[Joint alteration]],"")</f>
        <v>1</v>
      </c>
      <c r="V4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3" s="87"/>
    </row>
    <row r="44" spans="1:23" x14ac:dyDescent="0.25">
      <c r="A44" s="150" t="s">
        <v>26</v>
      </c>
      <c r="B44" s="17" t="str">
        <f>VLOOKUP(Data_Discontinuities[[#This Row],[Hole ID]],Data_Log[],2,FALSE)</f>
        <v>CGF-01</v>
      </c>
      <c r="C44" s="8">
        <v>70.790000000000006</v>
      </c>
      <c r="D44" s="8">
        <v>1</v>
      </c>
      <c r="E44" s="7" t="s">
        <v>420</v>
      </c>
      <c r="F44" s="7"/>
      <c r="G44" s="7"/>
      <c r="H44" s="118"/>
      <c r="I44" s="7" t="s">
        <v>251</v>
      </c>
      <c r="J44" s="7" t="s">
        <v>320</v>
      </c>
      <c r="K44" s="7" t="s">
        <v>290</v>
      </c>
      <c r="L44" s="7"/>
      <c r="M44" s="7"/>
      <c r="N44" s="7"/>
      <c r="O44" s="84" t="str" cm="1">
        <f t="array" ref="O44">_xlfn.XLOOKUP(1,(A44=Geotech!$A$4:$A$10094)*(Data_Discontinuities[[#This Row],[Depth (m)]]&gt;=Geotech!$C$4:$C$10094)*(Data_Discontinuities[[#This Row],[Depth (m)]]&lt;Geotech!$D$4:$D$10094),Geotech!$M$4:$M$10094)</f>
        <v>Boulamarque granodiorite</v>
      </c>
      <c r="P44" s="84"/>
      <c r="Q44" s="84"/>
      <c r="R44" s="84"/>
      <c r="S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4" s="71">
        <f>IFERROR(Data_Discontinuities[[#This Row],[Joint roughness]]/Data_Discontinuities[[#This Row],[Joint alteration]],"")</f>
        <v>0.5</v>
      </c>
      <c r="V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 s="87"/>
    </row>
    <row r="45" spans="1:23" x14ac:dyDescent="0.25">
      <c r="A45" s="150" t="s">
        <v>26</v>
      </c>
      <c r="B45" s="17" t="str">
        <f>VLOOKUP(Data_Discontinuities[[#This Row],[Hole ID]],Data_Log[],2,FALSE)</f>
        <v>CGF-01</v>
      </c>
      <c r="C45" s="8">
        <v>70.900000000000006</v>
      </c>
      <c r="D45" s="8">
        <v>1</v>
      </c>
      <c r="E45" s="7" t="s">
        <v>420</v>
      </c>
      <c r="F45" s="7"/>
      <c r="G45" s="7"/>
      <c r="H45" s="118"/>
      <c r="I45" s="7" t="s">
        <v>286</v>
      </c>
      <c r="J45" s="7" t="s">
        <v>320</v>
      </c>
      <c r="K45" s="7" t="s">
        <v>290</v>
      </c>
      <c r="L45" s="7"/>
      <c r="M45" s="7"/>
      <c r="N45" s="7"/>
      <c r="O45" s="84" t="str" cm="1">
        <f t="array" ref="O45">_xlfn.XLOOKUP(1,(A45=Geotech!$A$4:$A$10094)*(Data_Discontinuities[[#This Row],[Depth (m)]]&gt;=Geotech!$C$4:$C$10094)*(Data_Discontinuities[[#This Row],[Depth (m)]]&lt;Geotech!$D$4:$D$10094),Geotech!$M$4:$M$10094)</f>
        <v>Boulamarque granodiorite</v>
      </c>
      <c r="P45" s="84"/>
      <c r="Q45" s="84"/>
      <c r="R45" s="84"/>
      <c r="S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5" s="71">
        <f>IFERROR(Data_Discontinuities[[#This Row],[Joint roughness]]/Data_Discontinuities[[#This Row],[Joint alteration]],"")</f>
        <v>1</v>
      </c>
      <c r="V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5" s="87"/>
    </row>
    <row r="46" spans="1:23" x14ac:dyDescent="0.25">
      <c r="A46" s="150" t="s">
        <v>26</v>
      </c>
      <c r="B46" s="17" t="str">
        <f>VLOOKUP(Data_Discontinuities[[#This Row],[Hole ID]],Data_Log[],2,FALSE)</f>
        <v>CGF-01</v>
      </c>
      <c r="C46" s="8">
        <v>71.290000000000006</v>
      </c>
      <c r="D46" s="8">
        <v>1</v>
      </c>
      <c r="E46" s="7" t="s">
        <v>420</v>
      </c>
      <c r="F46" s="7"/>
      <c r="G46" s="7"/>
      <c r="H46" s="118"/>
      <c r="I46" s="7" t="s">
        <v>251</v>
      </c>
      <c r="J46" s="7" t="s">
        <v>320</v>
      </c>
      <c r="K46" s="7" t="s">
        <v>290</v>
      </c>
      <c r="L46" s="7"/>
      <c r="M46" s="7"/>
      <c r="N46" s="7"/>
      <c r="O46" s="84" t="str" cm="1">
        <f t="array" ref="O46">_xlfn.XLOOKUP(1,(A46=Geotech!$A$4:$A$10094)*(Data_Discontinuities[[#This Row],[Depth (m)]]&gt;=Geotech!$C$4:$C$10094)*(Data_Discontinuities[[#This Row],[Depth (m)]]&lt;Geotech!$D$4:$D$10094),Geotech!$M$4:$M$10094)</f>
        <v>Boulamarque granodiorite</v>
      </c>
      <c r="P46" s="84"/>
      <c r="Q46" s="84"/>
      <c r="R46" s="84"/>
      <c r="S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 s="71">
        <f>IFERROR(Data_Discontinuities[[#This Row],[Joint roughness]]/Data_Discontinuities[[#This Row],[Joint alteration]],"")</f>
        <v>0.5</v>
      </c>
      <c r="V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6" s="87"/>
    </row>
    <row r="47" spans="1:23" x14ac:dyDescent="0.25">
      <c r="A47" s="150" t="s">
        <v>26</v>
      </c>
      <c r="B47" s="17" t="str">
        <f>VLOOKUP(Data_Discontinuities[[#This Row],[Hole ID]],Data_Log[],2,FALSE)</f>
        <v>CGF-01</v>
      </c>
      <c r="C47" s="8">
        <v>71.400000000000006</v>
      </c>
      <c r="D47" s="8">
        <v>1</v>
      </c>
      <c r="E47" s="7" t="s">
        <v>420</v>
      </c>
      <c r="F47" s="7"/>
      <c r="G47" s="7"/>
      <c r="H47" s="118"/>
      <c r="I47" s="7" t="s">
        <v>286</v>
      </c>
      <c r="J47" s="7" t="s">
        <v>320</v>
      </c>
      <c r="K47" s="7" t="s">
        <v>354</v>
      </c>
      <c r="L47" s="7"/>
      <c r="M47" s="7"/>
      <c r="N47" s="7"/>
      <c r="O47" s="84" t="str" cm="1">
        <f t="array" ref="O47">_xlfn.XLOOKUP(1,(A47=Geotech!$A$4:$A$10094)*(Data_Discontinuities[[#This Row],[Depth (m)]]&gt;=Geotech!$C$4:$C$10094)*(Data_Discontinuities[[#This Row],[Depth (m)]]&lt;Geotech!$D$4:$D$10094),Geotech!$M$4:$M$10094)</f>
        <v>Boulamarque granodiorite</v>
      </c>
      <c r="P47" s="84"/>
      <c r="Q47" s="84"/>
      <c r="R47" s="84"/>
      <c r="S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7" s="71">
        <f>IFERROR(Data_Discontinuities[[#This Row],[Joint roughness]]/Data_Discontinuities[[#This Row],[Joint alteration]],"")</f>
        <v>1</v>
      </c>
      <c r="V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7" s="87"/>
    </row>
    <row r="48" spans="1:23" x14ac:dyDescent="0.25">
      <c r="A48" s="150" t="s">
        <v>26</v>
      </c>
      <c r="B48" s="17" t="str">
        <f>VLOOKUP(Data_Discontinuities[[#This Row],[Hole ID]],Data_Log[],2,FALSE)</f>
        <v>CGF-01</v>
      </c>
      <c r="C48" s="8">
        <v>71.69</v>
      </c>
      <c r="D48" s="8">
        <v>1</v>
      </c>
      <c r="E48" s="7" t="s">
        <v>420</v>
      </c>
      <c r="F48" s="7"/>
      <c r="G48" s="7"/>
      <c r="H48" s="118"/>
      <c r="I48" s="7" t="s">
        <v>286</v>
      </c>
      <c r="J48" s="7" t="s">
        <v>352</v>
      </c>
      <c r="K48" s="7" t="s">
        <v>354</v>
      </c>
      <c r="L48" s="7"/>
      <c r="M48" s="7"/>
      <c r="N48" s="7"/>
      <c r="O48" s="84" t="str" cm="1">
        <f t="array" ref="O48">_xlfn.XLOOKUP(1,(A48=Geotech!$A$4:$A$10094)*(Data_Discontinuities[[#This Row],[Depth (m)]]&gt;=Geotech!$C$4:$C$10094)*(Data_Discontinuities[[#This Row],[Depth (m)]]&lt;Geotech!$D$4:$D$10094),Geotech!$M$4:$M$10094)</f>
        <v>Boulamarque granodiorite</v>
      </c>
      <c r="P48" s="84"/>
      <c r="Q48" s="84"/>
      <c r="R48" s="84"/>
      <c r="S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8" s="71">
        <f>IFERROR(Data_Discontinuities[[#This Row],[Joint roughness]]/Data_Discontinuities[[#This Row],[Joint alteration]],"")</f>
        <v>1.5</v>
      </c>
      <c r="V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8" s="87"/>
    </row>
    <row r="49" spans="1:23" x14ac:dyDescent="0.25">
      <c r="A49" s="150" t="s">
        <v>26</v>
      </c>
      <c r="B49" s="17" t="str">
        <f>VLOOKUP(Data_Discontinuities[[#This Row],[Hole ID]],Data_Log[],2,FALSE)</f>
        <v>CGF-01</v>
      </c>
      <c r="C49" s="8">
        <v>71.89</v>
      </c>
      <c r="D49" s="8">
        <v>1</v>
      </c>
      <c r="E49" s="7" t="s">
        <v>420</v>
      </c>
      <c r="F49" s="7"/>
      <c r="G49" s="7"/>
      <c r="H49" s="118"/>
      <c r="I49" s="7" t="s">
        <v>286</v>
      </c>
      <c r="J49" s="7" t="s">
        <v>352</v>
      </c>
      <c r="K49" s="7" t="s">
        <v>354</v>
      </c>
      <c r="L49" s="7"/>
      <c r="M49" s="7"/>
      <c r="N49" s="7"/>
      <c r="O49" s="84" t="str" cm="1">
        <f t="array" ref="O49">_xlfn.XLOOKUP(1,(A49=Geotech!$A$4:$A$10094)*(Data_Discontinuities[[#This Row],[Depth (m)]]&gt;=Geotech!$C$4:$C$10094)*(Data_Discontinuities[[#This Row],[Depth (m)]]&lt;Geotech!$D$4:$D$10094),Geotech!$M$4:$M$10094)</f>
        <v>Boulamarque granodiorite</v>
      </c>
      <c r="P49" s="84"/>
      <c r="Q49" s="84"/>
      <c r="R49" s="84"/>
      <c r="S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9" s="71">
        <f>IFERROR(Data_Discontinuities[[#This Row],[Joint roughness]]/Data_Discontinuities[[#This Row],[Joint alteration]],"")</f>
        <v>1.5</v>
      </c>
      <c r="V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9" s="87"/>
    </row>
    <row r="50" spans="1:23" x14ac:dyDescent="0.25">
      <c r="A50" s="150" t="s">
        <v>26</v>
      </c>
      <c r="B50" s="17" t="str">
        <f>VLOOKUP(Data_Discontinuities[[#This Row],[Hole ID]],Data_Log[],2,FALSE)</f>
        <v>CGF-01</v>
      </c>
      <c r="C50" s="8">
        <v>72.22</v>
      </c>
      <c r="D50" s="8">
        <v>1</v>
      </c>
      <c r="E50" s="7" t="s">
        <v>445</v>
      </c>
      <c r="F50" s="7"/>
      <c r="G50" s="7"/>
      <c r="H50" s="118"/>
      <c r="I50" s="7" t="s">
        <v>286</v>
      </c>
      <c r="J50" s="7" t="s">
        <v>352</v>
      </c>
      <c r="K50" s="7" t="s">
        <v>290</v>
      </c>
      <c r="L50" s="7"/>
      <c r="M50" s="7"/>
      <c r="N50" s="7"/>
      <c r="O50" s="84" t="str" cm="1">
        <f t="array" ref="O50">_xlfn.XLOOKUP(1,(A50=Geotech!$A$4:$A$10094)*(Data_Discontinuities[[#This Row],[Depth (m)]]&gt;=Geotech!$C$4:$C$10094)*(Data_Discontinuities[[#This Row],[Depth (m)]]&lt;Geotech!$D$4:$D$10094),Geotech!$M$4:$M$10094)</f>
        <v>Boulamarque granodiorite</v>
      </c>
      <c r="P50" s="84"/>
      <c r="Q50" s="84"/>
      <c r="R50" s="84"/>
      <c r="S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0" s="71">
        <f>IFERROR(Data_Discontinuities[[#This Row],[Joint roughness]]/Data_Discontinuities[[#This Row],[Joint alteration]],"")</f>
        <v>1.5</v>
      </c>
      <c r="V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0" s="87"/>
    </row>
    <row r="51" spans="1:23" x14ac:dyDescent="0.25">
      <c r="A51" s="150" t="s">
        <v>26</v>
      </c>
      <c r="B51" s="17" t="str">
        <f>VLOOKUP(Data_Discontinuities[[#This Row],[Hole ID]],Data_Log[],2,FALSE)</f>
        <v>CGF-01</v>
      </c>
      <c r="C51" s="8">
        <v>72.75</v>
      </c>
      <c r="D51" s="8">
        <v>1</v>
      </c>
      <c r="E51" s="7" t="s">
        <v>445</v>
      </c>
      <c r="F51" s="7"/>
      <c r="G51" s="7"/>
      <c r="H51" s="118"/>
      <c r="I51" s="7" t="s">
        <v>286</v>
      </c>
      <c r="J51" s="7" t="s">
        <v>320</v>
      </c>
      <c r="K51" s="7" t="s">
        <v>354</v>
      </c>
      <c r="L51" s="7"/>
      <c r="M51" s="7"/>
      <c r="N51" s="7"/>
      <c r="O51" s="84" t="str" cm="1">
        <f t="array" ref="O51">_xlfn.XLOOKUP(1,(A51=Geotech!$A$4:$A$10094)*(Data_Discontinuities[[#This Row],[Depth (m)]]&gt;=Geotech!$C$4:$C$10094)*(Data_Discontinuities[[#This Row],[Depth (m)]]&lt;Geotech!$D$4:$D$10094),Geotech!$M$4:$M$10094)</f>
        <v>Boulamarque granodiorite</v>
      </c>
      <c r="P51" s="84"/>
      <c r="Q51" s="84"/>
      <c r="R51" s="84"/>
      <c r="S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 s="71">
        <f>IFERROR(Data_Discontinuities[[#This Row],[Joint roughness]]/Data_Discontinuities[[#This Row],[Joint alteration]],"")</f>
        <v>1</v>
      </c>
      <c r="V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 s="87"/>
    </row>
    <row r="52" spans="1:23" x14ac:dyDescent="0.25">
      <c r="A52" s="150" t="s">
        <v>26</v>
      </c>
      <c r="B52" s="17" t="str">
        <f>VLOOKUP(Data_Discontinuities[[#This Row],[Hole ID]],Data_Log[],2,FALSE)</f>
        <v>CGF-01</v>
      </c>
      <c r="C52" s="8">
        <v>73.38</v>
      </c>
      <c r="D52" s="8">
        <v>1</v>
      </c>
      <c r="E52" s="7" t="s">
        <v>445</v>
      </c>
      <c r="F52" s="7"/>
      <c r="G52" s="7"/>
      <c r="H52" s="118"/>
      <c r="I52" s="7" t="s">
        <v>286</v>
      </c>
      <c r="J52" s="7" t="s">
        <v>352</v>
      </c>
      <c r="K52" s="7" t="s">
        <v>354</v>
      </c>
      <c r="L52" s="7"/>
      <c r="M52" s="7"/>
      <c r="N52" s="7"/>
      <c r="O52" s="84" t="str" cm="1">
        <f t="array" ref="O52">_xlfn.XLOOKUP(1,(A52=Geotech!$A$4:$A$10094)*(Data_Discontinuities[[#This Row],[Depth (m)]]&gt;=Geotech!$C$4:$C$10094)*(Data_Discontinuities[[#This Row],[Depth (m)]]&lt;Geotech!$D$4:$D$10094),Geotech!$M$4:$M$10094)</f>
        <v>Boulamarque granodiorite</v>
      </c>
      <c r="P52" s="84"/>
      <c r="Q52" s="84"/>
      <c r="R52" s="84"/>
      <c r="S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 s="71">
        <f>IFERROR(Data_Discontinuities[[#This Row],[Joint roughness]]/Data_Discontinuities[[#This Row],[Joint alteration]],"")</f>
        <v>1.5</v>
      </c>
      <c r="V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2" s="87"/>
    </row>
    <row r="53" spans="1:23" x14ac:dyDescent="0.25">
      <c r="A53" s="150" t="s">
        <v>26</v>
      </c>
      <c r="B53" s="17" t="str">
        <f>VLOOKUP(Data_Discontinuities[[#This Row],[Hole ID]],Data_Log[],2,FALSE)</f>
        <v>CGF-01</v>
      </c>
      <c r="C53" s="8">
        <v>74.150000000000006</v>
      </c>
      <c r="D53" s="8">
        <v>1</v>
      </c>
      <c r="E53" s="7" t="s">
        <v>445</v>
      </c>
      <c r="F53" s="7"/>
      <c r="G53" s="7"/>
      <c r="H53" s="118"/>
      <c r="I53" s="7" t="s">
        <v>286</v>
      </c>
      <c r="J53" s="7" t="s">
        <v>352</v>
      </c>
      <c r="K53" s="7" t="s">
        <v>354</v>
      </c>
      <c r="L53" s="7"/>
      <c r="M53" s="7"/>
      <c r="N53" s="7"/>
      <c r="O53" s="84" t="str" cm="1">
        <f t="array" ref="O53">_xlfn.XLOOKUP(1,(A53=Geotech!$A$4:$A$10094)*(Data_Discontinuities[[#This Row],[Depth (m)]]&gt;=Geotech!$C$4:$C$10094)*(Data_Discontinuities[[#This Row],[Depth (m)]]&lt;Geotech!$D$4:$D$10094),Geotech!$M$4:$M$10094)</f>
        <v>Boulamarque granodiorite</v>
      </c>
      <c r="P53" s="84"/>
      <c r="Q53" s="84"/>
      <c r="R53" s="84"/>
      <c r="S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3" s="71">
        <f>IFERROR(Data_Discontinuities[[#This Row],[Joint roughness]]/Data_Discontinuities[[#This Row],[Joint alteration]],"")</f>
        <v>1.5</v>
      </c>
      <c r="V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3" s="87"/>
    </row>
    <row r="54" spans="1:23" x14ac:dyDescent="0.25">
      <c r="A54" s="150" t="s">
        <v>26</v>
      </c>
      <c r="B54" s="17" t="str">
        <f>VLOOKUP(Data_Discontinuities[[#This Row],[Hole ID]],Data_Log[],2,FALSE)</f>
        <v>CGF-01</v>
      </c>
      <c r="C54" s="8">
        <v>74.37</v>
      </c>
      <c r="D54" s="8">
        <v>1</v>
      </c>
      <c r="E54" s="7" t="s">
        <v>248</v>
      </c>
      <c r="F54" s="7"/>
      <c r="G54" s="7"/>
      <c r="H54" s="118"/>
      <c r="I54" s="7"/>
      <c r="J54" s="7"/>
      <c r="K54" s="7"/>
      <c r="L54" s="7"/>
      <c r="M54" s="7"/>
      <c r="N54" s="7">
        <v>0.17</v>
      </c>
      <c r="O54" s="84" t="str" cm="1">
        <f t="array" ref="O54">_xlfn.XLOOKUP(1,(A54=Geotech!$A$4:$A$10094)*(Data_Discontinuities[[#This Row],[Depth (m)]]&gt;=Geotech!$C$4:$C$10094)*(Data_Discontinuities[[#This Row],[Depth (m)]]&lt;Geotech!$D$4:$D$10094),Geotech!$M$4:$M$10094)</f>
        <v>Boulamarque granodiorite</v>
      </c>
      <c r="P54" s="84"/>
      <c r="Q54" s="84"/>
      <c r="R54" s="84"/>
      <c r="S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4" s="71" t="str">
        <f>IFERROR(Data_Discontinuities[[#This Row],[Joint roughness]]/Data_Discontinuities[[#This Row],[Joint alteration]],"")</f>
        <v/>
      </c>
      <c r="V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4" s="87"/>
    </row>
    <row r="55" spans="1:23" x14ac:dyDescent="0.25">
      <c r="A55" s="150" t="s">
        <v>26</v>
      </c>
      <c r="B55" s="17" t="str">
        <f>VLOOKUP(Data_Discontinuities[[#This Row],[Hole ID]],Data_Log[],2,FALSE)</f>
        <v>CGF-01</v>
      </c>
      <c r="C55" s="8">
        <v>74.98</v>
      </c>
      <c r="D55" s="8">
        <v>1</v>
      </c>
      <c r="E55" s="7" t="s">
        <v>445</v>
      </c>
      <c r="F55" s="7"/>
      <c r="G55" s="7"/>
      <c r="H55" s="118"/>
      <c r="I55" s="7" t="s">
        <v>286</v>
      </c>
      <c r="J55" s="7" t="s">
        <v>352</v>
      </c>
      <c r="K55" s="7" t="s">
        <v>354</v>
      </c>
      <c r="L55" s="7"/>
      <c r="M55" s="7"/>
      <c r="N55" s="7"/>
      <c r="O55" s="84" t="str" cm="1">
        <f t="array" ref="O55">_xlfn.XLOOKUP(1,(A55=Geotech!$A$4:$A$10094)*(Data_Discontinuities[[#This Row],[Depth (m)]]&gt;=Geotech!$C$4:$C$10094)*(Data_Discontinuities[[#This Row],[Depth (m)]]&lt;Geotech!$D$4:$D$10094),Geotech!$M$4:$M$10094)</f>
        <v>Boulamarque granodiorite</v>
      </c>
      <c r="P55" s="84"/>
      <c r="Q55" s="84"/>
      <c r="R55" s="84"/>
      <c r="S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5" s="71">
        <f>IFERROR(Data_Discontinuities[[#This Row],[Joint roughness]]/Data_Discontinuities[[#This Row],[Joint alteration]],"")</f>
        <v>1.5</v>
      </c>
      <c r="V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5" s="87"/>
    </row>
    <row r="56" spans="1:23" x14ac:dyDescent="0.25">
      <c r="A56" s="150" t="s">
        <v>26</v>
      </c>
      <c r="B56" s="17" t="str">
        <f>VLOOKUP(Data_Discontinuities[[#This Row],[Hole ID]],Data_Log[],2,FALSE)</f>
        <v>CGF-01</v>
      </c>
      <c r="C56" s="8">
        <v>75.94</v>
      </c>
      <c r="D56" s="8">
        <v>1</v>
      </c>
      <c r="E56" s="7" t="s">
        <v>420</v>
      </c>
      <c r="F56" s="7"/>
      <c r="G56" s="7"/>
      <c r="H56" s="118"/>
      <c r="I56" s="7" t="s">
        <v>251</v>
      </c>
      <c r="J56" s="7" t="s">
        <v>320</v>
      </c>
      <c r="K56" s="7" t="s">
        <v>290</v>
      </c>
      <c r="L56" s="7"/>
      <c r="M56" s="7"/>
      <c r="N56" s="7"/>
      <c r="O56" s="84" t="str" cm="1">
        <f t="array" ref="O56">_xlfn.XLOOKUP(1,(A56=Geotech!$A$4:$A$10094)*(Data_Discontinuities[[#This Row],[Depth (m)]]&gt;=Geotech!$C$4:$C$10094)*(Data_Discontinuities[[#This Row],[Depth (m)]]&lt;Geotech!$D$4:$D$10094),Geotech!$M$4:$M$10094)</f>
        <v>Boulamarque granodiorite</v>
      </c>
      <c r="P56" s="84"/>
      <c r="Q56" s="84"/>
      <c r="R56" s="84"/>
      <c r="S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 s="71">
        <f>IFERROR(Data_Discontinuities[[#This Row],[Joint roughness]]/Data_Discontinuities[[#This Row],[Joint alteration]],"")</f>
        <v>0.5</v>
      </c>
      <c r="V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6" s="87"/>
    </row>
    <row r="57" spans="1:23" x14ac:dyDescent="0.25">
      <c r="A57" s="150" t="s">
        <v>26</v>
      </c>
      <c r="B57" s="17" t="str">
        <f>VLOOKUP(Data_Discontinuities[[#This Row],[Hole ID]],Data_Log[],2,FALSE)</f>
        <v>CGF-01</v>
      </c>
      <c r="C57" s="8">
        <v>76.069999999999993</v>
      </c>
      <c r="D57" s="8">
        <v>1</v>
      </c>
      <c r="E57" s="7" t="s">
        <v>420</v>
      </c>
      <c r="F57" s="7"/>
      <c r="G57" s="7"/>
      <c r="H57" s="118"/>
      <c r="I57" s="7" t="s">
        <v>286</v>
      </c>
      <c r="J57" s="7" t="s">
        <v>320</v>
      </c>
      <c r="K57" s="7" t="s">
        <v>290</v>
      </c>
      <c r="L57" s="7"/>
      <c r="M57" s="7"/>
      <c r="N57" s="7"/>
      <c r="O57" s="84" t="str" cm="1">
        <f t="array" ref="O57">_xlfn.XLOOKUP(1,(A57=Geotech!$A$4:$A$10094)*(Data_Discontinuities[[#This Row],[Depth (m)]]&gt;=Geotech!$C$4:$C$10094)*(Data_Discontinuities[[#This Row],[Depth (m)]]&lt;Geotech!$D$4:$D$10094),Geotech!$M$4:$M$10094)</f>
        <v>Boulamarque granodiorite</v>
      </c>
      <c r="P57" s="84"/>
      <c r="Q57" s="84"/>
      <c r="R57" s="84"/>
      <c r="S5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7" s="71">
        <f>IFERROR(Data_Discontinuities[[#This Row],[Joint roughness]]/Data_Discontinuities[[#This Row],[Joint alteration]],"")</f>
        <v>1</v>
      </c>
      <c r="V5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 s="87"/>
    </row>
    <row r="58" spans="1:23" x14ac:dyDescent="0.25">
      <c r="A58" s="150" t="s">
        <v>26</v>
      </c>
      <c r="B58" s="17" t="str">
        <f>VLOOKUP(Data_Discontinuities[[#This Row],[Hole ID]],Data_Log[],2,FALSE)</f>
        <v>CGF-01</v>
      </c>
      <c r="C58" s="8">
        <v>76.680000000000007</v>
      </c>
      <c r="D58" s="8">
        <v>1</v>
      </c>
      <c r="E58" s="7" t="s">
        <v>420</v>
      </c>
      <c r="F58" s="7"/>
      <c r="G58" s="7"/>
      <c r="H58" s="118"/>
      <c r="I58" s="7" t="s">
        <v>286</v>
      </c>
      <c r="J58" s="7" t="s">
        <v>352</v>
      </c>
      <c r="K58" s="7" t="s">
        <v>290</v>
      </c>
      <c r="L58" s="7"/>
      <c r="M58" s="7"/>
      <c r="N58" s="7"/>
      <c r="O58" s="84" t="str" cm="1">
        <f t="array" ref="O58">_xlfn.XLOOKUP(1,(A58=Geotech!$A$4:$A$10094)*(Data_Discontinuities[[#This Row],[Depth (m)]]&gt;=Geotech!$C$4:$C$10094)*(Data_Discontinuities[[#This Row],[Depth (m)]]&lt;Geotech!$D$4:$D$10094),Geotech!$M$4:$M$10094)</f>
        <v>Boulamarque granodiorite</v>
      </c>
      <c r="P58" s="84"/>
      <c r="Q58" s="84"/>
      <c r="R58" s="84"/>
      <c r="S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 s="71">
        <f>IFERROR(Data_Discontinuities[[#This Row],[Joint roughness]]/Data_Discontinuities[[#This Row],[Joint alteration]],"")</f>
        <v>1.5</v>
      </c>
      <c r="V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8" s="87"/>
    </row>
    <row r="59" spans="1:23" x14ac:dyDescent="0.25">
      <c r="A59" s="150" t="s">
        <v>26</v>
      </c>
      <c r="B59" s="17" t="str">
        <f>VLOOKUP(Data_Discontinuities[[#This Row],[Hole ID]],Data_Log[],2,FALSE)</f>
        <v>CGF-01</v>
      </c>
      <c r="C59" s="8">
        <v>76.83</v>
      </c>
      <c r="D59" s="8">
        <v>1</v>
      </c>
      <c r="E59" s="7" t="s">
        <v>420</v>
      </c>
      <c r="F59" s="7"/>
      <c r="G59" s="7"/>
      <c r="H59" s="118"/>
      <c r="I59" s="7" t="s">
        <v>251</v>
      </c>
      <c r="J59" s="7" t="s">
        <v>320</v>
      </c>
      <c r="K59" s="7" t="s">
        <v>290</v>
      </c>
      <c r="L59" s="7"/>
      <c r="M59" s="7"/>
      <c r="N59" s="7"/>
      <c r="O59" s="84" t="str" cm="1">
        <f t="array" ref="O59">_xlfn.XLOOKUP(1,(A59=Geotech!$A$4:$A$10094)*(Data_Discontinuities[[#This Row],[Depth (m)]]&gt;=Geotech!$C$4:$C$10094)*(Data_Discontinuities[[#This Row],[Depth (m)]]&lt;Geotech!$D$4:$D$10094),Geotech!$M$4:$M$10094)</f>
        <v>Boulamarque granodiorite</v>
      </c>
      <c r="P59" s="84"/>
      <c r="Q59" s="84"/>
      <c r="R59" s="84"/>
      <c r="S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9" s="71">
        <f>IFERROR(Data_Discontinuities[[#This Row],[Joint roughness]]/Data_Discontinuities[[#This Row],[Joint alteration]],"")</f>
        <v>0.5</v>
      </c>
      <c r="V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9" s="87"/>
    </row>
    <row r="60" spans="1:23" ht="15" customHeight="1" x14ac:dyDescent="0.25">
      <c r="A60" s="150" t="s">
        <v>26</v>
      </c>
      <c r="B60" s="17" t="str">
        <f>VLOOKUP(Data_Discontinuities[[#This Row],[Hole ID]],Data_Log[],2,FALSE)</f>
        <v>CGF-01</v>
      </c>
      <c r="C60" s="8">
        <v>77.13</v>
      </c>
      <c r="D60" s="8">
        <v>1</v>
      </c>
      <c r="E60" s="7" t="s">
        <v>420</v>
      </c>
      <c r="F60" s="7"/>
      <c r="G60" s="7"/>
      <c r="H60" s="118"/>
      <c r="I60" s="7" t="s">
        <v>286</v>
      </c>
      <c r="J60" s="7" t="s">
        <v>352</v>
      </c>
      <c r="K60" s="7" t="s">
        <v>290</v>
      </c>
      <c r="L60" s="7"/>
      <c r="M60" s="7"/>
      <c r="N60" s="7"/>
      <c r="O60" s="84" t="str" cm="1">
        <f t="array" ref="O60">_xlfn.XLOOKUP(1,(A60=Geotech!$A$4:$A$10094)*(Data_Discontinuities[[#This Row],[Depth (m)]]&gt;=Geotech!$C$4:$C$10094)*(Data_Discontinuities[[#This Row],[Depth (m)]]&lt;Geotech!$D$4:$D$10094),Geotech!$M$4:$M$10094)</f>
        <v>Boulamarque granodiorite</v>
      </c>
      <c r="P60" s="84"/>
      <c r="Q60" s="84"/>
      <c r="R60" s="84"/>
      <c r="S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0" s="71">
        <f>IFERROR(Data_Discontinuities[[#This Row],[Joint roughness]]/Data_Discontinuities[[#This Row],[Joint alteration]],"")</f>
        <v>1.5</v>
      </c>
      <c r="V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0" s="87"/>
    </row>
    <row r="61" spans="1:23" ht="15" customHeight="1" x14ac:dyDescent="0.25">
      <c r="A61" s="150" t="s">
        <v>26</v>
      </c>
      <c r="B61" s="17" t="str">
        <f>VLOOKUP(Data_Discontinuities[[#This Row],[Hole ID]],Data_Log[],2,FALSE)</f>
        <v>CGF-01</v>
      </c>
      <c r="C61" s="8">
        <v>77.52</v>
      </c>
      <c r="D61" s="8">
        <v>1</v>
      </c>
      <c r="E61" s="7" t="s">
        <v>420</v>
      </c>
      <c r="F61" s="7"/>
      <c r="G61" s="7"/>
      <c r="H61" s="118"/>
      <c r="I61" s="7" t="s">
        <v>286</v>
      </c>
      <c r="J61" s="7" t="s">
        <v>352</v>
      </c>
      <c r="K61" s="7" t="s">
        <v>290</v>
      </c>
      <c r="L61" s="7"/>
      <c r="M61" s="7"/>
      <c r="N61" s="7"/>
      <c r="O61" s="84" t="str" cm="1">
        <f t="array" ref="O61">_xlfn.XLOOKUP(1,(A61=Geotech!$A$4:$A$10094)*(Data_Discontinuities[[#This Row],[Depth (m)]]&gt;=Geotech!$C$4:$C$10094)*(Data_Discontinuities[[#This Row],[Depth (m)]]&lt;Geotech!$D$4:$D$10094),Geotech!$M$4:$M$10094)</f>
        <v>Boulamarque granodiorite</v>
      </c>
      <c r="P61" s="84"/>
      <c r="Q61" s="84"/>
      <c r="R61" s="84"/>
      <c r="S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1" s="71">
        <f>IFERROR(Data_Discontinuities[[#This Row],[Joint roughness]]/Data_Discontinuities[[#This Row],[Joint alteration]],"")</f>
        <v>1.5</v>
      </c>
      <c r="V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1" s="87"/>
    </row>
    <row r="62" spans="1:23" ht="15" customHeight="1" x14ac:dyDescent="0.25">
      <c r="A62" s="150" t="s">
        <v>26</v>
      </c>
      <c r="B62" s="17" t="str">
        <f>VLOOKUP(Data_Discontinuities[[#This Row],[Hole ID]],Data_Log[],2,FALSE)</f>
        <v>CGF-01</v>
      </c>
      <c r="C62" s="8">
        <v>77.77</v>
      </c>
      <c r="D62" s="8">
        <v>1</v>
      </c>
      <c r="E62" s="7" t="s">
        <v>420</v>
      </c>
      <c r="F62" s="7"/>
      <c r="G62" s="7"/>
      <c r="H62" s="118"/>
      <c r="I62" s="7" t="s">
        <v>318</v>
      </c>
      <c r="J62" s="7" t="s">
        <v>352</v>
      </c>
      <c r="K62" s="7" t="s">
        <v>290</v>
      </c>
      <c r="L62" s="7"/>
      <c r="M62" s="7"/>
      <c r="N62" s="7"/>
      <c r="O62" s="84" t="str" cm="1">
        <f t="array" ref="O62">_xlfn.XLOOKUP(1,(A62=Geotech!$A$4:$A$10094)*(Data_Discontinuities[[#This Row],[Depth (m)]]&gt;=Geotech!$C$4:$C$10094)*(Data_Discontinuities[[#This Row],[Depth (m)]]&lt;Geotech!$D$4:$D$10094),Geotech!$M$4:$M$10094)</f>
        <v>Boulamarque granodiorite</v>
      </c>
      <c r="P62" s="84"/>
      <c r="Q62" s="84"/>
      <c r="R62" s="84"/>
      <c r="S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2" s="71">
        <f>IFERROR(Data_Discontinuities[[#This Row],[Joint roughness]]/Data_Discontinuities[[#This Row],[Joint alteration]],"")</f>
        <v>1.5</v>
      </c>
      <c r="V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2" s="87"/>
    </row>
    <row r="63" spans="1:23" ht="15" customHeight="1" x14ac:dyDescent="0.25">
      <c r="A63" s="150" t="s">
        <v>26</v>
      </c>
      <c r="B63" s="17" t="str">
        <f>VLOOKUP(Data_Discontinuities[[#This Row],[Hole ID]],Data_Log[],2,FALSE)</f>
        <v>CGF-01</v>
      </c>
      <c r="C63" s="8">
        <v>77.98</v>
      </c>
      <c r="D63" s="8">
        <v>1</v>
      </c>
      <c r="E63" s="7" t="s">
        <v>420</v>
      </c>
      <c r="F63" s="7"/>
      <c r="G63" s="7"/>
      <c r="H63" s="118"/>
      <c r="I63" s="7" t="s">
        <v>251</v>
      </c>
      <c r="J63" s="7" t="s">
        <v>320</v>
      </c>
      <c r="K63" s="7" t="s">
        <v>290</v>
      </c>
      <c r="L63" s="7"/>
      <c r="M63" s="7"/>
      <c r="N63" s="7"/>
      <c r="O63" s="84" t="str" cm="1">
        <f t="array" ref="O63">_xlfn.XLOOKUP(1,(A63=Geotech!$A$4:$A$10094)*(Data_Discontinuities[[#This Row],[Depth (m)]]&gt;=Geotech!$C$4:$C$10094)*(Data_Discontinuities[[#This Row],[Depth (m)]]&lt;Geotech!$D$4:$D$10094),Geotech!$M$4:$M$10094)</f>
        <v>Boulamarque granodiorite</v>
      </c>
      <c r="P63" s="84"/>
      <c r="Q63" s="84"/>
      <c r="R63" s="84"/>
      <c r="S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3" s="71">
        <f>IFERROR(Data_Discontinuities[[#This Row],[Joint roughness]]/Data_Discontinuities[[#This Row],[Joint alteration]],"")</f>
        <v>0.5</v>
      </c>
      <c r="V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3" s="87"/>
    </row>
    <row r="64" spans="1:23" ht="15" customHeight="1" x14ac:dyDescent="0.25">
      <c r="A64" s="150" t="s">
        <v>26</v>
      </c>
      <c r="B64" s="17" t="str">
        <f>VLOOKUP(Data_Discontinuities[[#This Row],[Hole ID]],Data_Log[],2,FALSE)</f>
        <v>CGF-01</v>
      </c>
      <c r="C64" s="8">
        <v>78.5</v>
      </c>
      <c r="D64" s="8">
        <v>1</v>
      </c>
      <c r="E64" s="7" t="s">
        <v>420</v>
      </c>
      <c r="F64" s="7"/>
      <c r="G64" s="7"/>
      <c r="H64" s="118"/>
      <c r="I64" s="7" t="s">
        <v>286</v>
      </c>
      <c r="J64" s="7" t="s">
        <v>352</v>
      </c>
      <c r="K64" s="7" t="s">
        <v>290</v>
      </c>
      <c r="L64" s="7"/>
      <c r="M64" s="7"/>
      <c r="N64" s="7"/>
      <c r="O64" s="84" t="str" cm="1">
        <f t="array" ref="O64">_xlfn.XLOOKUP(1,(A64=Geotech!$A$4:$A$10094)*(Data_Discontinuities[[#This Row],[Depth (m)]]&gt;=Geotech!$C$4:$C$10094)*(Data_Discontinuities[[#This Row],[Depth (m)]]&lt;Geotech!$D$4:$D$10094),Geotech!$M$4:$M$10094)</f>
        <v>Boulamarque granodiorite</v>
      </c>
      <c r="P64" s="84"/>
      <c r="Q64" s="84"/>
      <c r="R64" s="84"/>
      <c r="S6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4" s="71">
        <f>IFERROR(Data_Discontinuities[[#This Row],[Joint roughness]]/Data_Discontinuities[[#This Row],[Joint alteration]],"")</f>
        <v>1.5</v>
      </c>
      <c r="V6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4" s="87"/>
    </row>
    <row r="65" spans="1:23" ht="15" customHeight="1" x14ac:dyDescent="0.25">
      <c r="A65" s="150" t="s">
        <v>26</v>
      </c>
      <c r="B65" s="17" t="str">
        <f>VLOOKUP(Data_Discontinuities[[#This Row],[Hole ID]],Data_Log[],2,FALSE)</f>
        <v>CGF-01</v>
      </c>
      <c r="C65" s="8">
        <v>79.55</v>
      </c>
      <c r="D65" s="8">
        <v>1</v>
      </c>
      <c r="E65" s="7" t="s">
        <v>420</v>
      </c>
      <c r="F65" s="7"/>
      <c r="G65" s="7"/>
      <c r="H65" s="118"/>
      <c r="I65" s="7" t="s">
        <v>251</v>
      </c>
      <c r="J65" s="7" t="s">
        <v>352</v>
      </c>
      <c r="K65" s="7" t="s">
        <v>290</v>
      </c>
      <c r="L65" s="7"/>
      <c r="M65" s="7"/>
      <c r="N65" s="7"/>
      <c r="O65" s="84" t="str" cm="1">
        <f t="array" ref="O65">_xlfn.XLOOKUP(1,(A65=Geotech!$A$4:$A$10094)*(Data_Discontinuities[[#This Row],[Depth (m)]]&gt;=Geotech!$C$4:$C$10094)*(Data_Discontinuities[[#This Row],[Depth (m)]]&lt;Geotech!$D$4:$D$10094),Geotech!$M$4:$M$10094)</f>
        <v>Boulamarque granodiorite</v>
      </c>
      <c r="P65" s="84"/>
      <c r="Q65" s="84"/>
      <c r="R65" s="84"/>
      <c r="S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5" s="71">
        <f>IFERROR(Data_Discontinuities[[#This Row],[Joint roughness]]/Data_Discontinuities[[#This Row],[Joint alteration]],"")</f>
        <v>0.75</v>
      </c>
      <c r="V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5" s="87"/>
    </row>
    <row r="66" spans="1:23" ht="15" customHeight="1" x14ac:dyDescent="0.25">
      <c r="A66" s="150" t="s">
        <v>26</v>
      </c>
      <c r="B66" s="17" t="str">
        <f>VLOOKUP(Data_Discontinuities[[#This Row],[Hole ID]],Data_Log[],2,FALSE)</f>
        <v>CGF-01</v>
      </c>
      <c r="C66" s="8">
        <v>80.2</v>
      </c>
      <c r="D66" s="8">
        <v>1</v>
      </c>
      <c r="E66" s="7" t="s">
        <v>420</v>
      </c>
      <c r="F66" s="7"/>
      <c r="G66" s="7"/>
      <c r="H66" s="118"/>
      <c r="I66" s="7" t="s">
        <v>286</v>
      </c>
      <c r="J66" s="7" t="s">
        <v>352</v>
      </c>
      <c r="K66" s="7" t="s">
        <v>290</v>
      </c>
      <c r="L66" s="7"/>
      <c r="M66" s="7"/>
      <c r="N66" s="7"/>
      <c r="O66" s="84" t="str" cm="1">
        <f t="array" ref="O66">_xlfn.XLOOKUP(1,(A66=Geotech!$A$4:$A$10094)*(Data_Discontinuities[[#This Row],[Depth (m)]]&gt;=Geotech!$C$4:$C$10094)*(Data_Discontinuities[[#This Row],[Depth (m)]]&lt;Geotech!$D$4:$D$10094),Geotech!$M$4:$M$10094)</f>
        <v>Boulamarque granodiorite</v>
      </c>
      <c r="P66" s="84"/>
      <c r="Q66" s="84"/>
      <c r="R66" s="84"/>
      <c r="S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6" s="71">
        <f>IFERROR(Data_Discontinuities[[#This Row],[Joint roughness]]/Data_Discontinuities[[#This Row],[Joint alteration]],"")</f>
        <v>1.5</v>
      </c>
      <c r="V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6" s="87"/>
    </row>
    <row r="67" spans="1:23" ht="15" customHeight="1" x14ac:dyDescent="0.25">
      <c r="A67" s="150" t="s">
        <v>26</v>
      </c>
      <c r="B67" s="17" t="str">
        <f>VLOOKUP(Data_Discontinuities[[#This Row],[Hole ID]],Data_Log[],2,FALSE)</f>
        <v>CGF-01</v>
      </c>
      <c r="C67" s="8">
        <v>80.39</v>
      </c>
      <c r="D67" s="8">
        <v>1</v>
      </c>
      <c r="E67" s="7" t="s">
        <v>420</v>
      </c>
      <c r="F67" s="7"/>
      <c r="G67" s="7"/>
      <c r="H67" s="118"/>
      <c r="I67" s="7" t="s">
        <v>318</v>
      </c>
      <c r="J67" s="7" t="s">
        <v>320</v>
      </c>
      <c r="K67" s="7" t="s">
        <v>290</v>
      </c>
      <c r="L67" s="7"/>
      <c r="M67" s="7"/>
      <c r="N67" s="7"/>
      <c r="O67" s="84" t="str" cm="1">
        <f t="array" ref="O67">_xlfn.XLOOKUP(1,(A67=Geotech!$A$4:$A$10094)*(Data_Discontinuities[[#This Row],[Depth (m)]]&gt;=Geotech!$C$4:$C$10094)*(Data_Discontinuities[[#This Row],[Depth (m)]]&lt;Geotech!$D$4:$D$10094),Geotech!$M$4:$M$10094)</f>
        <v>Boulamarque granodiorite</v>
      </c>
      <c r="P67" s="84"/>
      <c r="Q67" s="84"/>
      <c r="R67" s="84"/>
      <c r="S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7" s="71">
        <f>IFERROR(Data_Discontinuities[[#This Row],[Joint roughness]]/Data_Discontinuities[[#This Row],[Joint alteration]],"")</f>
        <v>1</v>
      </c>
      <c r="V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7" s="87"/>
    </row>
    <row r="68" spans="1:23" ht="15" customHeight="1" x14ac:dyDescent="0.25">
      <c r="A68" s="150" t="s">
        <v>26</v>
      </c>
      <c r="B68" s="17" t="str">
        <f>VLOOKUP(Data_Discontinuities[[#This Row],[Hole ID]],Data_Log[],2,FALSE)</f>
        <v>CGF-01</v>
      </c>
      <c r="C68" s="8">
        <v>80.86</v>
      </c>
      <c r="D68" s="8">
        <v>1</v>
      </c>
      <c r="E68" s="7" t="s">
        <v>420</v>
      </c>
      <c r="F68" s="7"/>
      <c r="G68" s="7"/>
      <c r="H68" s="118"/>
      <c r="I68" s="7" t="s">
        <v>251</v>
      </c>
      <c r="J68" s="7" t="s">
        <v>352</v>
      </c>
      <c r="K68" s="7" t="s">
        <v>290</v>
      </c>
      <c r="L68" s="7"/>
      <c r="M68" s="7"/>
      <c r="N68" s="7"/>
      <c r="O68" s="84" t="str" cm="1">
        <f t="array" ref="O68">_xlfn.XLOOKUP(1,(A68=Geotech!$A$4:$A$10094)*(Data_Discontinuities[[#This Row],[Depth (m)]]&gt;=Geotech!$C$4:$C$10094)*(Data_Discontinuities[[#This Row],[Depth (m)]]&lt;Geotech!$D$4:$D$10094),Geotech!$M$4:$M$10094)</f>
        <v>Boulamarque granodiorite</v>
      </c>
      <c r="P68" s="84"/>
      <c r="Q68" s="84"/>
      <c r="R68" s="84"/>
      <c r="S6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8" s="71">
        <f>IFERROR(Data_Discontinuities[[#This Row],[Joint roughness]]/Data_Discontinuities[[#This Row],[Joint alteration]],"")</f>
        <v>0.75</v>
      </c>
      <c r="V6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8" s="87"/>
    </row>
    <row r="69" spans="1:23" ht="15" customHeight="1" x14ac:dyDescent="0.25">
      <c r="A69" s="150" t="s">
        <v>26</v>
      </c>
      <c r="B69" s="17" t="str">
        <f>VLOOKUP(Data_Discontinuities[[#This Row],[Hole ID]],Data_Log[],2,FALSE)</f>
        <v>CGF-01</v>
      </c>
      <c r="C69" s="8">
        <v>81.17</v>
      </c>
      <c r="D69" s="8">
        <v>1</v>
      </c>
      <c r="E69" s="7" t="s">
        <v>420</v>
      </c>
      <c r="F69" s="7"/>
      <c r="G69" s="7"/>
      <c r="H69" s="118"/>
      <c r="I69" s="7" t="s">
        <v>286</v>
      </c>
      <c r="J69" s="7" t="s">
        <v>320</v>
      </c>
      <c r="K69" s="7" t="s">
        <v>290</v>
      </c>
      <c r="L69" s="7"/>
      <c r="M69" s="7"/>
      <c r="N69" s="7"/>
      <c r="O69" s="84" t="str" cm="1">
        <f t="array" ref="O69">_xlfn.XLOOKUP(1,(A69=Geotech!$A$4:$A$10094)*(Data_Discontinuities[[#This Row],[Depth (m)]]&gt;=Geotech!$C$4:$C$10094)*(Data_Discontinuities[[#This Row],[Depth (m)]]&lt;Geotech!$D$4:$D$10094),Geotech!$M$4:$M$10094)</f>
        <v>Boulamarque granodiorite</v>
      </c>
      <c r="P69" s="84"/>
      <c r="Q69" s="84"/>
      <c r="R69" s="84"/>
      <c r="S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9" s="71">
        <f>IFERROR(Data_Discontinuities[[#This Row],[Joint roughness]]/Data_Discontinuities[[#This Row],[Joint alteration]],"")</f>
        <v>1</v>
      </c>
      <c r="V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9" s="87"/>
    </row>
    <row r="70" spans="1:23" ht="15" customHeight="1" x14ac:dyDescent="0.25">
      <c r="A70" s="150" t="s">
        <v>26</v>
      </c>
      <c r="B70" s="17" t="str">
        <f>VLOOKUP(Data_Discontinuities[[#This Row],[Hole ID]],Data_Log[],2,FALSE)</f>
        <v>CGF-01</v>
      </c>
      <c r="C70" s="8">
        <v>82.1</v>
      </c>
      <c r="D70" s="8">
        <v>1</v>
      </c>
      <c r="E70" s="7" t="s">
        <v>420</v>
      </c>
      <c r="F70" s="7"/>
      <c r="G70" s="7"/>
      <c r="H70" s="118"/>
      <c r="I70" s="7" t="s">
        <v>286</v>
      </c>
      <c r="J70" s="7" t="s">
        <v>320</v>
      </c>
      <c r="K70" s="7" t="s">
        <v>354</v>
      </c>
      <c r="L70" s="7"/>
      <c r="M70" s="7"/>
      <c r="N70" s="7"/>
      <c r="O70" s="84" t="str" cm="1">
        <f t="array" ref="O70">_xlfn.XLOOKUP(1,(A70=Geotech!$A$4:$A$10094)*(Data_Discontinuities[[#This Row],[Depth (m)]]&gt;=Geotech!$C$4:$C$10094)*(Data_Discontinuities[[#This Row],[Depth (m)]]&lt;Geotech!$D$4:$D$10094),Geotech!$M$4:$M$10094)</f>
        <v>Boulamarque granodiorite</v>
      </c>
      <c r="P70" s="84"/>
      <c r="Q70" s="84"/>
      <c r="R70" s="84"/>
      <c r="S7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7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0" s="71">
        <f>IFERROR(Data_Discontinuities[[#This Row],[Joint roughness]]/Data_Discontinuities[[#This Row],[Joint alteration]],"")</f>
        <v>1</v>
      </c>
      <c r="V7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70" s="87"/>
    </row>
    <row r="71" spans="1:23" ht="15" customHeight="1" x14ac:dyDescent="0.25">
      <c r="A71" s="150" t="s">
        <v>26</v>
      </c>
      <c r="B71" s="17" t="str">
        <f>VLOOKUP(Data_Discontinuities[[#This Row],[Hole ID]],Data_Log[],2,FALSE)</f>
        <v>CGF-01</v>
      </c>
      <c r="C71" s="8">
        <v>82.16</v>
      </c>
      <c r="D71" s="8">
        <v>1</v>
      </c>
      <c r="E71" s="7" t="s">
        <v>420</v>
      </c>
      <c r="F71" s="7"/>
      <c r="G71" s="7"/>
      <c r="H71" s="118"/>
      <c r="I71" s="7" t="s">
        <v>318</v>
      </c>
      <c r="J71" s="7" t="s">
        <v>320</v>
      </c>
      <c r="K71" s="7" t="s">
        <v>354</v>
      </c>
      <c r="L71" s="7"/>
      <c r="M71" s="7"/>
      <c r="N71" s="7"/>
      <c r="O71" s="84" t="str" cm="1">
        <f t="array" ref="O71">_xlfn.XLOOKUP(1,(A71=Geotech!$A$4:$A$10094)*(Data_Discontinuities[[#This Row],[Depth (m)]]&gt;=Geotech!$C$4:$C$10094)*(Data_Discontinuities[[#This Row],[Depth (m)]]&lt;Geotech!$D$4:$D$10094),Geotech!$M$4:$M$10094)</f>
        <v>Boulamarque granodiorite</v>
      </c>
      <c r="P71" s="84"/>
      <c r="Q71" s="84"/>
      <c r="R71" s="84"/>
      <c r="S7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7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1" s="71">
        <f>IFERROR(Data_Discontinuities[[#This Row],[Joint roughness]]/Data_Discontinuities[[#This Row],[Joint alteration]],"")</f>
        <v>1</v>
      </c>
      <c r="V7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71" s="87"/>
    </row>
    <row r="72" spans="1:23" ht="15" customHeight="1" x14ac:dyDescent="0.25">
      <c r="A72" s="150" t="s">
        <v>26</v>
      </c>
      <c r="B72" s="17" t="str">
        <f>VLOOKUP(Data_Discontinuities[[#This Row],[Hole ID]],Data_Log[],2,FALSE)</f>
        <v>CGF-01</v>
      </c>
      <c r="C72" s="8">
        <v>82.53</v>
      </c>
      <c r="D72" s="8">
        <v>1</v>
      </c>
      <c r="E72" s="7" t="s">
        <v>420</v>
      </c>
      <c r="F72" s="7"/>
      <c r="G72" s="7"/>
      <c r="H72" s="118"/>
      <c r="I72" s="7" t="s">
        <v>286</v>
      </c>
      <c r="J72" s="7" t="s">
        <v>380</v>
      </c>
      <c r="K72" s="7" t="s">
        <v>290</v>
      </c>
      <c r="L72" s="7"/>
      <c r="M72" s="7"/>
      <c r="N72" s="7"/>
      <c r="O72" s="84" t="str" cm="1">
        <f t="array" ref="O72">_xlfn.XLOOKUP(1,(A72=Geotech!$A$4:$A$10094)*(Data_Discontinuities[[#This Row],[Depth (m)]]&gt;=Geotech!$C$4:$C$10094)*(Data_Discontinuities[[#This Row],[Depth (m)]]&lt;Geotech!$D$4:$D$10094),Geotech!$M$4:$M$10094)</f>
        <v>Boulamarque granodiorite</v>
      </c>
      <c r="P72" s="84"/>
      <c r="Q72" s="84"/>
      <c r="R72" s="84"/>
      <c r="S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2" s="71">
        <f>IFERROR(Data_Discontinuities[[#This Row],[Joint roughness]]/Data_Discontinuities[[#This Row],[Joint alteration]],"")</f>
        <v>1.5</v>
      </c>
      <c r="V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72" s="87"/>
    </row>
    <row r="73" spans="1:23" ht="15" customHeight="1" x14ac:dyDescent="0.25">
      <c r="A73" s="150" t="s">
        <v>26</v>
      </c>
      <c r="B73" s="17" t="str">
        <f>VLOOKUP(Data_Discontinuities[[#This Row],[Hole ID]],Data_Log[],2,FALSE)</f>
        <v>CGF-01</v>
      </c>
      <c r="C73" s="8">
        <v>83.38</v>
      </c>
      <c r="D73" s="8">
        <v>1</v>
      </c>
      <c r="E73" s="7" t="s">
        <v>420</v>
      </c>
      <c r="F73" s="7"/>
      <c r="G73" s="7"/>
      <c r="H73" s="118"/>
      <c r="I73" s="7" t="s">
        <v>286</v>
      </c>
      <c r="J73" s="7" t="s">
        <v>352</v>
      </c>
      <c r="K73" s="7" t="s">
        <v>322</v>
      </c>
      <c r="L73" s="7"/>
      <c r="M73" s="7"/>
      <c r="N73" s="7"/>
      <c r="O73" s="84" t="str" cm="1">
        <f t="array" ref="O73">_xlfn.XLOOKUP(1,(A73=Geotech!$A$4:$A$10094)*(Data_Discontinuities[[#This Row],[Depth (m)]]&gt;=Geotech!$C$4:$C$10094)*(Data_Discontinuities[[#This Row],[Depth (m)]]&lt;Geotech!$D$4:$D$10094),Geotech!$M$4:$M$10094)</f>
        <v>Boulamarque granodiorite</v>
      </c>
      <c r="P73" s="84"/>
      <c r="Q73" s="84"/>
      <c r="R73" s="84"/>
      <c r="S7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73" s="71">
        <f>IFERROR(Data_Discontinuities[[#This Row],[Joint roughness]]/Data_Discontinuities[[#This Row],[Joint alteration]],"")</f>
        <v>3</v>
      </c>
      <c r="V7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73" s="87"/>
    </row>
    <row r="74" spans="1:23" ht="15" customHeight="1" x14ac:dyDescent="0.25">
      <c r="A74" s="150" t="s">
        <v>26</v>
      </c>
      <c r="B74" s="17" t="str">
        <f>VLOOKUP(Data_Discontinuities[[#This Row],[Hole ID]],Data_Log[],2,FALSE)</f>
        <v>CGF-01</v>
      </c>
      <c r="C74" s="8">
        <v>83.57</v>
      </c>
      <c r="D74" s="8">
        <v>1</v>
      </c>
      <c r="E74" s="7" t="s">
        <v>420</v>
      </c>
      <c r="F74" s="7"/>
      <c r="G74" s="7"/>
      <c r="H74" s="118"/>
      <c r="I74" s="7" t="s">
        <v>286</v>
      </c>
      <c r="J74" s="7" t="s">
        <v>352</v>
      </c>
      <c r="K74" s="7" t="s">
        <v>290</v>
      </c>
      <c r="L74" s="7"/>
      <c r="M74" s="7"/>
      <c r="N74" s="7"/>
      <c r="O74" s="84" t="str" cm="1">
        <f t="array" ref="O74">_xlfn.XLOOKUP(1,(A74=Geotech!$A$4:$A$10094)*(Data_Discontinuities[[#This Row],[Depth (m)]]&gt;=Geotech!$C$4:$C$10094)*(Data_Discontinuities[[#This Row],[Depth (m)]]&lt;Geotech!$D$4:$D$10094),Geotech!$M$4:$M$10094)</f>
        <v>Boulamarque granodiorite</v>
      </c>
      <c r="P74" s="84"/>
      <c r="Q74" s="84"/>
      <c r="R74" s="84"/>
      <c r="S7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4" s="71">
        <f>IFERROR(Data_Discontinuities[[#This Row],[Joint roughness]]/Data_Discontinuities[[#This Row],[Joint alteration]],"")</f>
        <v>1.5</v>
      </c>
      <c r="V7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74" s="87"/>
    </row>
    <row r="75" spans="1:23" ht="15" customHeight="1" x14ac:dyDescent="0.25">
      <c r="A75" s="150" t="s">
        <v>26</v>
      </c>
      <c r="B75" s="17" t="str">
        <f>VLOOKUP(Data_Discontinuities[[#This Row],[Hole ID]],Data_Log[],2,FALSE)</f>
        <v>CGF-01</v>
      </c>
      <c r="C75" s="8">
        <v>83.66</v>
      </c>
      <c r="D75" s="8">
        <v>1</v>
      </c>
      <c r="E75" s="7" t="s">
        <v>420</v>
      </c>
      <c r="F75" s="7"/>
      <c r="G75" s="7"/>
      <c r="H75" s="118"/>
      <c r="I75" s="7" t="s">
        <v>286</v>
      </c>
      <c r="J75" s="7" t="s">
        <v>320</v>
      </c>
      <c r="K75" s="7" t="s">
        <v>382</v>
      </c>
      <c r="L75" s="7" t="s">
        <v>57</v>
      </c>
      <c r="M75" s="7"/>
      <c r="N75" s="7"/>
      <c r="O75" s="84" t="str" cm="1">
        <f t="array" ref="O75">_xlfn.XLOOKUP(1,(A75=Geotech!$A$4:$A$10094)*(Data_Discontinuities[[#This Row],[Depth (m)]]&gt;=Geotech!$C$4:$C$10094)*(Data_Discontinuities[[#This Row],[Depth (m)]]&lt;Geotech!$D$4:$D$10094),Geotech!$M$4:$M$10094)</f>
        <v>Boulamarque granodiorite</v>
      </c>
      <c r="P75" s="84"/>
      <c r="Q75" s="84"/>
      <c r="R75" s="84"/>
      <c r="S7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7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75" s="71">
        <f>IFERROR(Data_Discontinuities[[#This Row],[Joint roughness]]/Data_Discontinuities[[#This Row],[Joint alteration]],"")</f>
        <v>0.5</v>
      </c>
      <c r="V7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75" s="87"/>
    </row>
    <row r="76" spans="1:23" ht="15" customHeight="1" x14ac:dyDescent="0.25">
      <c r="A76" s="150" t="s">
        <v>26</v>
      </c>
      <c r="B76" s="17" t="str">
        <f>VLOOKUP(Data_Discontinuities[[#This Row],[Hole ID]],Data_Log[],2,FALSE)</f>
        <v>CGF-01</v>
      </c>
      <c r="C76" s="8">
        <v>84.78</v>
      </c>
      <c r="D76" s="8">
        <v>1</v>
      </c>
      <c r="E76" s="7" t="s">
        <v>420</v>
      </c>
      <c r="F76" s="7"/>
      <c r="G76" s="7"/>
      <c r="H76" s="118"/>
      <c r="I76" s="7" t="s">
        <v>286</v>
      </c>
      <c r="J76" s="7" t="s">
        <v>380</v>
      </c>
      <c r="K76" s="7" t="s">
        <v>382</v>
      </c>
      <c r="L76" s="7" t="s">
        <v>57</v>
      </c>
      <c r="M76" s="7"/>
      <c r="N76" s="7"/>
      <c r="O76" s="84" t="str" cm="1">
        <f t="array" ref="O76">_xlfn.XLOOKUP(1,(A76=Geotech!$A$4:$A$10094)*(Data_Discontinuities[[#This Row],[Depth (m)]]&gt;=Geotech!$C$4:$C$10094)*(Data_Discontinuities[[#This Row],[Depth (m)]]&lt;Geotech!$D$4:$D$10094),Geotech!$M$4:$M$10094)</f>
        <v>Boulamarque granodiorite</v>
      </c>
      <c r="P76" s="84"/>
      <c r="Q76" s="84"/>
      <c r="R76" s="84"/>
      <c r="S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76" s="71">
        <f>IFERROR(Data_Discontinuities[[#This Row],[Joint roughness]]/Data_Discontinuities[[#This Row],[Joint alteration]],"")</f>
        <v>0.75</v>
      </c>
      <c r="V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76" s="87"/>
    </row>
    <row r="77" spans="1:23" ht="15" customHeight="1" x14ac:dyDescent="0.25">
      <c r="A77" s="150" t="s">
        <v>26</v>
      </c>
      <c r="B77" s="17" t="str">
        <f>VLOOKUP(Data_Discontinuities[[#This Row],[Hole ID]],Data_Log[],2,FALSE)</f>
        <v>CGF-01</v>
      </c>
      <c r="C77" s="8">
        <v>85</v>
      </c>
      <c r="D77" s="8">
        <v>1</v>
      </c>
      <c r="E77" s="7" t="s">
        <v>445</v>
      </c>
      <c r="F77" s="7"/>
      <c r="G77" s="7"/>
      <c r="H77" s="118"/>
      <c r="I77" s="7" t="s">
        <v>318</v>
      </c>
      <c r="J77" s="7" t="s">
        <v>404</v>
      </c>
      <c r="K77" s="7" t="s">
        <v>382</v>
      </c>
      <c r="L77" s="7" t="s">
        <v>447</v>
      </c>
      <c r="M77" s="7"/>
      <c r="N77" s="7"/>
      <c r="O77" s="84" t="str" cm="1">
        <f t="array" ref="O77">_xlfn.XLOOKUP(1,(A77=Geotech!$A$4:$A$10094)*(Data_Discontinuities[[#This Row],[Depth (m)]]&gt;=Geotech!$C$4:$C$10094)*(Data_Discontinuities[[#This Row],[Depth (m)]]&lt;Geotech!$D$4:$D$10094),Geotech!$M$4:$M$10094)</f>
        <v>Boulamarque granodiorite</v>
      </c>
      <c r="P77" s="84"/>
      <c r="Q77" s="84"/>
      <c r="R77" s="84"/>
      <c r="S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77" s="71">
        <f>IFERROR(Data_Discontinuities[[#This Row],[Joint roughness]]/Data_Discontinuities[[#This Row],[Joint alteration]],"")</f>
        <v>1</v>
      </c>
      <c r="V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77" s="87"/>
    </row>
    <row r="78" spans="1:23" ht="15" customHeight="1" x14ac:dyDescent="0.25">
      <c r="A78" s="150" t="s">
        <v>26</v>
      </c>
      <c r="B78" s="17" t="str">
        <f>VLOOKUP(Data_Discontinuities[[#This Row],[Hole ID]],Data_Log[],2,FALSE)</f>
        <v>CGF-01</v>
      </c>
      <c r="C78" s="8">
        <v>85.24</v>
      </c>
      <c r="D78" s="8">
        <v>1</v>
      </c>
      <c r="E78" s="7" t="s">
        <v>420</v>
      </c>
      <c r="F78" s="7"/>
      <c r="G78" s="7"/>
      <c r="H78" s="118"/>
      <c r="I78" s="7" t="s">
        <v>286</v>
      </c>
      <c r="J78" s="7" t="s">
        <v>380</v>
      </c>
      <c r="K78" s="7" t="s">
        <v>322</v>
      </c>
      <c r="L78" s="7"/>
      <c r="M78" s="7"/>
      <c r="N78" s="7"/>
      <c r="O78" s="84" t="str" cm="1">
        <f t="array" ref="O78">_xlfn.XLOOKUP(1,(A78=Geotech!$A$4:$A$10094)*(Data_Discontinuities[[#This Row],[Depth (m)]]&gt;=Geotech!$C$4:$C$10094)*(Data_Discontinuities[[#This Row],[Depth (m)]]&lt;Geotech!$D$4:$D$10094),Geotech!$M$4:$M$10094)</f>
        <v>Boulamarque granodiorite</v>
      </c>
      <c r="P78" s="84"/>
      <c r="Q78" s="84"/>
      <c r="R78" s="84"/>
      <c r="S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78" s="71">
        <f>IFERROR(Data_Discontinuities[[#This Row],[Joint roughness]]/Data_Discontinuities[[#This Row],[Joint alteration]],"")</f>
        <v>3</v>
      </c>
      <c r="V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78" s="87"/>
    </row>
    <row r="79" spans="1:23" ht="15" customHeight="1" x14ac:dyDescent="0.25">
      <c r="A79" s="150" t="s">
        <v>26</v>
      </c>
      <c r="B79" s="17" t="str">
        <f>VLOOKUP(Data_Discontinuities[[#This Row],[Hole ID]],Data_Log[],2,FALSE)</f>
        <v>CGF-01</v>
      </c>
      <c r="C79" s="8">
        <v>85.69</v>
      </c>
      <c r="D79" s="8">
        <v>1</v>
      </c>
      <c r="E79" s="7" t="s">
        <v>420</v>
      </c>
      <c r="F79" s="7"/>
      <c r="G79" s="7"/>
      <c r="H79" s="118"/>
      <c r="I79" s="7" t="s">
        <v>286</v>
      </c>
      <c r="J79" s="7" t="s">
        <v>352</v>
      </c>
      <c r="K79" s="7" t="s">
        <v>290</v>
      </c>
      <c r="L79" s="7"/>
      <c r="M79" s="7"/>
      <c r="N79" s="7"/>
      <c r="O79" s="84" t="str" cm="1">
        <f t="array" ref="O79">_xlfn.XLOOKUP(1,(A79=Geotech!$A$4:$A$10094)*(Data_Discontinuities[[#This Row],[Depth (m)]]&gt;=Geotech!$C$4:$C$10094)*(Data_Discontinuities[[#This Row],[Depth (m)]]&lt;Geotech!$D$4:$D$10094),Geotech!$M$4:$M$10094)</f>
        <v>Boulamarque granodiorite</v>
      </c>
      <c r="P79" s="84"/>
      <c r="Q79" s="84"/>
      <c r="R79" s="84"/>
      <c r="S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79" s="71">
        <f>IFERROR(Data_Discontinuities[[#This Row],[Joint roughness]]/Data_Discontinuities[[#This Row],[Joint alteration]],"")</f>
        <v>1.5</v>
      </c>
      <c r="V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79" s="87"/>
    </row>
    <row r="80" spans="1:23" ht="15" customHeight="1" x14ac:dyDescent="0.25">
      <c r="A80" s="150" t="s">
        <v>26</v>
      </c>
      <c r="B80" s="17" t="str">
        <f>VLOOKUP(Data_Discontinuities[[#This Row],[Hole ID]],Data_Log[],2,FALSE)</f>
        <v>CGF-01</v>
      </c>
      <c r="C80" s="8">
        <v>85.93</v>
      </c>
      <c r="D80" s="8">
        <v>1</v>
      </c>
      <c r="E80" s="7" t="s">
        <v>420</v>
      </c>
      <c r="F80" s="7"/>
      <c r="G80" s="7"/>
      <c r="H80" s="118"/>
      <c r="I80" s="7" t="s">
        <v>286</v>
      </c>
      <c r="J80" s="7" t="s">
        <v>320</v>
      </c>
      <c r="K80" s="7" t="s">
        <v>290</v>
      </c>
      <c r="L80" s="7"/>
      <c r="M80" s="7"/>
      <c r="N80" s="7"/>
      <c r="O80" s="84" t="str" cm="1">
        <f t="array" ref="O80">_xlfn.XLOOKUP(1,(A80=Geotech!$A$4:$A$10094)*(Data_Discontinuities[[#This Row],[Depth (m)]]&gt;=Geotech!$C$4:$C$10094)*(Data_Discontinuities[[#This Row],[Depth (m)]]&lt;Geotech!$D$4:$D$10094),Geotech!$M$4:$M$10094)</f>
        <v>Boulamarque granodiorite</v>
      </c>
      <c r="P80" s="84"/>
      <c r="Q80" s="84"/>
      <c r="R80" s="84"/>
      <c r="S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0" s="71">
        <f>IFERROR(Data_Discontinuities[[#This Row],[Joint roughness]]/Data_Discontinuities[[#This Row],[Joint alteration]],"")</f>
        <v>1</v>
      </c>
      <c r="V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80" s="87"/>
    </row>
    <row r="81" spans="1:23" ht="15" customHeight="1" x14ac:dyDescent="0.25">
      <c r="A81" s="150" t="s">
        <v>26</v>
      </c>
      <c r="B81" s="17" t="str">
        <f>VLOOKUP(Data_Discontinuities[[#This Row],[Hole ID]],Data_Log[],2,FALSE)</f>
        <v>CGF-01</v>
      </c>
      <c r="C81" s="8">
        <v>86.2</v>
      </c>
      <c r="D81" s="8">
        <v>1</v>
      </c>
      <c r="E81" s="7" t="s">
        <v>420</v>
      </c>
      <c r="F81" s="7"/>
      <c r="G81" s="7"/>
      <c r="H81" s="118"/>
      <c r="I81" s="7" t="s">
        <v>286</v>
      </c>
      <c r="J81" s="7" t="s">
        <v>352</v>
      </c>
      <c r="K81" s="7" t="s">
        <v>322</v>
      </c>
      <c r="L81" s="7"/>
      <c r="M81" s="7"/>
      <c r="N81" s="7"/>
      <c r="O81" s="84" t="str" cm="1">
        <f t="array" ref="O81">_xlfn.XLOOKUP(1,(A81=Geotech!$A$4:$A$10094)*(Data_Discontinuities[[#This Row],[Depth (m)]]&gt;=Geotech!$C$4:$C$10094)*(Data_Discontinuities[[#This Row],[Depth (m)]]&lt;Geotech!$D$4:$D$10094),Geotech!$M$4:$M$10094)</f>
        <v>Boulamarque granodiorite</v>
      </c>
      <c r="P81" s="84"/>
      <c r="Q81" s="84"/>
      <c r="R81" s="84"/>
      <c r="S8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81" s="71">
        <f>IFERROR(Data_Discontinuities[[#This Row],[Joint roughness]]/Data_Discontinuities[[#This Row],[Joint alteration]],"")</f>
        <v>3</v>
      </c>
      <c r="V8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1" s="87"/>
    </row>
    <row r="82" spans="1:23" ht="15" customHeight="1" x14ac:dyDescent="0.25">
      <c r="A82" s="150" t="s">
        <v>26</v>
      </c>
      <c r="B82" s="17" t="str">
        <f>VLOOKUP(Data_Discontinuities[[#This Row],[Hole ID]],Data_Log[],2,FALSE)</f>
        <v>CGF-01</v>
      </c>
      <c r="C82" s="8">
        <v>86.41</v>
      </c>
      <c r="D82" s="8">
        <v>1</v>
      </c>
      <c r="E82" s="7" t="s">
        <v>420</v>
      </c>
      <c r="F82" s="7"/>
      <c r="G82" s="7"/>
      <c r="H82" s="118"/>
      <c r="I82" s="7" t="s">
        <v>286</v>
      </c>
      <c r="J82" s="7" t="s">
        <v>320</v>
      </c>
      <c r="K82" s="7" t="s">
        <v>354</v>
      </c>
      <c r="L82" s="7"/>
      <c r="M82" s="7"/>
      <c r="N82" s="7"/>
      <c r="O82" s="84" t="str" cm="1">
        <f t="array" ref="O82">_xlfn.XLOOKUP(1,(A82=Geotech!$A$4:$A$10094)*(Data_Discontinuities[[#This Row],[Depth (m)]]&gt;=Geotech!$C$4:$C$10094)*(Data_Discontinuities[[#This Row],[Depth (m)]]&lt;Geotech!$D$4:$D$10094),Geotech!$M$4:$M$10094)</f>
        <v>Boulamarque granodiorite</v>
      </c>
      <c r="P82" s="84"/>
      <c r="Q82" s="84"/>
      <c r="R82" s="84"/>
      <c r="S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2" s="71">
        <f>IFERROR(Data_Discontinuities[[#This Row],[Joint roughness]]/Data_Discontinuities[[#This Row],[Joint alteration]],"")</f>
        <v>1</v>
      </c>
      <c r="V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82" s="87"/>
    </row>
    <row r="83" spans="1:23" ht="15" customHeight="1" x14ac:dyDescent="0.25">
      <c r="A83" s="150" t="s">
        <v>26</v>
      </c>
      <c r="B83" s="17" t="str">
        <f>VLOOKUP(Data_Discontinuities[[#This Row],[Hole ID]],Data_Log[],2,FALSE)</f>
        <v>CGF-01</v>
      </c>
      <c r="C83" s="8">
        <v>86.54</v>
      </c>
      <c r="D83" s="8">
        <v>1</v>
      </c>
      <c r="E83" s="7" t="s">
        <v>420</v>
      </c>
      <c r="F83" s="7"/>
      <c r="G83" s="7"/>
      <c r="H83" s="118"/>
      <c r="I83" s="7" t="s">
        <v>286</v>
      </c>
      <c r="J83" s="7" t="s">
        <v>352</v>
      </c>
      <c r="K83" s="7" t="s">
        <v>290</v>
      </c>
      <c r="L83" s="7"/>
      <c r="M83" s="7"/>
      <c r="N83" s="7"/>
      <c r="O83" s="84" t="str" cm="1">
        <f t="array" ref="O83">_xlfn.XLOOKUP(1,(A83=Geotech!$A$4:$A$10094)*(Data_Discontinuities[[#This Row],[Depth (m)]]&gt;=Geotech!$C$4:$C$10094)*(Data_Discontinuities[[#This Row],[Depth (m)]]&lt;Geotech!$D$4:$D$10094),Geotech!$M$4:$M$10094)</f>
        <v>Boulamarque granodiorite</v>
      </c>
      <c r="P83" s="84"/>
      <c r="Q83" s="84"/>
      <c r="R83" s="84"/>
      <c r="S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3" s="71">
        <f>IFERROR(Data_Discontinuities[[#This Row],[Joint roughness]]/Data_Discontinuities[[#This Row],[Joint alteration]],"")</f>
        <v>1.5</v>
      </c>
      <c r="V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3" s="87"/>
    </row>
    <row r="84" spans="1:23" ht="15" customHeight="1" x14ac:dyDescent="0.25">
      <c r="A84" s="150" t="s">
        <v>26</v>
      </c>
      <c r="B84" s="17" t="str">
        <f>VLOOKUP(Data_Discontinuities[[#This Row],[Hole ID]],Data_Log[],2,FALSE)</f>
        <v>CGF-01</v>
      </c>
      <c r="C84" s="8">
        <v>86.75</v>
      </c>
      <c r="D84" s="8">
        <v>1</v>
      </c>
      <c r="E84" s="7" t="s">
        <v>420</v>
      </c>
      <c r="F84" s="7"/>
      <c r="G84" s="7"/>
      <c r="H84" s="118"/>
      <c r="I84" s="7" t="s">
        <v>286</v>
      </c>
      <c r="J84" s="7" t="s">
        <v>352</v>
      </c>
      <c r="K84" s="7" t="s">
        <v>322</v>
      </c>
      <c r="L84" s="7"/>
      <c r="M84" s="7"/>
      <c r="N84" s="7"/>
      <c r="O84" s="84" t="str" cm="1">
        <f t="array" ref="O84">_xlfn.XLOOKUP(1,(A84=Geotech!$A$4:$A$10094)*(Data_Discontinuities[[#This Row],[Depth (m)]]&gt;=Geotech!$C$4:$C$10094)*(Data_Discontinuities[[#This Row],[Depth (m)]]&lt;Geotech!$D$4:$D$10094),Geotech!$M$4:$M$10094)</f>
        <v>Boulamarque granodiorite</v>
      </c>
      <c r="P84" s="84"/>
      <c r="Q84" s="84"/>
      <c r="R84" s="84"/>
      <c r="S8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84" s="71">
        <f>IFERROR(Data_Discontinuities[[#This Row],[Joint roughness]]/Data_Discontinuities[[#This Row],[Joint alteration]],"")</f>
        <v>3</v>
      </c>
      <c r="V8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4" s="87"/>
    </row>
    <row r="85" spans="1:23" ht="15" customHeight="1" x14ac:dyDescent="0.25">
      <c r="A85" s="150" t="s">
        <v>26</v>
      </c>
      <c r="B85" s="17" t="str">
        <f>VLOOKUP(Data_Discontinuities[[#This Row],[Hole ID]],Data_Log[],2,FALSE)</f>
        <v>CGF-01</v>
      </c>
      <c r="C85" s="8">
        <v>86.86</v>
      </c>
      <c r="D85" s="8">
        <v>1</v>
      </c>
      <c r="E85" s="7" t="s">
        <v>420</v>
      </c>
      <c r="F85" s="7"/>
      <c r="G85" s="7"/>
      <c r="H85" s="118"/>
      <c r="I85" s="7" t="s">
        <v>286</v>
      </c>
      <c r="J85" s="7" t="s">
        <v>380</v>
      </c>
      <c r="K85" s="7" t="s">
        <v>290</v>
      </c>
      <c r="L85" s="7"/>
      <c r="M85" s="7"/>
      <c r="N85" s="7"/>
      <c r="O85" s="84" t="str" cm="1">
        <f t="array" ref="O85">_xlfn.XLOOKUP(1,(A85=Geotech!$A$4:$A$10094)*(Data_Discontinuities[[#This Row],[Depth (m)]]&gt;=Geotech!$C$4:$C$10094)*(Data_Discontinuities[[#This Row],[Depth (m)]]&lt;Geotech!$D$4:$D$10094),Geotech!$M$4:$M$10094)</f>
        <v>Boulamarque granodiorite</v>
      </c>
      <c r="P85" s="84"/>
      <c r="Q85" s="84"/>
      <c r="R85" s="84"/>
      <c r="S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5" s="71">
        <f>IFERROR(Data_Discontinuities[[#This Row],[Joint roughness]]/Data_Discontinuities[[#This Row],[Joint alteration]],"")</f>
        <v>1.5</v>
      </c>
      <c r="V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5" s="87"/>
    </row>
    <row r="86" spans="1:23" ht="15" customHeight="1" x14ac:dyDescent="0.25">
      <c r="A86" s="150" t="s">
        <v>26</v>
      </c>
      <c r="B86" s="17" t="str">
        <f>VLOOKUP(Data_Discontinuities[[#This Row],[Hole ID]],Data_Log[],2,FALSE)</f>
        <v>CGF-01</v>
      </c>
      <c r="C86" s="8">
        <v>87.32</v>
      </c>
      <c r="D86" s="8">
        <v>1</v>
      </c>
      <c r="E86" s="7" t="s">
        <v>420</v>
      </c>
      <c r="F86" s="7"/>
      <c r="G86" s="7"/>
      <c r="H86" s="118"/>
      <c r="I86" s="7" t="s">
        <v>286</v>
      </c>
      <c r="J86" s="7" t="s">
        <v>352</v>
      </c>
      <c r="K86" s="7" t="s">
        <v>290</v>
      </c>
      <c r="L86" s="7"/>
      <c r="M86" s="7"/>
      <c r="N86" s="7"/>
      <c r="O86" s="84" t="str" cm="1">
        <f t="array" ref="O86">_xlfn.XLOOKUP(1,(A86=Geotech!$A$4:$A$10094)*(Data_Discontinuities[[#This Row],[Depth (m)]]&gt;=Geotech!$C$4:$C$10094)*(Data_Discontinuities[[#This Row],[Depth (m)]]&lt;Geotech!$D$4:$D$10094),Geotech!$M$4:$M$10094)</f>
        <v>Boulamarque granodiorite</v>
      </c>
      <c r="P86" s="84"/>
      <c r="Q86" s="84"/>
      <c r="R86" s="84"/>
      <c r="S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6" s="71">
        <f>IFERROR(Data_Discontinuities[[#This Row],[Joint roughness]]/Data_Discontinuities[[#This Row],[Joint alteration]],"")</f>
        <v>1.5</v>
      </c>
      <c r="V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6" s="87"/>
    </row>
    <row r="87" spans="1:23" ht="15" customHeight="1" x14ac:dyDescent="0.25">
      <c r="A87" s="150" t="s">
        <v>26</v>
      </c>
      <c r="B87" s="17" t="str">
        <f>VLOOKUP(Data_Discontinuities[[#This Row],[Hole ID]],Data_Log[],2,FALSE)</f>
        <v>CGF-01</v>
      </c>
      <c r="C87" s="8">
        <v>91.2</v>
      </c>
      <c r="D87" s="8">
        <v>1</v>
      </c>
      <c r="E87" s="7" t="s">
        <v>420</v>
      </c>
      <c r="F87" s="7"/>
      <c r="G87" s="7"/>
      <c r="H87" s="118"/>
      <c r="I87" s="7" t="s">
        <v>286</v>
      </c>
      <c r="J87" s="7" t="s">
        <v>352</v>
      </c>
      <c r="K87" s="7" t="s">
        <v>354</v>
      </c>
      <c r="L87" s="7"/>
      <c r="M87" s="7"/>
      <c r="N87" s="7"/>
      <c r="O87" s="84" t="str" cm="1">
        <f t="array" ref="O87">_xlfn.XLOOKUP(1,(A87=Geotech!$A$4:$A$10094)*(Data_Discontinuities[[#This Row],[Depth (m)]]&gt;=Geotech!$C$4:$C$10094)*(Data_Discontinuities[[#This Row],[Depth (m)]]&lt;Geotech!$D$4:$D$10094),Geotech!$M$4:$M$10094)</f>
        <v>Boulamarque granodiorite</v>
      </c>
      <c r="P87" s="84"/>
      <c r="Q87" s="84"/>
      <c r="R87" s="84"/>
      <c r="S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87" s="71">
        <f>IFERROR(Data_Discontinuities[[#This Row],[Joint roughness]]/Data_Discontinuities[[#This Row],[Joint alteration]],"")</f>
        <v>1.5</v>
      </c>
      <c r="V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7" s="87"/>
    </row>
    <row r="88" spans="1:23" ht="15" customHeight="1" x14ac:dyDescent="0.25">
      <c r="A88" s="150" t="s">
        <v>26</v>
      </c>
      <c r="B88" s="17" t="str">
        <f>VLOOKUP(Data_Discontinuities[[#This Row],[Hole ID]],Data_Log[],2,FALSE)</f>
        <v>CGF-01</v>
      </c>
      <c r="C88" s="8">
        <v>92.03</v>
      </c>
      <c r="D88" s="8">
        <v>1</v>
      </c>
      <c r="E88" s="7" t="s">
        <v>420</v>
      </c>
      <c r="F88" s="7"/>
      <c r="G88" s="7"/>
      <c r="H88" s="118"/>
      <c r="I88" s="7" t="s">
        <v>286</v>
      </c>
      <c r="J88" s="7" t="s">
        <v>352</v>
      </c>
      <c r="K88" s="7" t="s">
        <v>322</v>
      </c>
      <c r="L88" s="7"/>
      <c r="M88" s="7"/>
      <c r="N88" s="7"/>
      <c r="O88" s="84" t="str" cm="1">
        <f t="array" ref="O88">_xlfn.XLOOKUP(1,(A88=Geotech!$A$4:$A$10094)*(Data_Discontinuities[[#This Row],[Depth (m)]]&gt;=Geotech!$C$4:$C$10094)*(Data_Discontinuities[[#This Row],[Depth (m)]]&lt;Geotech!$D$4:$D$10094),Geotech!$M$4:$M$10094)</f>
        <v>Boulamarque granodiorite</v>
      </c>
      <c r="P88" s="84"/>
      <c r="Q88" s="84"/>
      <c r="R88" s="84"/>
      <c r="S8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8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88" s="71">
        <f>IFERROR(Data_Discontinuities[[#This Row],[Joint roughness]]/Data_Discontinuities[[#This Row],[Joint alteration]],"")</f>
        <v>3</v>
      </c>
      <c r="V8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88" s="87"/>
    </row>
    <row r="89" spans="1:23" ht="15" customHeight="1" x14ac:dyDescent="0.25">
      <c r="A89" s="150" t="s">
        <v>26</v>
      </c>
      <c r="B89" s="17" t="str">
        <f>VLOOKUP(Data_Discontinuities[[#This Row],[Hole ID]],Data_Log[],2,FALSE)</f>
        <v>CGF-01</v>
      </c>
      <c r="C89" s="8">
        <v>92.54</v>
      </c>
      <c r="D89" s="8">
        <v>1</v>
      </c>
      <c r="E89" s="7" t="s">
        <v>420</v>
      </c>
      <c r="F89" s="7"/>
      <c r="G89" s="7"/>
      <c r="H89" s="118"/>
      <c r="I89" s="7" t="s">
        <v>251</v>
      </c>
      <c r="J89" s="7" t="s">
        <v>320</v>
      </c>
      <c r="K89" s="7" t="s">
        <v>382</v>
      </c>
      <c r="L89" s="7" t="s">
        <v>447</v>
      </c>
      <c r="M89" s="7"/>
      <c r="N89" s="7"/>
      <c r="O89" s="84" t="str" cm="1">
        <f t="array" ref="O89">_xlfn.XLOOKUP(1,(A89=Geotech!$A$4:$A$10094)*(Data_Discontinuities[[#This Row],[Depth (m)]]&gt;=Geotech!$C$4:$C$10094)*(Data_Discontinuities[[#This Row],[Depth (m)]]&lt;Geotech!$D$4:$D$10094),Geotech!$M$4:$M$10094)</f>
        <v>Boulamarque granodiorite</v>
      </c>
      <c r="P89" s="84"/>
      <c r="Q89" s="84"/>
      <c r="R89" s="84"/>
      <c r="S8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8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89" s="71">
        <f>IFERROR(Data_Discontinuities[[#This Row],[Joint roughness]]/Data_Discontinuities[[#This Row],[Joint alteration]],"")</f>
        <v>0.33333333333333331</v>
      </c>
      <c r="V8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89" s="87"/>
    </row>
    <row r="90" spans="1:23" ht="15" customHeight="1" x14ac:dyDescent="0.25">
      <c r="A90" s="150" t="s">
        <v>26</v>
      </c>
      <c r="B90" s="17" t="str">
        <f>VLOOKUP(Data_Discontinuities[[#This Row],[Hole ID]],Data_Log[],2,FALSE)</f>
        <v>CGF-01</v>
      </c>
      <c r="C90" s="8">
        <v>92.61</v>
      </c>
      <c r="D90" s="8">
        <v>1</v>
      </c>
      <c r="E90" s="7" t="s">
        <v>420</v>
      </c>
      <c r="F90" s="7"/>
      <c r="G90" s="7"/>
      <c r="H90" s="118"/>
      <c r="I90" s="7" t="s">
        <v>286</v>
      </c>
      <c r="J90" s="7" t="s">
        <v>320</v>
      </c>
      <c r="K90" s="7" t="s">
        <v>382</v>
      </c>
      <c r="L90" s="7" t="s">
        <v>447</v>
      </c>
      <c r="M90" s="7"/>
      <c r="N90" s="7"/>
      <c r="O90" s="84" t="str" cm="1">
        <f t="array" ref="O90">_xlfn.XLOOKUP(1,(A90=Geotech!$A$4:$A$10094)*(Data_Discontinuities[[#This Row],[Depth (m)]]&gt;=Geotech!$C$4:$C$10094)*(Data_Discontinuities[[#This Row],[Depth (m)]]&lt;Geotech!$D$4:$D$10094),Geotech!$M$4:$M$10094)</f>
        <v>Boulamarque granodiorite</v>
      </c>
      <c r="P90" s="84"/>
      <c r="Q90" s="84"/>
      <c r="R90" s="84"/>
      <c r="S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90" s="71">
        <f>IFERROR(Data_Discontinuities[[#This Row],[Joint roughness]]/Data_Discontinuities[[#This Row],[Joint alteration]],"")</f>
        <v>0.66666666666666663</v>
      </c>
      <c r="V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90" s="87"/>
    </row>
    <row r="91" spans="1:23" ht="15" customHeight="1" x14ac:dyDescent="0.25">
      <c r="A91" s="150" t="s">
        <v>26</v>
      </c>
      <c r="B91" s="17" t="str">
        <f>VLOOKUP(Data_Discontinuities[[#This Row],[Hole ID]],Data_Log[],2,FALSE)</f>
        <v>CGF-01</v>
      </c>
      <c r="C91" s="8">
        <v>93.25</v>
      </c>
      <c r="D91" s="8">
        <v>1</v>
      </c>
      <c r="E91" s="7" t="s">
        <v>420</v>
      </c>
      <c r="F91" s="7"/>
      <c r="G91" s="7"/>
      <c r="H91" s="118"/>
      <c r="I91" s="7" t="s">
        <v>251</v>
      </c>
      <c r="J91" s="7" t="s">
        <v>320</v>
      </c>
      <c r="K91" s="7" t="s">
        <v>290</v>
      </c>
      <c r="L91" s="7"/>
      <c r="M91" s="7"/>
      <c r="N91" s="7"/>
      <c r="O91" s="84" t="str" cm="1">
        <f t="array" ref="O91">_xlfn.XLOOKUP(1,(A91=Geotech!$A$4:$A$10094)*(Data_Discontinuities[[#This Row],[Depth (m)]]&gt;=Geotech!$C$4:$C$10094)*(Data_Discontinuities[[#This Row],[Depth (m)]]&lt;Geotech!$D$4:$D$10094),Geotech!$M$4:$M$10094)</f>
        <v>Boulamarque granodiorite</v>
      </c>
      <c r="P91" s="84"/>
      <c r="Q91" s="84"/>
      <c r="R91" s="84"/>
      <c r="S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91" s="71">
        <f>IFERROR(Data_Discontinuities[[#This Row],[Joint roughness]]/Data_Discontinuities[[#This Row],[Joint alteration]],"")</f>
        <v>0.5</v>
      </c>
      <c r="V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91" s="87"/>
    </row>
    <row r="92" spans="1:23" ht="15" customHeight="1" x14ac:dyDescent="0.25">
      <c r="A92" s="150" t="s">
        <v>26</v>
      </c>
      <c r="B92" s="17" t="str">
        <f>VLOOKUP(Data_Discontinuities[[#This Row],[Hole ID]],Data_Log[],2,FALSE)</f>
        <v>CGF-01</v>
      </c>
      <c r="C92" s="8">
        <v>95.12</v>
      </c>
      <c r="D92" s="8">
        <v>1</v>
      </c>
      <c r="E92" s="7" t="s">
        <v>420</v>
      </c>
      <c r="F92" s="7"/>
      <c r="G92" s="7"/>
      <c r="H92" s="118"/>
      <c r="I92" s="7" t="s">
        <v>286</v>
      </c>
      <c r="J92" s="7" t="s">
        <v>352</v>
      </c>
      <c r="K92" s="7" t="s">
        <v>290</v>
      </c>
      <c r="L92" s="7"/>
      <c r="M92" s="7"/>
      <c r="N92" s="7"/>
      <c r="O92" s="84" t="str" cm="1">
        <f t="array" ref="O92">_xlfn.XLOOKUP(1,(A92=Geotech!$A$4:$A$10094)*(Data_Discontinuities[[#This Row],[Depth (m)]]&gt;=Geotech!$C$4:$C$10094)*(Data_Discontinuities[[#This Row],[Depth (m)]]&lt;Geotech!$D$4:$D$10094),Geotech!$M$4:$M$10094)</f>
        <v>Boulamarque granodiorite</v>
      </c>
      <c r="P92" s="84"/>
      <c r="Q92" s="84"/>
      <c r="R92" s="84"/>
      <c r="S9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9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92" s="71">
        <f>IFERROR(Data_Discontinuities[[#This Row],[Joint roughness]]/Data_Discontinuities[[#This Row],[Joint alteration]],"")</f>
        <v>1.5</v>
      </c>
      <c r="V9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92" s="87"/>
    </row>
    <row r="93" spans="1:23" ht="15" customHeight="1" x14ac:dyDescent="0.25">
      <c r="A93" s="150" t="s">
        <v>26</v>
      </c>
      <c r="B93" s="17" t="str">
        <f>VLOOKUP(Data_Discontinuities[[#This Row],[Hole ID]],Data_Log[],2,FALSE)</f>
        <v>CGF-01</v>
      </c>
      <c r="C93" s="8">
        <v>95.31</v>
      </c>
      <c r="D93" s="8">
        <v>1</v>
      </c>
      <c r="E93" s="7" t="s">
        <v>420</v>
      </c>
      <c r="F93" s="7"/>
      <c r="G93" s="7"/>
      <c r="H93" s="118"/>
      <c r="I93" s="7" t="s">
        <v>286</v>
      </c>
      <c r="J93" s="7" t="s">
        <v>352</v>
      </c>
      <c r="K93" s="7" t="s">
        <v>290</v>
      </c>
      <c r="L93" s="7"/>
      <c r="M93" s="7"/>
      <c r="N93" s="7"/>
      <c r="O93" s="84" t="str" cm="1">
        <f t="array" ref="O93">_xlfn.XLOOKUP(1,(A93=Geotech!$A$4:$A$10094)*(Data_Discontinuities[[#This Row],[Depth (m)]]&gt;=Geotech!$C$4:$C$10094)*(Data_Discontinuities[[#This Row],[Depth (m)]]&lt;Geotech!$D$4:$D$10094),Geotech!$M$4:$M$10094)</f>
        <v>Boulamarque granodiorite</v>
      </c>
      <c r="P93" s="84"/>
      <c r="Q93" s="84"/>
      <c r="R93" s="84"/>
      <c r="S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93" s="71">
        <f>IFERROR(Data_Discontinuities[[#This Row],[Joint roughness]]/Data_Discontinuities[[#This Row],[Joint alteration]],"")</f>
        <v>1.5</v>
      </c>
      <c r="V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93" s="87"/>
    </row>
    <row r="94" spans="1:23" ht="15" customHeight="1" x14ac:dyDescent="0.25">
      <c r="A94" s="150" t="s">
        <v>26</v>
      </c>
      <c r="B94" s="17" t="str">
        <f>VLOOKUP(Data_Discontinuities[[#This Row],[Hole ID]],Data_Log[],2,FALSE)</f>
        <v>CGF-01</v>
      </c>
      <c r="C94" s="8">
        <v>95.51</v>
      </c>
      <c r="D94" s="8">
        <v>1</v>
      </c>
      <c r="E94" s="7" t="s">
        <v>420</v>
      </c>
      <c r="F94" s="7"/>
      <c r="G94" s="7"/>
      <c r="H94" s="118"/>
      <c r="I94" s="7" t="s">
        <v>286</v>
      </c>
      <c r="J94" s="7" t="s">
        <v>320</v>
      </c>
      <c r="K94" s="7" t="s">
        <v>322</v>
      </c>
      <c r="L94" s="7"/>
      <c r="M94" s="7"/>
      <c r="N94" s="7"/>
      <c r="O94" s="84" t="str" cm="1">
        <f t="array" ref="O94">_xlfn.XLOOKUP(1,(A94=Geotech!$A$4:$A$10094)*(Data_Discontinuities[[#This Row],[Depth (m)]]&gt;=Geotech!$C$4:$C$10094)*(Data_Discontinuities[[#This Row],[Depth (m)]]&lt;Geotech!$D$4:$D$10094),Geotech!$M$4:$M$10094)</f>
        <v>Boulamarque granodiorite</v>
      </c>
      <c r="P94" s="84"/>
      <c r="Q94" s="84"/>
      <c r="R94" s="84"/>
      <c r="S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94" s="71">
        <f>IFERROR(Data_Discontinuities[[#This Row],[Joint roughness]]/Data_Discontinuities[[#This Row],[Joint alteration]],"")</f>
        <v>2</v>
      </c>
      <c r="V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94" s="87"/>
    </row>
    <row r="95" spans="1:23" ht="15" customHeight="1" x14ac:dyDescent="0.25">
      <c r="A95" s="150" t="s">
        <v>26</v>
      </c>
      <c r="B95" s="17" t="str">
        <f>VLOOKUP(Data_Discontinuities[[#This Row],[Hole ID]],Data_Log[],2,FALSE)</f>
        <v>CGF-01</v>
      </c>
      <c r="C95" s="8">
        <v>96.45</v>
      </c>
      <c r="D95" s="8">
        <v>1</v>
      </c>
      <c r="E95" s="7" t="s">
        <v>445</v>
      </c>
      <c r="F95" s="7"/>
      <c r="G95" s="7"/>
      <c r="H95" s="118"/>
      <c r="I95" s="7" t="s">
        <v>378</v>
      </c>
      <c r="J95" s="7" t="s">
        <v>380</v>
      </c>
      <c r="K95" s="7" t="s">
        <v>290</v>
      </c>
      <c r="L95" s="7"/>
      <c r="M95" s="7"/>
      <c r="N95" s="7"/>
      <c r="O95" s="84" t="str" cm="1">
        <f t="array" ref="O95">_xlfn.XLOOKUP(1,(A95=Geotech!$A$4:$A$10094)*(Data_Discontinuities[[#This Row],[Depth (m)]]&gt;=Geotech!$C$4:$C$10094)*(Data_Discontinuities[[#This Row],[Depth (m)]]&lt;Geotech!$D$4:$D$10094),Geotech!$M$4:$M$10094)</f>
        <v>Boulamarque granodiorite</v>
      </c>
      <c r="P95" s="84"/>
      <c r="Q95" s="84"/>
      <c r="R95" s="84"/>
      <c r="S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95" s="71">
        <f>IFERROR(Data_Discontinuities[[#This Row],[Joint roughness]]/Data_Discontinuities[[#This Row],[Joint alteration]],"")</f>
        <v>1.5</v>
      </c>
      <c r="V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95" s="87"/>
    </row>
    <row r="96" spans="1:23" ht="15" customHeight="1" x14ac:dyDescent="0.25">
      <c r="A96" s="150" t="s">
        <v>26</v>
      </c>
      <c r="B96" s="17" t="str">
        <f>VLOOKUP(Data_Discontinuities[[#This Row],[Hole ID]],Data_Log[],2,FALSE)</f>
        <v>CGF-01</v>
      </c>
      <c r="C96" s="8">
        <v>97.96</v>
      </c>
      <c r="D96" s="8">
        <v>1</v>
      </c>
      <c r="E96" s="7" t="s">
        <v>420</v>
      </c>
      <c r="F96" s="7"/>
      <c r="G96" s="7"/>
      <c r="H96" s="118"/>
      <c r="I96" s="7" t="s">
        <v>251</v>
      </c>
      <c r="J96" s="7" t="s">
        <v>320</v>
      </c>
      <c r="K96" s="7" t="s">
        <v>290</v>
      </c>
      <c r="L96" s="7"/>
      <c r="M96" s="7"/>
      <c r="N96" s="7"/>
      <c r="O96" s="84" t="str" cm="1">
        <f t="array" ref="O96">_xlfn.XLOOKUP(1,(A96=Geotech!$A$4:$A$10094)*(Data_Discontinuities[[#This Row],[Depth (m)]]&gt;=Geotech!$C$4:$C$10094)*(Data_Discontinuities[[#This Row],[Depth (m)]]&lt;Geotech!$D$4:$D$10094),Geotech!$M$4:$M$10094)</f>
        <v>Boulamarque granodiorite</v>
      </c>
      <c r="P96" s="84"/>
      <c r="Q96" s="84"/>
      <c r="R96" s="84"/>
      <c r="S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96" s="71">
        <f>IFERROR(Data_Discontinuities[[#This Row],[Joint roughness]]/Data_Discontinuities[[#This Row],[Joint alteration]],"")</f>
        <v>0.5</v>
      </c>
      <c r="V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96" s="87"/>
    </row>
    <row r="97" spans="1:23" ht="15" customHeight="1" x14ac:dyDescent="0.25">
      <c r="A97" s="150" t="s">
        <v>26</v>
      </c>
      <c r="B97" s="17" t="str">
        <f>VLOOKUP(Data_Discontinuities[[#This Row],[Hole ID]],Data_Log[],2,FALSE)</f>
        <v>CGF-01</v>
      </c>
      <c r="C97" s="8">
        <v>97.6</v>
      </c>
      <c r="D97" s="8">
        <v>1</v>
      </c>
      <c r="E97" s="7" t="s">
        <v>420</v>
      </c>
      <c r="F97" s="7"/>
      <c r="G97" s="7"/>
      <c r="H97" s="118"/>
      <c r="I97" s="7" t="s">
        <v>318</v>
      </c>
      <c r="J97" s="7" t="s">
        <v>288</v>
      </c>
      <c r="K97" s="7" t="s">
        <v>322</v>
      </c>
      <c r="L97" s="7"/>
      <c r="M97" s="7"/>
      <c r="N97" s="7"/>
      <c r="O97" s="84" t="str" cm="1">
        <f t="array" ref="O97">_xlfn.XLOOKUP(1,(A97=Geotech!$A$4:$A$10094)*(Data_Discontinuities[[#This Row],[Depth (m)]]&gt;=Geotech!$C$4:$C$10094)*(Data_Discontinuities[[#This Row],[Depth (m)]]&lt;Geotech!$D$4:$D$10094),Geotech!$M$4:$M$10094)</f>
        <v>Boulamarque granodiorite</v>
      </c>
      <c r="P97" s="84"/>
      <c r="Q97" s="84"/>
      <c r="R97" s="84"/>
      <c r="S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97" s="71">
        <f>IFERROR(Data_Discontinuities[[#This Row],[Joint roughness]]/Data_Discontinuities[[#This Row],[Joint alteration]],"")</f>
        <v>1.5</v>
      </c>
      <c r="V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97" s="87"/>
    </row>
    <row r="98" spans="1:23" ht="15" customHeight="1" x14ac:dyDescent="0.25">
      <c r="A98" s="150" t="s">
        <v>26</v>
      </c>
      <c r="B98" s="17" t="str">
        <f>VLOOKUP(Data_Discontinuities[[#This Row],[Hole ID]],Data_Log[],2,FALSE)</f>
        <v>CGF-01</v>
      </c>
      <c r="C98" s="8">
        <v>97.65</v>
      </c>
      <c r="D98" s="8">
        <v>1</v>
      </c>
      <c r="E98" s="7" t="s">
        <v>420</v>
      </c>
      <c r="F98" s="7"/>
      <c r="G98" s="7"/>
      <c r="H98" s="118"/>
      <c r="I98" s="7" t="s">
        <v>286</v>
      </c>
      <c r="J98" s="7" t="s">
        <v>288</v>
      </c>
      <c r="K98" s="7" t="s">
        <v>322</v>
      </c>
      <c r="L98" s="7"/>
      <c r="M98" s="7"/>
      <c r="N98" s="7"/>
      <c r="O98" s="84" t="str" cm="1">
        <f t="array" ref="O98">_xlfn.XLOOKUP(1,(A98=Geotech!$A$4:$A$10094)*(Data_Discontinuities[[#This Row],[Depth (m)]]&gt;=Geotech!$C$4:$C$10094)*(Data_Discontinuities[[#This Row],[Depth (m)]]&lt;Geotech!$D$4:$D$10094),Geotech!$M$4:$M$10094)</f>
        <v>Boulamarque granodiorite</v>
      </c>
      <c r="P98" s="84"/>
      <c r="Q98" s="84"/>
      <c r="R98" s="84"/>
      <c r="S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98" s="71">
        <f>IFERROR(Data_Discontinuities[[#This Row],[Joint roughness]]/Data_Discontinuities[[#This Row],[Joint alteration]],"")</f>
        <v>1.5</v>
      </c>
      <c r="V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98" s="87"/>
    </row>
    <row r="99" spans="1:23" ht="15" customHeight="1" x14ac:dyDescent="0.25">
      <c r="A99" s="150" t="s">
        <v>26</v>
      </c>
      <c r="B99" s="17" t="str">
        <f>VLOOKUP(Data_Discontinuities[[#This Row],[Hole ID]],Data_Log[],2,FALSE)</f>
        <v>CGF-01</v>
      </c>
      <c r="C99" s="8">
        <v>98.23</v>
      </c>
      <c r="D99" s="8">
        <v>1</v>
      </c>
      <c r="E99" s="7" t="s">
        <v>420</v>
      </c>
      <c r="F99" s="7"/>
      <c r="G99" s="7"/>
      <c r="H99" s="118"/>
      <c r="I99" s="7" t="s">
        <v>286</v>
      </c>
      <c r="J99" s="7" t="s">
        <v>320</v>
      </c>
      <c r="K99" s="7" t="s">
        <v>382</v>
      </c>
      <c r="L99" s="7" t="s">
        <v>447</v>
      </c>
      <c r="M99" s="7" t="s">
        <v>546</v>
      </c>
      <c r="N99" s="7"/>
      <c r="O99" s="84" t="str" cm="1">
        <f t="array" ref="O99">_xlfn.XLOOKUP(1,(A99=Geotech!$A$4:$A$10094)*(Data_Discontinuities[[#This Row],[Depth (m)]]&gt;=Geotech!$C$4:$C$10094)*(Data_Discontinuities[[#This Row],[Depth (m)]]&lt;Geotech!$D$4:$D$10094),Geotech!$M$4:$M$10094)</f>
        <v>Boulamarque granodiorite</v>
      </c>
      <c r="P99" s="84"/>
      <c r="Q99" s="84"/>
      <c r="R99" s="84"/>
      <c r="S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99" s="71">
        <f>IFERROR(Data_Discontinuities[[#This Row],[Joint roughness]]/Data_Discontinuities[[#This Row],[Joint alteration]],"")</f>
        <v>0.66666666666666663</v>
      </c>
      <c r="V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99" s="87"/>
    </row>
    <row r="100" spans="1:23" ht="15" customHeight="1" x14ac:dyDescent="0.25">
      <c r="A100" s="150" t="s">
        <v>26</v>
      </c>
      <c r="B100" s="17" t="str">
        <f>VLOOKUP(Data_Discontinuities[[#This Row],[Hole ID]],Data_Log[],2,FALSE)</f>
        <v>CGF-01</v>
      </c>
      <c r="C100" s="8">
        <v>96.38</v>
      </c>
      <c r="D100" s="8">
        <v>1</v>
      </c>
      <c r="E100" s="7" t="s">
        <v>420</v>
      </c>
      <c r="F100" s="7"/>
      <c r="G100" s="7"/>
      <c r="H100" s="118"/>
      <c r="I100" s="7" t="s">
        <v>318</v>
      </c>
      <c r="J100" s="7" t="s">
        <v>352</v>
      </c>
      <c r="K100" s="7" t="s">
        <v>382</v>
      </c>
      <c r="L100" s="7" t="s">
        <v>437</v>
      </c>
      <c r="M100" s="7" t="s">
        <v>447</v>
      </c>
      <c r="N100" s="7"/>
      <c r="O100" s="84" t="str" cm="1">
        <f t="array" ref="O100">_xlfn.XLOOKUP(1,(A100=Geotech!$A$4:$A$10094)*(Data_Discontinuities[[#This Row],[Depth (m)]]&gt;=Geotech!$C$4:$C$10094)*(Data_Discontinuities[[#This Row],[Depth (m)]]&lt;Geotech!$D$4:$D$10094),Geotech!$M$4:$M$10094)</f>
        <v>Boulamarque granodiorite</v>
      </c>
      <c r="P100" s="84"/>
      <c r="Q100" s="84"/>
      <c r="R100" s="84"/>
      <c r="S1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00" s="71">
        <f>IFERROR(Data_Discontinuities[[#This Row],[Joint roughness]]/Data_Discontinuities[[#This Row],[Joint alteration]],"")</f>
        <v>0.75</v>
      </c>
      <c r="V1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00" s="87"/>
    </row>
    <row r="101" spans="1:23" ht="15" customHeight="1" x14ac:dyDescent="0.25">
      <c r="A101" s="150" t="s">
        <v>26</v>
      </c>
      <c r="B101" s="17" t="str">
        <f>VLOOKUP(Data_Discontinuities[[#This Row],[Hole ID]],Data_Log[],2,FALSE)</f>
        <v>CGF-01</v>
      </c>
      <c r="C101" s="8">
        <v>99.31</v>
      </c>
      <c r="D101" s="8">
        <v>1</v>
      </c>
      <c r="E101" s="7" t="s">
        <v>420</v>
      </c>
      <c r="F101" s="7"/>
      <c r="G101" s="7"/>
      <c r="H101" s="118"/>
      <c r="I101" s="7" t="s">
        <v>286</v>
      </c>
      <c r="J101" s="7" t="s">
        <v>320</v>
      </c>
      <c r="K101" s="7" t="s">
        <v>382</v>
      </c>
      <c r="L101" s="7" t="s">
        <v>447</v>
      </c>
      <c r="M101" s="7"/>
      <c r="N101" s="7"/>
      <c r="O101" s="84" t="str" cm="1">
        <f t="array" ref="O101">_xlfn.XLOOKUP(1,(A101=Geotech!$A$4:$A$10094)*(Data_Discontinuities[[#This Row],[Depth (m)]]&gt;=Geotech!$C$4:$C$10094)*(Data_Discontinuities[[#This Row],[Depth (m)]]&lt;Geotech!$D$4:$D$10094),Geotech!$M$4:$M$10094)</f>
        <v>Boulamarque granodiorite</v>
      </c>
      <c r="P101" s="84"/>
      <c r="Q101" s="84"/>
      <c r="R101" s="84"/>
      <c r="S1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01" s="71">
        <f>IFERROR(Data_Discontinuities[[#This Row],[Joint roughness]]/Data_Discontinuities[[#This Row],[Joint alteration]],"")</f>
        <v>0.66666666666666663</v>
      </c>
      <c r="V1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01" s="87"/>
    </row>
    <row r="102" spans="1:23" ht="15" customHeight="1" x14ac:dyDescent="0.25">
      <c r="A102" s="150" t="s">
        <v>26</v>
      </c>
      <c r="B102" s="17" t="str">
        <f>VLOOKUP(Data_Discontinuities[[#This Row],[Hole ID]],Data_Log[],2,FALSE)</f>
        <v>CGF-01</v>
      </c>
      <c r="C102" s="8">
        <v>99.48</v>
      </c>
      <c r="D102" s="8">
        <v>1</v>
      </c>
      <c r="E102" s="7" t="s">
        <v>420</v>
      </c>
      <c r="F102" s="7"/>
      <c r="G102" s="7"/>
      <c r="H102" s="118"/>
      <c r="I102" s="7" t="s">
        <v>286</v>
      </c>
      <c r="J102" s="7" t="s">
        <v>320</v>
      </c>
      <c r="K102" s="7" t="s">
        <v>322</v>
      </c>
      <c r="L102" s="7"/>
      <c r="M102" s="7"/>
      <c r="N102" s="7"/>
      <c r="O102" s="84" t="str" cm="1">
        <f t="array" ref="O102">_xlfn.XLOOKUP(1,(A102=Geotech!$A$4:$A$10094)*(Data_Discontinuities[[#This Row],[Depth (m)]]&gt;=Geotech!$C$4:$C$10094)*(Data_Discontinuities[[#This Row],[Depth (m)]]&lt;Geotech!$D$4:$D$10094),Geotech!$M$4:$M$10094)</f>
        <v>Boulamarque granodiorite</v>
      </c>
      <c r="P102" s="84"/>
      <c r="Q102" s="84"/>
      <c r="R102" s="84"/>
      <c r="S10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0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02" s="71">
        <f>IFERROR(Data_Discontinuities[[#This Row],[Joint roughness]]/Data_Discontinuities[[#This Row],[Joint alteration]],"")</f>
        <v>2</v>
      </c>
      <c r="V10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02" s="87"/>
    </row>
    <row r="103" spans="1:23" ht="15" customHeight="1" x14ac:dyDescent="0.25">
      <c r="A103" s="150" t="s">
        <v>26</v>
      </c>
      <c r="B103" s="17" t="str">
        <f>VLOOKUP(Data_Discontinuities[[#This Row],[Hole ID]],Data_Log[],2,FALSE)</f>
        <v>CGF-01</v>
      </c>
      <c r="C103" s="8">
        <v>100.04</v>
      </c>
      <c r="D103" s="8">
        <v>1</v>
      </c>
      <c r="E103" s="7" t="s">
        <v>420</v>
      </c>
      <c r="F103" s="7"/>
      <c r="G103" s="7"/>
      <c r="H103" s="118"/>
      <c r="I103" s="7" t="s">
        <v>286</v>
      </c>
      <c r="J103" s="7" t="s">
        <v>352</v>
      </c>
      <c r="K103" s="7" t="s">
        <v>322</v>
      </c>
      <c r="L103" s="7"/>
      <c r="M103" s="7"/>
      <c r="N103" s="7"/>
      <c r="O103" s="84" t="str" cm="1">
        <f t="array" ref="O103">_xlfn.XLOOKUP(1,(A103=Geotech!$A$4:$A$10094)*(Data_Discontinuities[[#This Row],[Depth (m)]]&gt;=Geotech!$C$4:$C$10094)*(Data_Discontinuities[[#This Row],[Depth (m)]]&lt;Geotech!$D$4:$D$10094),Geotech!$M$4:$M$10094)</f>
        <v>Boulamarque granodiorite</v>
      </c>
      <c r="P103" s="84"/>
      <c r="Q103" s="84"/>
      <c r="R103" s="84"/>
      <c r="S1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03" s="71">
        <f>IFERROR(Data_Discontinuities[[#This Row],[Joint roughness]]/Data_Discontinuities[[#This Row],[Joint alteration]],"")</f>
        <v>3</v>
      </c>
      <c r="V1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03" s="87"/>
    </row>
    <row r="104" spans="1:23" ht="15" customHeight="1" x14ac:dyDescent="0.25">
      <c r="A104" s="150" t="s">
        <v>26</v>
      </c>
      <c r="B104" s="17" t="str">
        <f>VLOOKUP(Data_Discontinuities[[#This Row],[Hole ID]],Data_Log[],2,FALSE)</f>
        <v>CGF-01</v>
      </c>
      <c r="C104" s="8">
        <v>100.5</v>
      </c>
      <c r="D104" s="8">
        <v>1</v>
      </c>
      <c r="E104" s="7" t="s">
        <v>420</v>
      </c>
      <c r="F104" s="7"/>
      <c r="G104" s="7"/>
      <c r="H104" s="118"/>
      <c r="I104" s="7" t="s">
        <v>286</v>
      </c>
      <c r="J104" s="7" t="s">
        <v>352</v>
      </c>
      <c r="K104" s="7" t="s">
        <v>322</v>
      </c>
      <c r="L104" s="7"/>
      <c r="M104" s="7"/>
      <c r="N104" s="7"/>
      <c r="O104" s="84" t="str" cm="1">
        <f t="array" ref="O104">_xlfn.XLOOKUP(1,(A104=Geotech!$A$4:$A$10094)*(Data_Discontinuities[[#This Row],[Depth (m)]]&gt;=Geotech!$C$4:$C$10094)*(Data_Discontinuities[[#This Row],[Depth (m)]]&lt;Geotech!$D$4:$D$10094),Geotech!$M$4:$M$10094)</f>
        <v>Boulamarque granodiorite</v>
      </c>
      <c r="P104" s="84"/>
      <c r="Q104" s="84"/>
      <c r="R104" s="84"/>
      <c r="S10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0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04" s="71">
        <f>IFERROR(Data_Discontinuities[[#This Row],[Joint roughness]]/Data_Discontinuities[[#This Row],[Joint alteration]],"")</f>
        <v>3</v>
      </c>
      <c r="V10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04" s="87"/>
    </row>
    <row r="105" spans="1:23" ht="15" customHeight="1" x14ac:dyDescent="0.25">
      <c r="A105" s="150" t="s">
        <v>26</v>
      </c>
      <c r="B105" s="17" t="str">
        <f>VLOOKUP(Data_Discontinuities[[#This Row],[Hole ID]],Data_Log[],2,FALSE)</f>
        <v>CGF-01</v>
      </c>
      <c r="C105" s="8">
        <v>100.84</v>
      </c>
      <c r="D105" s="8">
        <v>1</v>
      </c>
      <c r="E105" s="7" t="s">
        <v>445</v>
      </c>
      <c r="F105" s="7"/>
      <c r="G105" s="7"/>
      <c r="H105" s="118"/>
      <c r="I105" s="7" t="s">
        <v>251</v>
      </c>
      <c r="J105" s="7" t="s">
        <v>352</v>
      </c>
      <c r="K105" s="7" t="s">
        <v>382</v>
      </c>
      <c r="L105" s="7" t="s">
        <v>447</v>
      </c>
      <c r="M105" s="7"/>
      <c r="N105" s="7"/>
      <c r="O105" s="84" t="str" cm="1">
        <f t="array" ref="O105">_xlfn.XLOOKUP(1,(A105=Geotech!$A$4:$A$10094)*(Data_Discontinuities[[#This Row],[Depth (m)]]&gt;=Geotech!$C$4:$C$10094)*(Data_Discontinuities[[#This Row],[Depth (m)]]&lt;Geotech!$D$4:$D$10094),Geotech!$M$4:$M$10094)</f>
        <v>Boulamarque granodiorite</v>
      </c>
      <c r="P105" s="84"/>
      <c r="Q105" s="84"/>
      <c r="R105" s="84"/>
      <c r="S1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05" s="71">
        <f>IFERROR(Data_Discontinuities[[#This Row],[Joint roughness]]/Data_Discontinuities[[#This Row],[Joint alteration]],"")</f>
        <v>0.5</v>
      </c>
      <c r="V1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05" s="87"/>
    </row>
    <row r="106" spans="1:23" ht="15" customHeight="1" x14ac:dyDescent="0.25">
      <c r="A106" s="150" t="s">
        <v>26</v>
      </c>
      <c r="B106" s="17" t="str">
        <f>VLOOKUP(Data_Discontinuities[[#This Row],[Hole ID]],Data_Log[],2,FALSE)</f>
        <v>CGF-01</v>
      </c>
      <c r="C106" s="8">
        <v>102.21</v>
      </c>
      <c r="D106" s="8">
        <v>1</v>
      </c>
      <c r="E106" s="7" t="s">
        <v>420</v>
      </c>
      <c r="F106" s="7"/>
      <c r="G106" s="7"/>
      <c r="H106" s="118"/>
      <c r="I106" s="7" t="s">
        <v>251</v>
      </c>
      <c r="J106" s="7" t="s">
        <v>320</v>
      </c>
      <c r="K106" s="7" t="s">
        <v>382</v>
      </c>
      <c r="L106" s="7" t="s">
        <v>447</v>
      </c>
      <c r="M106" s="7"/>
      <c r="N106" s="7"/>
      <c r="O106" s="84" t="str" cm="1">
        <f t="array" ref="O106">_xlfn.XLOOKUP(1,(A106=Geotech!$A$4:$A$10094)*(Data_Discontinuities[[#This Row],[Depth (m)]]&gt;=Geotech!$C$4:$C$10094)*(Data_Discontinuities[[#This Row],[Depth (m)]]&lt;Geotech!$D$4:$D$10094),Geotech!$M$4:$M$10094)</f>
        <v>Boulamarque granodiorite</v>
      </c>
      <c r="P106" s="84"/>
      <c r="Q106" s="84"/>
      <c r="R106" s="84"/>
      <c r="S1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06" s="71">
        <f>IFERROR(Data_Discontinuities[[#This Row],[Joint roughness]]/Data_Discontinuities[[#This Row],[Joint alteration]],"")</f>
        <v>0.33333333333333331</v>
      </c>
      <c r="V1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06" s="87"/>
    </row>
    <row r="107" spans="1:23" ht="15" customHeight="1" x14ac:dyDescent="0.25">
      <c r="A107" s="150" t="s">
        <v>26</v>
      </c>
      <c r="B107" s="17" t="str">
        <f>VLOOKUP(Data_Discontinuities[[#This Row],[Hole ID]],Data_Log[],2,FALSE)</f>
        <v>CGF-01</v>
      </c>
      <c r="C107" s="8">
        <v>102.53</v>
      </c>
      <c r="D107" s="8">
        <v>1</v>
      </c>
      <c r="E107" s="7" t="s">
        <v>420</v>
      </c>
      <c r="F107" s="7"/>
      <c r="G107" s="7"/>
      <c r="H107" s="118"/>
      <c r="I107" s="7" t="s">
        <v>251</v>
      </c>
      <c r="J107" s="7" t="s">
        <v>352</v>
      </c>
      <c r="K107" s="7" t="s">
        <v>322</v>
      </c>
      <c r="L107" s="7"/>
      <c r="M107" s="7"/>
      <c r="N107" s="7"/>
      <c r="O107" s="84" t="str" cm="1">
        <f t="array" ref="O107">_xlfn.XLOOKUP(1,(A107=Geotech!$A$4:$A$10094)*(Data_Discontinuities[[#This Row],[Depth (m)]]&gt;=Geotech!$C$4:$C$10094)*(Data_Discontinuities[[#This Row],[Depth (m)]]&lt;Geotech!$D$4:$D$10094),Geotech!$M$4:$M$10094)</f>
        <v>Boulamarque granodiorite</v>
      </c>
      <c r="P107" s="84"/>
      <c r="Q107" s="84"/>
      <c r="R107" s="84"/>
      <c r="S1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07" s="71">
        <f>IFERROR(Data_Discontinuities[[#This Row],[Joint roughness]]/Data_Discontinuities[[#This Row],[Joint alteration]],"")</f>
        <v>1.5</v>
      </c>
      <c r="V1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07" s="87"/>
    </row>
    <row r="108" spans="1:23" ht="15" customHeight="1" x14ac:dyDescent="0.25">
      <c r="A108" s="150" t="s">
        <v>26</v>
      </c>
      <c r="B108" s="17" t="str">
        <f>VLOOKUP(Data_Discontinuities[[#This Row],[Hole ID]],Data_Log[],2,FALSE)</f>
        <v>CGF-01</v>
      </c>
      <c r="C108" s="8">
        <v>102.8</v>
      </c>
      <c r="D108" s="8">
        <v>1</v>
      </c>
      <c r="E108" s="7" t="s">
        <v>420</v>
      </c>
      <c r="F108" s="7"/>
      <c r="G108" s="7"/>
      <c r="H108" s="118"/>
      <c r="I108" s="7" t="s">
        <v>286</v>
      </c>
      <c r="J108" s="7" t="s">
        <v>352</v>
      </c>
      <c r="K108" s="7" t="s">
        <v>322</v>
      </c>
      <c r="L108" s="7"/>
      <c r="M108" s="7"/>
      <c r="N108" s="7"/>
      <c r="O108" s="84" t="str" cm="1">
        <f t="array" ref="O108">_xlfn.XLOOKUP(1,(A108=Geotech!$A$4:$A$10094)*(Data_Discontinuities[[#This Row],[Depth (m)]]&gt;=Geotech!$C$4:$C$10094)*(Data_Discontinuities[[#This Row],[Depth (m)]]&lt;Geotech!$D$4:$D$10094),Geotech!$M$4:$M$10094)</f>
        <v>Boulamarque granodiorite</v>
      </c>
      <c r="P108" s="84"/>
      <c r="Q108" s="84"/>
      <c r="R108" s="84"/>
      <c r="S1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08" s="71">
        <f>IFERROR(Data_Discontinuities[[#This Row],[Joint roughness]]/Data_Discontinuities[[#This Row],[Joint alteration]],"")</f>
        <v>3</v>
      </c>
      <c r="V1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08" s="87"/>
    </row>
    <row r="109" spans="1:23" ht="15" customHeight="1" x14ac:dyDescent="0.25">
      <c r="A109" s="150" t="s">
        <v>26</v>
      </c>
      <c r="B109" s="17" t="str">
        <f>VLOOKUP(Data_Discontinuities[[#This Row],[Hole ID]],Data_Log[],2,FALSE)</f>
        <v>CGF-01</v>
      </c>
      <c r="C109" s="8">
        <v>103.12</v>
      </c>
      <c r="D109" s="8">
        <v>1</v>
      </c>
      <c r="E109" s="7" t="s">
        <v>420</v>
      </c>
      <c r="F109" s="7"/>
      <c r="G109" s="7"/>
      <c r="H109" s="118"/>
      <c r="I109" s="7" t="s">
        <v>286</v>
      </c>
      <c r="J109" s="7" t="s">
        <v>352</v>
      </c>
      <c r="K109" s="7" t="s">
        <v>382</v>
      </c>
      <c r="L109" s="7" t="s">
        <v>447</v>
      </c>
      <c r="M109" s="7"/>
      <c r="N109" s="7"/>
      <c r="O109" s="84" t="str" cm="1">
        <f t="array" ref="O109">_xlfn.XLOOKUP(1,(A109=Geotech!$A$4:$A$10094)*(Data_Discontinuities[[#This Row],[Depth (m)]]&gt;=Geotech!$C$4:$C$10094)*(Data_Discontinuities[[#This Row],[Depth (m)]]&lt;Geotech!$D$4:$D$10094),Geotech!$M$4:$M$10094)</f>
        <v>Boulamarque granodiorite</v>
      </c>
      <c r="P109" s="84"/>
      <c r="Q109" s="84"/>
      <c r="R109" s="84"/>
      <c r="S1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09" s="71">
        <f>IFERROR(Data_Discontinuities[[#This Row],[Joint roughness]]/Data_Discontinuities[[#This Row],[Joint alteration]],"")</f>
        <v>1</v>
      </c>
      <c r="V1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09" s="87"/>
    </row>
    <row r="110" spans="1:23" ht="15" customHeight="1" x14ac:dyDescent="0.25">
      <c r="A110" s="150" t="s">
        <v>26</v>
      </c>
      <c r="B110" s="17" t="str">
        <f>VLOOKUP(Data_Discontinuities[[#This Row],[Hole ID]],Data_Log[],2,FALSE)</f>
        <v>CGF-01</v>
      </c>
      <c r="C110" s="8">
        <v>103.8</v>
      </c>
      <c r="D110" s="8">
        <v>1</v>
      </c>
      <c r="E110" s="7" t="s">
        <v>420</v>
      </c>
      <c r="F110" s="7"/>
      <c r="G110" s="7"/>
      <c r="H110" s="118"/>
      <c r="I110" s="7" t="s">
        <v>286</v>
      </c>
      <c r="J110" s="7" t="s">
        <v>352</v>
      </c>
      <c r="K110" s="7" t="s">
        <v>290</v>
      </c>
      <c r="L110" s="7"/>
      <c r="M110" s="7"/>
      <c r="N110" s="7"/>
      <c r="O110" s="84" t="str" cm="1">
        <f t="array" ref="O110">_xlfn.XLOOKUP(1,(A110=Geotech!$A$4:$A$10094)*(Data_Discontinuities[[#This Row],[Depth (m)]]&gt;=Geotech!$C$4:$C$10094)*(Data_Discontinuities[[#This Row],[Depth (m)]]&lt;Geotech!$D$4:$D$10094),Geotech!$M$4:$M$10094)</f>
        <v>Boulamarque granodiorite</v>
      </c>
      <c r="P110" s="84"/>
      <c r="Q110" s="84"/>
      <c r="R110" s="84"/>
      <c r="S1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0" s="71">
        <f>IFERROR(Data_Discontinuities[[#This Row],[Joint roughness]]/Data_Discontinuities[[#This Row],[Joint alteration]],"")</f>
        <v>1.5</v>
      </c>
      <c r="V1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10" s="87"/>
    </row>
    <row r="111" spans="1:23" ht="15" customHeight="1" x14ac:dyDescent="0.25">
      <c r="A111" s="150" t="s">
        <v>26</v>
      </c>
      <c r="B111" s="17" t="str">
        <f>VLOOKUP(Data_Discontinuities[[#This Row],[Hole ID]],Data_Log[],2,FALSE)</f>
        <v>CGF-01</v>
      </c>
      <c r="C111" s="8">
        <v>103.88</v>
      </c>
      <c r="D111" s="8">
        <v>1</v>
      </c>
      <c r="E111" s="7" t="s">
        <v>420</v>
      </c>
      <c r="F111" s="7"/>
      <c r="G111" s="7"/>
      <c r="H111" s="118"/>
      <c r="I111" s="7" t="s">
        <v>286</v>
      </c>
      <c r="J111" s="7" t="s">
        <v>320</v>
      </c>
      <c r="K111" s="7" t="s">
        <v>354</v>
      </c>
      <c r="L111" s="7"/>
      <c r="M111" s="7"/>
      <c r="N111" s="7"/>
      <c r="O111" s="84" t="str" cm="1">
        <f t="array" ref="O111">_xlfn.XLOOKUP(1,(A111=Geotech!$A$4:$A$10094)*(Data_Discontinuities[[#This Row],[Depth (m)]]&gt;=Geotech!$C$4:$C$10094)*(Data_Discontinuities[[#This Row],[Depth (m)]]&lt;Geotech!$D$4:$D$10094),Geotech!$M$4:$M$10094)</f>
        <v>Boulamarque granodiorite</v>
      </c>
      <c r="P111" s="84"/>
      <c r="Q111" s="84"/>
      <c r="R111" s="84"/>
      <c r="S1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1" s="71">
        <f>IFERROR(Data_Discontinuities[[#This Row],[Joint roughness]]/Data_Discontinuities[[#This Row],[Joint alteration]],"")</f>
        <v>1</v>
      </c>
      <c r="V1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1" s="87"/>
    </row>
    <row r="112" spans="1:23" ht="15" customHeight="1" x14ac:dyDescent="0.25">
      <c r="A112" s="150" t="s">
        <v>26</v>
      </c>
      <c r="B112" s="17" t="str">
        <f>VLOOKUP(Data_Discontinuities[[#This Row],[Hole ID]],Data_Log[],2,FALSE)</f>
        <v>CGF-01</v>
      </c>
      <c r="C112" s="8">
        <v>104.58</v>
      </c>
      <c r="D112" s="8">
        <v>1</v>
      </c>
      <c r="E112" s="7" t="s">
        <v>420</v>
      </c>
      <c r="F112" s="7"/>
      <c r="G112" s="7"/>
      <c r="H112" s="118"/>
      <c r="I112" s="7" t="s">
        <v>286</v>
      </c>
      <c r="J112" s="7" t="s">
        <v>352</v>
      </c>
      <c r="K112" s="7" t="s">
        <v>322</v>
      </c>
      <c r="L112" s="7"/>
      <c r="M112" s="7"/>
      <c r="N112" s="7"/>
      <c r="O112" s="84" t="str" cm="1">
        <f t="array" ref="O112">_xlfn.XLOOKUP(1,(A112=Geotech!$A$4:$A$10094)*(Data_Discontinuities[[#This Row],[Depth (m)]]&gt;=Geotech!$C$4:$C$10094)*(Data_Discontinuities[[#This Row],[Depth (m)]]&lt;Geotech!$D$4:$D$10094),Geotech!$M$4:$M$10094)</f>
        <v>Boulamarque granodiorite</v>
      </c>
      <c r="P112" s="84"/>
      <c r="Q112" s="84"/>
      <c r="R112" s="84"/>
      <c r="S1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12" s="71">
        <f>IFERROR(Data_Discontinuities[[#This Row],[Joint roughness]]/Data_Discontinuities[[#This Row],[Joint alteration]],"")</f>
        <v>3</v>
      </c>
      <c r="V1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12" s="87"/>
    </row>
    <row r="113" spans="1:23" ht="15" customHeight="1" x14ac:dyDescent="0.25">
      <c r="A113" s="150" t="s">
        <v>26</v>
      </c>
      <c r="B113" s="17" t="str">
        <f>VLOOKUP(Data_Discontinuities[[#This Row],[Hole ID]],Data_Log[],2,FALSE)</f>
        <v>CGF-01</v>
      </c>
      <c r="C113" s="8">
        <v>104.77</v>
      </c>
      <c r="D113" s="8">
        <v>1</v>
      </c>
      <c r="E113" s="7" t="s">
        <v>445</v>
      </c>
      <c r="F113" s="7"/>
      <c r="G113" s="7"/>
      <c r="H113" s="118"/>
      <c r="I113" s="7" t="s">
        <v>286</v>
      </c>
      <c r="J113" s="7" t="s">
        <v>380</v>
      </c>
      <c r="K113" s="7" t="s">
        <v>290</v>
      </c>
      <c r="L113" s="7"/>
      <c r="M113" s="7"/>
      <c r="N113" s="7"/>
      <c r="O113" s="84" t="str" cm="1">
        <f t="array" ref="O113">_xlfn.XLOOKUP(1,(A113=Geotech!$A$4:$A$10094)*(Data_Discontinuities[[#This Row],[Depth (m)]]&gt;=Geotech!$C$4:$C$10094)*(Data_Discontinuities[[#This Row],[Depth (m)]]&lt;Geotech!$D$4:$D$10094),Geotech!$M$4:$M$10094)</f>
        <v>Boulamarque granodiorite</v>
      </c>
      <c r="P113" s="84"/>
      <c r="Q113" s="84"/>
      <c r="R113" s="84"/>
      <c r="S1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3" s="71">
        <f>IFERROR(Data_Discontinuities[[#This Row],[Joint roughness]]/Data_Discontinuities[[#This Row],[Joint alteration]],"")</f>
        <v>1.5</v>
      </c>
      <c r="V1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13" s="87"/>
    </row>
    <row r="114" spans="1:23" ht="15" customHeight="1" x14ac:dyDescent="0.25">
      <c r="A114" s="150" t="s">
        <v>26</v>
      </c>
      <c r="B114" s="17" t="str">
        <f>VLOOKUP(Data_Discontinuities[[#This Row],[Hole ID]],Data_Log[],2,FALSE)</f>
        <v>CGF-01</v>
      </c>
      <c r="C114" s="8">
        <v>106.05</v>
      </c>
      <c r="D114" s="8">
        <v>1</v>
      </c>
      <c r="E114" s="7" t="s">
        <v>420</v>
      </c>
      <c r="F114" s="7"/>
      <c r="G114" s="7"/>
      <c r="H114" s="118"/>
      <c r="I114" s="7" t="s">
        <v>251</v>
      </c>
      <c r="J114" s="7" t="s">
        <v>352</v>
      </c>
      <c r="K114" s="7" t="s">
        <v>322</v>
      </c>
      <c r="L114" s="7"/>
      <c r="M114" s="7"/>
      <c r="N114" s="7"/>
      <c r="O114" s="84" t="str" cm="1">
        <f t="array" ref="O114">_xlfn.XLOOKUP(1,(A114=Geotech!$A$4:$A$10094)*(Data_Discontinuities[[#This Row],[Depth (m)]]&gt;=Geotech!$C$4:$C$10094)*(Data_Discontinuities[[#This Row],[Depth (m)]]&lt;Geotech!$D$4:$D$10094),Geotech!$M$4:$M$10094)</f>
        <v>Boulamarque granodiorite</v>
      </c>
      <c r="P114" s="84"/>
      <c r="Q114" s="84"/>
      <c r="R114" s="84"/>
      <c r="S1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14" s="71">
        <f>IFERROR(Data_Discontinuities[[#This Row],[Joint roughness]]/Data_Discontinuities[[#This Row],[Joint alteration]],"")</f>
        <v>1.5</v>
      </c>
      <c r="V1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4" s="87"/>
    </row>
    <row r="115" spans="1:23" ht="15" customHeight="1" x14ac:dyDescent="0.25">
      <c r="A115" s="150" t="s">
        <v>26</v>
      </c>
      <c r="B115" s="17" t="str">
        <f>VLOOKUP(Data_Discontinuities[[#This Row],[Hole ID]],Data_Log[],2,FALSE)</f>
        <v>CGF-01</v>
      </c>
      <c r="C115" s="8">
        <v>106.6</v>
      </c>
      <c r="D115" s="8">
        <v>1</v>
      </c>
      <c r="E115" s="7" t="s">
        <v>420</v>
      </c>
      <c r="F115" s="7"/>
      <c r="G115" s="7"/>
      <c r="H115" s="118"/>
      <c r="I115" s="7" t="s">
        <v>251</v>
      </c>
      <c r="J115" s="7" t="s">
        <v>352</v>
      </c>
      <c r="K115" s="7" t="s">
        <v>354</v>
      </c>
      <c r="L115" s="7"/>
      <c r="M115" s="7"/>
      <c r="N115" s="7"/>
      <c r="O115" s="84" t="str" cm="1">
        <f t="array" ref="O115">_xlfn.XLOOKUP(1,(A115=Geotech!$A$4:$A$10094)*(Data_Discontinuities[[#This Row],[Depth (m)]]&gt;=Geotech!$C$4:$C$10094)*(Data_Discontinuities[[#This Row],[Depth (m)]]&lt;Geotech!$D$4:$D$10094),Geotech!$M$4:$M$10094)</f>
        <v>Boulamarque granodiorite</v>
      </c>
      <c r="P115" s="84"/>
      <c r="Q115" s="84"/>
      <c r="R115" s="84"/>
      <c r="S1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5" s="71">
        <f>IFERROR(Data_Discontinuities[[#This Row],[Joint roughness]]/Data_Discontinuities[[#This Row],[Joint alteration]],"")</f>
        <v>0.75</v>
      </c>
      <c r="V1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5" s="87"/>
    </row>
    <row r="116" spans="1:23" ht="15" customHeight="1" x14ac:dyDescent="0.25">
      <c r="A116" s="150" t="s">
        <v>26</v>
      </c>
      <c r="B116" s="17" t="str">
        <f>VLOOKUP(Data_Discontinuities[[#This Row],[Hole ID]],Data_Log[],2,FALSE)</f>
        <v>CGF-01</v>
      </c>
      <c r="C116" s="8">
        <v>107.47</v>
      </c>
      <c r="D116" s="8">
        <v>1</v>
      </c>
      <c r="E116" s="7" t="s">
        <v>445</v>
      </c>
      <c r="F116" s="7"/>
      <c r="G116" s="7"/>
      <c r="H116" s="118"/>
      <c r="I116" s="7" t="s">
        <v>286</v>
      </c>
      <c r="J116" s="7" t="s">
        <v>320</v>
      </c>
      <c r="K116" s="7" t="s">
        <v>354</v>
      </c>
      <c r="L116" s="7"/>
      <c r="M116" s="7"/>
      <c r="N116" s="7"/>
      <c r="O116" s="84" t="str" cm="1">
        <f t="array" ref="O116">_xlfn.XLOOKUP(1,(A116=Geotech!$A$4:$A$10094)*(Data_Discontinuities[[#This Row],[Depth (m)]]&gt;=Geotech!$C$4:$C$10094)*(Data_Discontinuities[[#This Row],[Depth (m)]]&lt;Geotech!$D$4:$D$10094),Geotech!$M$4:$M$10094)</f>
        <v>Boulamarque granodiorite</v>
      </c>
      <c r="P116" s="84"/>
      <c r="Q116" s="84"/>
      <c r="R116" s="84"/>
      <c r="S1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6" s="71">
        <f>IFERROR(Data_Discontinuities[[#This Row],[Joint roughness]]/Data_Discontinuities[[#This Row],[Joint alteration]],"")</f>
        <v>1</v>
      </c>
      <c r="V1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6" s="87"/>
    </row>
    <row r="117" spans="1:23" ht="15" customHeight="1" x14ac:dyDescent="0.25">
      <c r="A117" s="150" t="s">
        <v>26</v>
      </c>
      <c r="B117" s="17" t="str">
        <f>VLOOKUP(Data_Discontinuities[[#This Row],[Hole ID]],Data_Log[],2,FALSE)</f>
        <v>CGF-01</v>
      </c>
      <c r="C117" s="8">
        <v>107.93</v>
      </c>
      <c r="D117" s="8">
        <v>1</v>
      </c>
      <c r="E117" s="7" t="s">
        <v>420</v>
      </c>
      <c r="F117" s="7"/>
      <c r="G117" s="7"/>
      <c r="H117" s="118"/>
      <c r="I117" s="7" t="s">
        <v>318</v>
      </c>
      <c r="J117" s="7" t="s">
        <v>352</v>
      </c>
      <c r="K117" s="7" t="s">
        <v>322</v>
      </c>
      <c r="L117" s="7"/>
      <c r="M117" s="7"/>
      <c r="N117" s="7"/>
      <c r="O117" s="84" t="str" cm="1">
        <f t="array" ref="O117">_xlfn.XLOOKUP(1,(A117=Geotech!$A$4:$A$10094)*(Data_Discontinuities[[#This Row],[Depth (m)]]&gt;=Geotech!$C$4:$C$10094)*(Data_Discontinuities[[#This Row],[Depth (m)]]&lt;Geotech!$D$4:$D$10094),Geotech!$M$4:$M$10094)</f>
        <v>Boulamarque granodiorite</v>
      </c>
      <c r="P117" s="84"/>
      <c r="Q117" s="84"/>
      <c r="R117" s="84"/>
      <c r="S1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17" s="71">
        <f>IFERROR(Data_Discontinuities[[#This Row],[Joint roughness]]/Data_Discontinuities[[#This Row],[Joint alteration]],"")</f>
        <v>3</v>
      </c>
      <c r="V1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17" s="87"/>
    </row>
    <row r="118" spans="1:23" ht="15" customHeight="1" x14ac:dyDescent="0.25">
      <c r="A118" s="150" t="s">
        <v>26</v>
      </c>
      <c r="B118" s="17" t="str">
        <f>VLOOKUP(Data_Discontinuities[[#This Row],[Hole ID]],Data_Log[],2,FALSE)</f>
        <v>CGF-01</v>
      </c>
      <c r="C118" s="8">
        <v>108.6</v>
      </c>
      <c r="D118" s="8">
        <v>1</v>
      </c>
      <c r="E118" s="7" t="s">
        <v>420</v>
      </c>
      <c r="F118" s="7"/>
      <c r="G118" s="7"/>
      <c r="H118" s="118"/>
      <c r="I118" s="7" t="s">
        <v>286</v>
      </c>
      <c r="J118" s="7" t="s">
        <v>352</v>
      </c>
      <c r="K118" s="7" t="s">
        <v>354</v>
      </c>
      <c r="L118" s="7"/>
      <c r="M118" s="7"/>
      <c r="N118" s="7"/>
      <c r="O118" s="84" t="str" cm="1">
        <f t="array" ref="O118">_xlfn.XLOOKUP(1,(A118=Geotech!$A$4:$A$10094)*(Data_Discontinuities[[#This Row],[Depth (m)]]&gt;=Geotech!$C$4:$C$10094)*(Data_Discontinuities[[#This Row],[Depth (m)]]&lt;Geotech!$D$4:$D$10094),Geotech!$M$4:$M$10094)</f>
        <v>Boulamarque granodiorite</v>
      </c>
      <c r="P118" s="84"/>
      <c r="Q118" s="84"/>
      <c r="R118" s="84"/>
      <c r="S1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8" s="71">
        <f>IFERROR(Data_Discontinuities[[#This Row],[Joint roughness]]/Data_Discontinuities[[#This Row],[Joint alteration]],"")</f>
        <v>1.5</v>
      </c>
      <c r="V1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18" s="87"/>
    </row>
    <row r="119" spans="1:23" ht="15" customHeight="1" x14ac:dyDescent="0.25">
      <c r="A119" s="150" t="s">
        <v>26</v>
      </c>
      <c r="B119" s="17" t="str">
        <f>VLOOKUP(Data_Discontinuities[[#This Row],[Hole ID]],Data_Log[],2,FALSE)</f>
        <v>CGF-01</v>
      </c>
      <c r="C119" s="8">
        <v>108.78</v>
      </c>
      <c r="D119" s="8">
        <v>1</v>
      </c>
      <c r="E119" s="7" t="s">
        <v>445</v>
      </c>
      <c r="F119" s="7"/>
      <c r="G119" s="7"/>
      <c r="H119" s="118"/>
      <c r="I119" s="7" t="s">
        <v>251</v>
      </c>
      <c r="J119" s="7" t="s">
        <v>380</v>
      </c>
      <c r="K119" s="7" t="s">
        <v>290</v>
      </c>
      <c r="L119" s="7"/>
      <c r="M119" s="7"/>
      <c r="N119" s="7"/>
      <c r="O119" s="84" t="str" cm="1">
        <f t="array" ref="O119">_xlfn.XLOOKUP(1,(A119=Geotech!$A$4:$A$10094)*(Data_Discontinuities[[#This Row],[Depth (m)]]&gt;=Geotech!$C$4:$C$10094)*(Data_Discontinuities[[#This Row],[Depth (m)]]&lt;Geotech!$D$4:$D$10094),Geotech!$M$4:$M$10094)</f>
        <v>Boulamarque granodiorite</v>
      </c>
      <c r="P119" s="84"/>
      <c r="Q119" s="84"/>
      <c r="R119" s="84"/>
      <c r="S1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19" s="71">
        <f>IFERROR(Data_Discontinuities[[#This Row],[Joint roughness]]/Data_Discontinuities[[#This Row],[Joint alteration]],"")</f>
        <v>0.75</v>
      </c>
      <c r="V1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19" s="87"/>
    </row>
    <row r="120" spans="1:23" ht="15" customHeight="1" x14ac:dyDescent="0.25">
      <c r="A120" s="150" t="s">
        <v>26</v>
      </c>
      <c r="B120" s="17" t="str">
        <f>VLOOKUP(Data_Discontinuities[[#This Row],[Hole ID]],Data_Log[],2,FALSE)</f>
        <v>CGF-01</v>
      </c>
      <c r="C120" s="8">
        <v>108.86</v>
      </c>
      <c r="D120" s="8">
        <v>1</v>
      </c>
      <c r="E120" s="7" t="s">
        <v>445</v>
      </c>
      <c r="F120" s="7"/>
      <c r="G120" s="7"/>
      <c r="H120" s="118"/>
      <c r="I120" s="7" t="s">
        <v>286</v>
      </c>
      <c r="J120" s="7" t="s">
        <v>380</v>
      </c>
      <c r="K120" s="7" t="s">
        <v>290</v>
      </c>
      <c r="L120" s="7"/>
      <c r="M120" s="7"/>
      <c r="N120" s="7"/>
      <c r="O120" s="84" t="str" cm="1">
        <f t="array" ref="O120">_xlfn.XLOOKUP(1,(A120=Geotech!$A$4:$A$10094)*(Data_Discontinuities[[#This Row],[Depth (m)]]&gt;=Geotech!$C$4:$C$10094)*(Data_Discontinuities[[#This Row],[Depth (m)]]&lt;Geotech!$D$4:$D$10094),Geotech!$M$4:$M$10094)</f>
        <v>Boulamarque granodiorite</v>
      </c>
      <c r="P120" s="84"/>
      <c r="Q120" s="84"/>
      <c r="R120" s="84"/>
      <c r="S1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20" s="71">
        <f>IFERROR(Data_Discontinuities[[#This Row],[Joint roughness]]/Data_Discontinuities[[#This Row],[Joint alteration]],"")</f>
        <v>1.5</v>
      </c>
      <c r="V1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20" s="87"/>
    </row>
    <row r="121" spans="1:23" ht="15" customHeight="1" x14ac:dyDescent="0.25">
      <c r="A121" s="150" t="s">
        <v>26</v>
      </c>
      <c r="B121" s="17" t="str">
        <f>VLOOKUP(Data_Discontinuities[[#This Row],[Hole ID]],Data_Log[],2,FALSE)</f>
        <v>CGF-01</v>
      </c>
      <c r="C121" s="8">
        <v>108.93</v>
      </c>
      <c r="D121" s="8">
        <v>1</v>
      </c>
      <c r="E121" s="7" t="s">
        <v>445</v>
      </c>
      <c r="F121" s="7"/>
      <c r="G121" s="7"/>
      <c r="H121" s="118"/>
      <c r="I121" s="7" t="s">
        <v>286</v>
      </c>
      <c r="J121" s="7" t="s">
        <v>380</v>
      </c>
      <c r="K121" s="7" t="s">
        <v>290</v>
      </c>
      <c r="L121" s="7"/>
      <c r="M121" s="7"/>
      <c r="N121" s="7"/>
      <c r="O121" s="84" t="str" cm="1">
        <f t="array" ref="O121">_xlfn.XLOOKUP(1,(A121=Geotech!$A$4:$A$10094)*(Data_Discontinuities[[#This Row],[Depth (m)]]&gt;=Geotech!$C$4:$C$10094)*(Data_Discontinuities[[#This Row],[Depth (m)]]&lt;Geotech!$D$4:$D$10094),Geotech!$M$4:$M$10094)</f>
        <v>Boulamarque granodiorite</v>
      </c>
      <c r="P121" s="84"/>
      <c r="Q121" s="84"/>
      <c r="R121" s="84"/>
      <c r="S12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21" s="71">
        <f>IFERROR(Data_Discontinuities[[#This Row],[Joint roughness]]/Data_Discontinuities[[#This Row],[Joint alteration]],"")</f>
        <v>1.5</v>
      </c>
      <c r="V12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21" s="87"/>
    </row>
    <row r="122" spans="1:23" ht="15" customHeight="1" x14ac:dyDescent="0.25">
      <c r="A122" s="150" t="s">
        <v>26</v>
      </c>
      <c r="B122" s="17" t="str">
        <f>VLOOKUP(Data_Discontinuities[[#This Row],[Hole ID]],Data_Log[],2,FALSE)</f>
        <v>CGF-01</v>
      </c>
      <c r="C122" s="8">
        <v>109.41</v>
      </c>
      <c r="D122" s="8">
        <v>1</v>
      </c>
      <c r="E122" s="7" t="s">
        <v>445</v>
      </c>
      <c r="F122" s="7"/>
      <c r="G122" s="7"/>
      <c r="H122" s="118"/>
      <c r="I122" s="7" t="s">
        <v>378</v>
      </c>
      <c r="J122" s="7" t="s">
        <v>352</v>
      </c>
      <c r="K122" s="7" t="s">
        <v>322</v>
      </c>
      <c r="L122" s="7"/>
      <c r="M122" s="7"/>
      <c r="N122" s="7"/>
      <c r="O122" s="84" t="str" cm="1">
        <f t="array" ref="O122">_xlfn.XLOOKUP(1,(A122=Geotech!$A$4:$A$10094)*(Data_Discontinuities[[#This Row],[Depth (m)]]&gt;=Geotech!$C$4:$C$10094)*(Data_Discontinuities[[#This Row],[Depth (m)]]&lt;Geotech!$D$4:$D$10094),Geotech!$M$4:$M$10094)</f>
        <v>Boulamarque granodiorite</v>
      </c>
      <c r="P122" s="84"/>
      <c r="Q122" s="84"/>
      <c r="R122" s="84"/>
      <c r="S1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22" s="71">
        <f>IFERROR(Data_Discontinuities[[#This Row],[Joint roughness]]/Data_Discontinuities[[#This Row],[Joint alteration]],"")</f>
        <v>3</v>
      </c>
      <c r="V1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22" s="87"/>
    </row>
    <row r="123" spans="1:23" ht="15" customHeight="1" x14ac:dyDescent="0.25">
      <c r="A123" s="150" t="s">
        <v>26</v>
      </c>
      <c r="B123" s="17" t="str">
        <f>VLOOKUP(Data_Discontinuities[[#This Row],[Hole ID]],Data_Log[],2,FALSE)</f>
        <v>CGF-01</v>
      </c>
      <c r="C123" s="8">
        <v>109.47</v>
      </c>
      <c r="D123" s="8">
        <v>1</v>
      </c>
      <c r="E123" s="7" t="s">
        <v>420</v>
      </c>
      <c r="F123" s="7"/>
      <c r="G123" s="7"/>
      <c r="H123" s="118"/>
      <c r="I123" s="7" t="s">
        <v>286</v>
      </c>
      <c r="J123" s="7" t="s">
        <v>352</v>
      </c>
      <c r="K123" s="7" t="s">
        <v>382</v>
      </c>
      <c r="L123" s="7" t="s">
        <v>447</v>
      </c>
      <c r="M123" s="7" t="s">
        <v>546</v>
      </c>
      <c r="N123" s="7"/>
      <c r="O123" s="84" t="str" cm="1">
        <f t="array" ref="O123">_xlfn.XLOOKUP(1,(A123=Geotech!$A$4:$A$10094)*(Data_Discontinuities[[#This Row],[Depth (m)]]&gt;=Geotech!$C$4:$C$10094)*(Data_Discontinuities[[#This Row],[Depth (m)]]&lt;Geotech!$D$4:$D$10094),Geotech!$M$4:$M$10094)</f>
        <v>Boulamarque granodiorite</v>
      </c>
      <c r="P123" s="84"/>
      <c r="Q123" s="84"/>
      <c r="R123" s="84"/>
      <c r="S1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23" s="71">
        <f>IFERROR(Data_Discontinuities[[#This Row],[Joint roughness]]/Data_Discontinuities[[#This Row],[Joint alteration]],"")</f>
        <v>1</v>
      </c>
      <c r="V1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3" s="87"/>
    </row>
    <row r="124" spans="1:23" ht="15" customHeight="1" x14ac:dyDescent="0.25">
      <c r="A124" s="150" t="s">
        <v>26</v>
      </c>
      <c r="B124" s="17" t="str">
        <f>VLOOKUP(Data_Discontinuities[[#This Row],[Hole ID]],Data_Log[],2,FALSE)</f>
        <v>CGF-01</v>
      </c>
      <c r="C124" s="8">
        <v>110.2</v>
      </c>
      <c r="D124" s="8">
        <v>1</v>
      </c>
      <c r="E124" s="7" t="s">
        <v>420</v>
      </c>
      <c r="F124" s="7"/>
      <c r="G124" s="7"/>
      <c r="H124" s="118"/>
      <c r="I124" s="7" t="s">
        <v>378</v>
      </c>
      <c r="J124" s="7" t="s">
        <v>352</v>
      </c>
      <c r="K124" s="7" t="s">
        <v>382</v>
      </c>
      <c r="L124" s="7" t="s">
        <v>447</v>
      </c>
      <c r="M124" s="7"/>
      <c r="N124" s="7"/>
      <c r="O124" s="84" t="str" cm="1">
        <f t="array" ref="O124">_xlfn.XLOOKUP(1,(A124=Geotech!$A$4:$A$10094)*(Data_Discontinuities[[#This Row],[Depth (m)]]&gt;=Geotech!$C$4:$C$10094)*(Data_Discontinuities[[#This Row],[Depth (m)]]&lt;Geotech!$D$4:$D$10094),Geotech!$M$4:$M$10094)</f>
        <v>Boulamarque granodiorite</v>
      </c>
      <c r="P124" s="84"/>
      <c r="Q124" s="84"/>
      <c r="R124" s="84"/>
      <c r="S1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24" s="71">
        <f>IFERROR(Data_Discontinuities[[#This Row],[Joint roughness]]/Data_Discontinuities[[#This Row],[Joint alteration]],"")</f>
        <v>1</v>
      </c>
      <c r="V1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4" s="87"/>
    </row>
    <row r="125" spans="1:23" ht="15" customHeight="1" x14ac:dyDescent="0.25">
      <c r="A125" s="150" t="s">
        <v>26</v>
      </c>
      <c r="B125" s="17" t="str">
        <f>VLOOKUP(Data_Discontinuities[[#This Row],[Hole ID]],Data_Log[],2,FALSE)</f>
        <v>CGF-01</v>
      </c>
      <c r="C125" s="8">
        <v>110.34</v>
      </c>
      <c r="D125" s="8">
        <v>1</v>
      </c>
      <c r="E125" s="7" t="s">
        <v>420</v>
      </c>
      <c r="F125" s="7"/>
      <c r="G125" s="7"/>
      <c r="H125" s="118"/>
      <c r="I125" s="7" t="s">
        <v>286</v>
      </c>
      <c r="J125" s="7" t="s">
        <v>352</v>
      </c>
      <c r="K125" s="7" t="s">
        <v>322</v>
      </c>
      <c r="L125" s="7"/>
      <c r="M125" s="7"/>
      <c r="N125" s="7"/>
      <c r="O125" s="84" t="str" cm="1">
        <f t="array" ref="O125">_xlfn.XLOOKUP(1,(A125=Geotech!$A$4:$A$10094)*(Data_Discontinuities[[#This Row],[Depth (m)]]&gt;=Geotech!$C$4:$C$10094)*(Data_Discontinuities[[#This Row],[Depth (m)]]&lt;Geotech!$D$4:$D$10094),Geotech!$M$4:$M$10094)</f>
        <v>Boulamarque granodiorite</v>
      </c>
      <c r="P125" s="84"/>
      <c r="Q125" s="84"/>
      <c r="R125" s="84"/>
      <c r="S1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25" s="71">
        <f>IFERROR(Data_Discontinuities[[#This Row],[Joint roughness]]/Data_Discontinuities[[#This Row],[Joint alteration]],"")</f>
        <v>3</v>
      </c>
      <c r="V1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25" s="87"/>
    </row>
    <row r="126" spans="1:23" ht="15" customHeight="1" x14ac:dyDescent="0.25">
      <c r="A126" s="150" t="s">
        <v>26</v>
      </c>
      <c r="B126" s="17" t="str">
        <f>VLOOKUP(Data_Discontinuities[[#This Row],[Hole ID]],Data_Log[],2,FALSE)</f>
        <v>CGF-01</v>
      </c>
      <c r="C126" s="8">
        <v>110.98</v>
      </c>
      <c r="D126" s="8">
        <v>1</v>
      </c>
      <c r="E126" s="7" t="s">
        <v>420</v>
      </c>
      <c r="F126" s="7"/>
      <c r="G126" s="7"/>
      <c r="H126" s="118"/>
      <c r="I126" s="7" t="s">
        <v>286</v>
      </c>
      <c r="J126" s="7" t="s">
        <v>352</v>
      </c>
      <c r="K126" s="7" t="s">
        <v>382</v>
      </c>
      <c r="L126" s="7" t="s">
        <v>437</v>
      </c>
      <c r="M126" s="7"/>
      <c r="N126" s="7"/>
      <c r="O126" s="84" t="str" cm="1">
        <f t="array" ref="O126">_xlfn.XLOOKUP(1,(A126=Geotech!$A$4:$A$10094)*(Data_Discontinuities[[#This Row],[Depth (m)]]&gt;=Geotech!$C$4:$C$10094)*(Data_Discontinuities[[#This Row],[Depth (m)]]&lt;Geotech!$D$4:$D$10094),Geotech!$M$4:$M$10094)</f>
        <v>Boulamarque granodiorite</v>
      </c>
      <c r="P126" s="84"/>
      <c r="Q126" s="84"/>
      <c r="R126" s="84"/>
      <c r="S1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26" s="71">
        <f>IFERROR(Data_Discontinuities[[#This Row],[Joint roughness]]/Data_Discontinuities[[#This Row],[Joint alteration]],"")</f>
        <v>0.75</v>
      </c>
      <c r="V1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6" s="87"/>
    </row>
    <row r="127" spans="1:23" ht="15" customHeight="1" x14ac:dyDescent="0.25">
      <c r="A127" s="150" t="s">
        <v>26</v>
      </c>
      <c r="B127" s="17" t="str">
        <f>VLOOKUP(Data_Discontinuities[[#This Row],[Hole ID]],Data_Log[],2,FALSE)</f>
        <v>CGF-01</v>
      </c>
      <c r="C127" s="8">
        <v>111.57</v>
      </c>
      <c r="D127" s="8">
        <v>1</v>
      </c>
      <c r="E127" s="7" t="s">
        <v>420</v>
      </c>
      <c r="F127" s="7"/>
      <c r="G127" s="7"/>
      <c r="H127" s="118"/>
      <c r="I127" s="7" t="s">
        <v>286</v>
      </c>
      <c r="J127" s="7" t="s">
        <v>320</v>
      </c>
      <c r="K127" s="7" t="s">
        <v>382</v>
      </c>
      <c r="L127" s="7" t="s">
        <v>437</v>
      </c>
      <c r="M127" s="7"/>
      <c r="N127" s="7"/>
      <c r="O127" s="84" t="str" cm="1">
        <f t="array" ref="O127">_xlfn.XLOOKUP(1,(A127=Geotech!$A$4:$A$10094)*(Data_Discontinuities[[#This Row],[Depth (m)]]&gt;=Geotech!$C$4:$C$10094)*(Data_Discontinuities[[#This Row],[Depth (m)]]&lt;Geotech!$D$4:$D$10094),Geotech!$M$4:$M$10094)</f>
        <v>Boulamarque granodiorite</v>
      </c>
      <c r="P127" s="84"/>
      <c r="Q127" s="84"/>
      <c r="R127" s="84"/>
      <c r="S1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27" s="71">
        <f>IFERROR(Data_Discontinuities[[#This Row],[Joint roughness]]/Data_Discontinuities[[#This Row],[Joint alteration]],"")</f>
        <v>0.5</v>
      </c>
      <c r="V1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27" s="87"/>
    </row>
    <row r="128" spans="1:23" ht="15" customHeight="1" x14ac:dyDescent="0.25">
      <c r="A128" s="150" t="s">
        <v>26</v>
      </c>
      <c r="B128" s="17" t="str">
        <f>VLOOKUP(Data_Discontinuities[[#This Row],[Hole ID]],Data_Log[],2,FALSE)</f>
        <v>CGF-01</v>
      </c>
      <c r="C128" s="8">
        <v>112.63</v>
      </c>
      <c r="D128" s="8">
        <v>1</v>
      </c>
      <c r="E128" s="7" t="s">
        <v>420</v>
      </c>
      <c r="F128" s="7"/>
      <c r="G128" s="7"/>
      <c r="H128" s="118"/>
      <c r="I128" s="7" t="s">
        <v>286</v>
      </c>
      <c r="J128" s="7" t="s">
        <v>352</v>
      </c>
      <c r="K128" s="7" t="s">
        <v>382</v>
      </c>
      <c r="L128" s="7" t="s">
        <v>437</v>
      </c>
      <c r="M128" s="7"/>
      <c r="N128" s="7"/>
      <c r="O128" s="84" t="str" cm="1">
        <f t="array" ref="O128">_xlfn.XLOOKUP(1,(A128=Geotech!$A$4:$A$10094)*(Data_Discontinuities[[#This Row],[Depth (m)]]&gt;=Geotech!$C$4:$C$10094)*(Data_Discontinuities[[#This Row],[Depth (m)]]&lt;Geotech!$D$4:$D$10094),Geotech!$M$4:$M$10094)</f>
        <v>Boulamarque granodiorite</v>
      </c>
      <c r="P128" s="84"/>
      <c r="Q128" s="84"/>
      <c r="R128" s="84"/>
      <c r="S1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28" s="71">
        <f>IFERROR(Data_Discontinuities[[#This Row],[Joint roughness]]/Data_Discontinuities[[#This Row],[Joint alteration]],"")</f>
        <v>0.75</v>
      </c>
      <c r="V1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8" s="87"/>
    </row>
    <row r="129" spans="1:23" ht="15" customHeight="1" x14ac:dyDescent="0.25">
      <c r="A129" s="150" t="s">
        <v>26</v>
      </c>
      <c r="B129" s="17" t="str">
        <f>VLOOKUP(Data_Discontinuities[[#This Row],[Hole ID]],Data_Log[],2,FALSE)</f>
        <v>CGF-01</v>
      </c>
      <c r="C129" s="8">
        <v>112.81</v>
      </c>
      <c r="D129" s="8">
        <v>1</v>
      </c>
      <c r="E129" s="7" t="s">
        <v>420</v>
      </c>
      <c r="F129" s="7"/>
      <c r="G129" s="7"/>
      <c r="H129" s="118"/>
      <c r="I129" s="7" t="s">
        <v>251</v>
      </c>
      <c r="J129" s="7" t="s">
        <v>352</v>
      </c>
      <c r="K129" s="7" t="s">
        <v>354</v>
      </c>
      <c r="L129" s="7"/>
      <c r="M129" s="7"/>
      <c r="N129" s="7"/>
      <c r="O129" s="84" t="str" cm="1">
        <f t="array" ref="O129">_xlfn.XLOOKUP(1,(A129=Geotech!$A$4:$A$10094)*(Data_Discontinuities[[#This Row],[Depth (m)]]&gt;=Geotech!$C$4:$C$10094)*(Data_Discontinuities[[#This Row],[Depth (m)]]&lt;Geotech!$D$4:$D$10094),Geotech!$M$4:$M$10094)</f>
        <v>Boulamarque granodiorite</v>
      </c>
      <c r="P129" s="84"/>
      <c r="Q129" s="84"/>
      <c r="R129" s="84"/>
      <c r="S1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29" s="71">
        <f>IFERROR(Data_Discontinuities[[#This Row],[Joint roughness]]/Data_Discontinuities[[#This Row],[Joint alteration]],"")</f>
        <v>0.75</v>
      </c>
      <c r="V1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29" s="87"/>
    </row>
    <row r="130" spans="1:23" ht="15" customHeight="1" x14ac:dyDescent="0.25">
      <c r="A130" s="150" t="s">
        <v>26</v>
      </c>
      <c r="B130" s="17" t="str">
        <f>VLOOKUP(Data_Discontinuities[[#This Row],[Hole ID]],Data_Log[],2,FALSE)</f>
        <v>CGF-01</v>
      </c>
      <c r="C130" s="8">
        <v>113.53</v>
      </c>
      <c r="D130" s="8">
        <v>1</v>
      </c>
      <c r="E130" s="7" t="s">
        <v>420</v>
      </c>
      <c r="F130" s="7"/>
      <c r="G130" s="7"/>
      <c r="H130" s="118"/>
      <c r="I130" s="7" t="s">
        <v>286</v>
      </c>
      <c r="J130" s="7" t="s">
        <v>320</v>
      </c>
      <c r="K130" s="7" t="s">
        <v>354</v>
      </c>
      <c r="L130" s="7"/>
      <c r="M130" s="7"/>
      <c r="N130" s="7"/>
      <c r="O130" s="84" t="str" cm="1">
        <f t="array" ref="O130">_xlfn.XLOOKUP(1,(A130=Geotech!$A$4:$A$10094)*(Data_Discontinuities[[#This Row],[Depth (m)]]&gt;=Geotech!$C$4:$C$10094)*(Data_Discontinuities[[#This Row],[Depth (m)]]&lt;Geotech!$D$4:$D$10094),Geotech!$M$4:$M$10094)</f>
        <v>Boulamarque granodiorite</v>
      </c>
      <c r="P130" s="84"/>
      <c r="Q130" s="84"/>
      <c r="R130" s="84"/>
      <c r="S1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0" s="71">
        <f>IFERROR(Data_Discontinuities[[#This Row],[Joint roughness]]/Data_Discontinuities[[#This Row],[Joint alteration]],"")</f>
        <v>1</v>
      </c>
      <c r="V1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30" s="87"/>
    </row>
    <row r="131" spans="1:23" ht="15" customHeight="1" x14ac:dyDescent="0.25">
      <c r="A131" s="150" t="s">
        <v>26</v>
      </c>
      <c r="B131" s="17" t="str">
        <f>VLOOKUP(Data_Discontinuities[[#This Row],[Hole ID]],Data_Log[],2,FALSE)</f>
        <v>CGF-01</v>
      </c>
      <c r="C131" s="8">
        <v>114.14</v>
      </c>
      <c r="D131" s="8">
        <v>1</v>
      </c>
      <c r="E131" s="7" t="s">
        <v>348</v>
      </c>
      <c r="F131" s="7"/>
      <c r="G131" s="7"/>
      <c r="H131" s="118"/>
      <c r="I131" s="7" t="s">
        <v>318</v>
      </c>
      <c r="J131" s="7" t="s">
        <v>352</v>
      </c>
      <c r="K131" s="7" t="s">
        <v>322</v>
      </c>
      <c r="L131" s="7"/>
      <c r="M131" s="7"/>
      <c r="N131" s="7"/>
      <c r="O131" s="84" t="str" cm="1">
        <f t="array" ref="O131">_xlfn.XLOOKUP(1,(A131=Geotech!$A$4:$A$10094)*(Data_Discontinuities[[#This Row],[Depth (m)]]&gt;=Geotech!$C$4:$C$10094)*(Data_Discontinuities[[#This Row],[Depth (m)]]&lt;Geotech!$D$4:$D$10094),Geotech!$M$4:$M$10094)</f>
        <v>VT-TI Vein</v>
      </c>
      <c r="P131" s="84"/>
      <c r="Q131" s="84"/>
      <c r="R131" s="84"/>
      <c r="S1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31" s="71">
        <f>IFERROR(Data_Discontinuities[[#This Row],[Joint roughness]]/Data_Discontinuities[[#This Row],[Joint alteration]],"")</f>
        <v>3</v>
      </c>
      <c r="V1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1" s="87"/>
    </row>
    <row r="132" spans="1:23" ht="15" customHeight="1" x14ac:dyDescent="0.25">
      <c r="A132" s="150" t="s">
        <v>26</v>
      </c>
      <c r="B132" s="17" t="str">
        <f>VLOOKUP(Data_Discontinuities[[#This Row],[Hole ID]],Data_Log[],2,FALSE)</f>
        <v>CGF-01</v>
      </c>
      <c r="C132" s="8">
        <v>114.27</v>
      </c>
      <c r="D132" s="8">
        <v>1</v>
      </c>
      <c r="E132" s="7" t="s">
        <v>445</v>
      </c>
      <c r="F132" s="7"/>
      <c r="G132" s="7"/>
      <c r="H132" s="118"/>
      <c r="I132" s="7" t="s">
        <v>286</v>
      </c>
      <c r="J132" s="7" t="s">
        <v>352</v>
      </c>
      <c r="K132" s="7" t="s">
        <v>290</v>
      </c>
      <c r="L132" s="7"/>
      <c r="M132" s="7"/>
      <c r="N132" s="7"/>
      <c r="O132" s="84" t="str" cm="1">
        <f t="array" ref="O132">_xlfn.XLOOKUP(1,(A132=Geotech!$A$4:$A$10094)*(Data_Discontinuities[[#This Row],[Depth (m)]]&gt;=Geotech!$C$4:$C$10094)*(Data_Discontinuities[[#This Row],[Depth (m)]]&lt;Geotech!$D$4:$D$10094),Geotech!$M$4:$M$10094)</f>
        <v>VT-TI Vein</v>
      </c>
      <c r="P132" s="84"/>
      <c r="Q132" s="84"/>
      <c r="R132" s="84"/>
      <c r="S1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2" s="71">
        <f>IFERROR(Data_Discontinuities[[#This Row],[Joint roughness]]/Data_Discontinuities[[#This Row],[Joint alteration]],"")</f>
        <v>1.5</v>
      </c>
      <c r="V1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2" s="87"/>
    </row>
    <row r="133" spans="1:23" ht="15" customHeight="1" x14ac:dyDescent="0.25">
      <c r="A133" s="150" t="s">
        <v>26</v>
      </c>
      <c r="B133" s="17" t="str">
        <f>VLOOKUP(Data_Discontinuities[[#This Row],[Hole ID]],Data_Log[],2,FALSE)</f>
        <v>CGF-01</v>
      </c>
      <c r="C133" s="8">
        <v>114.35</v>
      </c>
      <c r="D133" s="8">
        <v>1</v>
      </c>
      <c r="E133" s="7" t="s">
        <v>445</v>
      </c>
      <c r="F133" s="7"/>
      <c r="G133" s="7"/>
      <c r="H133" s="118"/>
      <c r="I133" s="7" t="s">
        <v>286</v>
      </c>
      <c r="J133" s="7" t="s">
        <v>352</v>
      </c>
      <c r="K133" s="7" t="s">
        <v>290</v>
      </c>
      <c r="L133" s="7"/>
      <c r="M133" s="7"/>
      <c r="N133" s="7"/>
      <c r="O133" s="84" t="str" cm="1">
        <f t="array" ref="O133">_xlfn.XLOOKUP(1,(A133=Geotech!$A$4:$A$10094)*(Data_Discontinuities[[#This Row],[Depth (m)]]&gt;=Geotech!$C$4:$C$10094)*(Data_Discontinuities[[#This Row],[Depth (m)]]&lt;Geotech!$D$4:$D$10094),Geotech!$M$4:$M$10094)</f>
        <v>VT-TI Vein</v>
      </c>
      <c r="P133" s="84"/>
      <c r="Q133" s="84"/>
      <c r="R133" s="84"/>
      <c r="S1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3" s="71">
        <f>IFERROR(Data_Discontinuities[[#This Row],[Joint roughness]]/Data_Discontinuities[[#This Row],[Joint alteration]],"")</f>
        <v>1.5</v>
      </c>
      <c r="V1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3" s="87"/>
    </row>
    <row r="134" spans="1:23" ht="15" customHeight="1" x14ac:dyDescent="0.25">
      <c r="A134" s="150" t="s">
        <v>26</v>
      </c>
      <c r="B134" s="17" t="str">
        <f>VLOOKUP(Data_Discontinuities[[#This Row],[Hole ID]],Data_Log[],2,FALSE)</f>
        <v>CGF-01</v>
      </c>
      <c r="C134" s="8">
        <v>114.56</v>
      </c>
      <c r="D134" s="8">
        <v>1</v>
      </c>
      <c r="E134" s="7" t="s">
        <v>445</v>
      </c>
      <c r="F134" s="7"/>
      <c r="G134" s="7"/>
      <c r="H134" s="118"/>
      <c r="I134" s="7" t="s">
        <v>286</v>
      </c>
      <c r="J134" s="7" t="s">
        <v>352</v>
      </c>
      <c r="K134" s="7" t="s">
        <v>290</v>
      </c>
      <c r="L134" s="7"/>
      <c r="M134" s="7"/>
      <c r="N134" s="7"/>
      <c r="O134" s="84" t="str" cm="1">
        <f t="array" ref="O134">_xlfn.XLOOKUP(1,(A134=Geotech!$A$4:$A$10094)*(Data_Discontinuities[[#This Row],[Depth (m)]]&gt;=Geotech!$C$4:$C$10094)*(Data_Discontinuities[[#This Row],[Depth (m)]]&lt;Geotech!$D$4:$D$10094),Geotech!$M$4:$M$10094)</f>
        <v>VT-TI Vein</v>
      </c>
      <c r="P134" s="84"/>
      <c r="Q134" s="84"/>
      <c r="R134" s="84"/>
      <c r="S1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4" s="71">
        <f>IFERROR(Data_Discontinuities[[#This Row],[Joint roughness]]/Data_Discontinuities[[#This Row],[Joint alteration]],"")</f>
        <v>1.5</v>
      </c>
      <c r="V1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4" s="87"/>
    </row>
    <row r="135" spans="1:23" ht="15" customHeight="1" x14ac:dyDescent="0.25">
      <c r="A135" s="150" t="s">
        <v>26</v>
      </c>
      <c r="B135" s="17" t="str">
        <f>VLOOKUP(Data_Discontinuities[[#This Row],[Hole ID]],Data_Log[],2,FALSE)</f>
        <v>CGF-01</v>
      </c>
      <c r="C135" s="8">
        <v>114.95</v>
      </c>
      <c r="D135" s="8">
        <v>1</v>
      </c>
      <c r="E135" s="7" t="s">
        <v>445</v>
      </c>
      <c r="F135" s="7"/>
      <c r="G135" s="7"/>
      <c r="H135" s="118"/>
      <c r="I135" s="7" t="s">
        <v>286</v>
      </c>
      <c r="J135" s="7" t="s">
        <v>352</v>
      </c>
      <c r="K135" s="7" t="s">
        <v>290</v>
      </c>
      <c r="L135" s="7"/>
      <c r="M135" s="7"/>
      <c r="N135" s="7"/>
      <c r="O135" s="84" t="str" cm="1">
        <f t="array" ref="O135">_xlfn.XLOOKUP(1,(A135=Geotech!$A$4:$A$10094)*(Data_Discontinuities[[#This Row],[Depth (m)]]&gt;=Geotech!$C$4:$C$10094)*(Data_Discontinuities[[#This Row],[Depth (m)]]&lt;Geotech!$D$4:$D$10094),Geotech!$M$4:$M$10094)</f>
        <v>VT-TI Vein</v>
      </c>
      <c r="P135" s="84"/>
      <c r="Q135" s="84"/>
      <c r="R135" s="84"/>
      <c r="S13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5" s="71">
        <f>IFERROR(Data_Discontinuities[[#This Row],[Joint roughness]]/Data_Discontinuities[[#This Row],[Joint alteration]],"")</f>
        <v>1.5</v>
      </c>
      <c r="V13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5" s="87"/>
    </row>
    <row r="136" spans="1:23" ht="15" customHeight="1" x14ac:dyDescent="0.25">
      <c r="A136" s="150" t="s">
        <v>26</v>
      </c>
      <c r="B136" s="17" t="str">
        <f>VLOOKUP(Data_Discontinuities[[#This Row],[Hole ID]],Data_Log[],2,FALSE)</f>
        <v>CGF-01</v>
      </c>
      <c r="C136" s="8">
        <v>115.61</v>
      </c>
      <c r="D136" s="8">
        <v>1</v>
      </c>
      <c r="E136" s="7" t="s">
        <v>445</v>
      </c>
      <c r="F136" s="7"/>
      <c r="G136" s="7"/>
      <c r="H136" s="118"/>
      <c r="I136" s="7" t="s">
        <v>286</v>
      </c>
      <c r="J136" s="7" t="s">
        <v>380</v>
      </c>
      <c r="K136" s="7" t="s">
        <v>290</v>
      </c>
      <c r="L136" s="7"/>
      <c r="M136" s="7"/>
      <c r="N136" s="7"/>
      <c r="O136" s="84" t="str" cm="1">
        <f t="array" ref="O136">_xlfn.XLOOKUP(1,(A136=Geotech!$A$4:$A$10094)*(Data_Discontinuities[[#This Row],[Depth (m)]]&gt;=Geotech!$C$4:$C$10094)*(Data_Discontinuities[[#This Row],[Depth (m)]]&lt;Geotech!$D$4:$D$10094),Geotech!$M$4:$M$10094)</f>
        <v>VT-TI Vein</v>
      </c>
      <c r="P136" s="84"/>
      <c r="Q136" s="84"/>
      <c r="R136" s="84"/>
      <c r="S1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6" s="71">
        <f>IFERROR(Data_Discontinuities[[#This Row],[Joint roughness]]/Data_Discontinuities[[#This Row],[Joint alteration]],"")</f>
        <v>1.5</v>
      </c>
      <c r="V1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6" s="87"/>
    </row>
    <row r="137" spans="1:23" ht="15" customHeight="1" x14ac:dyDescent="0.25">
      <c r="A137" s="150" t="s">
        <v>26</v>
      </c>
      <c r="B137" s="17" t="str">
        <f>VLOOKUP(Data_Discontinuities[[#This Row],[Hole ID]],Data_Log[],2,FALSE)</f>
        <v>CGF-01</v>
      </c>
      <c r="C137" s="8">
        <v>116.41</v>
      </c>
      <c r="D137" s="8">
        <v>1</v>
      </c>
      <c r="E137" s="7" t="s">
        <v>445</v>
      </c>
      <c r="F137" s="7"/>
      <c r="G137" s="7"/>
      <c r="H137" s="118"/>
      <c r="I137" s="7" t="s">
        <v>286</v>
      </c>
      <c r="J137" s="7" t="s">
        <v>352</v>
      </c>
      <c r="K137" s="7" t="s">
        <v>354</v>
      </c>
      <c r="L137" s="7"/>
      <c r="M137" s="7"/>
      <c r="N137" s="7"/>
      <c r="O137" s="84" t="str" cm="1">
        <f t="array" ref="O137">_xlfn.XLOOKUP(1,(A137=Geotech!$A$4:$A$10094)*(Data_Discontinuities[[#This Row],[Depth (m)]]&gt;=Geotech!$C$4:$C$10094)*(Data_Discontinuities[[#This Row],[Depth (m)]]&lt;Geotech!$D$4:$D$10094),Geotech!$M$4:$M$10094)</f>
        <v>VT-TI Vein</v>
      </c>
      <c r="P137" s="84"/>
      <c r="Q137" s="84"/>
      <c r="R137" s="84"/>
      <c r="S1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7" s="71">
        <f>IFERROR(Data_Discontinuities[[#This Row],[Joint roughness]]/Data_Discontinuities[[#This Row],[Joint alteration]],"")</f>
        <v>1.5</v>
      </c>
      <c r="V1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7" s="87"/>
    </row>
    <row r="138" spans="1:23" ht="15" customHeight="1" x14ac:dyDescent="0.25">
      <c r="A138" s="150" t="s">
        <v>26</v>
      </c>
      <c r="B138" s="17" t="str">
        <f>VLOOKUP(Data_Discontinuities[[#This Row],[Hole ID]],Data_Log[],2,FALSE)</f>
        <v>CGF-01</v>
      </c>
      <c r="C138" s="8">
        <v>116.62</v>
      </c>
      <c r="D138" s="8">
        <v>1</v>
      </c>
      <c r="E138" s="7" t="s">
        <v>445</v>
      </c>
      <c r="F138" s="7"/>
      <c r="G138" s="7"/>
      <c r="H138" s="118"/>
      <c r="I138" s="7" t="s">
        <v>286</v>
      </c>
      <c r="J138" s="7" t="s">
        <v>352</v>
      </c>
      <c r="K138" s="7" t="s">
        <v>354</v>
      </c>
      <c r="L138" s="7"/>
      <c r="M138" s="7"/>
      <c r="N138" s="7"/>
      <c r="O138" s="84" t="str" cm="1">
        <f t="array" ref="O138">_xlfn.XLOOKUP(1,(A138=Geotech!$A$4:$A$10094)*(Data_Discontinuities[[#This Row],[Depth (m)]]&gt;=Geotech!$C$4:$C$10094)*(Data_Discontinuities[[#This Row],[Depth (m)]]&lt;Geotech!$D$4:$D$10094),Geotech!$M$4:$M$10094)</f>
        <v>VT-TI Vein</v>
      </c>
      <c r="P138" s="84"/>
      <c r="Q138" s="84"/>
      <c r="R138" s="84"/>
      <c r="S1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38" s="71">
        <f>IFERROR(Data_Discontinuities[[#This Row],[Joint roughness]]/Data_Discontinuities[[#This Row],[Joint alteration]],"")</f>
        <v>1.5</v>
      </c>
      <c r="V1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8" s="87"/>
    </row>
    <row r="139" spans="1:23" ht="15" customHeight="1" x14ac:dyDescent="0.25">
      <c r="A139" s="150" t="s">
        <v>26</v>
      </c>
      <c r="B139" s="17" t="str">
        <f>VLOOKUP(Data_Discontinuities[[#This Row],[Hole ID]],Data_Log[],2,FALSE)</f>
        <v>CGF-01</v>
      </c>
      <c r="C139" s="8">
        <v>116.86</v>
      </c>
      <c r="D139" s="8">
        <v>1</v>
      </c>
      <c r="E139" s="7" t="s">
        <v>445</v>
      </c>
      <c r="F139" s="7"/>
      <c r="G139" s="7"/>
      <c r="H139" s="118"/>
      <c r="I139" s="7" t="s">
        <v>286</v>
      </c>
      <c r="J139" s="7" t="s">
        <v>380</v>
      </c>
      <c r="K139" s="7" t="s">
        <v>322</v>
      </c>
      <c r="L139" s="7"/>
      <c r="M139" s="7"/>
      <c r="N139" s="7"/>
      <c r="O139" s="84" t="str" cm="1">
        <f t="array" ref="O139">_xlfn.XLOOKUP(1,(A139=Geotech!$A$4:$A$10094)*(Data_Discontinuities[[#This Row],[Depth (m)]]&gt;=Geotech!$C$4:$C$10094)*(Data_Discontinuities[[#This Row],[Depth (m)]]&lt;Geotech!$D$4:$D$10094),Geotech!$M$4:$M$10094)</f>
        <v>VT-TI Vein</v>
      </c>
      <c r="P139" s="84"/>
      <c r="Q139" s="84"/>
      <c r="R139" s="84"/>
      <c r="S1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39" s="71">
        <f>IFERROR(Data_Discontinuities[[#This Row],[Joint roughness]]/Data_Discontinuities[[#This Row],[Joint alteration]],"")</f>
        <v>3</v>
      </c>
      <c r="V1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39" s="87"/>
    </row>
    <row r="140" spans="1:23" ht="15" customHeight="1" x14ac:dyDescent="0.25">
      <c r="A140" s="150" t="s">
        <v>26</v>
      </c>
      <c r="B140" s="17" t="str">
        <f>VLOOKUP(Data_Discontinuities[[#This Row],[Hole ID]],Data_Log[],2,FALSE)</f>
        <v>CGF-01</v>
      </c>
      <c r="C140" s="8">
        <v>117.13</v>
      </c>
      <c r="D140" s="8">
        <v>1</v>
      </c>
      <c r="E140" s="7" t="s">
        <v>445</v>
      </c>
      <c r="F140" s="7"/>
      <c r="G140" s="7"/>
      <c r="H140" s="118"/>
      <c r="I140" s="7" t="s">
        <v>286</v>
      </c>
      <c r="J140" s="7" t="s">
        <v>352</v>
      </c>
      <c r="K140" s="7" t="s">
        <v>290</v>
      </c>
      <c r="L140" s="7"/>
      <c r="M140" s="7"/>
      <c r="N140" s="7"/>
      <c r="O140" s="84" t="str" cm="1">
        <f t="array" ref="O140">_xlfn.XLOOKUP(1,(A140=Geotech!$A$4:$A$10094)*(Data_Discontinuities[[#This Row],[Depth (m)]]&gt;=Geotech!$C$4:$C$10094)*(Data_Discontinuities[[#This Row],[Depth (m)]]&lt;Geotech!$D$4:$D$10094),Geotech!$M$4:$M$10094)</f>
        <v>VT-TI Vein</v>
      </c>
      <c r="P140" s="84"/>
      <c r="Q140" s="84"/>
      <c r="R140" s="84"/>
      <c r="S1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0" s="71">
        <f>IFERROR(Data_Discontinuities[[#This Row],[Joint roughness]]/Data_Discontinuities[[#This Row],[Joint alteration]],"")</f>
        <v>1.5</v>
      </c>
      <c r="V1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40" s="87"/>
    </row>
    <row r="141" spans="1:23" ht="15" customHeight="1" x14ac:dyDescent="0.25">
      <c r="A141" s="150" t="s">
        <v>26</v>
      </c>
      <c r="B141" s="17" t="str">
        <f>VLOOKUP(Data_Discontinuities[[#This Row],[Hole ID]],Data_Log[],2,FALSE)</f>
        <v>CGF-01</v>
      </c>
      <c r="C141" s="8">
        <v>117.84</v>
      </c>
      <c r="D141" s="8">
        <v>1</v>
      </c>
      <c r="E141" s="7" t="s">
        <v>420</v>
      </c>
      <c r="F141" s="7"/>
      <c r="G141" s="7"/>
      <c r="H141" s="118"/>
      <c r="I141" s="7" t="s">
        <v>286</v>
      </c>
      <c r="J141" s="7" t="s">
        <v>352</v>
      </c>
      <c r="K141" s="7" t="s">
        <v>354</v>
      </c>
      <c r="L141" s="7"/>
      <c r="M141" s="7"/>
      <c r="N141" s="7"/>
      <c r="O141" s="84" t="str" cm="1">
        <f t="array" ref="O141">_xlfn.XLOOKUP(1,(A141=Geotech!$A$4:$A$10094)*(Data_Discontinuities[[#This Row],[Depth (m)]]&gt;=Geotech!$C$4:$C$10094)*(Data_Discontinuities[[#This Row],[Depth (m)]]&lt;Geotech!$D$4:$D$10094),Geotech!$M$4:$M$10094)</f>
        <v>Boulamarque granodiorite</v>
      </c>
      <c r="P141" s="84"/>
      <c r="Q141" s="84"/>
      <c r="R141" s="84"/>
      <c r="S1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1" s="71">
        <f>IFERROR(Data_Discontinuities[[#This Row],[Joint roughness]]/Data_Discontinuities[[#This Row],[Joint alteration]],"")</f>
        <v>1.5</v>
      </c>
      <c r="V1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41" s="87"/>
    </row>
    <row r="142" spans="1:23" ht="15" customHeight="1" x14ac:dyDescent="0.25">
      <c r="A142" s="150" t="s">
        <v>26</v>
      </c>
      <c r="B142" s="17" t="str">
        <f>VLOOKUP(Data_Discontinuities[[#This Row],[Hole ID]],Data_Log[],2,FALSE)</f>
        <v>CGF-01</v>
      </c>
      <c r="C142" s="8">
        <v>118.16</v>
      </c>
      <c r="D142" s="8">
        <v>1</v>
      </c>
      <c r="E142" s="7" t="s">
        <v>420</v>
      </c>
      <c r="F142" s="7"/>
      <c r="G142" s="7"/>
      <c r="H142" s="118"/>
      <c r="I142" s="7" t="s">
        <v>251</v>
      </c>
      <c r="J142" s="7" t="s">
        <v>352</v>
      </c>
      <c r="K142" s="7" t="s">
        <v>382</v>
      </c>
      <c r="L142" s="7" t="s">
        <v>541</v>
      </c>
      <c r="M142" s="7" t="s">
        <v>447</v>
      </c>
      <c r="N142" s="7"/>
      <c r="O142" s="84" t="str" cm="1">
        <f t="array" ref="O142">_xlfn.XLOOKUP(1,(A142=Geotech!$A$4:$A$10094)*(Data_Discontinuities[[#This Row],[Depth (m)]]&gt;=Geotech!$C$4:$C$10094)*(Data_Discontinuities[[#This Row],[Depth (m)]]&lt;Geotech!$D$4:$D$10094),Geotech!$M$4:$M$10094)</f>
        <v>Boulamarque granodiorite</v>
      </c>
      <c r="P142" s="84"/>
      <c r="Q142" s="84"/>
      <c r="R142" s="84"/>
      <c r="S1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42" s="71">
        <f>IFERROR(Data_Discontinuities[[#This Row],[Joint roughness]]/Data_Discontinuities[[#This Row],[Joint alteration]],"")</f>
        <v>0.375</v>
      </c>
      <c r="V1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42" s="87"/>
    </row>
    <row r="143" spans="1:23" ht="15" customHeight="1" x14ac:dyDescent="0.25">
      <c r="A143" s="150" t="s">
        <v>26</v>
      </c>
      <c r="B143" s="17" t="str">
        <f>VLOOKUP(Data_Discontinuities[[#This Row],[Hole ID]],Data_Log[],2,FALSE)</f>
        <v>CGF-01</v>
      </c>
      <c r="C143" s="8">
        <v>118.26</v>
      </c>
      <c r="D143" s="8">
        <v>1</v>
      </c>
      <c r="E143" s="7" t="s">
        <v>420</v>
      </c>
      <c r="F143" s="7"/>
      <c r="G143" s="7"/>
      <c r="H143" s="118"/>
      <c r="I143" s="7" t="s">
        <v>286</v>
      </c>
      <c r="J143" s="7" t="s">
        <v>352</v>
      </c>
      <c r="K143" s="7" t="s">
        <v>382</v>
      </c>
      <c r="L143" s="7" t="s">
        <v>437</v>
      </c>
      <c r="M143" s="7"/>
      <c r="N143" s="7"/>
      <c r="O143" s="84" t="str" cm="1">
        <f t="array" ref="O143">_xlfn.XLOOKUP(1,(A143=Geotech!$A$4:$A$10094)*(Data_Discontinuities[[#This Row],[Depth (m)]]&gt;=Geotech!$C$4:$C$10094)*(Data_Discontinuities[[#This Row],[Depth (m)]]&lt;Geotech!$D$4:$D$10094),Geotech!$M$4:$M$10094)</f>
        <v>Boulamarque granodiorite</v>
      </c>
      <c r="P143" s="84"/>
      <c r="Q143" s="84"/>
      <c r="R143" s="84"/>
      <c r="S14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43" s="71">
        <f>IFERROR(Data_Discontinuities[[#This Row],[Joint roughness]]/Data_Discontinuities[[#This Row],[Joint alteration]],"")</f>
        <v>0.75</v>
      </c>
      <c r="V14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43" s="87"/>
    </row>
    <row r="144" spans="1:23" ht="15" customHeight="1" x14ac:dyDescent="0.25">
      <c r="A144" s="150" t="s">
        <v>26</v>
      </c>
      <c r="B144" s="17" t="str">
        <f>VLOOKUP(Data_Discontinuities[[#This Row],[Hole ID]],Data_Log[],2,FALSE)</f>
        <v>CGF-01</v>
      </c>
      <c r="C144" s="8">
        <v>120.2</v>
      </c>
      <c r="D144" s="8">
        <v>1</v>
      </c>
      <c r="E144" s="7" t="s">
        <v>445</v>
      </c>
      <c r="F144" s="7"/>
      <c r="G144" s="7"/>
      <c r="H144" s="118"/>
      <c r="I144" s="7" t="s">
        <v>251</v>
      </c>
      <c r="J144" s="7" t="s">
        <v>320</v>
      </c>
      <c r="K144" s="7" t="s">
        <v>354</v>
      </c>
      <c r="L144" s="7"/>
      <c r="M144" s="7"/>
      <c r="N144" s="7"/>
      <c r="O144" s="84" t="str" cm="1">
        <f t="array" ref="O144">_xlfn.XLOOKUP(1,(A144=Geotech!$A$4:$A$10094)*(Data_Discontinuities[[#This Row],[Depth (m)]]&gt;=Geotech!$C$4:$C$10094)*(Data_Discontinuities[[#This Row],[Depth (m)]]&lt;Geotech!$D$4:$D$10094),Geotech!$M$4:$M$10094)</f>
        <v>Boulamarque granodiorite</v>
      </c>
      <c r="P144" s="84"/>
      <c r="Q144" s="84"/>
      <c r="R144" s="84"/>
      <c r="S1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4" s="71">
        <f>IFERROR(Data_Discontinuities[[#This Row],[Joint roughness]]/Data_Discontinuities[[#This Row],[Joint alteration]],"")</f>
        <v>0.5</v>
      </c>
      <c r="V1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44" s="87"/>
    </row>
    <row r="145" spans="1:23" ht="15" customHeight="1" x14ac:dyDescent="0.25">
      <c r="A145" s="150" t="s">
        <v>26</v>
      </c>
      <c r="B145" s="17" t="str">
        <f>VLOOKUP(Data_Discontinuities[[#This Row],[Hole ID]],Data_Log[],2,FALSE)</f>
        <v>CGF-01</v>
      </c>
      <c r="C145" s="8">
        <v>120.76</v>
      </c>
      <c r="D145" s="8">
        <v>1</v>
      </c>
      <c r="E145" s="7" t="s">
        <v>420</v>
      </c>
      <c r="F145" s="7"/>
      <c r="G145" s="7"/>
      <c r="H145" s="118"/>
      <c r="I145" s="7" t="s">
        <v>318</v>
      </c>
      <c r="J145" s="7" t="s">
        <v>352</v>
      </c>
      <c r="K145" s="7" t="s">
        <v>354</v>
      </c>
      <c r="L145" s="7"/>
      <c r="M145" s="7"/>
      <c r="N145" s="7"/>
      <c r="O145" s="84" t="str" cm="1">
        <f t="array" ref="O145">_xlfn.XLOOKUP(1,(A145=Geotech!$A$4:$A$10094)*(Data_Discontinuities[[#This Row],[Depth (m)]]&gt;=Geotech!$C$4:$C$10094)*(Data_Discontinuities[[#This Row],[Depth (m)]]&lt;Geotech!$D$4:$D$10094),Geotech!$M$4:$M$10094)</f>
        <v>Boulamarque granodiorite</v>
      </c>
      <c r="P145" s="84"/>
      <c r="Q145" s="84"/>
      <c r="R145" s="84"/>
      <c r="S1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5" s="71">
        <f>IFERROR(Data_Discontinuities[[#This Row],[Joint roughness]]/Data_Discontinuities[[#This Row],[Joint alteration]],"")</f>
        <v>1.5</v>
      </c>
      <c r="V1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45" s="87"/>
    </row>
    <row r="146" spans="1:23" ht="15" customHeight="1" x14ac:dyDescent="0.25">
      <c r="A146" s="150" t="s">
        <v>26</v>
      </c>
      <c r="B146" s="17" t="str">
        <f>VLOOKUP(Data_Discontinuities[[#This Row],[Hole ID]],Data_Log[],2,FALSE)</f>
        <v>CGF-01</v>
      </c>
      <c r="C146" s="8">
        <v>121.95</v>
      </c>
      <c r="D146" s="8">
        <v>1</v>
      </c>
      <c r="E146" s="7" t="s">
        <v>445</v>
      </c>
      <c r="F146" s="7"/>
      <c r="G146" s="7"/>
      <c r="H146" s="118"/>
      <c r="I146" s="7" t="s">
        <v>378</v>
      </c>
      <c r="J146" s="7" t="s">
        <v>320</v>
      </c>
      <c r="K146" s="7" t="s">
        <v>382</v>
      </c>
      <c r="L146" s="7" t="s">
        <v>546</v>
      </c>
      <c r="M146" s="7" t="s">
        <v>437</v>
      </c>
      <c r="N146" s="7"/>
      <c r="O146" s="84" t="str" cm="1">
        <f t="array" ref="O146">_xlfn.XLOOKUP(1,(A146=Geotech!$A$4:$A$10094)*(Data_Discontinuities[[#This Row],[Depth (m)]]&gt;=Geotech!$C$4:$C$10094)*(Data_Discontinuities[[#This Row],[Depth (m)]]&lt;Geotech!$D$4:$D$10094),Geotech!$M$4:$M$10094)</f>
        <v>Boulamarque granodiorite</v>
      </c>
      <c r="P146" s="84"/>
      <c r="Q146" s="84"/>
      <c r="R146" s="84"/>
      <c r="S1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46" s="71">
        <f>IFERROR(Data_Discontinuities[[#This Row],[Joint roughness]]/Data_Discontinuities[[#This Row],[Joint alteration]],"")</f>
        <v>0.5</v>
      </c>
      <c r="V1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46" s="87"/>
    </row>
    <row r="147" spans="1:23" ht="15" customHeight="1" x14ac:dyDescent="0.25">
      <c r="A147" s="150" t="s">
        <v>26</v>
      </c>
      <c r="B147" s="17" t="str">
        <f>VLOOKUP(Data_Discontinuities[[#This Row],[Hole ID]],Data_Log[],2,FALSE)</f>
        <v>CGF-01</v>
      </c>
      <c r="C147" s="8">
        <v>122.42</v>
      </c>
      <c r="D147" s="8">
        <v>1</v>
      </c>
      <c r="E147" s="7" t="s">
        <v>420</v>
      </c>
      <c r="F147" s="7"/>
      <c r="G147" s="7"/>
      <c r="H147" s="118"/>
      <c r="I147" s="7" t="s">
        <v>286</v>
      </c>
      <c r="J147" s="7" t="s">
        <v>352</v>
      </c>
      <c r="K147" s="7" t="s">
        <v>382</v>
      </c>
      <c r="L147" s="7" t="s">
        <v>437</v>
      </c>
      <c r="M147" s="7"/>
      <c r="N147" s="7"/>
      <c r="O147" s="84" t="str" cm="1">
        <f t="array" ref="O147">_xlfn.XLOOKUP(1,(A147=Geotech!$A$4:$A$10094)*(Data_Discontinuities[[#This Row],[Depth (m)]]&gt;=Geotech!$C$4:$C$10094)*(Data_Discontinuities[[#This Row],[Depth (m)]]&lt;Geotech!$D$4:$D$10094),Geotech!$M$4:$M$10094)</f>
        <v>Boulamarque granodiorite</v>
      </c>
      <c r="P147" s="84"/>
      <c r="Q147" s="84"/>
      <c r="R147" s="84"/>
      <c r="S1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47" s="71">
        <f>IFERROR(Data_Discontinuities[[#This Row],[Joint roughness]]/Data_Discontinuities[[#This Row],[Joint alteration]],"")</f>
        <v>0.75</v>
      </c>
      <c r="V1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47" s="87"/>
    </row>
    <row r="148" spans="1:23" ht="15" customHeight="1" x14ac:dyDescent="0.25">
      <c r="A148" s="150" t="s">
        <v>26</v>
      </c>
      <c r="B148" s="17" t="str">
        <f>VLOOKUP(Data_Discontinuities[[#This Row],[Hole ID]],Data_Log[],2,FALSE)</f>
        <v>CGF-01</v>
      </c>
      <c r="C148" s="8">
        <v>123.4</v>
      </c>
      <c r="D148" s="8">
        <v>1</v>
      </c>
      <c r="E148" s="7" t="s">
        <v>445</v>
      </c>
      <c r="F148" s="7"/>
      <c r="G148" s="7"/>
      <c r="H148" s="118"/>
      <c r="I148" s="7" t="s">
        <v>251</v>
      </c>
      <c r="J148" s="7" t="s">
        <v>352</v>
      </c>
      <c r="K148" s="7" t="s">
        <v>290</v>
      </c>
      <c r="L148" s="7"/>
      <c r="M148" s="7"/>
      <c r="N148" s="7"/>
      <c r="O148" s="84" t="str" cm="1">
        <f t="array" ref="O148">_xlfn.XLOOKUP(1,(A148=Geotech!$A$4:$A$10094)*(Data_Discontinuities[[#This Row],[Depth (m)]]&gt;=Geotech!$C$4:$C$10094)*(Data_Discontinuities[[#This Row],[Depth (m)]]&lt;Geotech!$D$4:$D$10094),Geotech!$M$4:$M$10094)</f>
        <v>VT-TI Vein</v>
      </c>
      <c r="P148" s="84"/>
      <c r="Q148" s="84"/>
      <c r="R148" s="84"/>
      <c r="S1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8" s="71">
        <f>IFERROR(Data_Discontinuities[[#This Row],[Joint roughness]]/Data_Discontinuities[[#This Row],[Joint alteration]],"")</f>
        <v>0.75</v>
      </c>
      <c r="V1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48" s="87"/>
    </row>
    <row r="149" spans="1:23" ht="15" customHeight="1" x14ac:dyDescent="0.25">
      <c r="A149" s="150" t="s">
        <v>26</v>
      </c>
      <c r="B149" s="17" t="str">
        <f>VLOOKUP(Data_Discontinuities[[#This Row],[Hole ID]],Data_Log[],2,FALSE)</f>
        <v>CGF-01</v>
      </c>
      <c r="C149" s="8">
        <v>125.12</v>
      </c>
      <c r="D149" s="8">
        <v>1</v>
      </c>
      <c r="E149" s="7" t="s">
        <v>420</v>
      </c>
      <c r="F149" s="7"/>
      <c r="G149" s="7"/>
      <c r="H149" s="118"/>
      <c r="I149" s="7" t="s">
        <v>286</v>
      </c>
      <c r="J149" s="7" t="s">
        <v>352</v>
      </c>
      <c r="K149" s="7" t="s">
        <v>354</v>
      </c>
      <c r="L149" s="7"/>
      <c r="M149" s="7"/>
      <c r="N149" s="7"/>
      <c r="O149" s="84" t="str" cm="1">
        <f t="array" ref="O149">_xlfn.XLOOKUP(1,(A149=Geotech!$A$4:$A$10094)*(Data_Discontinuities[[#This Row],[Depth (m)]]&gt;=Geotech!$C$4:$C$10094)*(Data_Discontinuities[[#This Row],[Depth (m)]]&lt;Geotech!$D$4:$D$10094),Geotech!$M$4:$M$10094)</f>
        <v>Boulamarque granodiorite</v>
      </c>
      <c r="P149" s="84"/>
      <c r="Q149" s="84"/>
      <c r="R149" s="84"/>
      <c r="S1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49" s="71">
        <f>IFERROR(Data_Discontinuities[[#This Row],[Joint roughness]]/Data_Discontinuities[[#This Row],[Joint alteration]],"")</f>
        <v>1.5</v>
      </c>
      <c r="V1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49" s="87"/>
    </row>
    <row r="150" spans="1:23" ht="15" customHeight="1" x14ac:dyDescent="0.25">
      <c r="A150" s="150" t="s">
        <v>26</v>
      </c>
      <c r="B150" s="17" t="str">
        <f>VLOOKUP(Data_Discontinuities[[#This Row],[Hole ID]],Data_Log[],2,FALSE)</f>
        <v>CGF-01</v>
      </c>
      <c r="C150" s="8">
        <v>124.37</v>
      </c>
      <c r="D150" s="8">
        <v>1</v>
      </c>
      <c r="E150" s="7" t="s">
        <v>420</v>
      </c>
      <c r="F150" s="7"/>
      <c r="G150" s="7"/>
      <c r="H150" s="118"/>
      <c r="I150" s="7" t="s">
        <v>286</v>
      </c>
      <c r="J150" s="7" t="s">
        <v>352</v>
      </c>
      <c r="K150" s="7" t="s">
        <v>382</v>
      </c>
      <c r="L150" s="7" t="s">
        <v>57</v>
      </c>
      <c r="M150" s="7"/>
      <c r="N150" s="7"/>
      <c r="O150" s="84" t="str" cm="1">
        <f t="array" ref="O150">_xlfn.XLOOKUP(1,(A150=Geotech!$A$4:$A$10094)*(Data_Discontinuities[[#This Row],[Depth (m)]]&gt;=Geotech!$C$4:$C$10094)*(Data_Discontinuities[[#This Row],[Depth (m)]]&lt;Geotech!$D$4:$D$10094),Geotech!$M$4:$M$10094)</f>
        <v>Boulamarque granodiorite</v>
      </c>
      <c r="P150" s="84"/>
      <c r="Q150" s="84"/>
      <c r="R150" s="84"/>
      <c r="S1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50" s="71">
        <f>IFERROR(Data_Discontinuities[[#This Row],[Joint roughness]]/Data_Discontinuities[[#This Row],[Joint alteration]],"")</f>
        <v>0.75</v>
      </c>
      <c r="V1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50" s="87"/>
    </row>
    <row r="151" spans="1:23" ht="15" customHeight="1" x14ac:dyDescent="0.25">
      <c r="A151" s="150" t="s">
        <v>26</v>
      </c>
      <c r="B151" s="17" t="str">
        <f>VLOOKUP(Data_Discontinuities[[#This Row],[Hole ID]],Data_Log[],2,FALSE)</f>
        <v>CGF-01</v>
      </c>
      <c r="C151" s="8">
        <v>125.64</v>
      </c>
      <c r="D151" s="8">
        <v>1</v>
      </c>
      <c r="E151" s="7" t="s">
        <v>420</v>
      </c>
      <c r="F151" s="7"/>
      <c r="G151" s="7"/>
      <c r="H151" s="118"/>
      <c r="I151" s="7" t="s">
        <v>286</v>
      </c>
      <c r="J151" s="7" t="s">
        <v>352</v>
      </c>
      <c r="K151" s="7" t="s">
        <v>354</v>
      </c>
      <c r="L151" s="7"/>
      <c r="M151" s="7"/>
      <c r="N151" s="7"/>
      <c r="O151" s="84" t="str" cm="1">
        <f t="array" ref="O151">_xlfn.XLOOKUP(1,(A151=Geotech!$A$4:$A$10094)*(Data_Discontinuities[[#This Row],[Depth (m)]]&gt;=Geotech!$C$4:$C$10094)*(Data_Discontinuities[[#This Row],[Depth (m)]]&lt;Geotech!$D$4:$D$10094),Geotech!$M$4:$M$10094)</f>
        <v>Boulamarque granodiorite</v>
      </c>
      <c r="P151" s="84"/>
      <c r="Q151" s="84"/>
      <c r="R151" s="84"/>
      <c r="S1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51" s="71">
        <f>IFERROR(Data_Discontinuities[[#This Row],[Joint roughness]]/Data_Discontinuities[[#This Row],[Joint alteration]],"")</f>
        <v>1.5</v>
      </c>
      <c r="V1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51" s="87"/>
    </row>
    <row r="152" spans="1:23" ht="15" customHeight="1" x14ac:dyDescent="0.25">
      <c r="A152" s="150" t="s">
        <v>26</v>
      </c>
      <c r="B152" s="17" t="str">
        <f>VLOOKUP(Data_Discontinuities[[#This Row],[Hole ID]],Data_Log[],2,FALSE)</f>
        <v>CGF-01</v>
      </c>
      <c r="C152" s="8">
        <v>126.07</v>
      </c>
      <c r="D152" s="8">
        <v>1</v>
      </c>
      <c r="E152" s="7" t="s">
        <v>420</v>
      </c>
      <c r="F152" s="7"/>
      <c r="G152" s="7"/>
      <c r="H152" s="118"/>
      <c r="I152" s="7" t="s">
        <v>286</v>
      </c>
      <c r="J152" s="7" t="s">
        <v>320</v>
      </c>
      <c r="K152" s="7" t="s">
        <v>354</v>
      </c>
      <c r="L152" s="7"/>
      <c r="M152" s="7"/>
      <c r="N152" s="7"/>
      <c r="O152" s="84" t="str" cm="1">
        <f t="array" ref="O152">_xlfn.XLOOKUP(1,(A152=Geotech!$A$4:$A$10094)*(Data_Discontinuities[[#This Row],[Depth (m)]]&gt;=Geotech!$C$4:$C$10094)*(Data_Discontinuities[[#This Row],[Depth (m)]]&lt;Geotech!$D$4:$D$10094),Geotech!$M$4:$M$10094)</f>
        <v>Boulamarque granodiorite</v>
      </c>
      <c r="P152" s="84"/>
      <c r="Q152" s="84"/>
      <c r="R152" s="84"/>
      <c r="S1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52" s="71">
        <f>IFERROR(Data_Discontinuities[[#This Row],[Joint roughness]]/Data_Discontinuities[[#This Row],[Joint alteration]],"")</f>
        <v>1</v>
      </c>
      <c r="V1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52" s="87"/>
    </row>
    <row r="153" spans="1:23" ht="15" customHeight="1" x14ac:dyDescent="0.25">
      <c r="A153" s="150" t="s">
        <v>26</v>
      </c>
      <c r="B153" s="17" t="str">
        <f>VLOOKUP(Data_Discontinuities[[#This Row],[Hole ID]],Data_Log[],2,FALSE)</f>
        <v>CGF-01</v>
      </c>
      <c r="C153" s="8">
        <v>126.68</v>
      </c>
      <c r="D153" s="8">
        <v>1</v>
      </c>
      <c r="E153" s="7" t="s">
        <v>445</v>
      </c>
      <c r="F153" s="7"/>
      <c r="G153" s="7"/>
      <c r="H153" s="118"/>
      <c r="I153" s="7" t="s">
        <v>286</v>
      </c>
      <c r="J153" s="7" t="s">
        <v>288</v>
      </c>
      <c r="K153" s="7" t="s">
        <v>354</v>
      </c>
      <c r="L153" s="7"/>
      <c r="M153" s="7"/>
      <c r="N153" s="7"/>
      <c r="O153" s="84" t="str" cm="1">
        <f t="array" ref="O153">_xlfn.XLOOKUP(1,(A153=Geotech!$A$4:$A$10094)*(Data_Discontinuities[[#This Row],[Depth (m)]]&gt;=Geotech!$C$4:$C$10094)*(Data_Discontinuities[[#This Row],[Depth (m)]]&lt;Geotech!$D$4:$D$10094),Geotech!$M$4:$M$10094)</f>
        <v>Boulamarque granodiorite</v>
      </c>
      <c r="P153" s="84"/>
      <c r="Q153" s="84"/>
      <c r="R153" s="84"/>
      <c r="S1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53" s="71">
        <f>IFERROR(Data_Discontinuities[[#This Row],[Joint roughness]]/Data_Discontinuities[[#This Row],[Joint alteration]],"")</f>
        <v>0.75</v>
      </c>
      <c r="V1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153" s="87"/>
    </row>
    <row r="154" spans="1:23" ht="15" customHeight="1" x14ac:dyDescent="0.25">
      <c r="A154" s="150" t="s">
        <v>26</v>
      </c>
      <c r="B154" s="17" t="str">
        <f>VLOOKUP(Data_Discontinuities[[#This Row],[Hole ID]],Data_Log[],2,FALSE)</f>
        <v>CGF-01</v>
      </c>
      <c r="C154" s="8">
        <v>126.78</v>
      </c>
      <c r="D154" s="8">
        <v>1</v>
      </c>
      <c r="E154" s="7" t="s">
        <v>445</v>
      </c>
      <c r="F154" s="7"/>
      <c r="G154" s="7"/>
      <c r="H154" s="118"/>
      <c r="I154" s="7" t="s">
        <v>286</v>
      </c>
      <c r="J154" s="7" t="s">
        <v>320</v>
      </c>
      <c r="K154" s="7" t="s">
        <v>382</v>
      </c>
      <c r="L154" s="7" t="s">
        <v>447</v>
      </c>
      <c r="M154" s="7" t="s">
        <v>437</v>
      </c>
      <c r="N154" s="7"/>
      <c r="O154" s="84" t="str" cm="1">
        <f t="array" ref="O154">_xlfn.XLOOKUP(1,(A154=Geotech!$A$4:$A$10094)*(Data_Discontinuities[[#This Row],[Depth (m)]]&gt;=Geotech!$C$4:$C$10094)*(Data_Discontinuities[[#This Row],[Depth (m)]]&lt;Geotech!$D$4:$D$10094),Geotech!$M$4:$M$10094)</f>
        <v>Boulamarque granodiorite</v>
      </c>
      <c r="P154" s="84"/>
      <c r="Q154" s="84"/>
      <c r="R154" s="84"/>
      <c r="S15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5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54" s="71">
        <f>IFERROR(Data_Discontinuities[[#This Row],[Joint roughness]]/Data_Discontinuities[[#This Row],[Joint alteration]],"")</f>
        <v>0.66666666666666663</v>
      </c>
      <c r="V15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54" s="87"/>
    </row>
    <row r="155" spans="1:23" ht="15" customHeight="1" x14ac:dyDescent="0.25">
      <c r="A155" s="150" t="s">
        <v>26</v>
      </c>
      <c r="B155" s="17" t="str">
        <f>VLOOKUP(Data_Discontinuities[[#This Row],[Hole ID]],Data_Log[],2,FALSE)</f>
        <v>CGF-01</v>
      </c>
      <c r="C155" s="8">
        <v>127.08</v>
      </c>
      <c r="D155" s="8">
        <v>1</v>
      </c>
      <c r="E155" s="7" t="s">
        <v>445</v>
      </c>
      <c r="F155" s="7"/>
      <c r="G155" s="7"/>
      <c r="H155" s="118"/>
      <c r="I155" s="7" t="s">
        <v>251</v>
      </c>
      <c r="J155" s="7" t="s">
        <v>352</v>
      </c>
      <c r="K155" s="7" t="s">
        <v>382</v>
      </c>
      <c r="L155" s="7" t="s">
        <v>437</v>
      </c>
      <c r="M155" s="7"/>
      <c r="N155" s="7"/>
      <c r="O155" s="84" t="str" cm="1">
        <f t="array" ref="O155">_xlfn.XLOOKUP(1,(A155=Geotech!$A$4:$A$10094)*(Data_Discontinuities[[#This Row],[Depth (m)]]&gt;=Geotech!$C$4:$C$10094)*(Data_Discontinuities[[#This Row],[Depth (m)]]&lt;Geotech!$D$4:$D$10094),Geotech!$M$4:$M$10094)</f>
        <v>Boulamarque granodiorite</v>
      </c>
      <c r="P155" s="84"/>
      <c r="Q155" s="84"/>
      <c r="R155" s="84"/>
      <c r="S1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55" s="71">
        <f>IFERROR(Data_Discontinuities[[#This Row],[Joint roughness]]/Data_Discontinuities[[#This Row],[Joint alteration]],"")</f>
        <v>0.375</v>
      </c>
      <c r="V1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55" s="87"/>
    </row>
    <row r="156" spans="1:23" ht="15" customHeight="1" x14ac:dyDescent="0.25">
      <c r="A156" s="150" t="s">
        <v>26</v>
      </c>
      <c r="B156" s="17" t="str">
        <f>VLOOKUP(Data_Discontinuities[[#This Row],[Hole ID]],Data_Log[],2,FALSE)</f>
        <v>CGF-01</v>
      </c>
      <c r="C156" s="8">
        <v>127.33</v>
      </c>
      <c r="D156" s="8">
        <v>1</v>
      </c>
      <c r="E156" s="7" t="s">
        <v>445</v>
      </c>
      <c r="F156" s="7"/>
      <c r="G156" s="7"/>
      <c r="H156" s="118"/>
      <c r="I156" s="7" t="s">
        <v>251</v>
      </c>
      <c r="J156" s="7" t="s">
        <v>352</v>
      </c>
      <c r="K156" s="7" t="s">
        <v>322</v>
      </c>
      <c r="L156" s="7"/>
      <c r="M156" s="7"/>
      <c r="N156" s="7"/>
      <c r="O156" s="84" t="str" cm="1">
        <f t="array" ref="O156">_xlfn.XLOOKUP(1,(A156=Geotech!$A$4:$A$10094)*(Data_Discontinuities[[#This Row],[Depth (m)]]&gt;=Geotech!$C$4:$C$10094)*(Data_Discontinuities[[#This Row],[Depth (m)]]&lt;Geotech!$D$4:$D$10094),Geotech!$M$4:$M$10094)</f>
        <v>Boulamarque granodiorite</v>
      </c>
      <c r="P156" s="84"/>
      <c r="Q156" s="84"/>
      <c r="R156" s="84"/>
      <c r="S1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56" s="71">
        <f>IFERROR(Data_Discontinuities[[#This Row],[Joint roughness]]/Data_Discontinuities[[#This Row],[Joint alteration]],"")</f>
        <v>1.5</v>
      </c>
      <c r="V1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56" s="87"/>
    </row>
    <row r="157" spans="1:23" ht="15" customHeight="1" x14ac:dyDescent="0.25">
      <c r="A157" s="150" t="s">
        <v>26</v>
      </c>
      <c r="B157" s="17" t="str">
        <f>VLOOKUP(Data_Discontinuities[[#This Row],[Hole ID]],Data_Log[],2,FALSE)</f>
        <v>CGF-01</v>
      </c>
      <c r="C157" s="8">
        <v>127.37</v>
      </c>
      <c r="D157" s="8">
        <v>1</v>
      </c>
      <c r="E157" s="7" t="s">
        <v>445</v>
      </c>
      <c r="F157" s="7"/>
      <c r="G157" s="7"/>
      <c r="H157" s="118"/>
      <c r="I157" s="7" t="s">
        <v>378</v>
      </c>
      <c r="J157" s="7" t="s">
        <v>380</v>
      </c>
      <c r="K157" s="7" t="s">
        <v>354</v>
      </c>
      <c r="L157" s="7"/>
      <c r="M157" s="7"/>
      <c r="N157" s="7"/>
      <c r="O157" s="84" t="str" cm="1">
        <f t="array" ref="O157">_xlfn.XLOOKUP(1,(A157=Geotech!$A$4:$A$10094)*(Data_Discontinuities[[#This Row],[Depth (m)]]&gt;=Geotech!$C$4:$C$10094)*(Data_Discontinuities[[#This Row],[Depth (m)]]&lt;Geotech!$D$4:$D$10094),Geotech!$M$4:$M$10094)</f>
        <v>Boulamarque granodiorite</v>
      </c>
      <c r="P157" s="84"/>
      <c r="Q157" s="84"/>
      <c r="R157" s="84"/>
      <c r="S15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5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57" s="71">
        <f>IFERROR(Data_Discontinuities[[#This Row],[Joint roughness]]/Data_Discontinuities[[#This Row],[Joint alteration]],"")</f>
        <v>1.5</v>
      </c>
      <c r="V15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57" s="87"/>
    </row>
    <row r="158" spans="1:23" ht="15" customHeight="1" x14ac:dyDescent="0.25">
      <c r="A158" s="150" t="s">
        <v>26</v>
      </c>
      <c r="B158" s="17" t="str">
        <f>VLOOKUP(Data_Discontinuities[[#This Row],[Hole ID]],Data_Log[],2,FALSE)</f>
        <v>CGF-01</v>
      </c>
      <c r="C158" s="8">
        <v>128.26</v>
      </c>
      <c r="D158" s="8">
        <v>1</v>
      </c>
      <c r="E158" s="7" t="s">
        <v>445</v>
      </c>
      <c r="F158" s="7"/>
      <c r="G158" s="7"/>
      <c r="H158" s="118"/>
      <c r="I158" s="7" t="s">
        <v>286</v>
      </c>
      <c r="J158" s="7" t="s">
        <v>380</v>
      </c>
      <c r="K158" s="7" t="s">
        <v>322</v>
      </c>
      <c r="L158" s="7"/>
      <c r="M158" s="7"/>
      <c r="N158" s="7"/>
      <c r="O158" s="84" t="str" cm="1">
        <f t="array" ref="O158">_xlfn.XLOOKUP(1,(A158=Geotech!$A$4:$A$10094)*(Data_Discontinuities[[#This Row],[Depth (m)]]&gt;=Geotech!$C$4:$C$10094)*(Data_Discontinuities[[#This Row],[Depth (m)]]&lt;Geotech!$D$4:$D$10094),Geotech!$M$4:$M$10094)</f>
        <v>Boulamarque granodiorite</v>
      </c>
      <c r="P158" s="84"/>
      <c r="Q158" s="84"/>
      <c r="R158" s="84"/>
      <c r="S1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58" s="71">
        <f>IFERROR(Data_Discontinuities[[#This Row],[Joint roughness]]/Data_Discontinuities[[#This Row],[Joint alteration]],"")</f>
        <v>3</v>
      </c>
      <c r="V1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58" s="87"/>
    </row>
    <row r="159" spans="1:23" ht="15" customHeight="1" x14ac:dyDescent="0.25">
      <c r="A159" s="150" t="s">
        <v>26</v>
      </c>
      <c r="B159" s="17" t="str">
        <f>VLOOKUP(Data_Discontinuities[[#This Row],[Hole ID]],Data_Log[],2,FALSE)</f>
        <v>CGF-01</v>
      </c>
      <c r="C159" s="8">
        <v>128.91999999999999</v>
      </c>
      <c r="D159" s="8">
        <v>1</v>
      </c>
      <c r="E159" s="7" t="s">
        <v>420</v>
      </c>
      <c r="F159" s="7"/>
      <c r="G159" s="7"/>
      <c r="H159" s="118"/>
      <c r="I159" s="7" t="s">
        <v>286</v>
      </c>
      <c r="J159" s="7" t="s">
        <v>352</v>
      </c>
      <c r="K159" s="7" t="s">
        <v>354</v>
      </c>
      <c r="L159" s="7"/>
      <c r="M159" s="7"/>
      <c r="N159" s="7"/>
      <c r="O159" s="84" t="str" cm="1">
        <f t="array" ref="O159">_xlfn.XLOOKUP(1,(A159=Geotech!$A$4:$A$10094)*(Data_Discontinuities[[#This Row],[Depth (m)]]&gt;=Geotech!$C$4:$C$10094)*(Data_Discontinuities[[#This Row],[Depth (m)]]&lt;Geotech!$D$4:$D$10094),Geotech!$M$4:$M$10094)</f>
        <v>Boulamarque granodiorite</v>
      </c>
      <c r="P159" s="84"/>
      <c r="Q159" s="84"/>
      <c r="R159" s="84"/>
      <c r="S1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59" s="71">
        <f>IFERROR(Data_Discontinuities[[#This Row],[Joint roughness]]/Data_Discontinuities[[#This Row],[Joint alteration]],"")</f>
        <v>1.5</v>
      </c>
      <c r="V1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59" s="87"/>
    </row>
    <row r="160" spans="1:23" ht="15" customHeight="1" x14ac:dyDescent="0.25">
      <c r="A160" s="150" t="s">
        <v>26</v>
      </c>
      <c r="B160" s="17" t="str">
        <f>VLOOKUP(Data_Discontinuities[[#This Row],[Hole ID]],Data_Log[],2,FALSE)</f>
        <v>CGF-01</v>
      </c>
      <c r="C160" s="8">
        <v>129.27000000000001</v>
      </c>
      <c r="D160" s="8">
        <v>1</v>
      </c>
      <c r="E160" s="7" t="s">
        <v>420</v>
      </c>
      <c r="F160" s="7"/>
      <c r="G160" s="7"/>
      <c r="H160" s="118"/>
      <c r="I160" s="7" t="s">
        <v>251</v>
      </c>
      <c r="J160" s="7" t="s">
        <v>320</v>
      </c>
      <c r="K160" s="7" t="s">
        <v>354</v>
      </c>
      <c r="L160" s="7"/>
      <c r="M160" s="7"/>
      <c r="N160" s="7"/>
      <c r="O160" s="84" t="str" cm="1">
        <f t="array" ref="O160">_xlfn.XLOOKUP(1,(A160=Geotech!$A$4:$A$10094)*(Data_Discontinuities[[#This Row],[Depth (m)]]&gt;=Geotech!$C$4:$C$10094)*(Data_Discontinuities[[#This Row],[Depth (m)]]&lt;Geotech!$D$4:$D$10094),Geotech!$M$4:$M$10094)</f>
        <v>Boulamarque granodiorite</v>
      </c>
      <c r="P160" s="84"/>
      <c r="Q160" s="84"/>
      <c r="R160" s="84"/>
      <c r="S1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60" s="71">
        <f>IFERROR(Data_Discontinuities[[#This Row],[Joint roughness]]/Data_Discontinuities[[#This Row],[Joint alteration]],"")</f>
        <v>0.5</v>
      </c>
      <c r="V1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60" s="87"/>
    </row>
    <row r="161" spans="1:23" ht="15" customHeight="1" x14ac:dyDescent="0.25">
      <c r="A161" s="150" t="s">
        <v>26</v>
      </c>
      <c r="B161" s="17" t="str">
        <f>VLOOKUP(Data_Discontinuities[[#This Row],[Hole ID]],Data_Log[],2,FALSE)</f>
        <v>CGF-01</v>
      </c>
      <c r="C161" s="8">
        <v>130.1</v>
      </c>
      <c r="D161" s="8">
        <v>1</v>
      </c>
      <c r="E161" s="7" t="s">
        <v>445</v>
      </c>
      <c r="F161" s="7"/>
      <c r="G161" s="7"/>
      <c r="H161" s="118"/>
      <c r="I161" s="7" t="s">
        <v>251</v>
      </c>
      <c r="J161" s="7" t="s">
        <v>352</v>
      </c>
      <c r="K161" s="7" t="s">
        <v>354</v>
      </c>
      <c r="L161" s="7"/>
      <c r="M161" s="7"/>
      <c r="N161" s="7"/>
      <c r="O161" s="84" t="str" cm="1">
        <f t="array" ref="O161">_xlfn.XLOOKUP(1,(A161=Geotech!$A$4:$A$10094)*(Data_Discontinuities[[#This Row],[Depth (m)]]&gt;=Geotech!$C$4:$C$10094)*(Data_Discontinuities[[#This Row],[Depth (m)]]&lt;Geotech!$D$4:$D$10094),Geotech!$M$4:$M$10094)</f>
        <v>Boulamarque granodiorite</v>
      </c>
      <c r="P161" s="84"/>
      <c r="Q161" s="84"/>
      <c r="R161" s="84"/>
      <c r="S1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61" s="71">
        <f>IFERROR(Data_Discontinuities[[#This Row],[Joint roughness]]/Data_Discontinuities[[#This Row],[Joint alteration]],"")</f>
        <v>0.75</v>
      </c>
      <c r="V1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61" s="87"/>
    </row>
    <row r="162" spans="1:23" ht="15" customHeight="1" x14ac:dyDescent="0.25">
      <c r="A162" s="150" t="s">
        <v>26</v>
      </c>
      <c r="B162" s="17" t="str">
        <f>VLOOKUP(Data_Discontinuities[[#This Row],[Hole ID]],Data_Log[],2,FALSE)</f>
        <v>CGF-01</v>
      </c>
      <c r="C162" s="8">
        <v>130.16999999999999</v>
      </c>
      <c r="D162" s="8">
        <v>1</v>
      </c>
      <c r="E162" s="7" t="s">
        <v>445</v>
      </c>
      <c r="F162" s="7"/>
      <c r="G162" s="7"/>
      <c r="H162" s="118"/>
      <c r="I162" s="7" t="s">
        <v>251</v>
      </c>
      <c r="J162" s="7" t="s">
        <v>320</v>
      </c>
      <c r="K162" s="7" t="s">
        <v>354</v>
      </c>
      <c r="L162" s="7"/>
      <c r="M162" s="7"/>
      <c r="N162" s="7"/>
      <c r="O162" s="84" t="str" cm="1">
        <f t="array" ref="O162">_xlfn.XLOOKUP(1,(A162=Geotech!$A$4:$A$10094)*(Data_Discontinuities[[#This Row],[Depth (m)]]&gt;=Geotech!$C$4:$C$10094)*(Data_Discontinuities[[#This Row],[Depth (m)]]&lt;Geotech!$D$4:$D$10094),Geotech!$M$4:$M$10094)</f>
        <v>Boulamarque granodiorite</v>
      </c>
      <c r="P162" s="84"/>
      <c r="Q162" s="84"/>
      <c r="R162" s="84"/>
      <c r="S1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62" s="71">
        <f>IFERROR(Data_Discontinuities[[#This Row],[Joint roughness]]/Data_Discontinuities[[#This Row],[Joint alteration]],"")</f>
        <v>0.5</v>
      </c>
      <c r="V1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62" s="87"/>
    </row>
    <row r="163" spans="1:23" ht="15" customHeight="1" x14ac:dyDescent="0.25">
      <c r="A163" s="150" t="s">
        <v>26</v>
      </c>
      <c r="B163" s="17" t="str">
        <f>VLOOKUP(Data_Discontinuities[[#This Row],[Hole ID]],Data_Log[],2,FALSE)</f>
        <v>CGF-01</v>
      </c>
      <c r="C163" s="8">
        <v>130.91</v>
      </c>
      <c r="D163" s="8">
        <v>1</v>
      </c>
      <c r="E163" s="7" t="s">
        <v>445</v>
      </c>
      <c r="F163" s="7"/>
      <c r="G163" s="7"/>
      <c r="H163" s="118"/>
      <c r="I163" s="7" t="s">
        <v>378</v>
      </c>
      <c r="J163" s="7" t="s">
        <v>352</v>
      </c>
      <c r="K163" s="7" t="s">
        <v>322</v>
      </c>
      <c r="L163" s="7"/>
      <c r="M163" s="7"/>
      <c r="N163" s="7"/>
      <c r="O163" s="84" t="str" cm="1">
        <f t="array" ref="O163">_xlfn.XLOOKUP(1,(A163=Geotech!$A$4:$A$10094)*(Data_Discontinuities[[#This Row],[Depth (m)]]&gt;=Geotech!$C$4:$C$10094)*(Data_Discontinuities[[#This Row],[Depth (m)]]&lt;Geotech!$D$4:$D$10094),Geotech!$M$4:$M$10094)</f>
        <v>Boulamarque granodiorite</v>
      </c>
      <c r="P163" s="84"/>
      <c r="Q163" s="84"/>
      <c r="R163" s="84"/>
      <c r="S1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63" s="71">
        <f>IFERROR(Data_Discontinuities[[#This Row],[Joint roughness]]/Data_Discontinuities[[#This Row],[Joint alteration]],"")</f>
        <v>3</v>
      </c>
      <c r="V1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63" s="87"/>
    </row>
    <row r="164" spans="1:23" ht="15" customHeight="1" x14ac:dyDescent="0.25">
      <c r="A164" s="150" t="s">
        <v>26</v>
      </c>
      <c r="B164" s="17" t="str">
        <f>VLOOKUP(Data_Discontinuities[[#This Row],[Hole ID]],Data_Log[],2,FALSE)</f>
        <v>CGF-01</v>
      </c>
      <c r="C164" s="8">
        <v>132.46</v>
      </c>
      <c r="D164" s="8">
        <v>1</v>
      </c>
      <c r="E164" s="7" t="s">
        <v>445</v>
      </c>
      <c r="F164" s="7"/>
      <c r="G164" s="7"/>
      <c r="H164" s="118"/>
      <c r="I164" s="7" t="s">
        <v>286</v>
      </c>
      <c r="J164" s="7" t="s">
        <v>320</v>
      </c>
      <c r="K164" s="7" t="s">
        <v>382</v>
      </c>
      <c r="L164" s="7" t="s">
        <v>546</v>
      </c>
      <c r="M164" s="7"/>
      <c r="N164" s="7"/>
      <c r="O164" s="84" t="str" cm="1">
        <f t="array" ref="O164">_xlfn.XLOOKUP(1,(A164=Geotech!$A$4:$A$10094)*(Data_Discontinuities[[#This Row],[Depth (m)]]&gt;=Geotech!$C$4:$C$10094)*(Data_Discontinuities[[#This Row],[Depth (m)]]&lt;Geotech!$D$4:$D$10094),Geotech!$M$4:$M$10094)</f>
        <v>Boulamarque granodiorite</v>
      </c>
      <c r="P164" s="84"/>
      <c r="Q164" s="84"/>
      <c r="R164" s="84"/>
      <c r="S16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6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64" s="71">
        <f>IFERROR(Data_Discontinuities[[#This Row],[Joint roughness]]/Data_Discontinuities[[#This Row],[Joint alteration]],"")</f>
        <v>0.5</v>
      </c>
      <c r="V16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64" s="87"/>
    </row>
    <row r="165" spans="1:23" ht="15" customHeight="1" x14ac:dyDescent="0.25">
      <c r="A165" s="150" t="s">
        <v>26</v>
      </c>
      <c r="B165" s="17" t="str">
        <f>VLOOKUP(Data_Discontinuities[[#This Row],[Hole ID]],Data_Log[],2,FALSE)</f>
        <v>CGF-01</v>
      </c>
      <c r="C165" s="8">
        <v>132.82</v>
      </c>
      <c r="D165" s="8">
        <v>1</v>
      </c>
      <c r="E165" s="7" t="s">
        <v>420</v>
      </c>
      <c r="F165" s="7"/>
      <c r="G165" s="7"/>
      <c r="H165" s="118"/>
      <c r="I165" s="7" t="s">
        <v>286</v>
      </c>
      <c r="J165" s="7" t="s">
        <v>352</v>
      </c>
      <c r="K165" s="7" t="s">
        <v>322</v>
      </c>
      <c r="L165" s="7"/>
      <c r="M165" s="7"/>
      <c r="N165" s="7"/>
      <c r="O165" s="84" t="str" cm="1">
        <f t="array" ref="O165">_xlfn.XLOOKUP(1,(A165=Geotech!$A$4:$A$10094)*(Data_Discontinuities[[#This Row],[Depth (m)]]&gt;=Geotech!$C$4:$C$10094)*(Data_Discontinuities[[#This Row],[Depth (m)]]&lt;Geotech!$D$4:$D$10094),Geotech!$M$4:$M$10094)</f>
        <v>Boulamarque granodiorite</v>
      </c>
      <c r="P165" s="84"/>
      <c r="Q165" s="84"/>
      <c r="R165" s="84"/>
      <c r="S1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65" s="71">
        <f>IFERROR(Data_Discontinuities[[#This Row],[Joint roughness]]/Data_Discontinuities[[#This Row],[Joint alteration]],"")</f>
        <v>3</v>
      </c>
      <c r="V1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65" s="87"/>
    </row>
    <row r="166" spans="1:23" ht="15" customHeight="1" x14ac:dyDescent="0.25">
      <c r="A166" s="150" t="s">
        <v>26</v>
      </c>
      <c r="B166" s="17" t="str">
        <f>VLOOKUP(Data_Discontinuities[[#This Row],[Hole ID]],Data_Log[],2,FALSE)</f>
        <v>CGF-01</v>
      </c>
      <c r="C166" s="8">
        <v>133.11000000000001</v>
      </c>
      <c r="D166" s="8">
        <v>1</v>
      </c>
      <c r="E166" s="7" t="s">
        <v>420</v>
      </c>
      <c r="F166" s="7"/>
      <c r="G166" s="7"/>
      <c r="H166" s="118"/>
      <c r="I166" s="7" t="s">
        <v>251</v>
      </c>
      <c r="J166" s="7" t="s">
        <v>352</v>
      </c>
      <c r="K166" s="7" t="s">
        <v>382</v>
      </c>
      <c r="L166" s="7" t="s">
        <v>541</v>
      </c>
      <c r="M166" s="7"/>
      <c r="N166" s="7"/>
      <c r="O166" s="84" t="str" cm="1">
        <f t="array" ref="O166">_xlfn.XLOOKUP(1,(A166=Geotech!$A$4:$A$10094)*(Data_Discontinuities[[#This Row],[Depth (m)]]&gt;=Geotech!$C$4:$C$10094)*(Data_Discontinuities[[#This Row],[Depth (m)]]&lt;Geotech!$D$4:$D$10094),Geotech!$M$4:$M$10094)</f>
        <v>Boulamarque granodiorite</v>
      </c>
      <c r="P166" s="84"/>
      <c r="Q166" s="84"/>
      <c r="R166" s="84"/>
      <c r="S1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66" s="71">
        <f>IFERROR(Data_Discontinuities[[#This Row],[Joint roughness]]/Data_Discontinuities[[#This Row],[Joint alteration]],"")</f>
        <v>0.375</v>
      </c>
      <c r="V1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66" s="87"/>
    </row>
    <row r="167" spans="1:23" ht="15" customHeight="1" x14ac:dyDescent="0.25">
      <c r="A167" s="150" t="s">
        <v>26</v>
      </c>
      <c r="B167" s="17" t="str">
        <f>VLOOKUP(Data_Discontinuities[[#This Row],[Hole ID]],Data_Log[],2,FALSE)</f>
        <v>CGF-01</v>
      </c>
      <c r="C167" s="8">
        <v>133.59</v>
      </c>
      <c r="D167" s="8">
        <v>1</v>
      </c>
      <c r="E167" s="7" t="s">
        <v>420</v>
      </c>
      <c r="F167" s="7"/>
      <c r="G167" s="7"/>
      <c r="H167" s="118"/>
      <c r="I167" s="7" t="s">
        <v>251</v>
      </c>
      <c r="J167" s="7" t="s">
        <v>352</v>
      </c>
      <c r="K167" s="7" t="s">
        <v>354</v>
      </c>
      <c r="L167" s="7"/>
      <c r="M167" s="7"/>
      <c r="N167" s="7"/>
      <c r="O167" s="84" t="str" cm="1">
        <f t="array" ref="O167">_xlfn.XLOOKUP(1,(A167=Geotech!$A$4:$A$10094)*(Data_Discontinuities[[#This Row],[Depth (m)]]&gt;=Geotech!$C$4:$C$10094)*(Data_Discontinuities[[#This Row],[Depth (m)]]&lt;Geotech!$D$4:$D$10094),Geotech!$M$4:$M$10094)</f>
        <v>Boulamarque granodiorite</v>
      </c>
      <c r="P167" s="84"/>
      <c r="Q167" s="84"/>
      <c r="R167" s="84"/>
      <c r="S1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67" s="71">
        <f>IFERROR(Data_Discontinuities[[#This Row],[Joint roughness]]/Data_Discontinuities[[#This Row],[Joint alteration]],"")</f>
        <v>0.75</v>
      </c>
      <c r="V1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67" s="87"/>
    </row>
    <row r="168" spans="1:23" ht="15" customHeight="1" x14ac:dyDescent="0.25">
      <c r="A168" s="150" t="s">
        <v>26</v>
      </c>
      <c r="B168" s="17" t="str">
        <f>VLOOKUP(Data_Discontinuities[[#This Row],[Hole ID]],Data_Log[],2,FALSE)</f>
        <v>CGF-01</v>
      </c>
      <c r="C168" s="8">
        <v>134.21</v>
      </c>
      <c r="D168" s="8">
        <v>1</v>
      </c>
      <c r="E168" s="7" t="s">
        <v>420</v>
      </c>
      <c r="F168" s="7"/>
      <c r="G168" s="7"/>
      <c r="H168" s="118"/>
      <c r="I168" s="7" t="s">
        <v>378</v>
      </c>
      <c r="J168" s="7" t="s">
        <v>352</v>
      </c>
      <c r="K168" s="7" t="s">
        <v>354</v>
      </c>
      <c r="L168" s="7"/>
      <c r="M168" s="7"/>
      <c r="N168" s="7"/>
      <c r="O168" s="84" t="str" cm="1">
        <f t="array" ref="O168">_xlfn.XLOOKUP(1,(A168=Geotech!$A$4:$A$10094)*(Data_Discontinuities[[#This Row],[Depth (m)]]&gt;=Geotech!$C$4:$C$10094)*(Data_Discontinuities[[#This Row],[Depth (m)]]&lt;Geotech!$D$4:$D$10094),Geotech!$M$4:$M$10094)</f>
        <v>Boulamarque granodiorite</v>
      </c>
      <c r="P168" s="84"/>
      <c r="Q168" s="84"/>
      <c r="R168" s="84"/>
      <c r="S16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6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68" s="71">
        <f>IFERROR(Data_Discontinuities[[#This Row],[Joint roughness]]/Data_Discontinuities[[#This Row],[Joint alteration]],"")</f>
        <v>1.5</v>
      </c>
      <c r="V16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68" s="87"/>
    </row>
    <row r="169" spans="1:23" ht="15" customHeight="1" x14ac:dyDescent="0.25">
      <c r="A169" s="150" t="s">
        <v>26</v>
      </c>
      <c r="B169" s="17" t="str">
        <f>VLOOKUP(Data_Discontinuities[[#This Row],[Hole ID]],Data_Log[],2,FALSE)</f>
        <v>CGF-01</v>
      </c>
      <c r="C169" s="8">
        <v>135.32</v>
      </c>
      <c r="D169" s="8">
        <v>1</v>
      </c>
      <c r="E169" s="7" t="s">
        <v>445</v>
      </c>
      <c r="F169" s="7"/>
      <c r="G169" s="7"/>
      <c r="H169" s="118"/>
      <c r="I169" s="7" t="s">
        <v>378</v>
      </c>
      <c r="J169" s="7" t="s">
        <v>380</v>
      </c>
      <c r="K169" s="7" t="s">
        <v>382</v>
      </c>
      <c r="L169" s="7" t="s">
        <v>57</v>
      </c>
      <c r="M169" s="7"/>
      <c r="N169" s="7"/>
      <c r="O169" s="84" t="str" cm="1">
        <f t="array" ref="O169">_xlfn.XLOOKUP(1,(A169=Geotech!$A$4:$A$10094)*(Data_Discontinuities[[#This Row],[Depth (m)]]&gt;=Geotech!$C$4:$C$10094)*(Data_Discontinuities[[#This Row],[Depth (m)]]&lt;Geotech!$D$4:$D$10094),Geotech!$M$4:$M$10094)</f>
        <v>Boulamarque granodiorite</v>
      </c>
      <c r="P169" s="84"/>
      <c r="Q169" s="84"/>
      <c r="R169" s="84"/>
      <c r="S1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69" s="71">
        <f>IFERROR(Data_Discontinuities[[#This Row],[Joint roughness]]/Data_Discontinuities[[#This Row],[Joint alteration]],"")</f>
        <v>0.75</v>
      </c>
      <c r="V1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69" s="87"/>
    </row>
    <row r="170" spans="1:23" ht="15" customHeight="1" x14ac:dyDescent="0.25">
      <c r="A170" s="150" t="s">
        <v>26</v>
      </c>
      <c r="B170" s="17" t="str">
        <f>VLOOKUP(Data_Discontinuities[[#This Row],[Hole ID]],Data_Log[],2,FALSE)</f>
        <v>CGF-01</v>
      </c>
      <c r="C170" s="8">
        <v>135.96</v>
      </c>
      <c r="D170" s="8">
        <v>1</v>
      </c>
      <c r="E170" s="7" t="s">
        <v>445</v>
      </c>
      <c r="F170" s="7"/>
      <c r="G170" s="7"/>
      <c r="H170" s="118"/>
      <c r="I170" s="7" t="s">
        <v>286</v>
      </c>
      <c r="J170" s="7" t="s">
        <v>352</v>
      </c>
      <c r="K170" s="7" t="s">
        <v>354</v>
      </c>
      <c r="L170" s="7"/>
      <c r="M170" s="7"/>
      <c r="N170" s="7"/>
      <c r="O170" s="84" t="str" cm="1">
        <f t="array" ref="O170">_xlfn.XLOOKUP(1,(A170=Geotech!$A$4:$A$10094)*(Data_Discontinuities[[#This Row],[Depth (m)]]&gt;=Geotech!$C$4:$C$10094)*(Data_Discontinuities[[#This Row],[Depth (m)]]&lt;Geotech!$D$4:$D$10094),Geotech!$M$4:$M$10094)</f>
        <v>Boulamarque granodiorite</v>
      </c>
      <c r="P170" s="84"/>
      <c r="Q170" s="84"/>
      <c r="R170" s="84"/>
      <c r="S17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70" s="71">
        <f>IFERROR(Data_Discontinuities[[#This Row],[Joint roughness]]/Data_Discontinuities[[#This Row],[Joint alteration]],"")</f>
        <v>1.5</v>
      </c>
      <c r="V17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70" s="87"/>
    </row>
    <row r="171" spans="1:23" ht="15" customHeight="1" x14ac:dyDescent="0.25">
      <c r="A171" s="150" t="s">
        <v>26</v>
      </c>
      <c r="B171" s="17" t="str">
        <f>VLOOKUP(Data_Discontinuities[[#This Row],[Hole ID]],Data_Log[],2,FALSE)</f>
        <v>CGF-01</v>
      </c>
      <c r="C171" s="8">
        <v>137.6</v>
      </c>
      <c r="D171" s="8">
        <v>1</v>
      </c>
      <c r="E171" s="7" t="s">
        <v>445</v>
      </c>
      <c r="F171" s="7"/>
      <c r="G171" s="7"/>
      <c r="H171" s="118"/>
      <c r="I171" s="7" t="s">
        <v>378</v>
      </c>
      <c r="J171" s="7" t="s">
        <v>352</v>
      </c>
      <c r="K171" s="7" t="s">
        <v>290</v>
      </c>
      <c r="L171" s="7"/>
      <c r="M171" s="7"/>
      <c r="N171" s="7"/>
      <c r="O171" s="84" t="str" cm="1">
        <f t="array" ref="O171">_xlfn.XLOOKUP(1,(A171=Geotech!$A$4:$A$10094)*(Data_Discontinuities[[#This Row],[Depth (m)]]&gt;=Geotech!$C$4:$C$10094)*(Data_Discontinuities[[#This Row],[Depth (m)]]&lt;Geotech!$D$4:$D$10094),Geotech!$M$4:$M$10094)</f>
        <v>Boulamarque granodiorite</v>
      </c>
      <c r="P171" s="84"/>
      <c r="Q171" s="84"/>
      <c r="R171" s="84"/>
      <c r="S17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71" s="71">
        <f>IFERROR(Data_Discontinuities[[#This Row],[Joint roughness]]/Data_Discontinuities[[#This Row],[Joint alteration]],"")</f>
        <v>1.5</v>
      </c>
      <c r="V17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71" s="87"/>
    </row>
    <row r="172" spans="1:23" ht="15" customHeight="1" x14ac:dyDescent="0.25">
      <c r="A172" s="150" t="s">
        <v>26</v>
      </c>
      <c r="B172" s="17" t="str">
        <f>VLOOKUP(Data_Discontinuities[[#This Row],[Hole ID]],Data_Log[],2,FALSE)</f>
        <v>CGF-01</v>
      </c>
      <c r="C172" s="8">
        <v>138.38</v>
      </c>
      <c r="D172" s="8">
        <v>1</v>
      </c>
      <c r="E172" s="7" t="s">
        <v>481</v>
      </c>
      <c r="F172" s="7"/>
      <c r="G172" s="7"/>
      <c r="H172" s="118"/>
      <c r="I172" s="7" t="s">
        <v>378</v>
      </c>
      <c r="J172" s="7" t="s">
        <v>352</v>
      </c>
      <c r="K172" s="7" t="s">
        <v>406</v>
      </c>
      <c r="L172" s="7" t="s">
        <v>57</v>
      </c>
      <c r="M172" s="7"/>
      <c r="N172" s="7"/>
      <c r="O172" s="84" t="str" cm="1">
        <f t="array" ref="O172">_xlfn.XLOOKUP(1,(A172=Geotech!$A$4:$A$10094)*(Data_Discontinuities[[#This Row],[Depth (m)]]&gt;=Geotech!$C$4:$C$10094)*(Data_Discontinuities[[#This Row],[Depth (m)]]&lt;Geotech!$D$4:$D$10094),Geotech!$M$4:$M$10094)</f>
        <v>Boulamarque granodiorite</v>
      </c>
      <c r="P172" s="84"/>
      <c r="Q172" s="84"/>
      <c r="R172" s="84"/>
      <c r="S1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72" s="71">
        <f>IFERROR(Data_Discontinuities[[#This Row],[Joint roughness]]/Data_Discontinuities[[#This Row],[Joint alteration]],"")</f>
        <v>0.75</v>
      </c>
      <c r="V1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72" s="87"/>
    </row>
    <row r="173" spans="1:23" ht="15" customHeight="1" x14ac:dyDescent="0.25">
      <c r="A173" s="150" t="s">
        <v>26</v>
      </c>
      <c r="B173" s="17" t="str">
        <f>VLOOKUP(Data_Discontinuities[[#This Row],[Hole ID]],Data_Log[],2,FALSE)</f>
        <v>CGF-01</v>
      </c>
      <c r="C173" s="8">
        <v>139.26</v>
      </c>
      <c r="D173" s="8">
        <v>1</v>
      </c>
      <c r="E173" s="7" t="s">
        <v>420</v>
      </c>
      <c r="F173" s="7"/>
      <c r="G173" s="7"/>
      <c r="H173" s="118"/>
      <c r="I173" s="7" t="s">
        <v>286</v>
      </c>
      <c r="J173" s="7" t="s">
        <v>352</v>
      </c>
      <c r="K173" s="7" t="s">
        <v>354</v>
      </c>
      <c r="L173" s="7"/>
      <c r="M173" s="7"/>
      <c r="N173" s="7"/>
      <c r="O173" s="84" t="str" cm="1">
        <f t="array" ref="O173">_xlfn.XLOOKUP(1,(A173=Geotech!$A$4:$A$10094)*(Data_Discontinuities[[#This Row],[Depth (m)]]&gt;=Geotech!$C$4:$C$10094)*(Data_Discontinuities[[#This Row],[Depth (m)]]&lt;Geotech!$D$4:$D$10094),Geotech!$M$4:$M$10094)</f>
        <v>Boulamarque granodiorite</v>
      </c>
      <c r="P173" s="84"/>
      <c r="Q173" s="84"/>
      <c r="R173" s="84"/>
      <c r="S17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73" s="71">
        <f>IFERROR(Data_Discontinuities[[#This Row],[Joint roughness]]/Data_Discontinuities[[#This Row],[Joint alteration]],"")</f>
        <v>1.5</v>
      </c>
      <c r="V17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73" s="87"/>
    </row>
    <row r="174" spans="1:23" ht="15" customHeight="1" x14ac:dyDescent="0.25">
      <c r="A174" s="150" t="s">
        <v>26</v>
      </c>
      <c r="B174" s="17" t="str">
        <f>VLOOKUP(Data_Discontinuities[[#This Row],[Hole ID]],Data_Log[],2,FALSE)</f>
        <v>CGF-01</v>
      </c>
      <c r="C174" s="8">
        <v>140.44</v>
      </c>
      <c r="D174" s="8">
        <v>1</v>
      </c>
      <c r="E174" s="7" t="s">
        <v>248</v>
      </c>
      <c r="F174" s="7"/>
      <c r="G174" s="7"/>
      <c r="H174" s="118"/>
      <c r="I174" s="7"/>
      <c r="J174" s="7"/>
      <c r="K174" s="7"/>
      <c r="L174" s="7"/>
      <c r="M174" s="7"/>
      <c r="N174" s="7">
        <v>0.03</v>
      </c>
      <c r="O174" s="84" t="str" cm="1">
        <f t="array" ref="O174">_xlfn.XLOOKUP(1,(A174=Geotech!$A$4:$A$10094)*(Data_Discontinuities[[#This Row],[Depth (m)]]&gt;=Geotech!$C$4:$C$10094)*(Data_Discontinuities[[#This Row],[Depth (m)]]&lt;Geotech!$D$4:$D$10094),Geotech!$M$4:$M$10094)</f>
        <v>Boulamarque granodiorite</v>
      </c>
      <c r="P174" s="84"/>
      <c r="Q174" s="84"/>
      <c r="R174" s="84"/>
      <c r="S1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74" s="71" t="str">
        <f>IFERROR(Data_Discontinuities[[#This Row],[Joint roughness]]/Data_Discontinuities[[#This Row],[Joint alteration]],"")</f>
        <v/>
      </c>
      <c r="V1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74" s="87"/>
    </row>
    <row r="175" spans="1:23" ht="15" customHeight="1" x14ac:dyDescent="0.25">
      <c r="A175" s="150" t="s">
        <v>26</v>
      </c>
      <c r="B175" s="17" t="str">
        <f>VLOOKUP(Data_Discontinuities[[#This Row],[Hole ID]],Data_Log[],2,FALSE)</f>
        <v>CGF-01</v>
      </c>
      <c r="C175" s="8">
        <v>140.52000000000001</v>
      </c>
      <c r="D175" s="8">
        <v>1</v>
      </c>
      <c r="E175" s="7" t="s">
        <v>248</v>
      </c>
      <c r="F175" s="7"/>
      <c r="G175" s="7"/>
      <c r="H175" s="118"/>
      <c r="I175" s="7"/>
      <c r="J175" s="7"/>
      <c r="K175" s="7"/>
      <c r="L175" s="7"/>
      <c r="M175" s="7"/>
      <c r="N175" s="7">
        <v>0.04</v>
      </c>
      <c r="O175" s="84" t="str" cm="1">
        <f t="array" ref="O175">_xlfn.XLOOKUP(1,(A175=Geotech!$A$4:$A$10094)*(Data_Discontinuities[[#This Row],[Depth (m)]]&gt;=Geotech!$C$4:$C$10094)*(Data_Discontinuities[[#This Row],[Depth (m)]]&lt;Geotech!$D$4:$D$10094),Geotech!$M$4:$M$10094)</f>
        <v>Boulamarque granodiorite</v>
      </c>
      <c r="P175" s="84"/>
      <c r="Q175" s="84"/>
      <c r="R175" s="84"/>
      <c r="S1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75" s="71" t="str">
        <f>IFERROR(Data_Discontinuities[[#This Row],[Joint roughness]]/Data_Discontinuities[[#This Row],[Joint alteration]],"")</f>
        <v/>
      </c>
      <c r="V1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75" s="87"/>
    </row>
    <row r="176" spans="1:23" ht="15" customHeight="1" x14ac:dyDescent="0.25">
      <c r="A176" s="150" t="s">
        <v>26</v>
      </c>
      <c r="B176" s="17" t="str">
        <f>VLOOKUP(Data_Discontinuities[[#This Row],[Hole ID]],Data_Log[],2,FALSE)</f>
        <v>CGF-01</v>
      </c>
      <c r="C176" s="8">
        <v>140.66999999999999</v>
      </c>
      <c r="D176" s="8">
        <v>1</v>
      </c>
      <c r="E176" s="7" t="s">
        <v>445</v>
      </c>
      <c r="F176" s="7"/>
      <c r="G176" s="7"/>
      <c r="H176" s="118"/>
      <c r="I176" s="7" t="s">
        <v>251</v>
      </c>
      <c r="J176" s="7" t="s">
        <v>320</v>
      </c>
      <c r="K176" s="7" t="s">
        <v>382</v>
      </c>
      <c r="L176" s="7" t="s">
        <v>546</v>
      </c>
      <c r="M176" s="7"/>
      <c r="N176" s="7"/>
      <c r="O176" s="84" t="str" cm="1">
        <f t="array" ref="O176">_xlfn.XLOOKUP(1,(A176=Geotech!$A$4:$A$10094)*(Data_Discontinuities[[#This Row],[Depth (m)]]&gt;=Geotech!$C$4:$C$10094)*(Data_Discontinuities[[#This Row],[Depth (m)]]&lt;Geotech!$D$4:$D$10094),Geotech!$M$4:$M$10094)</f>
        <v>Boulamarque granodiorite</v>
      </c>
      <c r="P176" s="84"/>
      <c r="Q176" s="84"/>
      <c r="R176" s="84"/>
      <c r="S1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76" s="71">
        <f>IFERROR(Data_Discontinuities[[#This Row],[Joint roughness]]/Data_Discontinuities[[#This Row],[Joint alteration]],"")</f>
        <v>0.25</v>
      </c>
      <c r="V1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76" s="87"/>
    </row>
    <row r="177" spans="1:23" ht="15" customHeight="1" x14ac:dyDescent="0.25">
      <c r="A177" s="150" t="s">
        <v>26</v>
      </c>
      <c r="B177" s="17" t="str">
        <f>VLOOKUP(Data_Discontinuities[[#This Row],[Hole ID]],Data_Log[],2,FALSE)</f>
        <v>CGF-01</v>
      </c>
      <c r="C177" s="8">
        <v>141</v>
      </c>
      <c r="D177" s="8">
        <v>1</v>
      </c>
      <c r="E177" s="7" t="s">
        <v>420</v>
      </c>
      <c r="F177" s="7"/>
      <c r="G177" s="7"/>
      <c r="H177" s="118"/>
      <c r="I177" s="7" t="s">
        <v>286</v>
      </c>
      <c r="J177" s="7" t="s">
        <v>352</v>
      </c>
      <c r="K177" s="7" t="s">
        <v>354</v>
      </c>
      <c r="L177" s="7"/>
      <c r="M177" s="7"/>
      <c r="N177" s="7"/>
      <c r="O177" s="84" t="str" cm="1">
        <f t="array" ref="O177">_xlfn.XLOOKUP(1,(A177=Geotech!$A$4:$A$10094)*(Data_Discontinuities[[#This Row],[Depth (m)]]&gt;=Geotech!$C$4:$C$10094)*(Data_Discontinuities[[#This Row],[Depth (m)]]&lt;Geotech!$D$4:$D$10094),Geotech!$M$4:$M$10094)</f>
        <v>Diorite</v>
      </c>
      <c r="P177" s="84"/>
      <c r="Q177" s="84"/>
      <c r="R177" s="84"/>
      <c r="S1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77" s="71">
        <f>IFERROR(Data_Discontinuities[[#This Row],[Joint roughness]]/Data_Discontinuities[[#This Row],[Joint alteration]],"")</f>
        <v>1.5</v>
      </c>
      <c r="V1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77" s="87"/>
    </row>
    <row r="178" spans="1:23" ht="15" customHeight="1" x14ac:dyDescent="0.25">
      <c r="A178" s="150" t="s">
        <v>26</v>
      </c>
      <c r="B178" s="17" t="str">
        <f>VLOOKUP(Data_Discontinuities[[#This Row],[Hole ID]],Data_Log[],2,FALSE)</f>
        <v>CGF-01</v>
      </c>
      <c r="C178" s="8">
        <v>141.12</v>
      </c>
      <c r="D178" s="8">
        <v>1</v>
      </c>
      <c r="E178" s="7" t="s">
        <v>420</v>
      </c>
      <c r="F178" s="7"/>
      <c r="G178" s="7"/>
      <c r="H178" s="118"/>
      <c r="I178" s="7" t="s">
        <v>286</v>
      </c>
      <c r="J178" s="7" t="s">
        <v>320</v>
      </c>
      <c r="K178" s="7" t="s">
        <v>382</v>
      </c>
      <c r="L178" s="7" t="s">
        <v>437</v>
      </c>
      <c r="M178" s="7"/>
      <c r="N178" s="7"/>
      <c r="O178" s="84" t="str" cm="1">
        <f t="array" ref="O178">_xlfn.XLOOKUP(1,(A178=Geotech!$A$4:$A$10094)*(Data_Discontinuities[[#This Row],[Depth (m)]]&gt;=Geotech!$C$4:$C$10094)*(Data_Discontinuities[[#This Row],[Depth (m)]]&lt;Geotech!$D$4:$D$10094),Geotech!$M$4:$M$10094)</f>
        <v>Diorite</v>
      </c>
      <c r="P178" s="84"/>
      <c r="Q178" s="84"/>
      <c r="R178" s="84"/>
      <c r="S1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78" s="71">
        <f>IFERROR(Data_Discontinuities[[#This Row],[Joint roughness]]/Data_Discontinuities[[#This Row],[Joint alteration]],"")</f>
        <v>0.5</v>
      </c>
      <c r="V1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78" s="87"/>
    </row>
    <row r="179" spans="1:23" ht="15" customHeight="1" x14ac:dyDescent="0.25">
      <c r="A179" s="150" t="s">
        <v>26</v>
      </c>
      <c r="B179" s="17" t="str">
        <f>VLOOKUP(Data_Discontinuities[[#This Row],[Hole ID]],Data_Log[],2,FALSE)</f>
        <v>CGF-01</v>
      </c>
      <c r="C179" s="8">
        <v>141.76</v>
      </c>
      <c r="D179" s="8">
        <v>1</v>
      </c>
      <c r="E179" s="7" t="s">
        <v>420</v>
      </c>
      <c r="F179" s="7"/>
      <c r="G179" s="7"/>
      <c r="H179" s="118"/>
      <c r="I179" s="7" t="s">
        <v>286</v>
      </c>
      <c r="J179" s="7" t="s">
        <v>352</v>
      </c>
      <c r="K179" s="7" t="s">
        <v>382</v>
      </c>
      <c r="L179" s="7" t="s">
        <v>437</v>
      </c>
      <c r="M179" s="7"/>
      <c r="N179" s="7"/>
      <c r="O179" s="84" t="str" cm="1">
        <f t="array" ref="O179">_xlfn.XLOOKUP(1,(A179=Geotech!$A$4:$A$10094)*(Data_Discontinuities[[#This Row],[Depth (m)]]&gt;=Geotech!$C$4:$C$10094)*(Data_Discontinuities[[#This Row],[Depth (m)]]&lt;Geotech!$D$4:$D$10094),Geotech!$M$4:$M$10094)</f>
        <v>Diorite</v>
      </c>
      <c r="P179" s="84"/>
      <c r="Q179" s="84"/>
      <c r="R179" s="84"/>
      <c r="S1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79" s="71">
        <f>IFERROR(Data_Discontinuities[[#This Row],[Joint roughness]]/Data_Discontinuities[[#This Row],[Joint alteration]],"")</f>
        <v>0.75</v>
      </c>
      <c r="V1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79" s="87"/>
    </row>
    <row r="180" spans="1:23" ht="15" customHeight="1" x14ac:dyDescent="0.25">
      <c r="A180" s="150" t="s">
        <v>26</v>
      </c>
      <c r="B180" s="17" t="str">
        <f>VLOOKUP(Data_Discontinuities[[#This Row],[Hole ID]],Data_Log[],2,FALSE)</f>
        <v>CGF-01</v>
      </c>
      <c r="C180" s="8">
        <v>144.44999999999999</v>
      </c>
      <c r="D180" s="8">
        <v>1</v>
      </c>
      <c r="E180" s="7" t="s">
        <v>445</v>
      </c>
      <c r="F180" s="7"/>
      <c r="G180" s="7"/>
      <c r="H180" s="118"/>
      <c r="I180" s="7" t="s">
        <v>286</v>
      </c>
      <c r="J180" s="7" t="s">
        <v>320</v>
      </c>
      <c r="K180" s="7" t="s">
        <v>354</v>
      </c>
      <c r="L180" s="7"/>
      <c r="M180" s="7"/>
      <c r="N180" s="7"/>
      <c r="O180" s="84" t="str" cm="1">
        <f t="array" ref="O180">_xlfn.XLOOKUP(1,(A180=Geotech!$A$4:$A$10094)*(Data_Discontinuities[[#This Row],[Depth (m)]]&gt;=Geotech!$C$4:$C$10094)*(Data_Discontinuities[[#This Row],[Depth (m)]]&lt;Geotech!$D$4:$D$10094),Geotech!$M$4:$M$10094)</f>
        <v>Boulamarque granodiorite</v>
      </c>
      <c r="P180" s="84"/>
      <c r="Q180" s="84"/>
      <c r="R180" s="84"/>
      <c r="S1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80" s="71">
        <f>IFERROR(Data_Discontinuities[[#This Row],[Joint roughness]]/Data_Discontinuities[[#This Row],[Joint alteration]],"")</f>
        <v>1</v>
      </c>
      <c r="V1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80" s="87"/>
    </row>
    <row r="181" spans="1:23" ht="15" customHeight="1" x14ac:dyDescent="0.25">
      <c r="A181" s="150" t="s">
        <v>26</v>
      </c>
      <c r="B181" s="17" t="str">
        <f>VLOOKUP(Data_Discontinuities[[#This Row],[Hole ID]],Data_Log[],2,FALSE)</f>
        <v>CGF-01</v>
      </c>
      <c r="C181" s="8">
        <v>144.58000000000001</v>
      </c>
      <c r="D181" s="8">
        <v>1</v>
      </c>
      <c r="E181" s="7" t="s">
        <v>248</v>
      </c>
      <c r="F181" s="7"/>
      <c r="G181" s="7"/>
      <c r="H181" s="118"/>
      <c r="I181" s="7"/>
      <c r="J181" s="7"/>
      <c r="K181" s="7"/>
      <c r="L181" s="7"/>
      <c r="M181" s="7"/>
      <c r="N181" s="7">
        <v>0.15</v>
      </c>
      <c r="O181" s="84" t="str" cm="1">
        <f t="array" ref="O181">_xlfn.XLOOKUP(1,(A181=Geotech!$A$4:$A$10094)*(Data_Discontinuities[[#This Row],[Depth (m)]]&gt;=Geotech!$C$4:$C$10094)*(Data_Discontinuities[[#This Row],[Depth (m)]]&lt;Geotech!$D$4:$D$10094),Geotech!$M$4:$M$10094)</f>
        <v>Boulamarque granodiorite</v>
      </c>
      <c r="P181" s="84"/>
      <c r="Q181" s="84"/>
      <c r="R181" s="84"/>
      <c r="S1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81" s="71" t="str">
        <f>IFERROR(Data_Discontinuities[[#This Row],[Joint roughness]]/Data_Discontinuities[[#This Row],[Joint alteration]],"")</f>
        <v/>
      </c>
      <c r="V1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81" s="87"/>
    </row>
    <row r="182" spans="1:23" ht="15" customHeight="1" x14ac:dyDescent="0.25">
      <c r="A182" s="150" t="s">
        <v>26</v>
      </c>
      <c r="B182" s="17" t="str">
        <f>VLOOKUP(Data_Discontinuities[[#This Row],[Hole ID]],Data_Log[],2,FALSE)</f>
        <v>CGF-01</v>
      </c>
      <c r="C182" s="8">
        <v>145.04</v>
      </c>
      <c r="D182" s="8">
        <v>1</v>
      </c>
      <c r="E182" s="7" t="s">
        <v>445</v>
      </c>
      <c r="F182" s="7"/>
      <c r="G182" s="7"/>
      <c r="H182" s="118"/>
      <c r="I182" s="7" t="s">
        <v>286</v>
      </c>
      <c r="J182" s="7" t="s">
        <v>320</v>
      </c>
      <c r="K182" s="7" t="s">
        <v>382</v>
      </c>
      <c r="L182" s="7" t="s">
        <v>546</v>
      </c>
      <c r="M182" s="7"/>
      <c r="N182" s="7"/>
      <c r="O182" s="84" t="str" cm="1">
        <f t="array" ref="O182">_xlfn.XLOOKUP(1,(A182=Geotech!$A$4:$A$10094)*(Data_Discontinuities[[#This Row],[Depth (m)]]&gt;=Geotech!$C$4:$C$10094)*(Data_Discontinuities[[#This Row],[Depth (m)]]&lt;Geotech!$D$4:$D$10094),Geotech!$M$4:$M$10094)</f>
        <v>Boulamarque granodiorite</v>
      </c>
      <c r="P182" s="84"/>
      <c r="Q182" s="84"/>
      <c r="R182" s="84"/>
      <c r="S1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82" s="71">
        <f>IFERROR(Data_Discontinuities[[#This Row],[Joint roughness]]/Data_Discontinuities[[#This Row],[Joint alteration]],"")</f>
        <v>0.5</v>
      </c>
      <c r="V1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82" s="87"/>
    </row>
    <row r="183" spans="1:23" ht="15" customHeight="1" x14ac:dyDescent="0.25">
      <c r="A183" s="150" t="s">
        <v>26</v>
      </c>
      <c r="B183" s="17" t="str">
        <f>VLOOKUP(Data_Discontinuities[[#This Row],[Hole ID]],Data_Log[],2,FALSE)</f>
        <v>CGF-01</v>
      </c>
      <c r="C183" s="8">
        <v>145.21</v>
      </c>
      <c r="D183" s="8">
        <v>1</v>
      </c>
      <c r="E183" s="7" t="s">
        <v>445</v>
      </c>
      <c r="F183" s="7"/>
      <c r="G183" s="7"/>
      <c r="H183" s="118"/>
      <c r="I183" s="7" t="s">
        <v>286</v>
      </c>
      <c r="J183" s="7" t="s">
        <v>352</v>
      </c>
      <c r="K183" s="7" t="s">
        <v>406</v>
      </c>
      <c r="L183" s="7" t="s">
        <v>447</v>
      </c>
      <c r="M183" s="7" t="s">
        <v>546</v>
      </c>
      <c r="N183" s="7"/>
      <c r="O183" s="84" t="str" cm="1">
        <f t="array" ref="O183">_xlfn.XLOOKUP(1,(A183=Geotech!$A$4:$A$10094)*(Data_Discontinuities[[#This Row],[Depth (m)]]&gt;=Geotech!$C$4:$C$10094)*(Data_Discontinuities[[#This Row],[Depth (m)]]&lt;Geotech!$D$4:$D$10094),Geotech!$M$4:$M$10094)</f>
        <v>Boulamarque granodiorite</v>
      </c>
      <c r="P183" s="84"/>
      <c r="Q183" s="84"/>
      <c r="R183" s="84"/>
      <c r="S1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183" s="71">
        <f>IFERROR(Data_Discontinuities[[#This Row],[Joint roughness]]/Data_Discontinuities[[#This Row],[Joint alteration]],"")</f>
        <v>1</v>
      </c>
      <c r="V1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83" s="87"/>
    </row>
    <row r="184" spans="1:23" ht="15" customHeight="1" x14ac:dyDescent="0.25">
      <c r="A184" s="150" t="s">
        <v>26</v>
      </c>
      <c r="B184" s="17" t="str">
        <f>VLOOKUP(Data_Discontinuities[[#This Row],[Hole ID]],Data_Log[],2,FALSE)</f>
        <v>CGF-01</v>
      </c>
      <c r="C184" s="8">
        <v>145.58000000000001</v>
      </c>
      <c r="D184" s="8">
        <v>1</v>
      </c>
      <c r="E184" s="7" t="s">
        <v>248</v>
      </c>
      <c r="F184" s="7"/>
      <c r="G184" s="7"/>
      <c r="H184" s="118"/>
      <c r="I184" s="7"/>
      <c r="J184" s="7"/>
      <c r="K184" s="7"/>
      <c r="L184" s="7"/>
      <c r="M184" s="7"/>
      <c r="N184" s="7">
        <v>0.5</v>
      </c>
      <c r="O184" s="84" t="str" cm="1">
        <f t="array" ref="O184">_xlfn.XLOOKUP(1,(A184=Geotech!$A$4:$A$10094)*(Data_Discontinuities[[#This Row],[Depth (m)]]&gt;=Geotech!$C$4:$C$10094)*(Data_Discontinuities[[#This Row],[Depth (m)]]&lt;Geotech!$D$4:$D$10094),Geotech!$M$4:$M$10094)</f>
        <v>Boulamarque granodiorite</v>
      </c>
      <c r="P184" s="84"/>
      <c r="Q184" s="84"/>
      <c r="R184" s="84"/>
      <c r="S1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84" s="71" t="str">
        <f>IFERROR(Data_Discontinuities[[#This Row],[Joint roughness]]/Data_Discontinuities[[#This Row],[Joint alteration]],"")</f>
        <v/>
      </c>
      <c r="V1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84" s="87"/>
    </row>
    <row r="185" spans="1:23" ht="15" customHeight="1" x14ac:dyDescent="0.25">
      <c r="A185" s="150" t="s">
        <v>26</v>
      </c>
      <c r="B185" s="17" t="str">
        <f>VLOOKUP(Data_Discontinuities[[#This Row],[Hole ID]],Data_Log[],2,FALSE)</f>
        <v>CGF-01</v>
      </c>
      <c r="C185" s="8">
        <v>147.47999999999999</v>
      </c>
      <c r="D185" s="8">
        <v>1</v>
      </c>
      <c r="E185" s="7" t="s">
        <v>420</v>
      </c>
      <c r="F185" s="7"/>
      <c r="G185" s="7"/>
      <c r="H185" s="118"/>
      <c r="I185" s="7" t="s">
        <v>251</v>
      </c>
      <c r="J185" s="7" t="s">
        <v>352</v>
      </c>
      <c r="K185" s="7" t="s">
        <v>322</v>
      </c>
      <c r="L185" s="7"/>
      <c r="M185" s="7"/>
      <c r="N185" s="7"/>
      <c r="O185" s="84" t="str" cm="1">
        <f t="array" ref="O185">_xlfn.XLOOKUP(1,(A185=Geotech!$A$4:$A$10094)*(Data_Discontinuities[[#This Row],[Depth (m)]]&gt;=Geotech!$C$4:$C$10094)*(Data_Discontinuities[[#This Row],[Depth (m)]]&lt;Geotech!$D$4:$D$10094),Geotech!$M$4:$M$10094)</f>
        <v>Boulamarque granodiorite</v>
      </c>
      <c r="P185" s="84"/>
      <c r="Q185" s="84"/>
      <c r="R185" s="84"/>
      <c r="S1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185" s="71">
        <f>IFERROR(Data_Discontinuities[[#This Row],[Joint roughness]]/Data_Discontinuities[[#This Row],[Joint alteration]],"")</f>
        <v>1.5</v>
      </c>
      <c r="V1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85" s="87"/>
    </row>
    <row r="186" spans="1:23" ht="15" customHeight="1" x14ac:dyDescent="0.25">
      <c r="A186" s="150" t="s">
        <v>26</v>
      </c>
      <c r="B186" s="17" t="str">
        <f>VLOOKUP(Data_Discontinuities[[#This Row],[Hole ID]],Data_Log[],2,FALSE)</f>
        <v>CGF-01</v>
      </c>
      <c r="C186" s="8">
        <v>147.68</v>
      </c>
      <c r="D186" s="8">
        <v>1</v>
      </c>
      <c r="E186" s="7" t="s">
        <v>420</v>
      </c>
      <c r="F186" s="7"/>
      <c r="G186" s="7"/>
      <c r="H186" s="118"/>
      <c r="I186" s="7" t="s">
        <v>286</v>
      </c>
      <c r="J186" s="7" t="s">
        <v>320</v>
      </c>
      <c r="K186" s="7" t="s">
        <v>354</v>
      </c>
      <c r="L186" s="7"/>
      <c r="M186" s="7"/>
      <c r="N186" s="7"/>
      <c r="O186" s="84" t="str" cm="1">
        <f t="array" ref="O186">_xlfn.XLOOKUP(1,(A186=Geotech!$A$4:$A$10094)*(Data_Discontinuities[[#This Row],[Depth (m)]]&gt;=Geotech!$C$4:$C$10094)*(Data_Discontinuities[[#This Row],[Depth (m)]]&lt;Geotech!$D$4:$D$10094),Geotech!$M$4:$M$10094)</f>
        <v>Boulamarque granodiorite</v>
      </c>
      <c r="P186" s="84"/>
      <c r="Q186" s="84"/>
      <c r="R186" s="84"/>
      <c r="S1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86" s="71">
        <f>IFERROR(Data_Discontinuities[[#This Row],[Joint roughness]]/Data_Discontinuities[[#This Row],[Joint alteration]],"")</f>
        <v>1</v>
      </c>
      <c r="V1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86" s="87"/>
    </row>
    <row r="187" spans="1:23" ht="15" customHeight="1" x14ac:dyDescent="0.25">
      <c r="A187" s="150" t="s">
        <v>26</v>
      </c>
      <c r="B187" s="17" t="str">
        <f>VLOOKUP(Data_Discontinuities[[#This Row],[Hole ID]],Data_Log[],2,FALSE)</f>
        <v>CGF-01</v>
      </c>
      <c r="C187" s="8">
        <v>149.22</v>
      </c>
      <c r="D187" s="8">
        <v>1</v>
      </c>
      <c r="E187" s="7" t="s">
        <v>420</v>
      </c>
      <c r="F187" s="7"/>
      <c r="G187" s="7"/>
      <c r="H187" s="118"/>
      <c r="I187" s="7" t="s">
        <v>286</v>
      </c>
      <c r="J187" s="7" t="s">
        <v>380</v>
      </c>
      <c r="K187" s="7" t="s">
        <v>354</v>
      </c>
      <c r="L187" s="7"/>
      <c r="M187" s="7"/>
      <c r="N187" s="7"/>
      <c r="O187" s="84" t="str" cm="1">
        <f t="array" ref="O187">_xlfn.XLOOKUP(1,(A187=Geotech!$A$4:$A$10094)*(Data_Discontinuities[[#This Row],[Depth (m)]]&gt;=Geotech!$C$4:$C$10094)*(Data_Discontinuities[[#This Row],[Depth (m)]]&lt;Geotech!$D$4:$D$10094),Geotech!$M$4:$M$10094)</f>
        <v>Boulamarque granodiorite</v>
      </c>
      <c r="P187" s="84"/>
      <c r="Q187" s="84"/>
      <c r="R187" s="84"/>
      <c r="S1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87" s="71">
        <f>IFERROR(Data_Discontinuities[[#This Row],[Joint roughness]]/Data_Discontinuities[[#This Row],[Joint alteration]],"")</f>
        <v>1.5</v>
      </c>
      <c r="V1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87" s="87"/>
    </row>
    <row r="188" spans="1:23" ht="15" customHeight="1" x14ac:dyDescent="0.25">
      <c r="A188" s="150" t="s">
        <v>26</v>
      </c>
      <c r="B188" s="17" t="str">
        <f>VLOOKUP(Data_Discontinuities[[#This Row],[Hole ID]],Data_Log[],2,FALSE)</f>
        <v>CGF-01</v>
      </c>
      <c r="C188" s="8">
        <v>149.33000000000001</v>
      </c>
      <c r="D188" s="8">
        <v>1</v>
      </c>
      <c r="E188" s="7" t="s">
        <v>248</v>
      </c>
      <c r="F188" s="7"/>
      <c r="G188" s="7"/>
      <c r="H188" s="118"/>
      <c r="I188" s="7"/>
      <c r="J188" s="7"/>
      <c r="K188" s="7"/>
      <c r="L188" s="7"/>
      <c r="M188" s="7"/>
      <c r="N188" s="7">
        <v>0.03</v>
      </c>
      <c r="O188" s="84" t="str" cm="1">
        <f t="array" ref="O188">_xlfn.XLOOKUP(1,(A188=Geotech!$A$4:$A$10094)*(Data_Discontinuities[[#This Row],[Depth (m)]]&gt;=Geotech!$C$4:$C$10094)*(Data_Discontinuities[[#This Row],[Depth (m)]]&lt;Geotech!$D$4:$D$10094),Geotech!$M$4:$M$10094)</f>
        <v>Boulamarque granodiorite</v>
      </c>
      <c r="P188" s="84"/>
      <c r="Q188" s="84"/>
      <c r="R188" s="84"/>
      <c r="S1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88" s="71" t="str">
        <f>IFERROR(Data_Discontinuities[[#This Row],[Joint roughness]]/Data_Discontinuities[[#This Row],[Joint alteration]],"")</f>
        <v/>
      </c>
      <c r="V1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88" s="87"/>
    </row>
    <row r="189" spans="1:23" ht="15" customHeight="1" x14ac:dyDescent="0.25">
      <c r="A189" s="150" t="s">
        <v>26</v>
      </c>
      <c r="B189" s="17" t="str">
        <f>VLOOKUP(Data_Discontinuities[[#This Row],[Hole ID]],Data_Log[],2,FALSE)</f>
        <v>CGF-01</v>
      </c>
      <c r="C189" s="8">
        <v>149.46</v>
      </c>
      <c r="D189" s="8">
        <v>1</v>
      </c>
      <c r="E189" s="7" t="s">
        <v>420</v>
      </c>
      <c r="F189" s="7"/>
      <c r="G189" s="7"/>
      <c r="H189" s="118"/>
      <c r="I189" s="7" t="s">
        <v>286</v>
      </c>
      <c r="J189" s="7" t="s">
        <v>320</v>
      </c>
      <c r="K189" s="7" t="s">
        <v>354</v>
      </c>
      <c r="L189" s="7"/>
      <c r="M189" s="7"/>
      <c r="N189" s="7"/>
      <c r="O189" s="84" t="str" cm="1">
        <f t="array" ref="O189">_xlfn.XLOOKUP(1,(A189=Geotech!$A$4:$A$10094)*(Data_Discontinuities[[#This Row],[Depth (m)]]&gt;=Geotech!$C$4:$C$10094)*(Data_Discontinuities[[#This Row],[Depth (m)]]&lt;Geotech!$D$4:$D$10094),Geotech!$M$4:$M$10094)</f>
        <v>Boulamarque granodiorite</v>
      </c>
      <c r="P189" s="84"/>
      <c r="Q189" s="84"/>
      <c r="R189" s="84"/>
      <c r="S18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18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89" s="71">
        <f>IFERROR(Data_Discontinuities[[#This Row],[Joint roughness]]/Data_Discontinuities[[#This Row],[Joint alteration]],"")</f>
        <v>1</v>
      </c>
      <c r="V18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89" s="87"/>
    </row>
    <row r="190" spans="1:23" ht="15" customHeight="1" x14ac:dyDescent="0.25">
      <c r="A190" s="150" t="s">
        <v>26</v>
      </c>
      <c r="B190" s="17" t="str">
        <f>VLOOKUP(Data_Discontinuities[[#This Row],[Hole ID]],Data_Log[],2,FALSE)</f>
        <v>CGF-01</v>
      </c>
      <c r="C190" s="8">
        <v>150.91</v>
      </c>
      <c r="D190" s="8">
        <v>1</v>
      </c>
      <c r="E190" s="7" t="s">
        <v>420</v>
      </c>
      <c r="F190" s="7"/>
      <c r="G190" s="7"/>
      <c r="H190" s="118"/>
      <c r="I190" s="7" t="s">
        <v>251</v>
      </c>
      <c r="J190" s="7" t="s">
        <v>320</v>
      </c>
      <c r="K190" s="7" t="s">
        <v>354</v>
      </c>
      <c r="L190" s="7"/>
      <c r="M190" s="7"/>
      <c r="N190" s="7"/>
      <c r="O190" s="84" t="str" cm="1">
        <f t="array" ref="O190">_xlfn.XLOOKUP(1,(A190=Geotech!$A$4:$A$10094)*(Data_Discontinuities[[#This Row],[Depth (m)]]&gt;=Geotech!$C$4:$C$10094)*(Data_Discontinuities[[#This Row],[Depth (m)]]&lt;Geotech!$D$4:$D$10094),Geotech!$M$4:$M$10094)</f>
        <v>Boulamarque granodiorite</v>
      </c>
      <c r="P190" s="84"/>
      <c r="Q190" s="84"/>
      <c r="R190" s="84"/>
      <c r="S1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0" s="71">
        <f>IFERROR(Data_Discontinuities[[#This Row],[Joint roughness]]/Data_Discontinuities[[#This Row],[Joint alteration]],"")</f>
        <v>0.5</v>
      </c>
      <c r="V1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90" s="87"/>
    </row>
    <row r="191" spans="1:23" ht="15" customHeight="1" x14ac:dyDescent="0.25">
      <c r="A191" s="150" t="s">
        <v>26</v>
      </c>
      <c r="B191" s="17" t="str">
        <f>VLOOKUP(Data_Discontinuities[[#This Row],[Hole ID]],Data_Log[],2,FALSE)</f>
        <v>CGF-01</v>
      </c>
      <c r="C191" s="8">
        <v>150.99</v>
      </c>
      <c r="D191" s="8">
        <v>1</v>
      </c>
      <c r="E191" s="7" t="s">
        <v>348</v>
      </c>
      <c r="F191" s="7"/>
      <c r="G191" s="7"/>
      <c r="H191" s="118"/>
      <c r="I191" s="7" t="s">
        <v>251</v>
      </c>
      <c r="J191" s="7" t="s">
        <v>320</v>
      </c>
      <c r="K191" s="7" t="s">
        <v>354</v>
      </c>
      <c r="L191" s="7"/>
      <c r="M191" s="7"/>
      <c r="N191" s="7"/>
      <c r="O191" s="84" t="str" cm="1">
        <f t="array" ref="O191">_xlfn.XLOOKUP(1,(A191=Geotech!$A$4:$A$10094)*(Data_Discontinuities[[#This Row],[Depth (m)]]&gt;=Geotech!$C$4:$C$10094)*(Data_Discontinuities[[#This Row],[Depth (m)]]&lt;Geotech!$D$4:$D$10094),Geotech!$M$4:$M$10094)</f>
        <v>Boulamarque granodiorite</v>
      </c>
      <c r="P191" s="84"/>
      <c r="Q191" s="84"/>
      <c r="R191" s="84"/>
      <c r="S1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1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1" s="71">
        <f>IFERROR(Data_Discontinuities[[#This Row],[Joint roughness]]/Data_Discontinuities[[#This Row],[Joint alteration]],"")</f>
        <v>0.5</v>
      </c>
      <c r="V1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191" s="87"/>
    </row>
    <row r="192" spans="1:23" ht="15" customHeight="1" x14ac:dyDescent="0.25">
      <c r="A192" s="150" t="s">
        <v>26</v>
      </c>
      <c r="B192" s="17" t="str">
        <f>VLOOKUP(Data_Discontinuities[[#This Row],[Hole ID]],Data_Log[],2,FALSE)</f>
        <v>CGF-01</v>
      </c>
      <c r="C192" s="8">
        <v>151.29</v>
      </c>
      <c r="D192" s="8">
        <v>1</v>
      </c>
      <c r="E192" s="7" t="s">
        <v>420</v>
      </c>
      <c r="F192" s="7"/>
      <c r="G192" s="7"/>
      <c r="H192" s="118"/>
      <c r="I192" s="7" t="s">
        <v>286</v>
      </c>
      <c r="J192" s="7" t="s">
        <v>352</v>
      </c>
      <c r="K192" s="7" t="s">
        <v>382</v>
      </c>
      <c r="L192" s="7" t="s">
        <v>437</v>
      </c>
      <c r="M192" s="7"/>
      <c r="N192" s="7"/>
      <c r="O192" s="84" t="str" cm="1">
        <f t="array" ref="O192">_xlfn.XLOOKUP(1,(A192=Geotech!$A$4:$A$10094)*(Data_Discontinuities[[#This Row],[Depth (m)]]&gt;=Geotech!$C$4:$C$10094)*(Data_Discontinuities[[#This Row],[Depth (m)]]&lt;Geotech!$D$4:$D$10094),Geotech!$M$4:$M$10094)</f>
        <v>Boulamarque granodiorite</v>
      </c>
      <c r="P192" s="84"/>
      <c r="Q192" s="84"/>
      <c r="R192" s="84"/>
      <c r="S19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92" s="71">
        <f>IFERROR(Data_Discontinuities[[#This Row],[Joint roughness]]/Data_Discontinuities[[#This Row],[Joint alteration]],"")</f>
        <v>0.75</v>
      </c>
      <c r="V19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92" s="87"/>
    </row>
    <row r="193" spans="1:23" ht="15" customHeight="1" x14ac:dyDescent="0.25">
      <c r="A193" s="150" t="s">
        <v>26</v>
      </c>
      <c r="B193" s="17" t="str">
        <f>VLOOKUP(Data_Discontinuities[[#This Row],[Hole ID]],Data_Log[],2,FALSE)</f>
        <v>CGF-01</v>
      </c>
      <c r="C193" s="8">
        <v>151.63999999999999</v>
      </c>
      <c r="D193" s="8">
        <v>1</v>
      </c>
      <c r="E193" s="7" t="s">
        <v>420</v>
      </c>
      <c r="F193" s="7"/>
      <c r="G193" s="7"/>
      <c r="H193" s="118"/>
      <c r="I193" s="7" t="s">
        <v>286</v>
      </c>
      <c r="J193" s="7" t="s">
        <v>288</v>
      </c>
      <c r="K193" s="7" t="s">
        <v>382</v>
      </c>
      <c r="L193" s="7" t="s">
        <v>546</v>
      </c>
      <c r="M193" s="7" t="s">
        <v>437</v>
      </c>
      <c r="N193" s="7"/>
      <c r="O193" s="84" t="str" cm="1">
        <f t="array" ref="O193">_xlfn.XLOOKUP(1,(A193=Geotech!$A$4:$A$10094)*(Data_Discontinuities[[#This Row],[Depth (m)]]&gt;=Geotech!$C$4:$C$10094)*(Data_Discontinuities[[#This Row],[Depth (m)]]&lt;Geotech!$D$4:$D$10094),Geotech!$M$4:$M$10094)</f>
        <v>Boulamarque granodiorite</v>
      </c>
      <c r="P193" s="84"/>
      <c r="Q193" s="84"/>
      <c r="R193" s="84"/>
      <c r="S1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93" s="71">
        <f>IFERROR(Data_Discontinuities[[#This Row],[Joint roughness]]/Data_Discontinuities[[#This Row],[Joint alteration]],"")</f>
        <v>0.375</v>
      </c>
      <c r="V1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193" s="87"/>
    </row>
    <row r="194" spans="1:23" ht="15" customHeight="1" x14ac:dyDescent="0.25">
      <c r="A194" s="150" t="s">
        <v>26</v>
      </c>
      <c r="B194" s="17" t="str">
        <f>VLOOKUP(Data_Discontinuities[[#This Row],[Hole ID]],Data_Log[],2,FALSE)</f>
        <v>CGF-01</v>
      </c>
      <c r="C194" s="8">
        <v>153.69</v>
      </c>
      <c r="D194" s="8">
        <v>1</v>
      </c>
      <c r="E194" s="7" t="s">
        <v>420</v>
      </c>
      <c r="F194" s="7"/>
      <c r="G194" s="7"/>
      <c r="H194" s="118"/>
      <c r="I194" s="7" t="s">
        <v>286</v>
      </c>
      <c r="J194" s="7" t="s">
        <v>352</v>
      </c>
      <c r="K194" s="7" t="s">
        <v>354</v>
      </c>
      <c r="L194" s="7"/>
      <c r="M194" s="7"/>
      <c r="N194" s="7"/>
      <c r="O194" s="84" t="str" cm="1">
        <f t="array" ref="O194">_xlfn.XLOOKUP(1,(A194=Geotech!$A$4:$A$10094)*(Data_Discontinuities[[#This Row],[Depth (m)]]&gt;=Geotech!$C$4:$C$10094)*(Data_Discontinuities[[#This Row],[Depth (m)]]&lt;Geotech!$D$4:$D$10094),Geotech!$M$4:$M$10094)</f>
        <v>Boulamarque granodiorite</v>
      </c>
      <c r="P194" s="84"/>
      <c r="Q194" s="84"/>
      <c r="R194" s="84"/>
      <c r="S1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4" s="71">
        <f>IFERROR(Data_Discontinuities[[#This Row],[Joint roughness]]/Data_Discontinuities[[#This Row],[Joint alteration]],"")</f>
        <v>1.5</v>
      </c>
      <c r="V1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94" s="87"/>
    </row>
    <row r="195" spans="1:23" ht="15" customHeight="1" x14ac:dyDescent="0.25">
      <c r="A195" s="150" t="s">
        <v>26</v>
      </c>
      <c r="B195" s="17" t="str">
        <f>VLOOKUP(Data_Discontinuities[[#This Row],[Hole ID]],Data_Log[],2,FALSE)</f>
        <v>CGF-01</v>
      </c>
      <c r="C195" s="8">
        <v>153.88</v>
      </c>
      <c r="D195" s="8">
        <v>1</v>
      </c>
      <c r="E195" s="7" t="s">
        <v>445</v>
      </c>
      <c r="F195" s="7"/>
      <c r="G195" s="7"/>
      <c r="H195" s="118"/>
      <c r="I195" s="7" t="s">
        <v>286</v>
      </c>
      <c r="J195" s="7" t="s">
        <v>352</v>
      </c>
      <c r="K195" s="7" t="s">
        <v>382</v>
      </c>
      <c r="L195" s="7" t="s">
        <v>437</v>
      </c>
      <c r="M195" s="7"/>
      <c r="N195" s="7"/>
      <c r="O195" s="84" t="str" cm="1">
        <f t="array" ref="O195">_xlfn.XLOOKUP(1,(A195=Geotech!$A$4:$A$10094)*(Data_Discontinuities[[#This Row],[Depth (m)]]&gt;=Geotech!$C$4:$C$10094)*(Data_Discontinuities[[#This Row],[Depth (m)]]&lt;Geotech!$D$4:$D$10094),Geotech!$M$4:$M$10094)</f>
        <v>Boulamarque granodiorite</v>
      </c>
      <c r="P195" s="84"/>
      <c r="Q195" s="84"/>
      <c r="R195" s="84"/>
      <c r="S1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95" s="71">
        <f>IFERROR(Data_Discontinuities[[#This Row],[Joint roughness]]/Data_Discontinuities[[#This Row],[Joint alteration]],"")</f>
        <v>0.75</v>
      </c>
      <c r="V1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95" s="87"/>
    </row>
    <row r="196" spans="1:23" ht="15" customHeight="1" x14ac:dyDescent="0.25">
      <c r="A196" s="150" t="s">
        <v>26</v>
      </c>
      <c r="B196" s="17" t="str">
        <f>VLOOKUP(Data_Discontinuities[[#This Row],[Hole ID]],Data_Log[],2,FALSE)</f>
        <v>CGF-01</v>
      </c>
      <c r="C196" s="8">
        <v>154.62</v>
      </c>
      <c r="D196" s="8">
        <v>1</v>
      </c>
      <c r="E196" s="7" t="s">
        <v>420</v>
      </c>
      <c r="F196" s="7"/>
      <c r="G196" s="7"/>
      <c r="H196" s="118"/>
      <c r="I196" s="7" t="s">
        <v>286</v>
      </c>
      <c r="J196" s="7" t="s">
        <v>380</v>
      </c>
      <c r="K196" s="7" t="s">
        <v>354</v>
      </c>
      <c r="L196" s="7"/>
      <c r="M196" s="7"/>
      <c r="N196" s="7"/>
      <c r="O196" s="84" t="str" cm="1">
        <f t="array" ref="O196">_xlfn.XLOOKUP(1,(A196=Geotech!$A$4:$A$10094)*(Data_Discontinuities[[#This Row],[Depth (m)]]&gt;=Geotech!$C$4:$C$10094)*(Data_Discontinuities[[#This Row],[Depth (m)]]&lt;Geotech!$D$4:$D$10094),Geotech!$M$4:$M$10094)</f>
        <v>Boulamarque granodiorite</v>
      </c>
      <c r="P196" s="84"/>
      <c r="Q196" s="84"/>
      <c r="R196" s="84"/>
      <c r="S1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6" s="71">
        <f>IFERROR(Data_Discontinuities[[#This Row],[Joint roughness]]/Data_Discontinuities[[#This Row],[Joint alteration]],"")</f>
        <v>1.5</v>
      </c>
      <c r="V1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196" s="87"/>
    </row>
    <row r="197" spans="1:23" ht="15" customHeight="1" x14ac:dyDescent="0.25">
      <c r="A197" s="150" t="s">
        <v>26</v>
      </c>
      <c r="B197" s="17" t="str">
        <f>VLOOKUP(Data_Discontinuities[[#This Row],[Hole ID]],Data_Log[],2,FALSE)</f>
        <v>CGF-01</v>
      </c>
      <c r="C197" s="8">
        <v>155.47</v>
      </c>
      <c r="D197" s="8">
        <v>1</v>
      </c>
      <c r="E197" s="7" t="s">
        <v>420</v>
      </c>
      <c r="F197" s="7"/>
      <c r="G197" s="7"/>
      <c r="H197" s="118"/>
      <c r="I197" s="7" t="s">
        <v>286</v>
      </c>
      <c r="J197" s="7" t="s">
        <v>352</v>
      </c>
      <c r="K197" s="7" t="s">
        <v>382</v>
      </c>
      <c r="L197" s="7" t="s">
        <v>546</v>
      </c>
      <c r="M197" s="7"/>
      <c r="N197" s="7"/>
      <c r="O197" s="84" t="str" cm="1">
        <f t="array" ref="O197">_xlfn.XLOOKUP(1,(A197=Geotech!$A$4:$A$10094)*(Data_Discontinuities[[#This Row],[Depth (m)]]&gt;=Geotech!$C$4:$C$10094)*(Data_Discontinuities[[#This Row],[Depth (m)]]&lt;Geotech!$D$4:$D$10094),Geotech!$M$4:$M$10094)</f>
        <v>Boulamarque granodiorite</v>
      </c>
      <c r="P197" s="84"/>
      <c r="Q197" s="84"/>
      <c r="R197" s="84"/>
      <c r="S1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97" s="71">
        <f>IFERROR(Data_Discontinuities[[#This Row],[Joint roughness]]/Data_Discontinuities[[#This Row],[Joint alteration]],"")</f>
        <v>0.75</v>
      </c>
      <c r="V1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97" s="87"/>
    </row>
    <row r="198" spans="1:23" ht="15" customHeight="1" x14ac:dyDescent="0.25">
      <c r="A198" s="150" t="s">
        <v>26</v>
      </c>
      <c r="B198" s="17" t="str">
        <f>VLOOKUP(Data_Discontinuities[[#This Row],[Hole ID]],Data_Log[],2,FALSE)</f>
        <v>CGF-01</v>
      </c>
      <c r="C198" s="8">
        <v>156.93</v>
      </c>
      <c r="D198" s="8">
        <v>1</v>
      </c>
      <c r="E198" s="7" t="s">
        <v>420</v>
      </c>
      <c r="F198" s="7"/>
      <c r="G198" s="7"/>
      <c r="H198" s="118"/>
      <c r="I198" s="7" t="s">
        <v>286</v>
      </c>
      <c r="J198" s="7" t="s">
        <v>288</v>
      </c>
      <c r="K198" s="7" t="s">
        <v>354</v>
      </c>
      <c r="L198" s="7"/>
      <c r="M198" s="7"/>
      <c r="N198" s="7"/>
      <c r="O198" s="84" t="str" cm="1">
        <f t="array" ref="O198">_xlfn.XLOOKUP(1,(A198=Geotech!$A$4:$A$10094)*(Data_Discontinuities[[#This Row],[Depth (m)]]&gt;=Geotech!$C$4:$C$10094)*(Data_Discontinuities[[#This Row],[Depth (m)]]&lt;Geotech!$D$4:$D$10094),Geotech!$M$4:$M$10094)</f>
        <v>Boulamarque granodiorite</v>
      </c>
      <c r="P198" s="84"/>
      <c r="Q198" s="84"/>
      <c r="R198" s="84"/>
      <c r="S1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1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198" s="71">
        <f>IFERROR(Data_Discontinuities[[#This Row],[Joint roughness]]/Data_Discontinuities[[#This Row],[Joint alteration]],"")</f>
        <v>0.75</v>
      </c>
      <c r="V1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198" s="87"/>
    </row>
    <row r="199" spans="1:23" ht="15" customHeight="1" x14ac:dyDescent="0.25">
      <c r="A199" s="150" t="s">
        <v>26</v>
      </c>
      <c r="B199" s="17" t="str">
        <f>VLOOKUP(Data_Discontinuities[[#This Row],[Hole ID]],Data_Log[],2,FALSE)</f>
        <v>CGF-01</v>
      </c>
      <c r="C199" s="8">
        <v>157.03</v>
      </c>
      <c r="D199" s="8">
        <v>1</v>
      </c>
      <c r="E199" s="7" t="s">
        <v>420</v>
      </c>
      <c r="F199" s="7"/>
      <c r="G199" s="7"/>
      <c r="H199" s="118"/>
      <c r="I199" s="7" t="s">
        <v>286</v>
      </c>
      <c r="J199" s="7" t="s">
        <v>352</v>
      </c>
      <c r="K199" s="7" t="s">
        <v>382</v>
      </c>
      <c r="L199" s="7" t="s">
        <v>437</v>
      </c>
      <c r="M199" s="7"/>
      <c r="N199" s="7"/>
      <c r="O199" s="84" t="str" cm="1">
        <f t="array" ref="O199">_xlfn.XLOOKUP(1,(A199=Geotech!$A$4:$A$10094)*(Data_Discontinuities[[#This Row],[Depth (m)]]&gt;=Geotech!$C$4:$C$10094)*(Data_Discontinuities[[#This Row],[Depth (m)]]&lt;Geotech!$D$4:$D$10094),Geotech!$M$4:$M$10094)</f>
        <v>Boulamarque granodiorite</v>
      </c>
      <c r="P199" s="84"/>
      <c r="Q199" s="84"/>
      <c r="R199" s="84"/>
      <c r="S1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1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199" s="71">
        <f>IFERROR(Data_Discontinuities[[#This Row],[Joint roughness]]/Data_Discontinuities[[#This Row],[Joint alteration]],"")</f>
        <v>0.75</v>
      </c>
      <c r="V1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199" s="87"/>
    </row>
    <row r="200" spans="1:23" ht="15" customHeight="1" x14ac:dyDescent="0.25">
      <c r="A200" s="150" t="s">
        <v>26</v>
      </c>
      <c r="B200" s="17" t="str">
        <f>VLOOKUP(Data_Discontinuities[[#This Row],[Hole ID]],Data_Log[],2,FALSE)</f>
        <v>CGF-01</v>
      </c>
      <c r="C200" s="8">
        <v>157.88</v>
      </c>
      <c r="D200" s="8">
        <v>1</v>
      </c>
      <c r="E200" s="7" t="s">
        <v>420</v>
      </c>
      <c r="F200" s="7"/>
      <c r="G200" s="7"/>
      <c r="H200" s="118"/>
      <c r="I200" s="7" t="s">
        <v>251</v>
      </c>
      <c r="J200" s="7" t="s">
        <v>352</v>
      </c>
      <c r="K200" s="7" t="s">
        <v>382</v>
      </c>
      <c r="L200" s="7" t="s">
        <v>437</v>
      </c>
      <c r="M200" s="7"/>
      <c r="N200" s="7"/>
      <c r="O200" s="84" t="str" cm="1">
        <f t="array" ref="O200">_xlfn.XLOOKUP(1,(A200=Geotech!$A$4:$A$10094)*(Data_Discontinuities[[#This Row],[Depth (m)]]&gt;=Geotech!$C$4:$C$10094)*(Data_Discontinuities[[#This Row],[Depth (m)]]&lt;Geotech!$D$4:$D$10094),Geotech!$M$4:$M$10094)</f>
        <v>Boulamarque granodiorite</v>
      </c>
      <c r="P200" s="84"/>
      <c r="Q200" s="84"/>
      <c r="R200" s="84"/>
      <c r="S2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00" s="71">
        <f>IFERROR(Data_Discontinuities[[#This Row],[Joint roughness]]/Data_Discontinuities[[#This Row],[Joint alteration]],"")</f>
        <v>0.375</v>
      </c>
      <c r="V2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00" s="87"/>
    </row>
    <row r="201" spans="1:23" ht="15" customHeight="1" x14ac:dyDescent="0.25">
      <c r="A201" s="150" t="s">
        <v>26</v>
      </c>
      <c r="B201" s="17" t="str">
        <f>VLOOKUP(Data_Discontinuities[[#This Row],[Hole ID]],Data_Log[],2,FALSE)</f>
        <v>CGF-01</v>
      </c>
      <c r="C201" s="8">
        <v>158.08000000000001</v>
      </c>
      <c r="D201" s="8">
        <v>1</v>
      </c>
      <c r="E201" s="7" t="s">
        <v>420</v>
      </c>
      <c r="F201" s="7"/>
      <c r="G201" s="7"/>
      <c r="H201" s="118"/>
      <c r="I201" s="7" t="s">
        <v>286</v>
      </c>
      <c r="J201" s="7" t="s">
        <v>320</v>
      </c>
      <c r="K201" s="7" t="s">
        <v>354</v>
      </c>
      <c r="L201" s="7"/>
      <c r="M201" s="7"/>
      <c r="N201" s="7"/>
      <c r="O201" s="84" t="str" cm="1">
        <f t="array" ref="O201">_xlfn.XLOOKUP(1,(A201=Geotech!$A$4:$A$10094)*(Data_Discontinuities[[#This Row],[Depth (m)]]&gt;=Geotech!$C$4:$C$10094)*(Data_Discontinuities[[#This Row],[Depth (m)]]&lt;Geotech!$D$4:$D$10094),Geotech!$M$4:$M$10094)</f>
        <v>Boulamarque granodiorite</v>
      </c>
      <c r="P201" s="84"/>
      <c r="Q201" s="84"/>
      <c r="R201" s="84"/>
      <c r="S2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1" s="71">
        <f>IFERROR(Data_Discontinuities[[#This Row],[Joint roughness]]/Data_Discontinuities[[#This Row],[Joint alteration]],"")</f>
        <v>1</v>
      </c>
      <c r="V2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1" s="87"/>
    </row>
    <row r="202" spans="1:23" ht="15" customHeight="1" x14ac:dyDescent="0.25">
      <c r="A202" s="150" t="s">
        <v>26</v>
      </c>
      <c r="B202" s="17" t="str">
        <f>VLOOKUP(Data_Discontinuities[[#This Row],[Hole ID]],Data_Log[],2,FALSE)</f>
        <v>CGF-01</v>
      </c>
      <c r="C202" s="8">
        <v>158.38</v>
      </c>
      <c r="D202" s="8">
        <v>1</v>
      </c>
      <c r="E202" s="7" t="s">
        <v>420</v>
      </c>
      <c r="F202" s="7"/>
      <c r="G202" s="7"/>
      <c r="H202" s="118"/>
      <c r="I202" s="7" t="s">
        <v>286</v>
      </c>
      <c r="J202" s="7" t="s">
        <v>320</v>
      </c>
      <c r="K202" s="7" t="s">
        <v>354</v>
      </c>
      <c r="L202" s="7"/>
      <c r="M202" s="7"/>
      <c r="N202" s="7"/>
      <c r="O202" s="84" t="str" cm="1">
        <f t="array" ref="O202">_xlfn.XLOOKUP(1,(A202=Geotech!$A$4:$A$10094)*(Data_Discontinuities[[#This Row],[Depth (m)]]&gt;=Geotech!$C$4:$C$10094)*(Data_Discontinuities[[#This Row],[Depth (m)]]&lt;Geotech!$D$4:$D$10094),Geotech!$M$4:$M$10094)</f>
        <v>Boulamarque granodiorite</v>
      </c>
      <c r="P202" s="84"/>
      <c r="Q202" s="84"/>
      <c r="R202" s="84"/>
      <c r="S20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0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2" s="71">
        <f>IFERROR(Data_Discontinuities[[#This Row],[Joint roughness]]/Data_Discontinuities[[#This Row],[Joint alteration]],"")</f>
        <v>1</v>
      </c>
      <c r="V20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2" s="87"/>
    </row>
    <row r="203" spans="1:23" ht="15" customHeight="1" x14ac:dyDescent="0.25">
      <c r="A203" s="150" t="s">
        <v>26</v>
      </c>
      <c r="B203" s="17" t="str">
        <f>VLOOKUP(Data_Discontinuities[[#This Row],[Hole ID]],Data_Log[],2,FALSE)</f>
        <v>CGF-01</v>
      </c>
      <c r="C203" s="8">
        <v>158.80000000000001</v>
      </c>
      <c r="D203" s="8">
        <v>1</v>
      </c>
      <c r="E203" s="7" t="s">
        <v>420</v>
      </c>
      <c r="F203" s="7"/>
      <c r="G203" s="7"/>
      <c r="H203" s="118"/>
      <c r="I203" s="7" t="s">
        <v>286</v>
      </c>
      <c r="J203" s="7" t="s">
        <v>352</v>
      </c>
      <c r="K203" s="7" t="s">
        <v>382</v>
      </c>
      <c r="L203" s="7" t="s">
        <v>437</v>
      </c>
      <c r="M203" s="7" t="s">
        <v>541</v>
      </c>
      <c r="N203" s="7"/>
      <c r="O203" s="84" t="str" cm="1">
        <f t="array" ref="O203">_xlfn.XLOOKUP(1,(A203=Geotech!$A$4:$A$10094)*(Data_Discontinuities[[#This Row],[Depth (m)]]&gt;=Geotech!$C$4:$C$10094)*(Data_Discontinuities[[#This Row],[Depth (m)]]&lt;Geotech!$D$4:$D$10094),Geotech!$M$4:$M$10094)</f>
        <v>Boulamarque granodiorite</v>
      </c>
      <c r="P203" s="84"/>
      <c r="Q203" s="84"/>
      <c r="R203" s="84"/>
      <c r="S2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03" s="71">
        <f>IFERROR(Data_Discontinuities[[#This Row],[Joint roughness]]/Data_Discontinuities[[#This Row],[Joint alteration]],"")</f>
        <v>0.75</v>
      </c>
      <c r="V2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3" s="87"/>
    </row>
    <row r="204" spans="1:23" ht="15" customHeight="1" x14ac:dyDescent="0.25">
      <c r="A204" s="150" t="s">
        <v>26</v>
      </c>
      <c r="B204" s="17" t="str">
        <f>VLOOKUP(Data_Discontinuities[[#This Row],[Hole ID]],Data_Log[],2,FALSE)</f>
        <v>CGF-01</v>
      </c>
      <c r="C204" s="8">
        <v>160.24</v>
      </c>
      <c r="D204" s="8">
        <v>1</v>
      </c>
      <c r="E204" s="7" t="s">
        <v>420</v>
      </c>
      <c r="F204" s="7"/>
      <c r="G204" s="7"/>
      <c r="H204" s="118"/>
      <c r="I204" s="7" t="s">
        <v>318</v>
      </c>
      <c r="J204" s="7" t="s">
        <v>320</v>
      </c>
      <c r="K204" s="7" t="s">
        <v>354</v>
      </c>
      <c r="L204" s="7"/>
      <c r="M204" s="7"/>
      <c r="N204" s="7"/>
      <c r="O204" s="84" t="str" cm="1">
        <f t="array" ref="O204">_xlfn.XLOOKUP(1,(A204=Geotech!$A$4:$A$10094)*(Data_Discontinuities[[#This Row],[Depth (m)]]&gt;=Geotech!$C$4:$C$10094)*(Data_Discontinuities[[#This Row],[Depth (m)]]&lt;Geotech!$D$4:$D$10094),Geotech!$M$4:$M$10094)</f>
        <v>Boulamarque granodiorite</v>
      </c>
      <c r="P204" s="84"/>
      <c r="Q204" s="84"/>
      <c r="R204" s="84"/>
      <c r="S20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0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4" s="71">
        <f>IFERROR(Data_Discontinuities[[#This Row],[Joint roughness]]/Data_Discontinuities[[#This Row],[Joint alteration]],"")</f>
        <v>1</v>
      </c>
      <c r="V20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4" s="87"/>
    </row>
    <row r="205" spans="1:23" ht="15" customHeight="1" x14ac:dyDescent="0.25">
      <c r="A205" s="150" t="s">
        <v>26</v>
      </c>
      <c r="B205" s="17" t="str">
        <f>VLOOKUP(Data_Discontinuities[[#This Row],[Hole ID]],Data_Log[],2,FALSE)</f>
        <v>CGF-01</v>
      </c>
      <c r="C205" s="8">
        <v>160.63</v>
      </c>
      <c r="D205" s="8">
        <v>1</v>
      </c>
      <c r="E205" s="7" t="s">
        <v>420</v>
      </c>
      <c r="F205" s="7"/>
      <c r="G205" s="7"/>
      <c r="H205" s="118"/>
      <c r="I205" s="7" t="s">
        <v>251</v>
      </c>
      <c r="J205" s="7" t="s">
        <v>352</v>
      </c>
      <c r="K205" s="7" t="s">
        <v>354</v>
      </c>
      <c r="L205" s="7"/>
      <c r="M205" s="7"/>
      <c r="N205" s="7"/>
      <c r="O205" s="84" t="str" cm="1">
        <f t="array" ref="O205">_xlfn.XLOOKUP(1,(A205=Geotech!$A$4:$A$10094)*(Data_Discontinuities[[#This Row],[Depth (m)]]&gt;=Geotech!$C$4:$C$10094)*(Data_Discontinuities[[#This Row],[Depth (m)]]&lt;Geotech!$D$4:$D$10094),Geotech!$M$4:$M$10094)</f>
        <v>Boulamarque granodiorite</v>
      </c>
      <c r="P205" s="84"/>
      <c r="Q205" s="84"/>
      <c r="R205" s="84"/>
      <c r="S2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5" s="71">
        <f>IFERROR(Data_Discontinuities[[#This Row],[Joint roughness]]/Data_Discontinuities[[#This Row],[Joint alteration]],"")</f>
        <v>0.75</v>
      </c>
      <c r="V2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5" s="87"/>
    </row>
    <row r="206" spans="1:23" ht="15" customHeight="1" x14ac:dyDescent="0.25">
      <c r="A206" s="150" t="s">
        <v>26</v>
      </c>
      <c r="B206" s="17" t="str">
        <f>VLOOKUP(Data_Discontinuities[[#This Row],[Hole ID]],Data_Log[],2,FALSE)</f>
        <v>CGF-01</v>
      </c>
      <c r="C206" s="8">
        <v>160.72999999999999</v>
      </c>
      <c r="D206" s="8">
        <v>1</v>
      </c>
      <c r="E206" s="7" t="s">
        <v>420</v>
      </c>
      <c r="F206" s="7"/>
      <c r="G206" s="7"/>
      <c r="H206" s="118"/>
      <c r="I206" s="7" t="s">
        <v>251</v>
      </c>
      <c r="J206" s="7" t="s">
        <v>320</v>
      </c>
      <c r="K206" s="7" t="s">
        <v>354</v>
      </c>
      <c r="L206" s="7"/>
      <c r="M206" s="7"/>
      <c r="N206" s="7"/>
      <c r="O206" s="84" t="str" cm="1">
        <f t="array" ref="O206">_xlfn.XLOOKUP(1,(A206=Geotech!$A$4:$A$10094)*(Data_Discontinuities[[#This Row],[Depth (m)]]&gt;=Geotech!$C$4:$C$10094)*(Data_Discontinuities[[#This Row],[Depth (m)]]&lt;Geotech!$D$4:$D$10094),Geotech!$M$4:$M$10094)</f>
        <v>Boulamarque granodiorite</v>
      </c>
      <c r="P206" s="84"/>
      <c r="Q206" s="84"/>
      <c r="R206" s="84"/>
      <c r="S2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6" s="71">
        <f>IFERROR(Data_Discontinuities[[#This Row],[Joint roughness]]/Data_Discontinuities[[#This Row],[Joint alteration]],"")</f>
        <v>0.5</v>
      </c>
      <c r="V2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06" s="87"/>
    </row>
    <row r="207" spans="1:23" ht="15" customHeight="1" x14ac:dyDescent="0.25">
      <c r="A207" s="150" t="s">
        <v>26</v>
      </c>
      <c r="B207" s="17" t="str">
        <f>VLOOKUP(Data_Discontinuities[[#This Row],[Hole ID]],Data_Log[],2,FALSE)</f>
        <v>CGF-01</v>
      </c>
      <c r="C207" s="8">
        <v>160.87</v>
      </c>
      <c r="D207" s="8">
        <v>1</v>
      </c>
      <c r="E207" s="7" t="s">
        <v>420</v>
      </c>
      <c r="F207" s="7"/>
      <c r="G207" s="7"/>
      <c r="H207" s="118"/>
      <c r="I207" s="7" t="s">
        <v>251</v>
      </c>
      <c r="J207" s="7" t="s">
        <v>288</v>
      </c>
      <c r="K207" s="7" t="s">
        <v>354</v>
      </c>
      <c r="L207" s="7"/>
      <c r="M207" s="7"/>
      <c r="N207" s="7"/>
      <c r="O207" s="84" t="str" cm="1">
        <f t="array" ref="O207">_xlfn.XLOOKUP(1,(A207=Geotech!$A$4:$A$10094)*(Data_Discontinuities[[#This Row],[Depth (m)]]&gt;=Geotech!$C$4:$C$10094)*(Data_Discontinuities[[#This Row],[Depth (m)]]&lt;Geotech!$D$4:$D$10094),Geotech!$M$4:$M$10094)</f>
        <v>Boulamarque granodiorite</v>
      </c>
      <c r="P207" s="84"/>
      <c r="Q207" s="84"/>
      <c r="R207" s="84"/>
      <c r="S2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2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7" s="71">
        <f>IFERROR(Data_Discontinuities[[#This Row],[Joint roughness]]/Data_Discontinuities[[#This Row],[Joint alteration]],"")</f>
        <v>0.25</v>
      </c>
      <c r="V2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207" s="87"/>
    </row>
    <row r="208" spans="1:23" ht="15" customHeight="1" x14ac:dyDescent="0.25">
      <c r="A208" s="150" t="s">
        <v>26</v>
      </c>
      <c r="B208" s="17" t="str">
        <f>VLOOKUP(Data_Discontinuities[[#This Row],[Hole ID]],Data_Log[],2,FALSE)</f>
        <v>CGF-01</v>
      </c>
      <c r="C208" s="8">
        <v>161.09</v>
      </c>
      <c r="D208" s="8">
        <v>1</v>
      </c>
      <c r="E208" s="7" t="s">
        <v>445</v>
      </c>
      <c r="F208" s="7"/>
      <c r="G208" s="7"/>
      <c r="H208" s="118"/>
      <c r="I208" s="7" t="s">
        <v>318</v>
      </c>
      <c r="J208" s="7" t="s">
        <v>352</v>
      </c>
      <c r="K208" s="7" t="s">
        <v>382</v>
      </c>
      <c r="L208" s="7" t="s">
        <v>447</v>
      </c>
      <c r="M208" s="7" t="s">
        <v>437</v>
      </c>
      <c r="N208" s="7"/>
      <c r="O208" s="84" t="str" cm="1">
        <f t="array" ref="O208">_xlfn.XLOOKUP(1,(A208=Geotech!$A$4:$A$10094)*(Data_Discontinuities[[#This Row],[Depth (m)]]&gt;=Geotech!$C$4:$C$10094)*(Data_Discontinuities[[#This Row],[Depth (m)]]&lt;Geotech!$D$4:$D$10094),Geotech!$M$4:$M$10094)</f>
        <v>Boulamarque granodiorite</v>
      </c>
      <c r="P208" s="84"/>
      <c r="Q208" s="84"/>
      <c r="R208" s="84"/>
      <c r="S2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08" s="71">
        <f>IFERROR(Data_Discontinuities[[#This Row],[Joint roughness]]/Data_Discontinuities[[#This Row],[Joint alteration]],"")</f>
        <v>1</v>
      </c>
      <c r="V2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08" s="87"/>
    </row>
    <row r="209" spans="1:23" ht="15" customHeight="1" x14ac:dyDescent="0.25">
      <c r="A209" s="150" t="s">
        <v>26</v>
      </c>
      <c r="B209" s="17" t="str">
        <f>VLOOKUP(Data_Discontinuities[[#This Row],[Hole ID]],Data_Log[],2,FALSE)</f>
        <v>CGF-01</v>
      </c>
      <c r="C209" s="8">
        <v>162.46</v>
      </c>
      <c r="D209" s="8">
        <v>1</v>
      </c>
      <c r="E209" s="7" t="s">
        <v>420</v>
      </c>
      <c r="F209" s="7"/>
      <c r="G209" s="7"/>
      <c r="H209" s="118"/>
      <c r="I209" s="7" t="s">
        <v>318</v>
      </c>
      <c r="J209" s="7" t="s">
        <v>352</v>
      </c>
      <c r="K209" s="7" t="s">
        <v>354</v>
      </c>
      <c r="L209" s="7"/>
      <c r="M209" s="7"/>
      <c r="N209" s="7"/>
      <c r="O209" s="84" t="str" cm="1">
        <f t="array" ref="O209">_xlfn.XLOOKUP(1,(A209=Geotech!$A$4:$A$10094)*(Data_Discontinuities[[#This Row],[Depth (m)]]&gt;=Geotech!$C$4:$C$10094)*(Data_Discontinuities[[#This Row],[Depth (m)]]&lt;Geotech!$D$4:$D$10094),Geotech!$M$4:$M$10094)</f>
        <v>Boulamarque granodiorite</v>
      </c>
      <c r="P209" s="84"/>
      <c r="Q209" s="84"/>
      <c r="R209" s="84"/>
      <c r="S2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09" s="71">
        <f>IFERROR(Data_Discontinuities[[#This Row],[Joint roughness]]/Data_Discontinuities[[#This Row],[Joint alteration]],"")</f>
        <v>1.5</v>
      </c>
      <c r="V2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09" s="87"/>
    </row>
    <row r="210" spans="1:23" ht="15" customHeight="1" x14ac:dyDescent="0.25">
      <c r="A210" s="150" t="s">
        <v>26</v>
      </c>
      <c r="B210" s="17" t="str">
        <f>VLOOKUP(Data_Discontinuities[[#This Row],[Hole ID]],Data_Log[],2,FALSE)</f>
        <v>CGF-01</v>
      </c>
      <c r="C210" s="8">
        <v>162.68</v>
      </c>
      <c r="D210" s="8">
        <v>1</v>
      </c>
      <c r="E210" s="7" t="s">
        <v>445</v>
      </c>
      <c r="F210" s="7"/>
      <c r="G210" s="7"/>
      <c r="H210" s="118"/>
      <c r="I210" s="7" t="s">
        <v>286</v>
      </c>
      <c r="J210" s="7" t="s">
        <v>380</v>
      </c>
      <c r="K210" s="7" t="s">
        <v>382</v>
      </c>
      <c r="L210" s="7" t="s">
        <v>541</v>
      </c>
      <c r="M210" s="7" t="s">
        <v>447</v>
      </c>
      <c r="N210" s="7"/>
      <c r="O210" s="84" t="str" cm="1">
        <f t="array" ref="O210">_xlfn.XLOOKUP(1,(A210=Geotech!$A$4:$A$10094)*(Data_Discontinuities[[#This Row],[Depth (m)]]&gt;=Geotech!$C$4:$C$10094)*(Data_Discontinuities[[#This Row],[Depth (m)]]&lt;Geotech!$D$4:$D$10094),Geotech!$M$4:$M$10094)</f>
        <v>Boulamarque granodiorite</v>
      </c>
      <c r="P210" s="84"/>
      <c r="Q210" s="84"/>
      <c r="R210" s="84"/>
      <c r="S2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10" s="71">
        <f>IFERROR(Data_Discontinuities[[#This Row],[Joint roughness]]/Data_Discontinuities[[#This Row],[Joint alteration]],"")</f>
        <v>0.75</v>
      </c>
      <c r="V2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10" s="87"/>
    </row>
    <row r="211" spans="1:23" ht="15" customHeight="1" x14ac:dyDescent="0.25">
      <c r="A211" s="150" t="s">
        <v>26</v>
      </c>
      <c r="B211" s="17" t="str">
        <f>VLOOKUP(Data_Discontinuities[[#This Row],[Hole ID]],Data_Log[],2,FALSE)</f>
        <v>CGF-01</v>
      </c>
      <c r="C211" s="8">
        <v>163.66</v>
      </c>
      <c r="D211" s="8">
        <v>1</v>
      </c>
      <c r="E211" s="7" t="s">
        <v>420</v>
      </c>
      <c r="F211" s="7"/>
      <c r="G211" s="7"/>
      <c r="H211" s="118"/>
      <c r="I211" s="7" t="s">
        <v>286</v>
      </c>
      <c r="J211" s="7" t="s">
        <v>352</v>
      </c>
      <c r="K211" s="7" t="s">
        <v>354</v>
      </c>
      <c r="L211" s="7"/>
      <c r="M211" s="7"/>
      <c r="N211" s="7"/>
      <c r="O211" s="84" t="str" cm="1">
        <f t="array" ref="O211">_xlfn.XLOOKUP(1,(A211=Geotech!$A$4:$A$10094)*(Data_Discontinuities[[#This Row],[Depth (m)]]&gt;=Geotech!$C$4:$C$10094)*(Data_Discontinuities[[#This Row],[Depth (m)]]&lt;Geotech!$D$4:$D$10094),Geotech!$M$4:$M$10094)</f>
        <v>Boulamarque granodiorite</v>
      </c>
      <c r="P211" s="84"/>
      <c r="Q211" s="84"/>
      <c r="R211" s="84"/>
      <c r="S2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1" s="71">
        <f>IFERROR(Data_Discontinuities[[#This Row],[Joint roughness]]/Data_Discontinuities[[#This Row],[Joint alteration]],"")</f>
        <v>1.5</v>
      </c>
      <c r="V2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11" s="87"/>
    </row>
    <row r="212" spans="1:23" ht="15" customHeight="1" x14ac:dyDescent="0.25">
      <c r="A212" s="150" t="s">
        <v>26</v>
      </c>
      <c r="B212" s="17" t="str">
        <f>VLOOKUP(Data_Discontinuities[[#This Row],[Hole ID]],Data_Log[],2,FALSE)</f>
        <v>CGF-01</v>
      </c>
      <c r="C212" s="8">
        <v>164.51</v>
      </c>
      <c r="D212" s="8">
        <v>1</v>
      </c>
      <c r="E212" s="7" t="s">
        <v>445</v>
      </c>
      <c r="F212" s="7"/>
      <c r="G212" s="7"/>
      <c r="H212" s="118"/>
      <c r="I212" s="7" t="s">
        <v>286</v>
      </c>
      <c r="J212" s="7" t="s">
        <v>352</v>
      </c>
      <c r="K212" s="7" t="s">
        <v>322</v>
      </c>
      <c r="L212" s="7"/>
      <c r="M212" s="7"/>
      <c r="N212" s="7"/>
      <c r="O212" s="84" t="str" cm="1">
        <f t="array" ref="O212">_xlfn.XLOOKUP(1,(A212=Geotech!$A$4:$A$10094)*(Data_Discontinuities[[#This Row],[Depth (m)]]&gt;=Geotech!$C$4:$C$10094)*(Data_Discontinuities[[#This Row],[Depth (m)]]&lt;Geotech!$D$4:$D$10094),Geotech!$M$4:$M$10094)</f>
        <v>Boulamarque granodiorite</v>
      </c>
      <c r="P212" s="84"/>
      <c r="Q212" s="84"/>
      <c r="R212" s="84"/>
      <c r="S2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12" s="71">
        <f>IFERROR(Data_Discontinuities[[#This Row],[Joint roughness]]/Data_Discontinuities[[#This Row],[Joint alteration]],"")</f>
        <v>3</v>
      </c>
      <c r="V2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12" s="87"/>
    </row>
    <row r="213" spans="1:23" ht="15" customHeight="1" x14ac:dyDescent="0.25">
      <c r="A213" s="150" t="s">
        <v>26</v>
      </c>
      <c r="B213" s="17" t="str">
        <f>VLOOKUP(Data_Discontinuities[[#This Row],[Hole ID]],Data_Log[],2,FALSE)</f>
        <v>CGF-01</v>
      </c>
      <c r="C213" s="8">
        <v>165.19</v>
      </c>
      <c r="D213" s="8">
        <v>1</v>
      </c>
      <c r="E213" s="7" t="s">
        <v>420</v>
      </c>
      <c r="F213" s="7"/>
      <c r="G213" s="7"/>
      <c r="H213" s="118"/>
      <c r="I213" s="7" t="s">
        <v>286</v>
      </c>
      <c r="J213" s="7" t="s">
        <v>352</v>
      </c>
      <c r="K213" s="7" t="s">
        <v>354</v>
      </c>
      <c r="L213" s="7"/>
      <c r="M213" s="7"/>
      <c r="N213" s="7"/>
      <c r="O213" s="84" t="str" cm="1">
        <f t="array" ref="O213">_xlfn.XLOOKUP(1,(A213=Geotech!$A$4:$A$10094)*(Data_Discontinuities[[#This Row],[Depth (m)]]&gt;=Geotech!$C$4:$C$10094)*(Data_Discontinuities[[#This Row],[Depth (m)]]&lt;Geotech!$D$4:$D$10094),Geotech!$M$4:$M$10094)</f>
        <v>Boulamarque granodiorite</v>
      </c>
      <c r="P213" s="84"/>
      <c r="Q213" s="84"/>
      <c r="R213" s="84"/>
      <c r="S2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3" s="71">
        <f>IFERROR(Data_Discontinuities[[#This Row],[Joint roughness]]/Data_Discontinuities[[#This Row],[Joint alteration]],"")</f>
        <v>1.5</v>
      </c>
      <c r="V2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13" s="87"/>
    </row>
    <row r="214" spans="1:23" ht="15" customHeight="1" x14ac:dyDescent="0.25">
      <c r="A214" s="150" t="s">
        <v>26</v>
      </c>
      <c r="B214" s="17" t="str">
        <f>VLOOKUP(Data_Discontinuities[[#This Row],[Hole ID]],Data_Log[],2,FALSE)</f>
        <v>CGF-01</v>
      </c>
      <c r="C214" s="8">
        <v>166.1</v>
      </c>
      <c r="D214" s="8">
        <v>1</v>
      </c>
      <c r="E214" s="7" t="s">
        <v>420</v>
      </c>
      <c r="F214" s="7"/>
      <c r="G214" s="7"/>
      <c r="H214" s="118"/>
      <c r="I214" s="7" t="s">
        <v>286</v>
      </c>
      <c r="J214" s="7" t="s">
        <v>352</v>
      </c>
      <c r="K214" s="7" t="s">
        <v>382</v>
      </c>
      <c r="L214" s="7" t="s">
        <v>437</v>
      </c>
      <c r="M214" s="7"/>
      <c r="N214" s="7"/>
      <c r="O214" s="84" t="str" cm="1">
        <f t="array" ref="O214">_xlfn.XLOOKUP(1,(A214=Geotech!$A$4:$A$10094)*(Data_Discontinuities[[#This Row],[Depth (m)]]&gt;=Geotech!$C$4:$C$10094)*(Data_Discontinuities[[#This Row],[Depth (m)]]&lt;Geotech!$D$4:$D$10094),Geotech!$M$4:$M$10094)</f>
        <v>Boulamarque granodiorite</v>
      </c>
      <c r="P214" s="84"/>
      <c r="Q214" s="84"/>
      <c r="R214" s="84"/>
      <c r="S2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14" s="71">
        <f>IFERROR(Data_Discontinuities[[#This Row],[Joint roughness]]/Data_Discontinuities[[#This Row],[Joint alteration]],"")</f>
        <v>0.75</v>
      </c>
      <c r="V2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14" s="87"/>
    </row>
    <row r="215" spans="1:23" ht="15" customHeight="1" x14ac:dyDescent="0.25">
      <c r="A215" s="150" t="s">
        <v>26</v>
      </c>
      <c r="B215" s="17" t="str">
        <f>VLOOKUP(Data_Discontinuities[[#This Row],[Hole ID]],Data_Log[],2,FALSE)</f>
        <v>CGF-01</v>
      </c>
      <c r="C215" s="8">
        <v>166.77</v>
      </c>
      <c r="D215" s="8">
        <v>1</v>
      </c>
      <c r="E215" s="7" t="s">
        <v>420</v>
      </c>
      <c r="F215" s="7"/>
      <c r="G215" s="7"/>
      <c r="H215" s="118"/>
      <c r="I215" s="7" t="s">
        <v>318</v>
      </c>
      <c r="J215" s="7" t="s">
        <v>352</v>
      </c>
      <c r="K215" s="7" t="s">
        <v>322</v>
      </c>
      <c r="L215" s="7"/>
      <c r="M215" s="7"/>
      <c r="N215" s="7"/>
      <c r="O215" s="84" t="str" cm="1">
        <f t="array" ref="O215">_xlfn.XLOOKUP(1,(A215=Geotech!$A$4:$A$10094)*(Data_Discontinuities[[#This Row],[Depth (m)]]&gt;=Geotech!$C$4:$C$10094)*(Data_Discontinuities[[#This Row],[Depth (m)]]&lt;Geotech!$D$4:$D$10094),Geotech!$M$4:$M$10094)</f>
        <v>Boulamarque granodiorite</v>
      </c>
      <c r="P215" s="84"/>
      <c r="Q215" s="84"/>
      <c r="R215" s="84"/>
      <c r="S2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15" s="71">
        <f>IFERROR(Data_Discontinuities[[#This Row],[Joint roughness]]/Data_Discontinuities[[#This Row],[Joint alteration]],"")</f>
        <v>3</v>
      </c>
      <c r="V2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15" s="87"/>
    </row>
    <row r="216" spans="1:23" ht="15" customHeight="1" x14ac:dyDescent="0.25">
      <c r="A216" s="150" t="s">
        <v>26</v>
      </c>
      <c r="B216" s="17" t="str">
        <f>VLOOKUP(Data_Discontinuities[[#This Row],[Hole ID]],Data_Log[],2,FALSE)</f>
        <v>CGF-01</v>
      </c>
      <c r="C216" s="8">
        <v>167.46</v>
      </c>
      <c r="D216" s="8">
        <v>1</v>
      </c>
      <c r="E216" s="7" t="s">
        <v>420</v>
      </c>
      <c r="F216" s="7"/>
      <c r="G216" s="7"/>
      <c r="H216" s="118"/>
      <c r="I216" s="7" t="s">
        <v>286</v>
      </c>
      <c r="J216" s="7" t="s">
        <v>320</v>
      </c>
      <c r="K216" s="7" t="s">
        <v>354</v>
      </c>
      <c r="L216" s="7"/>
      <c r="M216" s="7"/>
      <c r="N216" s="7"/>
      <c r="O216" s="84" t="str" cm="1">
        <f t="array" ref="O216">_xlfn.XLOOKUP(1,(A216=Geotech!$A$4:$A$10094)*(Data_Discontinuities[[#This Row],[Depth (m)]]&gt;=Geotech!$C$4:$C$10094)*(Data_Discontinuities[[#This Row],[Depth (m)]]&lt;Geotech!$D$4:$D$10094),Geotech!$M$4:$M$10094)</f>
        <v>Boulamarque granodiorite</v>
      </c>
      <c r="P216" s="84"/>
      <c r="Q216" s="84"/>
      <c r="R216" s="84"/>
      <c r="S2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6" s="71">
        <f>IFERROR(Data_Discontinuities[[#This Row],[Joint roughness]]/Data_Discontinuities[[#This Row],[Joint alteration]],"")</f>
        <v>1</v>
      </c>
      <c r="V2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16" s="87"/>
    </row>
    <row r="217" spans="1:23" ht="15" customHeight="1" x14ac:dyDescent="0.25">
      <c r="A217" s="150" t="s">
        <v>26</v>
      </c>
      <c r="B217" s="17" t="str">
        <f>VLOOKUP(Data_Discontinuities[[#This Row],[Hole ID]],Data_Log[],2,FALSE)</f>
        <v>CGF-01</v>
      </c>
      <c r="C217" s="8">
        <v>168</v>
      </c>
      <c r="D217" s="8">
        <v>1</v>
      </c>
      <c r="E217" s="7" t="s">
        <v>420</v>
      </c>
      <c r="F217" s="7"/>
      <c r="G217" s="7"/>
      <c r="H217" s="118"/>
      <c r="I217" s="7" t="s">
        <v>286</v>
      </c>
      <c r="J217" s="7" t="s">
        <v>352</v>
      </c>
      <c r="K217" s="7" t="s">
        <v>354</v>
      </c>
      <c r="L217" s="7"/>
      <c r="M217" s="7"/>
      <c r="N217" s="7"/>
      <c r="O217" s="84" t="str" cm="1">
        <f t="array" ref="O217">_xlfn.XLOOKUP(1,(A217=Geotech!$A$4:$A$10094)*(Data_Discontinuities[[#This Row],[Depth (m)]]&gt;=Geotech!$C$4:$C$10094)*(Data_Discontinuities[[#This Row],[Depth (m)]]&lt;Geotech!$D$4:$D$10094),Geotech!$M$4:$M$10094)</f>
        <v>Boulamarque granodiorite</v>
      </c>
      <c r="P217" s="84"/>
      <c r="Q217" s="84"/>
      <c r="R217" s="84"/>
      <c r="S2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7" s="71">
        <f>IFERROR(Data_Discontinuities[[#This Row],[Joint roughness]]/Data_Discontinuities[[#This Row],[Joint alteration]],"")</f>
        <v>1.5</v>
      </c>
      <c r="V2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17" s="87"/>
    </row>
    <row r="218" spans="1:23" ht="15" customHeight="1" x14ac:dyDescent="0.25">
      <c r="A218" s="150" t="s">
        <v>26</v>
      </c>
      <c r="B218" s="17" t="str">
        <f>VLOOKUP(Data_Discontinuities[[#This Row],[Hole ID]],Data_Log[],2,FALSE)</f>
        <v>CGF-01</v>
      </c>
      <c r="C218" s="8">
        <v>168.24</v>
      </c>
      <c r="D218" s="8">
        <v>1</v>
      </c>
      <c r="E218" s="7" t="s">
        <v>420</v>
      </c>
      <c r="F218" s="7"/>
      <c r="G218" s="7"/>
      <c r="H218" s="118"/>
      <c r="I218" s="7" t="s">
        <v>251</v>
      </c>
      <c r="J218" s="7" t="s">
        <v>320</v>
      </c>
      <c r="K218" s="7" t="s">
        <v>354</v>
      </c>
      <c r="L218" s="7"/>
      <c r="M218" s="7"/>
      <c r="N218" s="7"/>
      <c r="O218" s="84" t="str" cm="1">
        <f t="array" ref="O218">_xlfn.XLOOKUP(1,(A218=Geotech!$A$4:$A$10094)*(Data_Discontinuities[[#This Row],[Depth (m)]]&gt;=Geotech!$C$4:$C$10094)*(Data_Discontinuities[[#This Row],[Depth (m)]]&lt;Geotech!$D$4:$D$10094),Geotech!$M$4:$M$10094)</f>
        <v>Boulamarque granodiorite</v>
      </c>
      <c r="P218" s="84"/>
      <c r="Q218" s="84"/>
      <c r="R218" s="84"/>
      <c r="S2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18" s="71">
        <f>IFERROR(Data_Discontinuities[[#This Row],[Joint roughness]]/Data_Discontinuities[[#This Row],[Joint alteration]],"")</f>
        <v>0.5</v>
      </c>
      <c r="V2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18" s="87"/>
    </row>
    <row r="219" spans="1:23" ht="15" customHeight="1" x14ac:dyDescent="0.25">
      <c r="A219" s="150" t="s">
        <v>26</v>
      </c>
      <c r="B219" s="17" t="str">
        <f>VLOOKUP(Data_Discontinuities[[#This Row],[Hole ID]],Data_Log[],2,FALSE)</f>
        <v>CGF-01</v>
      </c>
      <c r="C219" s="8">
        <v>168.5</v>
      </c>
      <c r="D219" s="8">
        <v>1</v>
      </c>
      <c r="E219" s="7" t="s">
        <v>248</v>
      </c>
      <c r="F219" s="7"/>
      <c r="G219" s="7"/>
      <c r="H219" s="118"/>
      <c r="I219" s="7"/>
      <c r="J219" s="7"/>
      <c r="K219" s="7"/>
      <c r="L219" s="7"/>
      <c r="M219" s="7"/>
      <c r="N219" s="7">
        <v>0.06</v>
      </c>
      <c r="O219" s="84" t="str" cm="1">
        <f t="array" ref="O219">_xlfn.XLOOKUP(1,(A219=Geotech!$A$4:$A$10094)*(Data_Discontinuities[[#This Row],[Depth (m)]]&gt;=Geotech!$C$4:$C$10094)*(Data_Discontinuities[[#This Row],[Depth (m)]]&lt;Geotech!$D$4:$D$10094),Geotech!$M$4:$M$10094)</f>
        <v>Boulamarque granodiorite</v>
      </c>
      <c r="P219" s="84"/>
      <c r="Q219" s="84"/>
      <c r="R219" s="84"/>
      <c r="S2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2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219" s="71" t="str">
        <f>IFERROR(Data_Discontinuities[[#This Row],[Joint roughness]]/Data_Discontinuities[[#This Row],[Joint alteration]],"")</f>
        <v/>
      </c>
      <c r="V2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219" s="87"/>
    </row>
    <row r="220" spans="1:23" ht="15" customHeight="1" x14ac:dyDescent="0.25">
      <c r="A220" s="150" t="s">
        <v>26</v>
      </c>
      <c r="B220" s="17" t="str">
        <f>VLOOKUP(Data_Discontinuities[[#This Row],[Hole ID]],Data_Log[],2,FALSE)</f>
        <v>CGF-01</v>
      </c>
      <c r="C220" s="8">
        <v>170</v>
      </c>
      <c r="D220" s="8">
        <v>1</v>
      </c>
      <c r="E220" s="7" t="s">
        <v>420</v>
      </c>
      <c r="F220" s="7"/>
      <c r="G220" s="7"/>
      <c r="H220" s="118"/>
      <c r="I220" s="7" t="s">
        <v>286</v>
      </c>
      <c r="J220" s="7" t="s">
        <v>352</v>
      </c>
      <c r="K220" s="7" t="s">
        <v>382</v>
      </c>
      <c r="L220" s="7" t="s">
        <v>437</v>
      </c>
      <c r="M220" s="7"/>
      <c r="N220" s="7"/>
      <c r="O220" s="84" t="str" cm="1">
        <f t="array" ref="O220">_xlfn.XLOOKUP(1,(A220=Geotech!$A$4:$A$10094)*(Data_Discontinuities[[#This Row],[Depth (m)]]&gt;=Geotech!$C$4:$C$10094)*(Data_Discontinuities[[#This Row],[Depth (m)]]&lt;Geotech!$D$4:$D$10094),Geotech!$M$4:$M$10094)</f>
        <v>Boulamarque granodiorite</v>
      </c>
      <c r="P220" s="84"/>
      <c r="Q220" s="84"/>
      <c r="R220" s="84"/>
      <c r="S2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20" s="71">
        <f>IFERROR(Data_Discontinuities[[#This Row],[Joint roughness]]/Data_Discontinuities[[#This Row],[Joint alteration]],"")</f>
        <v>0.75</v>
      </c>
      <c r="V2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20" s="87"/>
    </row>
    <row r="221" spans="1:23" ht="15" customHeight="1" x14ac:dyDescent="0.25">
      <c r="A221" s="150" t="s">
        <v>26</v>
      </c>
      <c r="B221" s="17" t="str">
        <f>VLOOKUP(Data_Discontinuities[[#This Row],[Hole ID]],Data_Log[],2,FALSE)</f>
        <v>CGF-01</v>
      </c>
      <c r="C221" s="8">
        <v>171.24</v>
      </c>
      <c r="D221" s="8">
        <v>1</v>
      </c>
      <c r="E221" s="7" t="s">
        <v>445</v>
      </c>
      <c r="F221" s="7"/>
      <c r="G221" s="7"/>
      <c r="H221" s="118"/>
      <c r="I221" s="7" t="s">
        <v>286</v>
      </c>
      <c r="J221" s="7" t="s">
        <v>352</v>
      </c>
      <c r="K221" s="7" t="s">
        <v>290</v>
      </c>
      <c r="L221" s="7"/>
      <c r="M221" s="7"/>
      <c r="N221" s="7"/>
      <c r="O221" s="84" t="str" cm="1">
        <f t="array" ref="O221">_xlfn.XLOOKUP(1,(A221=Geotech!$A$4:$A$10094)*(Data_Discontinuities[[#This Row],[Depth (m)]]&gt;=Geotech!$C$4:$C$10094)*(Data_Discontinuities[[#This Row],[Depth (m)]]&lt;Geotech!$D$4:$D$10094),Geotech!$M$4:$M$10094)</f>
        <v>Boulamarque granodiorite</v>
      </c>
      <c r="P221" s="84"/>
      <c r="Q221" s="84"/>
      <c r="R221" s="84"/>
      <c r="S22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2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1" s="71">
        <f>IFERROR(Data_Discontinuities[[#This Row],[Joint roughness]]/Data_Discontinuities[[#This Row],[Joint alteration]],"")</f>
        <v>1.5</v>
      </c>
      <c r="V22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21" s="87"/>
    </row>
    <row r="222" spans="1:23" ht="15" customHeight="1" x14ac:dyDescent="0.25">
      <c r="A222" s="150" t="s">
        <v>26</v>
      </c>
      <c r="B222" s="17" t="str">
        <f>VLOOKUP(Data_Discontinuities[[#This Row],[Hole ID]],Data_Log[],2,FALSE)</f>
        <v>CGF-01</v>
      </c>
      <c r="C222" s="8">
        <v>171</v>
      </c>
      <c r="D222" s="8">
        <v>1</v>
      </c>
      <c r="E222" s="7" t="s">
        <v>445</v>
      </c>
      <c r="F222" s="7"/>
      <c r="G222" s="7"/>
      <c r="H222" s="118"/>
      <c r="I222" s="7" t="s">
        <v>286</v>
      </c>
      <c r="J222" s="7" t="s">
        <v>352</v>
      </c>
      <c r="K222" s="7" t="s">
        <v>354</v>
      </c>
      <c r="L222" s="7"/>
      <c r="M222" s="7"/>
      <c r="N222" s="7"/>
      <c r="O222" s="84" t="str" cm="1">
        <f t="array" ref="O222">_xlfn.XLOOKUP(1,(A222=Geotech!$A$4:$A$10094)*(Data_Discontinuities[[#This Row],[Depth (m)]]&gt;=Geotech!$C$4:$C$10094)*(Data_Discontinuities[[#This Row],[Depth (m)]]&lt;Geotech!$D$4:$D$10094),Geotech!$M$4:$M$10094)</f>
        <v>Boulamarque granodiorite</v>
      </c>
      <c r="P222" s="84"/>
      <c r="Q222" s="84"/>
      <c r="R222" s="84"/>
      <c r="S2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2" s="71">
        <f>IFERROR(Data_Discontinuities[[#This Row],[Joint roughness]]/Data_Discontinuities[[#This Row],[Joint alteration]],"")</f>
        <v>1.5</v>
      </c>
      <c r="V2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22" s="87"/>
    </row>
    <row r="223" spans="1:23" ht="15" customHeight="1" x14ac:dyDescent="0.25">
      <c r="A223" s="150" t="s">
        <v>26</v>
      </c>
      <c r="B223" s="17" t="str">
        <f>VLOOKUP(Data_Discontinuities[[#This Row],[Hole ID]],Data_Log[],2,FALSE)</f>
        <v>CGF-01</v>
      </c>
      <c r="C223" s="8">
        <v>171.96</v>
      </c>
      <c r="D223" s="8">
        <v>1</v>
      </c>
      <c r="E223" s="7" t="s">
        <v>445</v>
      </c>
      <c r="F223" s="7"/>
      <c r="G223" s="7"/>
      <c r="H223" s="118"/>
      <c r="I223" s="7" t="s">
        <v>286</v>
      </c>
      <c r="J223" s="7" t="s">
        <v>352</v>
      </c>
      <c r="K223" s="7" t="s">
        <v>354</v>
      </c>
      <c r="L223" s="7"/>
      <c r="M223" s="7"/>
      <c r="N223" s="7"/>
      <c r="O223" s="84" t="str" cm="1">
        <f t="array" ref="O223">_xlfn.XLOOKUP(1,(A223=Geotech!$A$4:$A$10094)*(Data_Discontinuities[[#This Row],[Depth (m)]]&gt;=Geotech!$C$4:$C$10094)*(Data_Discontinuities[[#This Row],[Depth (m)]]&lt;Geotech!$D$4:$D$10094),Geotech!$M$4:$M$10094)</f>
        <v>Boulamarque granodiorite</v>
      </c>
      <c r="P223" s="84"/>
      <c r="Q223" s="84"/>
      <c r="R223" s="84"/>
      <c r="S2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3" s="71">
        <f>IFERROR(Data_Discontinuities[[#This Row],[Joint roughness]]/Data_Discontinuities[[#This Row],[Joint alteration]],"")</f>
        <v>1.5</v>
      </c>
      <c r="V2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23" s="87"/>
    </row>
    <row r="224" spans="1:23" ht="15" customHeight="1" x14ac:dyDescent="0.25">
      <c r="A224" s="150" t="s">
        <v>26</v>
      </c>
      <c r="B224" s="17" t="str">
        <f>VLOOKUP(Data_Discontinuities[[#This Row],[Hole ID]],Data_Log[],2,FALSE)</f>
        <v>CGF-01</v>
      </c>
      <c r="C224" s="8">
        <v>172.13</v>
      </c>
      <c r="D224" s="8">
        <v>1</v>
      </c>
      <c r="E224" s="7" t="s">
        <v>248</v>
      </c>
      <c r="F224" s="7"/>
      <c r="G224" s="7"/>
      <c r="H224" s="118"/>
      <c r="I224" s="7"/>
      <c r="J224" s="7"/>
      <c r="K224" s="7"/>
      <c r="L224" s="7"/>
      <c r="M224" s="7"/>
      <c r="N224" s="7">
        <v>0.04</v>
      </c>
      <c r="O224" s="84" t="str" cm="1">
        <f t="array" ref="O224">_xlfn.XLOOKUP(1,(A224=Geotech!$A$4:$A$10094)*(Data_Discontinuities[[#This Row],[Depth (m)]]&gt;=Geotech!$C$4:$C$10094)*(Data_Discontinuities[[#This Row],[Depth (m)]]&lt;Geotech!$D$4:$D$10094),Geotech!$M$4:$M$10094)</f>
        <v>Boulamarque granodiorite</v>
      </c>
      <c r="P224" s="84"/>
      <c r="Q224" s="84"/>
      <c r="R224" s="84"/>
      <c r="S2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2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224" s="71" t="str">
        <f>IFERROR(Data_Discontinuities[[#This Row],[Joint roughness]]/Data_Discontinuities[[#This Row],[Joint alteration]],"")</f>
        <v/>
      </c>
      <c r="V2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224" s="87"/>
    </row>
    <row r="225" spans="1:23" ht="15" customHeight="1" x14ac:dyDescent="0.25">
      <c r="A225" s="150" t="s">
        <v>26</v>
      </c>
      <c r="B225" s="17" t="str">
        <f>VLOOKUP(Data_Discontinuities[[#This Row],[Hole ID]],Data_Log[],2,FALSE)</f>
        <v>CGF-01</v>
      </c>
      <c r="C225" s="8">
        <v>172.33</v>
      </c>
      <c r="D225" s="8">
        <v>1</v>
      </c>
      <c r="E225" s="7" t="s">
        <v>420</v>
      </c>
      <c r="F225" s="7"/>
      <c r="G225" s="7"/>
      <c r="H225" s="118"/>
      <c r="I225" s="7" t="s">
        <v>251</v>
      </c>
      <c r="J225" s="7" t="s">
        <v>380</v>
      </c>
      <c r="K225" s="7" t="s">
        <v>354</v>
      </c>
      <c r="L225" s="7"/>
      <c r="M225" s="7"/>
      <c r="N225" s="7"/>
      <c r="O225" s="84" t="str" cm="1">
        <f t="array" ref="O225">_xlfn.XLOOKUP(1,(A225=Geotech!$A$4:$A$10094)*(Data_Discontinuities[[#This Row],[Depth (m)]]&gt;=Geotech!$C$4:$C$10094)*(Data_Discontinuities[[#This Row],[Depth (m)]]&lt;Geotech!$D$4:$D$10094),Geotech!$M$4:$M$10094)</f>
        <v>Boulamarque granodiorite</v>
      </c>
      <c r="P225" s="84"/>
      <c r="Q225" s="84"/>
      <c r="R225" s="84"/>
      <c r="S2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5" s="71">
        <f>IFERROR(Data_Discontinuities[[#This Row],[Joint roughness]]/Data_Discontinuities[[#This Row],[Joint alteration]],"")</f>
        <v>0.75</v>
      </c>
      <c r="V2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25" s="87"/>
    </row>
    <row r="226" spans="1:23" ht="15" customHeight="1" x14ac:dyDescent="0.25">
      <c r="A226" s="150" t="s">
        <v>26</v>
      </c>
      <c r="B226" s="17" t="str">
        <f>VLOOKUP(Data_Discontinuities[[#This Row],[Hole ID]],Data_Log[],2,FALSE)</f>
        <v>CGF-01</v>
      </c>
      <c r="C226" s="8">
        <v>172.36</v>
      </c>
      <c r="D226" s="8">
        <v>1</v>
      </c>
      <c r="E226" s="7" t="s">
        <v>420</v>
      </c>
      <c r="F226" s="7"/>
      <c r="G226" s="7"/>
      <c r="H226" s="118"/>
      <c r="I226" s="7" t="s">
        <v>251</v>
      </c>
      <c r="J226" s="7" t="s">
        <v>320</v>
      </c>
      <c r="K226" s="7" t="s">
        <v>354</v>
      </c>
      <c r="L226" s="7"/>
      <c r="M226" s="7"/>
      <c r="N226" s="7"/>
      <c r="O226" s="84" t="str" cm="1">
        <f t="array" ref="O226">_xlfn.XLOOKUP(1,(A226=Geotech!$A$4:$A$10094)*(Data_Discontinuities[[#This Row],[Depth (m)]]&gt;=Geotech!$C$4:$C$10094)*(Data_Discontinuities[[#This Row],[Depth (m)]]&lt;Geotech!$D$4:$D$10094),Geotech!$M$4:$M$10094)</f>
        <v>Boulamarque granodiorite</v>
      </c>
      <c r="P226" s="84"/>
      <c r="Q226" s="84"/>
      <c r="R226" s="84"/>
      <c r="S2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6" s="71">
        <f>IFERROR(Data_Discontinuities[[#This Row],[Joint roughness]]/Data_Discontinuities[[#This Row],[Joint alteration]],"")</f>
        <v>0.5</v>
      </c>
      <c r="V2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26" s="87"/>
    </row>
    <row r="227" spans="1:23" ht="15" customHeight="1" x14ac:dyDescent="0.25">
      <c r="A227" s="150" t="s">
        <v>26</v>
      </c>
      <c r="B227" s="17" t="str">
        <f>VLOOKUP(Data_Discontinuities[[#This Row],[Hole ID]],Data_Log[],2,FALSE)</f>
        <v>CGF-01</v>
      </c>
      <c r="C227" s="8">
        <v>172.75</v>
      </c>
      <c r="D227" s="8">
        <v>1</v>
      </c>
      <c r="E227" s="7" t="s">
        <v>420</v>
      </c>
      <c r="F227" s="7"/>
      <c r="G227" s="7"/>
      <c r="H227" s="118"/>
      <c r="I227" s="7" t="s">
        <v>286</v>
      </c>
      <c r="J227" s="7" t="s">
        <v>288</v>
      </c>
      <c r="K227" s="7" t="s">
        <v>354</v>
      </c>
      <c r="L227" s="7"/>
      <c r="M227" s="7"/>
      <c r="N227" s="7"/>
      <c r="O227" s="84" t="str" cm="1">
        <f t="array" ref="O227">_xlfn.XLOOKUP(1,(A227=Geotech!$A$4:$A$10094)*(Data_Discontinuities[[#This Row],[Depth (m)]]&gt;=Geotech!$C$4:$C$10094)*(Data_Discontinuities[[#This Row],[Depth (m)]]&lt;Geotech!$D$4:$D$10094),Geotech!$M$4:$M$10094)</f>
        <v>Boulamarque granodiorite</v>
      </c>
      <c r="P227" s="84"/>
      <c r="Q227" s="84"/>
      <c r="R227" s="84"/>
      <c r="S2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27" s="71">
        <f>IFERROR(Data_Discontinuities[[#This Row],[Joint roughness]]/Data_Discontinuities[[#This Row],[Joint alteration]],"")</f>
        <v>0.75</v>
      </c>
      <c r="V2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227" s="87"/>
    </row>
    <row r="228" spans="1:23" ht="15" customHeight="1" x14ac:dyDescent="0.25">
      <c r="A228" s="150" t="s">
        <v>26</v>
      </c>
      <c r="B228" s="17" t="str">
        <f>VLOOKUP(Data_Discontinuities[[#This Row],[Hole ID]],Data_Log[],2,FALSE)</f>
        <v>CGF-01</v>
      </c>
      <c r="C228" s="8">
        <v>173.42</v>
      </c>
      <c r="D228" s="8">
        <v>1</v>
      </c>
      <c r="E228" s="7" t="s">
        <v>420</v>
      </c>
      <c r="F228" s="7"/>
      <c r="G228" s="7"/>
      <c r="H228" s="118"/>
      <c r="I228" s="7" t="s">
        <v>286</v>
      </c>
      <c r="J228" s="7" t="s">
        <v>352</v>
      </c>
      <c r="K228" s="7" t="s">
        <v>382</v>
      </c>
      <c r="L228" s="7" t="s">
        <v>437</v>
      </c>
      <c r="M228" s="7"/>
      <c r="N228" s="7"/>
      <c r="O228" s="84" t="str" cm="1">
        <f t="array" ref="O228">_xlfn.XLOOKUP(1,(A228=Geotech!$A$4:$A$10094)*(Data_Discontinuities[[#This Row],[Depth (m)]]&gt;=Geotech!$C$4:$C$10094)*(Data_Discontinuities[[#This Row],[Depth (m)]]&lt;Geotech!$D$4:$D$10094),Geotech!$M$4:$M$10094)</f>
        <v>Boulamarque granodiorite</v>
      </c>
      <c r="P228" s="84"/>
      <c r="Q228" s="84"/>
      <c r="R228" s="84"/>
      <c r="S2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28" s="71">
        <f>IFERROR(Data_Discontinuities[[#This Row],[Joint roughness]]/Data_Discontinuities[[#This Row],[Joint alteration]],"")</f>
        <v>0.75</v>
      </c>
      <c r="V2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28" s="87"/>
    </row>
    <row r="229" spans="1:23" ht="15" customHeight="1" x14ac:dyDescent="0.25">
      <c r="A229" s="150" t="s">
        <v>26</v>
      </c>
      <c r="B229" s="17" t="str">
        <f>VLOOKUP(Data_Discontinuities[[#This Row],[Hole ID]],Data_Log[],2,FALSE)</f>
        <v>CGF-01</v>
      </c>
      <c r="C229" s="8">
        <v>173.55</v>
      </c>
      <c r="D229" s="8">
        <v>1</v>
      </c>
      <c r="E229" s="7" t="s">
        <v>420</v>
      </c>
      <c r="F229" s="7"/>
      <c r="G229" s="7"/>
      <c r="H229" s="118"/>
      <c r="I229" s="7" t="s">
        <v>251</v>
      </c>
      <c r="J229" s="7" t="s">
        <v>352</v>
      </c>
      <c r="K229" s="7" t="s">
        <v>322</v>
      </c>
      <c r="L229" s="7"/>
      <c r="M229" s="7"/>
      <c r="N229" s="7"/>
      <c r="O229" s="84" t="str" cm="1">
        <f t="array" ref="O229">_xlfn.XLOOKUP(1,(A229=Geotech!$A$4:$A$10094)*(Data_Discontinuities[[#This Row],[Depth (m)]]&gt;=Geotech!$C$4:$C$10094)*(Data_Discontinuities[[#This Row],[Depth (m)]]&lt;Geotech!$D$4:$D$10094),Geotech!$M$4:$M$10094)</f>
        <v>Boulamarque granodiorite</v>
      </c>
      <c r="P229" s="84"/>
      <c r="Q229" s="84"/>
      <c r="R229" s="84"/>
      <c r="S2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29" s="71">
        <f>IFERROR(Data_Discontinuities[[#This Row],[Joint roughness]]/Data_Discontinuities[[#This Row],[Joint alteration]],"")</f>
        <v>1.5</v>
      </c>
      <c r="V2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29" s="87"/>
    </row>
    <row r="230" spans="1:23" ht="15" customHeight="1" x14ac:dyDescent="0.25">
      <c r="A230" s="150" t="s">
        <v>26</v>
      </c>
      <c r="B230" s="17" t="str">
        <f>VLOOKUP(Data_Discontinuities[[#This Row],[Hole ID]],Data_Log[],2,FALSE)</f>
        <v>CGF-01</v>
      </c>
      <c r="C230" s="8">
        <v>174.23</v>
      </c>
      <c r="D230" s="8">
        <v>1</v>
      </c>
      <c r="E230" s="7" t="s">
        <v>420</v>
      </c>
      <c r="F230" s="7"/>
      <c r="G230" s="7"/>
      <c r="H230" s="118"/>
      <c r="I230" s="7" t="s">
        <v>286</v>
      </c>
      <c r="J230" s="7" t="s">
        <v>352</v>
      </c>
      <c r="K230" s="7" t="s">
        <v>290</v>
      </c>
      <c r="L230" s="7"/>
      <c r="M230" s="7"/>
      <c r="N230" s="7"/>
      <c r="O230" s="84" t="str" cm="1">
        <f t="array" ref="O230">_xlfn.XLOOKUP(1,(A230=Geotech!$A$4:$A$10094)*(Data_Discontinuities[[#This Row],[Depth (m)]]&gt;=Geotech!$C$4:$C$10094)*(Data_Discontinuities[[#This Row],[Depth (m)]]&lt;Geotech!$D$4:$D$10094),Geotech!$M$4:$M$10094)</f>
        <v>Boulamarque granodiorite</v>
      </c>
      <c r="P230" s="84"/>
      <c r="Q230" s="84"/>
      <c r="R230" s="84"/>
      <c r="S2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30" s="71">
        <f>IFERROR(Data_Discontinuities[[#This Row],[Joint roughness]]/Data_Discontinuities[[#This Row],[Joint alteration]],"")</f>
        <v>1.5</v>
      </c>
      <c r="V2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30" s="87"/>
    </row>
    <row r="231" spans="1:23" ht="15" customHeight="1" x14ac:dyDescent="0.25">
      <c r="A231" s="150" t="s">
        <v>26</v>
      </c>
      <c r="B231" s="17" t="str">
        <f>VLOOKUP(Data_Discontinuities[[#This Row],[Hole ID]],Data_Log[],2,FALSE)</f>
        <v>CGF-01</v>
      </c>
      <c r="C231" s="8">
        <v>174.45</v>
      </c>
      <c r="D231" s="8">
        <v>1</v>
      </c>
      <c r="E231" s="7" t="s">
        <v>420</v>
      </c>
      <c r="F231" s="7"/>
      <c r="G231" s="7"/>
      <c r="H231" s="118"/>
      <c r="I231" s="7" t="s">
        <v>286</v>
      </c>
      <c r="J231" s="7" t="s">
        <v>288</v>
      </c>
      <c r="K231" s="7" t="s">
        <v>382</v>
      </c>
      <c r="L231" s="7" t="s">
        <v>437</v>
      </c>
      <c r="M231" s="7" t="s">
        <v>447</v>
      </c>
      <c r="N231" s="7"/>
      <c r="O231" s="84" t="str" cm="1">
        <f t="array" ref="O231">_xlfn.XLOOKUP(1,(A231=Geotech!$A$4:$A$10094)*(Data_Discontinuities[[#This Row],[Depth (m)]]&gt;=Geotech!$C$4:$C$10094)*(Data_Discontinuities[[#This Row],[Depth (m)]]&lt;Geotech!$D$4:$D$10094),Geotech!$M$4:$M$10094)</f>
        <v>Boulamarque granodiorite</v>
      </c>
      <c r="P231" s="84"/>
      <c r="Q231" s="84"/>
      <c r="R231" s="84"/>
      <c r="S2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31" s="71">
        <f>IFERROR(Data_Discontinuities[[#This Row],[Joint roughness]]/Data_Discontinuities[[#This Row],[Joint alteration]],"")</f>
        <v>0.375</v>
      </c>
      <c r="V2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231" s="87"/>
    </row>
    <row r="232" spans="1:23" ht="15" customHeight="1" x14ac:dyDescent="0.25">
      <c r="A232" s="150" t="s">
        <v>26</v>
      </c>
      <c r="B232" s="17" t="str">
        <f>VLOOKUP(Data_Discontinuities[[#This Row],[Hole ID]],Data_Log[],2,FALSE)</f>
        <v>CGF-01</v>
      </c>
      <c r="C232" s="8">
        <v>174.48</v>
      </c>
      <c r="D232" s="8">
        <v>1</v>
      </c>
      <c r="E232" s="7" t="s">
        <v>445</v>
      </c>
      <c r="F232" s="7"/>
      <c r="G232" s="7"/>
      <c r="H232" s="118"/>
      <c r="I232" s="7" t="s">
        <v>286</v>
      </c>
      <c r="J232" s="7" t="s">
        <v>288</v>
      </c>
      <c r="K232" s="7" t="s">
        <v>422</v>
      </c>
      <c r="L232" s="7" t="s">
        <v>437</v>
      </c>
      <c r="M232" s="7"/>
      <c r="N232" s="7">
        <v>10</v>
      </c>
      <c r="O232" s="84" t="str" cm="1">
        <f t="array" ref="O232">_xlfn.XLOOKUP(1,(A232=Geotech!$A$4:$A$10094)*(Data_Discontinuities[[#This Row],[Depth (m)]]&gt;=Geotech!$C$4:$C$10094)*(Data_Discontinuities[[#This Row],[Depth (m)]]&lt;Geotech!$D$4:$D$10094),Geotech!$M$4:$M$10094)</f>
        <v>Boulamarque granodiorite</v>
      </c>
      <c r="P232" s="84"/>
      <c r="Q232" s="84"/>
      <c r="R232" s="84"/>
      <c r="S2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10</v>
      </c>
      <c r="U232" s="71">
        <f>IFERROR(Data_Discontinuities[[#This Row],[Joint roughness]]/Data_Discontinuities[[#This Row],[Joint alteration]],"")</f>
        <v>0.1</v>
      </c>
      <c r="V2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0</v>
      </c>
      <c r="W232" s="87" t="s">
        <v>593</v>
      </c>
    </row>
    <row r="233" spans="1:23" ht="15" customHeight="1" x14ac:dyDescent="0.25">
      <c r="A233" s="150" t="s">
        <v>26</v>
      </c>
      <c r="B233" s="17" t="str">
        <f>VLOOKUP(Data_Discontinuities[[#This Row],[Hole ID]],Data_Log[],2,FALSE)</f>
        <v>CGF-01</v>
      </c>
      <c r="C233" s="8">
        <v>174.77</v>
      </c>
      <c r="D233" s="8">
        <v>1</v>
      </c>
      <c r="E233" s="7" t="s">
        <v>420</v>
      </c>
      <c r="F233" s="7"/>
      <c r="G233" s="7"/>
      <c r="H233" s="118"/>
      <c r="I233" s="7" t="s">
        <v>251</v>
      </c>
      <c r="J233" s="7" t="s">
        <v>352</v>
      </c>
      <c r="K233" s="7" t="s">
        <v>354</v>
      </c>
      <c r="L233" s="7"/>
      <c r="M233" s="7"/>
      <c r="N233" s="7"/>
      <c r="O233" s="84" t="str" cm="1">
        <f t="array" ref="O233">_xlfn.XLOOKUP(1,(A233=Geotech!$A$4:$A$10094)*(Data_Discontinuities[[#This Row],[Depth (m)]]&gt;=Geotech!$C$4:$C$10094)*(Data_Discontinuities[[#This Row],[Depth (m)]]&lt;Geotech!$D$4:$D$10094),Geotech!$M$4:$M$10094)</f>
        <v>Boulamarque granodiorite</v>
      </c>
      <c r="P233" s="84"/>
      <c r="Q233" s="84"/>
      <c r="R233" s="84"/>
      <c r="S2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33" s="71">
        <f>IFERROR(Data_Discontinuities[[#This Row],[Joint roughness]]/Data_Discontinuities[[#This Row],[Joint alteration]],"")</f>
        <v>0.75</v>
      </c>
      <c r="V2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33" s="87"/>
    </row>
    <row r="234" spans="1:23" ht="15" customHeight="1" x14ac:dyDescent="0.25">
      <c r="A234" s="150" t="s">
        <v>26</v>
      </c>
      <c r="B234" s="17" t="str">
        <f>VLOOKUP(Data_Discontinuities[[#This Row],[Hole ID]],Data_Log[],2,FALSE)</f>
        <v>CGF-01</v>
      </c>
      <c r="C234" s="8">
        <v>175.26</v>
      </c>
      <c r="D234" s="8">
        <v>1</v>
      </c>
      <c r="E234" s="7" t="s">
        <v>420</v>
      </c>
      <c r="F234" s="7"/>
      <c r="G234" s="7"/>
      <c r="H234" s="118"/>
      <c r="I234" s="7" t="s">
        <v>251</v>
      </c>
      <c r="J234" s="7" t="s">
        <v>320</v>
      </c>
      <c r="K234" s="7" t="s">
        <v>382</v>
      </c>
      <c r="L234" s="7" t="s">
        <v>437</v>
      </c>
      <c r="M234" s="7" t="s">
        <v>447</v>
      </c>
      <c r="N234" s="7"/>
      <c r="O234" s="84" t="str" cm="1">
        <f t="array" ref="O234">_xlfn.XLOOKUP(1,(A234=Geotech!$A$4:$A$10094)*(Data_Discontinuities[[#This Row],[Depth (m)]]&gt;=Geotech!$C$4:$C$10094)*(Data_Discontinuities[[#This Row],[Depth (m)]]&lt;Geotech!$D$4:$D$10094),Geotech!$M$4:$M$10094)</f>
        <v>Boulamarque granodiorite</v>
      </c>
      <c r="P234" s="84"/>
      <c r="Q234" s="84"/>
      <c r="R234" s="84"/>
      <c r="S2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34" s="71">
        <f>IFERROR(Data_Discontinuities[[#This Row],[Joint roughness]]/Data_Discontinuities[[#This Row],[Joint alteration]],"")</f>
        <v>0.25</v>
      </c>
      <c r="V2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34" s="87"/>
    </row>
    <row r="235" spans="1:23" ht="15" customHeight="1" x14ac:dyDescent="0.25">
      <c r="A235" s="150" t="s">
        <v>26</v>
      </c>
      <c r="B235" s="17" t="str">
        <f>VLOOKUP(Data_Discontinuities[[#This Row],[Hole ID]],Data_Log[],2,FALSE)</f>
        <v>CGF-01</v>
      </c>
      <c r="C235" s="8">
        <v>175.59</v>
      </c>
      <c r="D235" s="8">
        <v>1</v>
      </c>
      <c r="E235" s="7" t="s">
        <v>420</v>
      </c>
      <c r="F235" s="7"/>
      <c r="G235" s="7"/>
      <c r="H235" s="118"/>
      <c r="I235" s="7" t="s">
        <v>251</v>
      </c>
      <c r="J235" s="7" t="s">
        <v>320</v>
      </c>
      <c r="K235" s="7" t="s">
        <v>354</v>
      </c>
      <c r="L235" s="7"/>
      <c r="M235" s="7"/>
      <c r="N235" s="7"/>
      <c r="O235" s="84" t="str" cm="1">
        <f t="array" ref="O235">_xlfn.XLOOKUP(1,(A235=Geotech!$A$4:$A$10094)*(Data_Discontinuities[[#This Row],[Depth (m)]]&gt;=Geotech!$C$4:$C$10094)*(Data_Discontinuities[[#This Row],[Depth (m)]]&lt;Geotech!$D$4:$D$10094),Geotech!$M$4:$M$10094)</f>
        <v>Boulamarque granodiorite</v>
      </c>
      <c r="P235" s="84"/>
      <c r="Q235" s="84"/>
      <c r="R235" s="84"/>
      <c r="S23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3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35" s="71">
        <f>IFERROR(Data_Discontinuities[[#This Row],[Joint roughness]]/Data_Discontinuities[[#This Row],[Joint alteration]],"")</f>
        <v>0.5</v>
      </c>
      <c r="V23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35" s="87"/>
    </row>
    <row r="236" spans="1:23" ht="15" customHeight="1" x14ac:dyDescent="0.25">
      <c r="A236" s="150" t="s">
        <v>26</v>
      </c>
      <c r="B236" s="17" t="str">
        <f>VLOOKUP(Data_Discontinuities[[#This Row],[Hole ID]],Data_Log[],2,FALSE)</f>
        <v>CGF-01</v>
      </c>
      <c r="C236" s="8">
        <v>175.85</v>
      </c>
      <c r="D236" s="8">
        <v>1</v>
      </c>
      <c r="E236" s="7" t="s">
        <v>420</v>
      </c>
      <c r="F236" s="7"/>
      <c r="G236" s="7"/>
      <c r="H236" s="118"/>
      <c r="I236" s="7" t="s">
        <v>286</v>
      </c>
      <c r="J236" s="7" t="s">
        <v>380</v>
      </c>
      <c r="K236" s="7" t="s">
        <v>322</v>
      </c>
      <c r="L236" s="7"/>
      <c r="M236" s="7"/>
      <c r="N236" s="7"/>
      <c r="O236" s="84" t="str" cm="1">
        <f t="array" ref="O236">_xlfn.XLOOKUP(1,(A236=Geotech!$A$4:$A$10094)*(Data_Discontinuities[[#This Row],[Depth (m)]]&gt;=Geotech!$C$4:$C$10094)*(Data_Discontinuities[[#This Row],[Depth (m)]]&lt;Geotech!$D$4:$D$10094),Geotech!$M$4:$M$10094)</f>
        <v>Boulamarque granodiorite</v>
      </c>
      <c r="P236" s="84"/>
      <c r="Q236" s="84"/>
      <c r="R236" s="84"/>
      <c r="S2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36" s="71">
        <f>IFERROR(Data_Discontinuities[[#This Row],[Joint roughness]]/Data_Discontinuities[[#This Row],[Joint alteration]],"")</f>
        <v>3</v>
      </c>
      <c r="V2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36" s="87"/>
    </row>
    <row r="237" spans="1:23" ht="15" customHeight="1" x14ac:dyDescent="0.25">
      <c r="A237" s="150" t="s">
        <v>26</v>
      </c>
      <c r="B237" s="17" t="str">
        <f>VLOOKUP(Data_Discontinuities[[#This Row],[Hole ID]],Data_Log[],2,FALSE)</f>
        <v>CGF-01</v>
      </c>
      <c r="C237" s="8">
        <v>176.3</v>
      </c>
      <c r="D237" s="8">
        <v>1</v>
      </c>
      <c r="E237" s="7" t="s">
        <v>420</v>
      </c>
      <c r="F237" s="7"/>
      <c r="G237" s="7"/>
      <c r="H237" s="118"/>
      <c r="I237" s="7" t="s">
        <v>286</v>
      </c>
      <c r="J237" s="7" t="s">
        <v>320</v>
      </c>
      <c r="K237" s="7" t="s">
        <v>382</v>
      </c>
      <c r="L237" s="7" t="s">
        <v>437</v>
      </c>
      <c r="M237" s="7"/>
      <c r="N237" s="7"/>
      <c r="O237" s="84" t="str" cm="1">
        <f t="array" ref="O237">_xlfn.XLOOKUP(1,(A237=Geotech!$A$4:$A$10094)*(Data_Discontinuities[[#This Row],[Depth (m)]]&gt;=Geotech!$C$4:$C$10094)*(Data_Discontinuities[[#This Row],[Depth (m)]]&lt;Geotech!$D$4:$D$10094),Geotech!$M$4:$M$10094)</f>
        <v>Boulamarque granodiorite</v>
      </c>
      <c r="P237" s="84"/>
      <c r="Q237" s="84"/>
      <c r="R237" s="84"/>
      <c r="S2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37" s="71">
        <f>IFERROR(Data_Discontinuities[[#This Row],[Joint roughness]]/Data_Discontinuities[[#This Row],[Joint alteration]],"")</f>
        <v>0.5</v>
      </c>
      <c r="V2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37" s="87"/>
    </row>
    <row r="238" spans="1:23" ht="15" customHeight="1" x14ac:dyDescent="0.25">
      <c r="A238" s="150" t="s">
        <v>26</v>
      </c>
      <c r="B238" s="17" t="str">
        <f>VLOOKUP(Data_Discontinuities[[#This Row],[Hole ID]],Data_Log[],2,FALSE)</f>
        <v>CGF-01</v>
      </c>
      <c r="C238" s="8">
        <v>176.44</v>
      </c>
      <c r="D238" s="8">
        <v>1</v>
      </c>
      <c r="E238" s="7" t="s">
        <v>420</v>
      </c>
      <c r="F238" s="7"/>
      <c r="G238" s="7"/>
      <c r="H238" s="118"/>
      <c r="I238" s="7" t="s">
        <v>251</v>
      </c>
      <c r="J238" s="7" t="s">
        <v>352</v>
      </c>
      <c r="K238" s="7" t="s">
        <v>382</v>
      </c>
      <c r="L238" s="7" t="s">
        <v>437</v>
      </c>
      <c r="M238" s="7"/>
      <c r="N238" s="7"/>
      <c r="O238" s="84" t="str" cm="1">
        <f t="array" ref="O238">_xlfn.XLOOKUP(1,(A238=Geotech!$A$4:$A$10094)*(Data_Discontinuities[[#This Row],[Depth (m)]]&gt;=Geotech!$C$4:$C$10094)*(Data_Discontinuities[[#This Row],[Depth (m)]]&lt;Geotech!$D$4:$D$10094),Geotech!$M$4:$M$10094)</f>
        <v>Boulamarque granodiorite</v>
      </c>
      <c r="P238" s="84"/>
      <c r="Q238" s="84"/>
      <c r="R238" s="84"/>
      <c r="S2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38" s="71">
        <f>IFERROR(Data_Discontinuities[[#This Row],[Joint roughness]]/Data_Discontinuities[[#This Row],[Joint alteration]],"")</f>
        <v>0.375</v>
      </c>
      <c r="V2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38" s="87"/>
    </row>
    <row r="239" spans="1:23" ht="15" customHeight="1" x14ac:dyDescent="0.25">
      <c r="A239" s="150" t="s">
        <v>26</v>
      </c>
      <c r="B239" s="17" t="str">
        <f>VLOOKUP(Data_Discontinuities[[#This Row],[Hole ID]],Data_Log[],2,FALSE)</f>
        <v>CGF-01</v>
      </c>
      <c r="C239" s="8">
        <v>178.22</v>
      </c>
      <c r="D239" s="8">
        <v>1</v>
      </c>
      <c r="E239" s="7" t="s">
        <v>420</v>
      </c>
      <c r="F239" s="7"/>
      <c r="G239" s="7"/>
      <c r="H239" s="118"/>
      <c r="I239" s="7" t="s">
        <v>286</v>
      </c>
      <c r="J239" s="7" t="s">
        <v>380</v>
      </c>
      <c r="K239" s="7" t="s">
        <v>322</v>
      </c>
      <c r="L239" s="7"/>
      <c r="M239" s="7"/>
      <c r="N239" s="7"/>
      <c r="O239" s="84" t="str" cm="1">
        <f t="array" ref="O239">_xlfn.XLOOKUP(1,(A239=Geotech!$A$4:$A$10094)*(Data_Discontinuities[[#This Row],[Depth (m)]]&gt;=Geotech!$C$4:$C$10094)*(Data_Discontinuities[[#This Row],[Depth (m)]]&lt;Geotech!$D$4:$D$10094),Geotech!$M$4:$M$10094)</f>
        <v>Boulamarque granodiorite</v>
      </c>
      <c r="P239" s="84"/>
      <c r="Q239" s="84"/>
      <c r="R239" s="84"/>
      <c r="S2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39" s="71">
        <f>IFERROR(Data_Discontinuities[[#This Row],[Joint roughness]]/Data_Discontinuities[[#This Row],[Joint alteration]],"")</f>
        <v>3</v>
      </c>
      <c r="V2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39" s="87"/>
    </row>
    <row r="240" spans="1:23" ht="15" customHeight="1" x14ac:dyDescent="0.25">
      <c r="A240" s="150" t="s">
        <v>26</v>
      </c>
      <c r="B240" s="17" t="str">
        <f>VLOOKUP(Data_Discontinuities[[#This Row],[Hole ID]],Data_Log[],2,FALSE)</f>
        <v>CGF-01</v>
      </c>
      <c r="C240" s="8">
        <v>178.72</v>
      </c>
      <c r="D240" s="8">
        <v>1</v>
      </c>
      <c r="E240" s="7" t="s">
        <v>420</v>
      </c>
      <c r="F240" s="7"/>
      <c r="G240" s="7"/>
      <c r="H240" s="118"/>
      <c r="I240" s="7" t="s">
        <v>286</v>
      </c>
      <c r="J240" s="7" t="s">
        <v>352</v>
      </c>
      <c r="K240" s="7" t="s">
        <v>290</v>
      </c>
      <c r="L240" s="7"/>
      <c r="M240" s="7"/>
      <c r="N240" s="7"/>
      <c r="O240" s="84" t="str" cm="1">
        <f t="array" ref="O240">_xlfn.XLOOKUP(1,(A240=Geotech!$A$4:$A$10094)*(Data_Discontinuities[[#This Row],[Depth (m)]]&gt;=Geotech!$C$4:$C$10094)*(Data_Discontinuities[[#This Row],[Depth (m)]]&lt;Geotech!$D$4:$D$10094),Geotech!$M$4:$M$10094)</f>
        <v>Boulamarque granodiorite</v>
      </c>
      <c r="P240" s="84"/>
      <c r="Q240" s="84"/>
      <c r="R240" s="84"/>
      <c r="S2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40" s="71">
        <f>IFERROR(Data_Discontinuities[[#This Row],[Joint roughness]]/Data_Discontinuities[[#This Row],[Joint alteration]],"")</f>
        <v>1.5</v>
      </c>
      <c r="V2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40" s="87"/>
    </row>
    <row r="241" spans="1:23" ht="15" customHeight="1" x14ac:dyDescent="0.25">
      <c r="A241" s="150" t="s">
        <v>26</v>
      </c>
      <c r="B241" s="17" t="str">
        <f>VLOOKUP(Data_Discontinuities[[#This Row],[Hole ID]],Data_Log[],2,FALSE)</f>
        <v>CGF-01</v>
      </c>
      <c r="C241" s="8">
        <v>179.04</v>
      </c>
      <c r="D241" s="8">
        <v>1</v>
      </c>
      <c r="E241" s="7" t="s">
        <v>445</v>
      </c>
      <c r="F241" s="7"/>
      <c r="G241" s="7"/>
      <c r="H241" s="118"/>
      <c r="I241" s="7" t="s">
        <v>251</v>
      </c>
      <c r="J241" s="7" t="s">
        <v>320</v>
      </c>
      <c r="K241" s="7" t="s">
        <v>354</v>
      </c>
      <c r="L241" s="7"/>
      <c r="M241" s="7"/>
      <c r="N241" s="7"/>
      <c r="O241" s="84" t="str" cm="1">
        <f t="array" ref="O241">_xlfn.XLOOKUP(1,(A241=Geotech!$A$4:$A$10094)*(Data_Discontinuities[[#This Row],[Depth (m)]]&gt;=Geotech!$C$4:$C$10094)*(Data_Discontinuities[[#This Row],[Depth (m)]]&lt;Geotech!$D$4:$D$10094),Geotech!$M$4:$M$10094)</f>
        <v>Boulamarque granodiorite</v>
      </c>
      <c r="P241" s="84"/>
      <c r="Q241" s="84"/>
      <c r="R241" s="84"/>
      <c r="S2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41" s="71">
        <f>IFERROR(Data_Discontinuities[[#This Row],[Joint roughness]]/Data_Discontinuities[[#This Row],[Joint alteration]],"")</f>
        <v>0.5</v>
      </c>
      <c r="V2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41" s="87"/>
    </row>
    <row r="242" spans="1:23" ht="15" customHeight="1" x14ac:dyDescent="0.25">
      <c r="A242" s="150" t="s">
        <v>26</v>
      </c>
      <c r="B242" s="17" t="str">
        <f>VLOOKUP(Data_Discontinuities[[#This Row],[Hole ID]],Data_Log[],2,FALSE)</f>
        <v>CGF-01</v>
      </c>
      <c r="C242" s="8">
        <v>179.42</v>
      </c>
      <c r="D242" s="8">
        <v>1</v>
      </c>
      <c r="E242" s="7" t="s">
        <v>420</v>
      </c>
      <c r="F242" s="7"/>
      <c r="G242" s="7"/>
      <c r="H242" s="118"/>
      <c r="I242" s="7" t="s">
        <v>286</v>
      </c>
      <c r="J242" s="7" t="s">
        <v>320</v>
      </c>
      <c r="K242" s="7" t="s">
        <v>382</v>
      </c>
      <c r="L242" s="7" t="s">
        <v>546</v>
      </c>
      <c r="M242" s="7" t="s">
        <v>437</v>
      </c>
      <c r="N242" s="7"/>
      <c r="O242" s="84" t="str" cm="1">
        <f t="array" ref="O242">_xlfn.XLOOKUP(1,(A242=Geotech!$A$4:$A$10094)*(Data_Discontinuities[[#This Row],[Depth (m)]]&gt;=Geotech!$C$4:$C$10094)*(Data_Discontinuities[[#This Row],[Depth (m)]]&lt;Geotech!$D$4:$D$10094),Geotech!$M$4:$M$10094)</f>
        <v>Boulamarque granodiorite</v>
      </c>
      <c r="P242" s="84"/>
      <c r="Q242" s="84"/>
      <c r="R242" s="84"/>
      <c r="S2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42" s="71">
        <f>IFERROR(Data_Discontinuities[[#This Row],[Joint roughness]]/Data_Discontinuities[[#This Row],[Joint alteration]],"")</f>
        <v>0.5</v>
      </c>
      <c r="V2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42" s="87"/>
    </row>
    <row r="243" spans="1:23" ht="15" customHeight="1" x14ac:dyDescent="0.25">
      <c r="A243" s="150" t="s">
        <v>26</v>
      </c>
      <c r="B243" s="17" t="str">
        <f>VLOOKUP(Data_Discontinuities[[#This Row],[Hole ID]],Data_Log[],2,FALSE)</f>
        <v>CGF-01</v>
      </c>
      <c r="C243" s="8">
        <v>179.81</v>
      </c>
      <c r="D243" s="8">
        <v>1</v>
      </c>
      <c r="E243" s="7" t="s">
        <v>481</v>
      </c>
      <c r="F243" s="7"/>
      <c r="G243" s="7"/>
      <c r="H243" s="118"/>
      <c r="I243" s="7" t="s">
        <v>378</v>
      </c>
      <c r="J243" s="7" t="s">
        <v>380</v>
      </c>
      <c r="K243" s="7" t="s">
        <v>406</v>
      </c>
      <c r="L243" s="7" t="s">
        <v>447</v>
      </c>
      <c r="M243" s="7"/>
      <c r="N243" s="7"/>
      <c r="O243" s="84" t="str" cm="1">
        <f t="array" ref="O243">_xlfn.XLOOKUP(1,(A243=Geotech!$A$4:$A$10094)*(Data_Discontinuities[[#This Row],[Depth (m)]]&gt;=Geotech!$C$4:$C$10094)*(Data_Discontinuities[[#This Row],[Depth (m)]]&lt;Geotech!$D$4:$D$10094),Geotech!$M$4:$M$10094)</f>
        <v>Boulamarque granodiorite</v>
      </c>
      <c r="P243" s="84"/>
      <c r="Q243" s="84"/>
      <c r="R243" s="84"/>
      <c r="S24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43" s="71">
        <f>IFERROR(Data_Discontinuities[[#This Row],[Joint roughness]]/Data_Discontinuities[[#This Row],[Joint alteration]],"")</f>
        <v>1</v>
      </c>
      <c r="V24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3" s="87"/>
    </row>
    <row r="244" spans="1:23" ht="15" customHeight="1" x14ac:dyDescent="0.25">
      <c r="A244" s="150" t="s">
        <v>26</v>
      </c>
      <c r="B244" s="17" t="str">
        <f>VLOOKUP(Data_Discontinuities[[#This Row],[Hole ID]],Data_Log[],2,FALSE)</f>
        <v>CGF-01</v>
      </c>
      <c r="C244" s="8">
        <v>179.3</v>
      </c>
      <c r="D244" s="8">
        <v>1</v>
      </c>
      <c r="E244" s="7" t="s">
        <v>445</v>
      </c>
      <c r="F244" s="7"/>
      <c r="G244" s="7"/>
      <c r="H244" s="118"/>
      <c r="I244" s="7" t="s">
        <v>318</v>
      </c>
      <c r="J244" s="7" t="s">
        <v>380</v>
      </c>
      <c r="K244" s="7" t="s">
        <v>322</v>
      </c>
      <c r="L244" s="7"/>
      <c r="M244" s="7"/>
      <c r="N244" s="7"/>
      <c r="O244" s="84" t="str" cm="1">
        <f t="array" ref="O244">_xlfn.XLOOKUP(1,(A244=Geotech!$A$4:$A$10094)*(Data_Discontinuities[[#This Row],[Depth (m)]]&gt;=Geotech!$C$4:$C$10094)*(Data_Discontinuities[[#This Row],[Depth (m)]]&lt;Geotech!$D$4:$D$10094),Geotech!$M$4:$M$10094)</f>
        <v>Boulamarque granodiorite</v>
      </c>
      <c r="P244" s="84"/>
      <c r="Q244" s="84"/>
      <c r="R244" s="84"/>
      <c r="S2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44" s="71">
        <f>IFERROR(Data_Discontinuities[[#This Row],[Joint roughness]]/Data_Discontinuities[[#This Row],[Joint alteration]],"")</f>
        <v>3</v>
      </c>
      <c r="V2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44" s="87"/>
    </row>
    <row r="245" spans="1:23" ht="15" customHeight="1" x14ac:dyDescent="0.25">
      <c r="A245" s="150" t="s">
        <v>26</v>
      </c>
      <c r="B245" s="17" t="str">
        <f>VLOOKUP(Data_Discontinuities[[#This Row],[Hole ID]],Data_Log[],2,FALSE)</f>
        <v>CGF-01</v>
      </c>
      <c r="C245" s="8">
        <v>180.06</v>
      </c>
      <c r="D245" s="8">
        <v>1</v>
      </c>
      <c r="E245" s="7" t="s">
        <v>445</v>
      </c>
      <c r="F245" s="7"/>
      <c r="G245" s="7"/>
      <c r="H245" s="118"/>
      <c r="I245" s="7" t="s">
        <v>251</v>
      </c>
      <c r="J245" s="7" t="s">
        <v>352</v>
      </c>
      <c r="K245" s="7" t="s">
        <v>354</v>
      </c>
      <c r="L245" s="7"/>
      <c r="M245" s="7"/>
      <c r="N245" s="7"/>
      <c r="O245" s="84" t="str" cm="1">
        <f t="array" ref="O245">_xlfn.XLOOKUP(1,(A245=Geotech!$A$4:$A$10094)*(Data_Discontinuities[[#This Row],[Depth (m)]]&gt;=Geotech!$C$4:$C$10094)*(Data_Discontinuities[[#This Row],[Depth (m)]]&lt;Geotech!$D$4:$D$10094),Geotech!$M$4:$M$10094)</f>
        <v>Boulamarque granodiorite</v>
      </c>
      <c r="P245" s="84"/>
      <c r="Q245" s="84"/>
      <c r="R245" s="84"/>
      <c r="S2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45" s="71">
        <f>IFERROR(Data_Discontinuities[[#This Row],[Joint roughness]]/Data_Discontinuities[[#This Row],[Joint alteration]],"")</f>
        <v>0.75</v>
      </c>
      <c r="V2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5" s="87"/>
    </row>
    <row r="246" spans="1:23" ht="15" customHeight="1" x14ac:dyDescent="0.25">
      <c r="A246" s="150" t="s">
        <v>26</v>
      </c>
      <c r="B246" s="17" t="str">
        <f>VLOOKUP(Data_Discontinuities[[#This Row],[Hole ID]],Data_Log[],2,FALSE)</f>
        <v>CGF-01</v>
      </c>
      <c r="C246" s="8">
        <v>181.79</v>
      </c>
      <c r="D246" s="8">
        <v>1</v>
      </c>
      <c r="E246" s="7" t="s">
        <v>420</v>
      </c>
      <c r="F246" s="7"/>
      <c r="G246" s="7"/>
      <c r="H246" s="118"/>
      <c r="I246" s="7" t="s">
        <v>286</v>
      </c>
      <c r="J246" s="7" t="s">
        <v>352</v>
      </c>
      <c r="K246" s="7" t="s">
        <v>290</v>
      </c>
      <c r="L246" s="7"/>
      <c r="M246" s="7"/>
      <c r="N246" s="7"/>
      <c r="O246" s="84" t="str" cm="1">
        <f t="array" ref="O246">_xlfn.XLOOKUP(1,(A246=Geotech!$A$4:$A$10094)*(Data_Discontinuities[[#This Row],[Depth (m)]]&gt;=Geotech!$C$4:$C$10094)*(Data_Discontinuities[[#This Row],[Depth (m)]]&lt;Geotech!$D$4:$D$10094),Geotech!$M$4:$M$10094)</f>
        <v>Boulamarque granodiorite</v>
      </c>
      <c r="P246" s="84"/>
      <c r="Q246" s="84"/>
      <c r="R246" s="84"/>
      <c r="S2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46" s="71">
        <f>IFERROR(Data_Discontinuities[[#This Row],[Joint roughness]]/Data_Discontinuities[[#This Row],[Joint alteration]],"")</f>
        <v>1.5</v>
      </c>
      <c r="V2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46" s="87"/>
    </row>
    <row r="247" spans="1:23" ht="15" customHeight="1" x14ac:dyDescent="0.25">
      <c r="A247" s="150" t="s">
        <v>26</v>
      </c>
      <c r="B247" s="17" t="str">
        <f>VLOOKUP(Data_Discontinuities[[#This Row],[Hole ID]],Data_Log[],2,FALSE)</f>
        <v>CGF-01</v>
      </c>
      <c r="C247" s="8">
        <v>182.11</v>
      </c>
      <c r="D247" s="8">
        <v>1</v>
      </c>
      <c r="E247" s="7" t="s">
        <v>420</v>
      </c>
      <c r="F247" s="7"/>
      <c r="G247" s="7"/>
      <c r="H247" s="118"/>
      <c r="I247" s="7" t="s">
        <v>286</v>
      </c>
      <c r="J247" s="7" t="s">
        <v>352</v>
      </c>
      <c r="K247" s="7" t="s">
        <v>382</v>
      </c>
      <c r="L247" s="7" t="s">
        <v>437</v>
      </c>
      <c r="M247" s="7" t="s">
        <v>541</v>
      </c>
      <c r="N247" s="7"/>
      <c r="O247" s="84" t="str" cm="1">
        <f t="array" ref="O247">_xlfn.XLOOKUP(1,(A247=Geotech!$A$4:$A$10094)*(Data_Discontinuities[[#This Row],[Depth (m)]]&gt;=Geotech!$C$4:$C$10094)*(Data_Discontinuities[[#This Row],[Depth (m)]]&lt;Geotech!$D$4:$D$10094),Geotech!$M$4:$M$10094)</f>
        <v>Boulamarque granodiorite</v>
      </c>
      <c r="P247" s="84"/>
      <c r="Q247" s="84"/>
      <c r="R247" s="84"/>
      <c r="S2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47" s="71">
        <f>IFERROR(Data_Discontinuities[[#This Row],[Joint roughness]]/Data_Discontinuities[[#This Row],[Joint alteration]],"")</f>
        <v>0.75</v>
      </c>
      <c r="V2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7" s="87"/>
    </row>
    <row r="248" spans="1:23" ht="15" customHeight="1" x14ac:dyDescent="0.25">
      <c r="A248" s="150" t="s">
        <v>26</v>
      </c>
      <c r="B248" s="17" t="str">
        <f>VLOOKUP(Data_Discontinuities[[#This Row],[Hole ID]],Data_Log[],2,FALSE)</f>
        <v>CGF-01</v>
      </c>
      <c r="C248" s="8">
        <v>182.3</v>
      </c>
      <c r="D248" s="8">
        <v>1</v>
      </c>
      <c r="E248" s="7" t="s">
        <v>420</v>
      </c>
      <c r="F248" s="7"/>
      <c r="G248" s="7"/>
      <c r="H248" s="118"/>
      <c r="I248" s="7" t="s">
        <v>286</v>
      </c>
      <c r="J248" s="7" t="s">
        <v>320</v>
      </c>
      <c r="K248" s="7" t="s">
        <v>354</v>
      </c>
      <c r="L248" s="7"/>
      <c r="M248" s="7"/>
      <c r="N248" s="7"/>
      <c r="O248" s="84" t="str" cm="1">
        <f t="array" ref="O248">_xlfn.XLOOKUP(1,(A248=Geotech!$A$4:$A$10094)*(Data_Discontinuities[[#This Row],[Depth (m)]]&gt;=Geotech!$C$4:$C$10094)*(Data_Discontinuities[[#This Row],[Depth (m)]]&lt;Geotech!$D$4:$D$10094),Geotech!$M$4:$M$10094)</f>
        <v>Boulamarque granodiorite</v>
      </c>
      <c r="P248" s="84"/>
      <c r="Q248" s="84"/>
      <c r="R248" s="84"/>
      <c r="S2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48" s="71">
        <f>IFERROR(Data_Discontinuities[[#This Row],[Joint roughness]]/Data_Discontinuities[[#This Row],[Joint alteration]],"")</f>
        <v>1</v>
      </c>
      <c r="V2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8" s="87"/>
    </row>
    <row r="249" spans="1:23" ht="15" customHeight="1" x14ac:dyDescent="0.25">
      <c r="A249" s="150" t="s">
        <v>26</v>
      </c>
      <c r="B249" s="17" t="str">
        <f>VLOOKUP(Data_Discontinuities[[#This Row],[Hole ID]],Data_Log[],2,FALSE)</f>
        <v>CGF-01</v>
      </c>
      <c r="C249" s="8">
        <v>183.56</v>
      </c>
      <c r="D249" s="8">
        <v>1</v>
      </c>
      <c r="E249" s="7" t="s">
        <v>420</v>
      </c>
      <c r="F249" s="7"/>
      <c r="G249" s="7"/>
      <c r="H249" s="118"/>
      <c r="I249" s="7" t="s">
        <v>378</v>
      </c>
      <c r="J249" s="7" t="s">
        <v>352</v>
      </c>
      <c r="K249" s="7" t="s">
        <v>406</v>
      </c>
      <c r="L249" s="7" t="s">
        <v>447</v>
      </c>
      <c r="M249" s="7"/>
      <c r="N249" s="7"/>
      <c r="O249" s="84" t="str" cm="1">
        <f t="array" ref="O249">_xlfn.XLOOKUP(1,(A249=Geotech!$A$4:$A$10094)*(Data_Discontinuities[[#This Row],[Depth (m)]]&gt;=Geotech!$C$4:$C$10094)*(Data_Discontinuities[[#This Row],[Depth (m)]]&lt;Geotech!$D$4:$D$10094),Geotech!$M$4:$M$10094)</f>
        <v>Boulamarque granodiorite</v>
      </c>
      <c r="P249" s="84"/>
      <c r="Q249" s="84"/>
      <c r="R249" s="84"/>
      <c r="S2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49" s="71">
        <f>IFERROR(Data_Discontinuities[[#This Row],[Joint roughness]]/Data_Discontinuities[[#This Row],[Joint alteration]],"")</f>
        <v>1</v>
      </c>
      <c r="V2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49" s="87"/>
    </row>
    <row r="250" spans="1:23" ht="15" customHeight="1" x14ac:dyDescent="0.25">
      <c r="A250" s="150" t="s">
        <v>26</v>
      </c>
      <c r="B250" s="17" t="str">
        <f>VLOOKUP(Data_Discontinuities[[#This Row],[Hole ID]],Data_Log[],2,FALSE)</f>
        <v>CGF-01</v>
      </c>
      <c r="C250" s="8">
        <v>183.8</v>
      </c>
      <c r="D250" s="8">
        <v>1</v>
      </c>
      <c r="E250" s="7" t="s">
        <v>420</v>
      </c>
      <c r="F250" s="7"/>
      <c r="G250" s="7"/>
      <c r="H250" s="118"/>
      <c r="I250" s="7" t="s">
        <v>286</v>
      </c>
      <c r="J250" s="7" t="s">
        <v>352</v>
      </c>
      <c r="K250" s="7" t="s">
        <v>354</v>
      </c>
      <c r="L250" s="7"/>
      <c r="M250" s="7"/>
      <c r="N250" s="7"/>
      <c r="O250" s="84" t="str" cm="1">
        <f t="array" ref="O250">_xlfn.XLOOKUP(1,(A250=Geotech!$A$4:$A$10094)*(Data_Discontinuities[[#This Row],[Depth (m)]]&gt;=Geotech!$C$4:$C$10094)*(Data_Discontinuities[[#This Row],[Depth (m)]]&lt;Geotech!$D$4:$D$10094),Geotech!$M$4:$M$10094)</f>
        <v>Boulamarque granodiorite</v>
      </c>
      <c r="P250" s="84"/>
      <c r="Q250" s="84"/>
      <c r="R250" s="84"/>
      <c r="S2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50" s="71">
        <f>IFERROR(Data_Discontinuities[[#This Row],[Joint roughness]]/Data_Discontinuities[[#This Row],[Joint alteration]],"")</f>
        <v>1.5</v>
      </c>
      <c r="V2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50" s="87"/>
    </row>
    <row r="251" spans="1:23" ht="15" customHeight="1" x14ac:dyDescent="0.25">
      <c r="A251" s="150" t="s">
        <v>26</v>
      </c>
      <c r="B251" s="17" t="str">
        <f>VLOOKUP(Data_Discontinuities[[#This Row],[Hole ID]],Data_Log[],2,FALSE)</f>
        <v>CGF-01</v>
      </c>
      <c r="C251" s="8">
        <v>184.21</v>
      </c>
      <c r="D251" s="8">
        <v>1</v>
      </c>
      <c r="E251" s="7" t="s">
        <v>420</v>
      </c>
      <c r="F251" s="7"/>
      <c r="G251" s="7"/>
      <c r="H251" s="118"/>
      <c r="I251" s="7" t="s">
        <v>251</v>
      </c>
      <c r="J251" s="7" t="s">
        <v>352</v>
      </c>
      <c r="K251" s="7" t="s">
        <v>322</v>
      </c>
      <c r="L251" s="7"/>
      <c r="M251" s="7"/>
      <c r="N251" s="7"/>
      <c r="O251" s="84" t="str" cm="1">
        <f t="array" ref="O251">_xlfn.XLOOKUP(1,(A251=Geotech!$A$4:$A$10094)*(Data_Discontinuities[[#This Row],[Depth (m)]]&gt;=Geotech!$C$4:$C$10094)*(Data_Discontinuities[[#This Row],[Depth (m)]]&lt;Geotech!$D$4:$D$10094),Geotech!$M$4:$M$10094)</f>
        <v>Boulamarque granodiorite</v>
      </c>
      <c r="P251" s="84"/>
      <c r="Q251" s="84"/>
      <c r="R251" s="84"/>
      <c r="S2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51" s="71">
        <f>IFERROR(Data_Discontinuities[[#This Row],[Joint roughness]]/Data_Discontinuities[[#This Row],[Joint alteration]],"")</f>
        <v>1.5</v>
      </c>
      <c r="V2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51" s="87"/>
    </row>
    <row r="252" spans="1:23" ht="15" customHeight="1" x14ac:dyDescent="0.25">
      <c r="A252" s="150"/>
      <c r="B252" s="17" t="e">
        <f>VLOOKUP(Data_Discontinuities[[#This Row],[Hole ID]],Data_Log[],2,FALSE)</f>
        <v>#N/A</v>
      </c>
      <c r="C252" s="8"/>
      <c r="D252" s="8"/>
      <c r="E252" s="7"/>
      <c r="F252" s="7"/>
      <c r="G252" s="7"/>
      <c r="H252" s="118"/>
      <c r="I252" s="7"/>
      <c r="J252" s="7"/>
      <c r="K252" s="7"/>
      <c r="L252" s="7"/>
      <c r="M252" s="7"/>
      <c r="N252" s="7"/>
      <c r="O252" s="84" t="e" cm="1">
        <f t="array" ref="O252">_xlfn.XLOOKUP(1,(A252=Geotech!$A$4:$A$10094)*(Data_Discontinuities[[#This Row],[Depth (m)]]&gt;=Geotech!$C$4:$C$10094)*(Data_Discontinuities[[#This Row],[Depth (m)]]&lt;Geotech!$D$4:$D$10094),Geotech!$M$4:$M$10094)</f>
        <v>#N/A</v>
      </c>
      <c r="P252" s="84"/>
      <c r="Q252" s="84"/>
      <c r="R252" s="84"/>
      <c r="S2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2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252" s="71" t="str">
        <f>IFERROR(Data_Discontinuities[[#This Row],[Joint roughness]]/Data_Discontinuities[[#This Row],[Joint alteration]],"")</f>
        <v/>
      </c>
      <c r="V2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252" s="87"/>
    </row>
    <row r="253" spans="1:23" ht="15" customHeight="1" x14ac:dyDescent="0.25">
      <c r="A253" s="150" t="s">
        <v>30</v>
      </c>
      <c r="B253" s="17" t="str">
        <f>VLOOKUP(Data_Discontinuities[[#This Row],[Hole ID]],Data_Log[],2,FALSE)</f>
        <v>CGF-02</v>
      </c>
      <c r="C253" s="8">
        <v>60.25</v>
      </c>
      <c r="D253" s="8">
        <v>1</v>
      </c>
      <c r="E253" s="7" t="s">
        <v>445</v>
      </c>
      <c r="F253" s="7"/>
      <c r="G253" s="7"/>
      <c r="H253" s="118"/>
      <c r="I253" s="7" t="s">
        <v>286</v>
      </c>
      <c r="J253" s="7" t="s">
        <v>352</v>
      </c>
      <c r="K253" s="7" t="s">
        <v>322</v>
      </c>
      <c r="L253" s="7"/>
      <c r="M253" s="7"/>
      <c r="N253" s="7"/>
      <c r="O253" s="84" t="str" cm="1">
        <f t="array" ref="O253">_xlfn.XLOOKUP(1,(A253=Geotech!$A$4:$A$10094)*(Data_Discontinuities[[#This Row],[Depth (m)]]&gt;=Geotech!$C$4:$C$10094)*(Data_Discontinuities[[#This Row],[Depth (m)]]&lt;Geotech!$D$4:$D$10094),Geotech!$M$4:$M$10094)</f>
        <v>Basalt</v>
      </c>
      <c r="P253" s="84"/>
      <c r="Q253" s="84"/>
      <c r="R253" s="84"/>
      <c r="S2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53" s="71">
        <f>IFERROR(Data_Discontinuities[[#This Row],[Joint roughness]]/Data_Discontinuities[[#This Row],[Joint alteration]],"")</f>
        <v>3</v>
      </c>
      <c r="V2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53" s="87"/>
    </row>
    <row r="254" spans="1:23" ht="15" customHeight="1" x14ac:dyDescent="0.25">
      <c r="A254" s="150" t="s">
        <v>30</v>
      </c>
      <c r="B254" s="17" t="str">
        <f>VLOOKUP(Data_Discontinuities[[#This Row],[Hole ID]],Data_Log[],2,FALSE)</f>
        <v>CGF-02</v>
      </c>
      <c r="C254" s="8">
        <v>60.74</v>
      </c>
      <c r="D254" s="8">
        <v>1</v>
      </c>
      <c r="E254" s="7" t="s">
        <v>445</v>
      </c>
      <c r="F254" s="7"/>
      <c r="G254" s="7"/>
      <c r="H254" s="118"/>
      <c r="I254" s="7" t="s">
        <v>286</v>
      </c>
      <c r="J254" s="7" t="s">
        <v>352</v>
      </c>
      <c r="K254" s="7" t="s">
        <v>382</v>
      </c>
      <c r="L254" s="7" t="s">
        <v>447</v>
      </c>
      <c r="M254" s="7"/>
      <c r="N254" s="7"/>
      <c r="O254" s="84" t="str" cm="1">
        <f t="array" ref="O254">_xlfn.XLOOKUP(1,(A254=Geotech!$A$4:$A$10094)*(Data_Discontinuities[[#This Row],[Depth (m)]]&gt;=Geotech!$C$4:$C$10094)*(Data_Discontinuities[[#This Row],[Depth (m)]]&lt;Geotech!$D$4:$D$10094),Geotech!$M$4:$M$10094)</f>
        <v>Basalt</v>
      </c>
      <c r="P254" s="84"/>
      <c r="Q254" s="84"/>
      <c r="R254" s="84"/>
      <c r="S25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54" s="71">
        <f>IFERROR(Data_Discontinuities[[#This Row],[Joint roughness]]/Data_Discontinuities[[#This Row],[Joint alteration]],"")</f>
        <v>1</v>
      </c>
      <c r="V25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54" s="87"/>
    </row>
    <row r="255" spans="1:23" ht="15" customHeight="1" x14ac:dyDescent="0.25">
      <c r="A255" s="150" t="s">
        <v>30</v>
      </c>
      <c r="B255" s="17" t="str">
        <f>VLOOKUP(Data_Discontinuities[[#This Row],[Hole ID]],Data_Log[],2,FALSE)</f>
        <v>CGF-02</v>
      </c>
      <c r="C255" s="8">
        <v>61.78</v>
      </c>
      <c r="D255" s="8">
        <v>1</v>
      </c>
      <c r="E255" s="7" t="s">
        <v>445</v>
      </c>
      <c r="F255" s="7"/>
      <c r="G255" s="7"/>
      <c r="H255" s="118"/>
      <c r="I255" s="7" t="s">
        <v>286</v>
      </c>
      <c r="J255" s="7" t="s">
        <v>352</v>
      </c>
      <c r="K255" s="7" t="s">
        <v>290</v>
      </c>
      <c r="L255" s="7"/>
      <c r="M255" s="7"/>
      <c r="N255" s="7"/>
      <c r="O255" s="84" t="str" cm="1">
        <f t="array" ref="O255">_xlfn.XLOOKUP(1,(A255=Geotech!$A$4:$A$10094)*(Data_Discontinuities[[#This Row],[Depth (m)]]&gt;=Geotech!$C$4:$C$10094)*(Data_Discontinuities[[#This Row],[Depth (m)]]&lt;Geotech!$D$4:$D$10094),Geotech!$M$4:$M$10094)</f>
        <v>Basalt</v>
      </c>
      <c r="P255" s="84"/>
      <c r="Q255" s="84"/>
      <c r="R255" s="84"/>
      <c r="S2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55" s="71">
        <f>IFERROR(Data_Discontinuities[[#This Row],[Joint roughness]]/Data_Discontinuities[[#This Row],[Joint alteration]],"")</f>
        <v>1.5</v>
      </c>
      <c r="V2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55" s="87"/>
    </row>
    <row r="256" spans="1:23" ht="15" customHeight="1" x14ac:dyDescent="0.25">
      <c r="A256" s="150" t="s">
        <v>30</v>
      </c>
      <c r="B256" s="17" t="str">
        <f>VLOOKUP(Data_Discontinuities[[#This Row],[Hole ID]],Data_Log[],2,FALSE)</f>
        <v>CGF-02</v>
      </c>
      <c r="C256" s="8">
        <v>62.34</v>
      </c>
      <c r="D256" s="8">
        <v>1</v>
      </c>
      <c r="E256" s="7" t="s">
        <v>445</v>
      </c>
      <c r="F256" s="7"/>
      <c r="G256" s="7"/>
      <c r="H256" s="118"/>
      <c r="I256" s="7" t="s">
        <v>286</v>
      </c>
      <c r="J256" s="7" t="s">
        <v>352</v>
      </c>
      <c r="K256" s="7" t="s">
        <v>382</v>
      </c>
      <c r="L256" s="7" t="s">
        <v>447</v>
      </c>
      <c r="M256" s="7"/>
      <c r="N256" s="7"/>
      <c r="O256" s="84" t="str" cm="1">
        <f t="array" ref="O256">_xlfn.XLOOKUP(1,(A256=Geotech!$A$4:$A$10094)*(Data_Discontinuities[[#This Row],[Depth (m)]]&gt;=Geotech!$C$4:$C$10094)*(Data_Discontinuities[[#This Row],[Depth (m)]]&lt;Geotech!$D$4:$D$10094),Geotech!$M$4:$M$10094)</f>
        <v>Basalt</v>
      </c>
      <c r="P256" s="84"/>
      <c r="Q256" s="84"/>
      <c r="R256" s="84"/>
      <c r="S2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56" s="71">
        <f>IFERROR(Data_Discontinuities[[#This Row],[Joint roughness]]/Data_Discontinuities[[#This Row],[Joint alteration]],"")</f>
        <v>1</v>
      </c>
      <c r="V2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56" s="87"/>
    </row>
    <row r="257" spans="1:23" ht="15" customHeight="1" x14ac:dyDescent="0.25">
      <c r="A257" s="150" t="s">
        <v>30</v>
      </c>
      <c r="B257" s="17" t="str">
        <f>VLOOKUP(Data_Discontinuities[[#This Row],[Hole ID]],Data_Log[],2,FALSE)</f>
        <v>CGF-02</v>
      </c>
      <c r="C257" s="8">
        <v>62.55</v>
      </c>
      <c r="D257" s="8">
        <v>1</v>
      </c>
      <c r="E257" s="7" t="s">
        <v>445</v>
      </c>
      <c r="F257" s="7"/>
      <c r="G257" s="7"/>
      <c r="H257" s="118"/>
      <c r="I257" s="7" t="s">
        <v>286</v>
      </c>
      <c r="J257" s="7" t="s">
        <v>380</v>
      </c>
      <c r="K257" s="7" t="s">
        <v>322</v>
      </c>
      <c r="L257" s="7"/>
      <c r="M257" s="7"/>
      <c r="N257" s="7"/>
      <c r="O257" s="84" t="str" cm="1">
        <f t="array" ref="O257">_xlfn.XLOOKUP(1,(A257=Geotech!$A$4:$A$10094)*(Data_Discontinuities[[#This Row],[Depth (m)]]&gt;=Geotech!$C$4:$C$10094)*(Data_Discontinuities[[#This Row],[Depth (m)]]&lt;Geotech!$D$4:$D$10094),Geotech!$M$4:$M$10094)</f>
        <v>Basalt</v>
      </c>
      <c r="P257" s="84"/>
      <c r="Q257" s="84"/>
      <c r="R257" s="84"/>
      <c r="S25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5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57" s="71">
        <f>IFERROR(Data_Discontinuities[[#This Row],[Joint roughness]]/Data_Discontinuities[[#This Row],[Joint alteration]],"")</f>
        <v>3</v>
      </c>
      <c r="V25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57" s="87"/>
    </row>
    <row r="258" spans="1:23" ht="15" customHeight="1" x14ac:dyDescent="0.25">
      <c r="A258" s="150" t="s">
        <v>30</v>
      </c>
      <c r="B258" s="17" t="str">
        <f>VLOOKUP(Data_Discontinuities[[#This Row],[Hole ID]],Data_Log[],2,FALSE)</f>
        <v>CGF-02</v>
      </c>
      <c r="C258" s="8">
        <v>63.2</v>
      </c>
      <c r="D258" s="8">
        <v>1</v>
      </c>
      <c r="E258" s="7" t="s">
        <v>445</v>
      </c>
      <c r="F258" s="7"/>
      <c r="G258" s="7"/>
      <c r="H258" s="118"/>
      <c r="I258" s="7" t="s">
        <v>286</v>
      </c>
      <c r="J258" s="7" t="s">
        <v>320</v>
      </c>
      <c r="K258" s="7" t="s">
        <v>322</v>
      </c>
      <c r="L258" s="7"/>
      <c r="M258" s="7"/>
      <c r="N258" s="7"/>
      <c r="O258" s="84" t="str" cm="1">
        <f t="array" ref="O258">_xlfn.XLOOKUP(1,(A258=Geotech!$A$4:$A$10094)*(Data_Discontinuities[[#This Row],[Depth (m)]]&gt;=Geotech!$C$4:$C$10094)*(Data_Discontinuities[[#This Row],[Depth (m)]]&lt;Geotech!$D$4:$D$10094),Geotech!$M$4:$M$10094)</f>
        <v>Basalt</v>
      </c>
      <c r="P258" s="84"/>
      <c r="Q258" s="84"/>
      <c r="R258" s="84"/>
      <c r="S2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58" s="71">
        <f>IFERROR(Data_Discontinuities[[#This Row],[Joint roughness]]/Data_Discontinuities[[#This Row],[Joint alteration]],"")</f>
        <v>2</v>
      </c>
      <c r="V2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58" s="87"/>
    </row>
    <row r="259" spans="1:23" ht="15" customHeight="1" x14ac:dyDescent="0.25">
      <c r="A259" s="150" t="s">
        <v>30</v>
      </c>
      <c r="B259" s="17" t="str">
        <f>VLOOKUP(Data_Discontinuities[[#This Row],[Hole ID]],Data_Log[],2,FALSE)</f>
        <v>CGF-02</v>
      </c>
      <c r="C259" s="8">
        <v>64.400000000000006</v>
      </c>
      <c r="D259" s="8">
        <v>1</v>
      </c>
      <c r="E259" s="7" t="s">
        <v>445</v>
      </c>
      <c r="F259" s="7"/>
      <c r="G259" s="7"/>
      <c r="H259" s="118"/>
      <c r="I259" s="7" t="s">
        <v>318</v>
      </c>
      <c r="J259" s="7" t="s">
        <v>320</v>
      </c>
      <c r="K259" s="7" t="s">
        <v>382</v>
      </c>
      <c r="L259" s="7" t="s">
        <v>447</v>
      </c>
      <c r="M259" s="7" t="s">
        <v>472</v>
      </c>
      <c r="N259" s="7"/>
      <c r="O259" s="84" t="str" cm="1">
        <f t="array" ref="O259">_xlfn.XLOOKUP(1,(A259=Geotech!$A$4:$A$10094)*(Data_Discontinuities[[#This Row],[Depth (m)]]&gt;=Geotech!$C$4:$C$10094)*(Data_Discontinuities[[#This Row],[Depth (m)]]&lt;Geotech!$D$4:$D$10094),Geotech!$M$4:$M$10094)</f>
        <v>Basalt</v>
      </c>
      <c r="P259" s="84"/>
      <c r="Q259" s="84"/>
      <c r="R259" s="84"/>
      <c r="S2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59" s="71">
        <f>IFERROR(Data_Discontinuities[[#This Row],[Joint roughness]]/Data_Discontinuities[[#This Row],[Joint alteration]],"")</f>
        <v>0.66666666666666663</v>
      </c>
      <c r="V2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59" s="87"/>
    </row>
    <row r="260" spans="1:23" ht="15" customHeight="1" x14ac:dyDescent="0.25">
      <c r="A260" s="150" t="s">
        <v>30</v>
      </c>
      <c r="B260" s="17" t="str">
        <f>VLOOKUP(Data_Discontinuities[[#This Row],[Hole ID]],Data_Log[],2,FALSE)</f>
        <v>CGF-02</v>
      </c>
      <c r="C260" s="8">
        <v>64.63</v>
      </c>
      <c r="D260" s="8">
        <v>1</v>
      </c>
      <c r="E260" s="7" t="s">
        <v>445</v>
      </c>
      <c r="F260" s="7"/>
      <c r="G260" s="7"/>
      <c r="H260" s="118"/>
      <c r="I260" s="7" t="s">
        <v>286</v>
      </c>
      <c r="J260" s="7" t="s">
        <v>320</v>
      </c>
      <c r="K260" s="7" t="s">
        <v>354</v>
      </c>
      <c r="L260" s="7"/>
      <c r="M260" s="7"/>
      <c r="N260" s="7"/>
      <c r="O260" s="84" t="str" cm="1">
        <f t="array" ref="O260">_xlfn.XLOOKUP(1,(A260=Geotech!$A$4:$A$10094)*(Data_Discontinuities[[#This Row],[Depth (m)]]&gt;=Geotech!$C$4:$C$10094)*(Data_Discontinuities[[#This Row],[Depth (m)]]&lt;Geotech!$D$4:$D$10094),Geotech!$M$4:$M$10094)</f>
        <v>Basalt</v>
      </c>
      <c r="P260" s="84"/>
      <c r="Q260" s="84"/>
      <c r="R260" s="84"/>
      <c r="S2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0" s="71">
        <f>IFERROR(Data_Discontinuities[[#This Row],[Joint roughness]]/Data_Discontinuities[[#This Row],[Joint alteration]],"")</f>
        <v>1</v>
      </c>
      <c r="V2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60" s="87"/>
    </row>
    <row r="261" spans="1:23" ht="15" customHeight="1" x14ac:dyDescent="0.25">
      <c r="A261" s="150" t="s">
        <v>30</v>
      </c>
      <c r="B261" s="17" t="str">
        <f>VLOOKUP(Data_Discontinuities[[#This Row],[Hole ID]],Data_Log[],2,FALSE)</f>
        <v>CGF-02</v>
      </c>
      <c r="C261" s="8">
        <v>65.28</v>
      </c>
      <c r="D261" s="8">
        <v>1</v>
      </c>
      <c r="E261" s="7" t="s">
        <v>445</v>
      </c>
      <c r="F261" s="7"/>
      <c r="G261" s="7"/>
      <c r="H261" s="118"/>
      <c r="I261" s="7" t="s">
        <v>251</v>
      </c>
      <c r="J261" s="7" t="s">
        <v>320</v>
      </c>
      <c r="K261" s="7" t="s">
        <v>382</v>
      </c>
      <c r="L261" s="7" t="s">
        <v>447</v>
      </c>
      <c r="M261" s="7"/>
      <c r="N261" s="7"/>
      <c r="O261" s="84" t="str" cm="1">
        <f t="array" ref="O261">_xlfn.XLOOKUP(1,(A261=Geotech!$A$4:$A$10094)*(Data_Discontinuities[[#This Row],[Depth (m)]]&gt;=Geotech!$C$4:$C$10094)*(Data_Discontinuities[[#This Row],[Depth (m)]]&lt;Geotech!$D$4:$D$10094),Geotech!$M$4:$M$10094)</f>
        <v>Basalt</v>
      </c>
      <c r="P261" s="84"/>
      <c r="Q261" s="84"/>
      <c r="R261" s="84"/>
      <c r="S2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61" s="71">
        <f>IFERROR(Data_Discontinuities[[#This Row],[Joint roughness]]/Data_Discontinuities[[#This Row],[Joint alteration]],"")</f>
        <v>0.33333333333333331</v>
      </c>
      <c r="V2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61" s="87"/>
    </row>
    <row r="262" spans="1:23" ht="15" customHeight="1" x14ac:dyDescent="0.25">
      <c r="A262" s="150" t="s">
        <v>30</v>
      </c>
      <c r="B262" s="17" t="str">
        <f>VLOOKUP(Data_Discontinuities[[#This Row],[Hole ID]],Data_Log[],2,FALSE)</f>
        <v>CGF-02</v>
      </c>
      <c r="C262" s="8">
        <v>66.38</v>
      </c>
      <c r="D262" s="8">
        <v>1</v>
      </c>
      <c r="E262" s="7" t="s">
        <v>348</v>
      </c>
      <c r="F262" s="7"/>
      <c r="G262" s="7"/>
      <c r="H262" s="118"/>
      <c r="I262" s="7" t="s">
        <v>286</v>
      </c>
      <c r="J262" s="7" t="s">
        <v>320</v>
      </c>
      <c r="K262" s="7" t="s">
        <v>382</v>
      </c>
      <c r="L262" s="7" t="s">
        <v>437</v>
      </c>
      <c r="M262" s="7" t="s">
        <v>447</v>
      </c>
      <c r="N262" s="7"/>
      <c r="O262" s="84" t="str" cm="1">
        <f t="array" ref="O262">_xlfn.XLOOKUP(1,(A262=Geotech!$A$4:$A$10094)*(Data_Discontinuities[[#This Row],[Depth (m)]]&gt;=Geotech!$C$4:$C$10094)*(Data_Discontinuities[[#This Row],[Depth (m)]]&lt;Geotech!$D$4:$D$10094),Geotech!$M$4:$M$10094)</f>
        <v>VT-TI Vein</v>
      </c>
      <c r="P262" s="84"/>
      <c r="Q262" s="84"/>
      <c r="R262" s="84"/>
      <c r="S2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62" s="71">
        <f>IFERROR(Data_Discontinuities[[#This Row],[Joint roughness]]/Data_Discontinuities[[#This Row],[Joint alteration]],"")</f>
        <v>0.5</v>
      </c>
      <c r="V2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62" s="87"/>
    </row>
    <row r="263" spans="1:23" ht="15" customHeight="1" x14ac:dyDescent="0.25">
      <c r="A263" s="150" t="s">
        <v>30</v>
      </c>
      <c r="B263" s="17" t="str">
        <f>VLOOKUP(Data_Discontinuities[[#This Row],[Hole ID]],Data_Log[],2,FALSE)</f>
        <v>CGF-02</v>
      </c>
      <c r="C263" s="8">
        <v>66.62</v>
      </c>
      <c r="D263" s="8">
        <v>1</v>
      </c>
      <c r="E263" s="7" t="s">
        <v>445</v>
      </c>
      <c r="F263" s="7"/>
      <c r="G263" s="7"/>
      <c r="H263" s="118"/>
      <c r="I263" s="7" t="s">
        <v>318</v>
      </c>
      <c r="J263" s="7" t="s">
        <v>352</v>
      </c>
      <c r="K263" s="7" t="s">
        <v>290</v>
      </c>
      <c r="L263" s="7"/>
      <c r="M263" s="7"/>
      <c r="N263" s="7"/>
      <c r="O263" s="84" t="str" cm="1">
        <f t="array" ref="O263">_xlfn.XLOOKUP(1,(A263=Geotech!$A$4:$A$10094)*(Data_Discontinuities[[#This Row],[Depth (m)]]&gt;=Geotech!$C$4:$C$10094)*(Data_Discontinuities[[#This Row],[Depth (m)]]&lt;Geotech!$D$4:$D$10094),Geotech!$M$4:$M$10094)</f>
        <v>VT-TI Vein</v>
      </c>
      <c r="P263" s="84"/>
      <c r="Q263" s="84"/>
      <c r="R263" s="84"/>
      <c r="S2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3" s="71">
        <f>IFERROR(Data_Discontinuities[[#This Row],[Joint roughness]]/Data_Discontinuities[[#This Row],[Joint alteration]],"")</f>
        <v>1.5</v>
      </c>
      <c r="V2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63" s="87"/>
    </row>
    <row r="264" spans="1:23" ht="15" customHeight="1" x14ac:dyDescent="0.25">
      <c r="A264" s="150" t="s">
        <v>30</v>
      </c>
      <c r="B264" s="17" t="str">
        <f>VLOOKUP(Data_Discontinuities[[#This Row],[Hole ID]],Data_Log[],2,FALSE)</f>
        <v>CGF-02</v>
      </c>
      <c r="C264" s="8">
        <v>66.88</v>
      </c>
      <c r="D264" s="8">
        <v>1</v>
      </c>
      <c r="E264" s="7" t="s">
        <v>445</v>
      </c>
      <c r="F264" s="7"/>
      <c r="G264" s="7"/>
      <c r="H264" s="118"/>
      <c r="I264" s="7" t="s">
        <v>251</v>
      </c>
      <c r="J264" s="7" t="s">
        <v>352</v>
      </c>
      <c r="K264" s="7" t="s">
        <v>382</v>
      </c>
      <c r="L264" s="7" t="s">
        <v>437</v>
      </c>
      <c r="M264" s="7"/>
      <c r="N264" s="7"/>
      <c r="O264" s="84" t="str" cm="1">
        <f t="array" ref="O264">_xlfn.XLOOKUP(1,(A264=Geotech!$A$4:$A$10094)*(Data_Discontinuities[[#This Row],[Depth (m)]]&gt;=Geotech!$C$4:$C$10094)*(Data_Discontinuities[[#This Row],[Depth (m)]]&lt;Geotech!$D$4:$D$10094),Geotech!$M$4:$M$10094)</f>
        <v>Basalt</v>
      </c>
      <c r="P264" s="84"/>
      <c r="Q264" s="84"/>
      <c r="R264" s="84"/>
      <c r="S26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6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64" s="71">
        <f>IFERROR(Data_Discontinuities[[#This Row],[Joint roughness]]/Data_Discontinuities[[#This Row],[Joint alteration]],"")</f>
        <v>0.375</v>
      </c>
      <c r="V26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64" s="87"/>
    </row>
    <row r="265" spans="1:23" ht="15" customHeight="1" x14ac:dyDescent="0.25">
      <c r="A265" s="150" t="s">
        <v>30</v>
      </c>
      <c r="B265" s="17" t="str">
        <f>VLOOKUP(Data_Discontinuities[[#This Row],[Hole ID]],Data_Log[],2,FALSE)</f>
        <v>CGF-02</v>
      </c>
      <c r="C265" s="8">
        <v>66.900000000000006</v>
      </c>
      <c r="D265" s="8">
        <v>1</v>
      </c>
      <c r="E265" s="7" t="s">
        <v>445</v>
      </c>
      <c r="F265" s="7"/>
      <c r="G265" s="7"/>
      <c r="H265" s="118"/>
      <c r="I265" s="7" t="s">
        <v>286</v>
      </c>
      <c r="J265" s="7" t="s">
        <v>320</v>
      </c>
      <c r="K265" s="7" t="s">
        <v>382</v>
      </c>
      <c r="L265" s="7" t="s">
        <v>437</v>
      </c>
      <c r="M265" s="7"/>
      <c r="N265" s="7"/>
      <c r="O265" s="84" t="str" cm="1">
        <f t="array" ref="O265">_xlfn.XLOOKUP(1,(A265=Geotech!$A$4:$A$10094)*(Data_Discontinuities[[#This Row],[Depth (m)]]&gt;=Geotech!$C$4:$C$10094)*(Data_Discontinuities[[#This Row],[Depth (m)]]&lt;Geotech!$D$4:$D$10094),Geotech!$M$4:$M$10094)</f>
        <v>Basalt</v>
      </c>
      <c r="P265" s="84"/>
      <c r="Q265" s="84"/>
      <c r="R265" s="84"/>
      <c r="S2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65" s="71">
        <f>IFERROR(Data_Discontinuities[[#This Row],[Joint roughness]]/Data_Discontinuities[[#This Row],[Joint alteration]],"")</f>
        <v>0.5</v>
      </c>
      <c r="V2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65" s="87"/>
    </row>
    <row r="266" spans="1:23" ht="15" customHeight="1" x14ac:dyDescent="0.25">
      <c r="A266" s="150" t="s">
        <v>30</v>
      </c>
      <c r="B266" s="17" t="str">
        <f>VLOOKUP(Data_Discontinuities[[#This Row],[Hole ID]],Data_Log[],2,FALSE)</f>
        <v>CGF-02</v>
      </c>
      <c r="C266" s="8">
        <v>66.930000000000007</v>
      </c>
      <c r="D266" s="8">
        <v>1</v>
      </c>
      <c r="E266" s="7" t="s">
        <v>445</v>
      </c>
      <c r="F266" s="7"/>
      <c r="G266" s="7"/>
      <c r="H266" s="118"/>
      <c r="I266" s="7" t="s">
        <v>251</v>
      </c>
      <c r="J266" s="7" t="s">
        <v>320</v>
      </c>
      <c r="K266" s="7" t="s">
        <v>382</v>
      </c>
      <c r="L266" s="7" t="s">
        <v>437</v>
      </c>
      <c r="M266" s="7"/>
      <c r="N266" s="7"/>
      <c r="O266" s="84" t="str" cm="1">
        <f t="array" ref="O266">_xlfn.XLOOKUP(1,(A266=Geotech!$A$4:$A$10094)*(Data_Discontinuities[[#This Row],[Depth (m)]]&gt;=Geotech!$C$4:$C$10094)*(Data_Discontinuities[[#This Row],[Depth (m)]]&lt;Geotech!$D$4:$D$10094),Geotech!$M$4:$M$10094)</f>
        <v>Basalt</v>
      </c>
      <c r="P266" s="84"/>
      <c r="Q266" s="84"/>
      <c r="R266" s="84"/>
      <c r="S2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66" s="71">
        <f>IFERROR(Data_Discontinuities[[#This Row],[Joint roughness]]/Data_Discontinuities[[#This Row],[Joint alteration]],"")</f>
        <v>0.25</v>
      </c>
      <c r="V2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66" s="87"/>
    </row>
    <row r="267" spans="1:23" ht="15" customHeight="1" x14ac:dyDescent="0.25">
      <c r="A267" s="150" t="s">
        <v>30</v>
      </c>
      <c r="B267" s="17" t="str">
        <f>VLOOKUP(Data_Discontinuities[[#This Row],[Hole ID]],Data_Log[],2,FALSE)</f>
        <v>CGF-02</v>
      </c>
      <c r="C267" s="8">
        <v>67.2</v>
      </c>
      <c r="D267" s="8">
        <v>1</v>
      </c>
      <c r="E267" s="7" t="s">
        <v>445</v>
      </c>
      <c r="F267" s="7"/>
      <c r="G267" s="7"/>
      <c r="H267" s="118"/>
      <c r="I267" s="7" t="s">
        <v>286</v>
      </c>
      <c r="J267" s="7" t="s">
        <v>320</v>
      </c>
      <c r="K267" s="7" t="s">
        <v>354</v>
      </c>
      <c r="L267" s="7"/>
      <c r="M267" s="7"/>
      <c r="N267" s="7"/>
      <c r="O267" s="84" t="str" cm="1">
        <f t="array" ref="O267">_xlfn.XLOOKUP(1,(A267=Geotech!$A$4:$A$10094)*(Data_Discontinuities[[#This Row],[Depth (m)]]&gt;=Geotech!$C$4:$C$10094)*(Data_Discontinuities[[#This Row],[Depth (m)]]&lt;Geotech!$D$4:$D$10094),Geotech!$M$4:$M$10094)</f>
        <v>Basalt</v>
      </c>
      <c r="P267" s="84"/>
      <c r="Q267" s="84"/>
      <c r="R267" s="84"/>
      <c r="S2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7" s="71">
        <f>IFERROR(Data_Discontinuities[[#This Row],[Joint roughness]]/Data_Discontinuities[[#This Row],[Joint alteration]],"")</f>
        <v>1</v>
      </c>
      <c r="V2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67" s="87"/>
    </row>
    <row r="268" spans="1:23" ht="15" customHeight="1" x14ac:dyDescent="0.25">
      <c r="A268" s="150" t="s">
        <v>30</v>
      </c>
      <c r="B268" s="17" t="str">
        <f>VLOOKUP(Data_Discontinuities[[#This Row],[Hole ID]],Data_Log[],2,FALSE)</f>
        <v>CGF-02</v>
      </c>
      <c r="C268" s="8">
        <v>67.25</v>
      </c>
      <c r="D268" s="8">
        <v>1</v>
      </c>
      <c r="E268" s="7" t="s">
        <v>445</v>
      </c>
      <c r="F268" s="7"/>
      <c r="G268" s="7"/>
      <c r="H268" s="118"/>
      <c r="I268" s="7" t="s">
        <v>318</v>
      </c>
      <c r="J268" s="7" t="s">
        <v>320</v>
      </c>
      <c r="K268" s="7" t="s">
        <v>354</v>
      </c>
      <c r="L268" s="7"/>
      <c r="M268" s="7"/>
      <c r="N268" s="7"/>
      <c r="O268" s="84" t="str" cm="1">
        <f t="array" ref="O268">_xlfn.XLOOKUP(1,(A268=Geotech!$A$4:$A$10094)*(Data_Discontinuities[[#This Row],[Depth (m)]]&gt;=Geotech!$C$4:$C$10094)*(Data_Discontinuities[[#This Row],[Depth (m)]]&lt;Geotech!$D$4:$D$10094),Geotech!$M$4:$M$10094)</f>
        <v>Basalt</v>
      </c>
      <c r="P268" s="84"/>
      <c r="Q268" s="84"/>
      <c r="R268" s="84"/>
      <c r="S26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8" s="71">
        <f>IFERROR(Data_Discontinuities[[#This Row],[Joint roughness]]/Data_Discontinuities[[#This Row],[Joint alteration]],"")</f>
        <v>1</v>
      </c>
      <c r="V26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68" s="87"/>
    </row>
    <row r="269" spans="1:23" ht="15" customHeight="1" x14ac:dyDescent="0.25">
      <c r="A269" s="150" t="s">
        <v>30</v>
      </c>
      <c r="B269" s="17" t="str">
        <f>VLOOKUP(Data_Discontinuities[[#This Row],[Hole ID]],Data_Log[],2,FALSE)</f>
        <v>CGF-02</v>
      </c>
      <c r="C269" s="8">
        <v>67.58</v>
      </c>
      <c r="D269" s="8">
        <v>1</v>
      </c>
      <c r="E269" s="7" t="s">
        <v>445</v>
      </c>
      <c r="F269" s="7"/>
      <c r="G269" s="7"/>
      <c r="H269" s="118"/>
      <c r="I269" s="7" t="s">
        <v>318</v>
      </c>
      <c r="J269" s="7" t="s">
        <v>320</v>
      </c>
      <c r="K269" s="7" t="s">
        <v>354</v>
      </c>
      <c r="L269" s="7"/>
      <c r="M269" s="7"/>
      <c r="N269" s="7"/>
      <c r="O269" s="84" t="str" cm="1">
        <f t="array" ref="O269">_xlfn.XLOOKUP(1,(A269=Geotech!$A$4:$A$10094)*(Data_Discontinuities[[#This Row],[Depth (m)]]&gt;=Geotech!$C$4:$C$10094)*(Data_Discontinuities[[#This Row],[Depth (m)]]&lt;Geotech!$D$4:$D$10094),Geotech!$M$4:$M$10094)</f>
        <v>Basalt</v>
      </c>
      <c r="P269" s="84"/>
      <c r="Q269" s="84"/>
      <c r="R269" s="84"/>
      <c r="S2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69" s="71">
        <f>IFERROR(Data_Discontinuities[[#This Row],[Joint roughness]]/Data_Discontinuities[[#This Row],[Joint alteration]],"")</f>
        <v>1</v>
      </c>
      <c r="V2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69" s="87"/>
    </row>
    <row r="270" spans="1:23" ht="15" customHeight="1" x14ac:dyDescent="0.25">
      <c r="A270" s="150" t="s">
        <v>30</v>
      </c>
      <c r="B270" s="17" t="str">
        <f>VLOOKUP(Data_Discontinuities[[#This Row],[Hole ID]],Data_Log[],2,FALSE)</f>
        <v>CGF-02</v>
      </c>
      <c r="C270" s="8">
        <v>67.58</v>
      </c>
      <c r="D270" s="8">
        <v>1</v>
      </c>
      <c r="E270" s="7" t="s">
        <v>445</v>
      </c>
      <c r="F270" s="7"/>
      <c r="G270" s="7"/>
      <c r="H270" s="118"/>
      <c r="I270" s="7" t="s">
        <v>318</v>
      </c>
      <c r="J270" s="7" t="s">
        <v>320</v>
      </c>
      <c r="K270" s="7" t="s">
        <v>354</v>
      </c>
      <c r="L270" s="7"/>
      <c r="M270" s="7"/>
      <c r="N270" s="7"/>
      <c r="O270" s="84" t="str" cm="1">
        <f t="array" ref="O270">_xlfn.XLOOKUP(1,(A270=Geotech!$A$4:$A$10094)*(Data_Discontinuities[[#This Row],[Depth (m)]]&gt;=Geotech!$C$4:$C$10094)*(Data_Discontinuities[[#This Row],[Depth (m)]]&lt;Geotech!$D$4:$D$10094),Geotech!$M$4:$M$10094)</f>
        <v>Basalt</v>
      </c>
      <c r="P270" s="84"/>
      <c r="Q270" s="84"/>
      <c r="R270" s="84"/>
      <c r="S27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7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70" s="71">
        <f>IFERROR(Data_Discontinuities[[#This Row],[Joint roughness]]/Data_Discontinuities[[#This Row],[Joint alteration]],"")</f>
        <v>1</v>
      </c>
      <c r="V27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70" s="87"/>
    </row>
    <row r="271" spans="1:23" ht="15" customHeight="1" x14ac:dyDescent="0.25">
      <c r="A271" s="150" t="s">
        <v>30</v>
      </c>
      <c r="B271" s="17" t="str">
        <f>VLOOKUP(Data_Discontinuities[[#This Row],[Hole ID]],Data_Log[],2,FALSE)</f>
        <v>CGF-02</v>
      </c>
      <c r="C271" s="8">
        <v>67.78</v>
      </c>
      <c r="D271" s="8">
        <v>1</v>
      </c>
      <c r="E271" s="7" t="s">
        <v>481</v>
      </c>
      <c r="F271" s="7"/>
      <c r="G271" s="7"/>
      <c r="H271" s="118"/>
      <c r="I271" s="7" t="s">
        <v>251</v>
      </c>
      <c r="J271" s="7" t="s">
        <v>380</v>
      </c>
      <c r="K271" s="7" t="s">
        <v>406</v>
      </c>
      <c r="L271" s="7" t="s">
        <v>57</v>
      </c>
      <c r="M271" s="7"/>
      <c r="N271" s="7"/>
      <c r="O271" s="84" t="str" cm="1">
        <f t="array" ref="O271">_xlfn.XLOOKUP(1,(A271=Geotech!$A$4:$A$10094)*(Data_Discontinuities[[#This Row],[Depth (m)]]&gt;=Geotech!$C$4:$C$10094)*(Data_Discontinuities[[#This Row],[Depth (m)]]&lt;Geotech!$D$4:$D$10094),Geotech!$M$4:$M$10094)</f>
        <v>Basalt</v>
      </c>
      <c r="P271" s="84"/>
      <c r="Q271" s="84"/>
      <c r="R271" s="84"/>
      <c r="S27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7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71" s="71">
        <f>IFERROR(Data_Discontinuities[[#This Row],[Joint roughness]]/Data_Discontinuities[[#This Row],[Joint alteration]],"")</f>
        <v>0.375</v>
      </c>
      <c r="V27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71" s="87"/>
    </row>
    <row r="272" spans="1:23" ht="15" customHeight="1" x14ac:dyDescent="0.25">
      <c r="A272" s="150" t="s">
        <v>30</v>
      </c>
      <c r="B272" s="17" t="str">
        <f>VLOOKUP(Data_Discontinuities[[#This Row],[Hole ID]],Data_Log[],2,FALSE)</f>
        <v>CGF-02</v>
      </c>
      <c r="C272" s="8">
        <v>67.8</v>
      </c>
      <c r="D272" s="8">
        <v>1</v>
      </c>
      <c r="E272" s="7" t="s">
        <v>445</v>
      </c>
      <c r="F272" s="7"/>
      <c r="G272" s="7"/>
      <c r="H272" s="118"/>
      <c r="I272" s="7" t="s">
        <v>251</v>
      </c>
      <c r="J272" s="7" t="s">
        <v>320</v>
      </c>
      <c r="K272" s="7" t="s">
        <v>382</v>
      </c>
      <c r="L272" s="7" t="s">
        <v>437</v>
      </c>
      <c r="M272" s="7"/>
      <c r="N272" s="7"/>
      <c r="O272" s="84" t="str" cm="1">
        <f t="array" ref="O272">_xlfn.XLOOKUP(1,(A272=Geotech!$A$4:$A$10094)*(Data_Discontinuities[[#This Row],[Depth (m)]]&gt;=Geotech!$C$4:$C$10094)*(Data_Discontinuities[[#This Row],[Depth (m)]]&lt;Geotech!$D$4:$D$10094),Geotech!$M$4:$M$10094)</f>
        <v>Basalt</v>
      </c>
      <c r="P272" s="84"/>
      <c r="Q272" s="84"/>
      <c r="R272" s="84"/>
      <c r="S2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72" s="71">
        <f>IFERROR(Data_Discontinuities[[#This Row],[Joint roughness]]/Data_Discontinuities[[#This Row],[Joint alteration]],"")</f>
        <v>0.25</v>
      </c>
      <c r="V2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72" s="87"/>
    </row>
    <row r="273" spans="1:23" ht="15" customHeight="1" x14ac:dyDescent="0.25">
      <c r="A273" s="150" t="s">
        <v>30</v>
      </c>
      <c r="B273" s="17" t="str">
        <f>VLOOKUP(Data_Discontinuities[[#This Row],[Hole ID]],Data_Log[],2,FALSE)</f>
        <v>CGF-02</v>
      </c>
      <c r="C273" s="8">
        <v>67.94</v>
      </c>
      <c r="D273" s="8">
        <v>1</v>
      </c>
      <c r="E273" s="7" t="s">
        <v>248</v>
      </c>
      <c r="F273" s="7"/>
      <c r="G273" s="7"/>
      <c r="H273" s="118"/>
      <c r="I273" s="7"/>
      <c r="J273" s="7"/>
      <c r="K273" s="7"/>
      <c r="L273" s="7"/>
      <c r="M273" s="7"/>
      <c r="N273" s="7">
        <v>0.06</v>
      </c>
      <c r="O273" s="84" t="str" cm="1">
        <f t="array" ref="O273">_xlfn.XLOOKUP(1,(A273=Geotech!$A$4:$A$10094)*(Data_Discontinuities[[#This Row],[Depth (m)]]&gt;=Geotech!$C$4:$C$10094)*(Data_Discontinuities[[#This Row],[Depth (m)]]&lt;Geotech!$D$4:$D$10094),Geotech!$M$4:$M$10094)</f>
        <v>Basalt</v>
      </c>
      <c r="P273" s="84"/>
      <c r="Q273" s="84"/>
      <c r="R273" s="84"/>
      <c r="S2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2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273" s="71" t="str">
        <f>IFERROR(Data_Discontinuities[[#This Row],[Joint roughness]]/Data_Discontinuities[[#This Row],[Joint alteration]],"")</f>
        <v/>
      </c>
      <c r="V2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273" s="87"/>
    </row>
    <row r="274" spans="1:23" ht="15" customHeight="1" x14ac:dyDescent="0.25">
      <c r="A274" s="150" t="s">
        <v>30</v>
      </c>
      <c r="B274" s="17" t="str">
        <f>VLOOKUP(Data_Discontinuities[[#This Row],[Hole ID]],Data_Log[],2,FALSE)</f>
        <v>CGF-02</v>
      </c>
      <c r="C274" s="8">
        <v>68.599999999999994</v>
      </c>
      <c r="D274" s="8">
        <v>1</v>
      </c>
      <c r="E274" s="7" t="s">
        <v>445</v>
      </c>
      <c r="F274" s="7"/>
      <c r="G274" s="7"/>
      <c r="H274" s="118"/>
      <c r="I274" s="7" t="s">
        <v>318</v>
      </c>
      <c r="J274" s="7" t="s">
        <v>320</v>
      </c>
      <c r="K274" s="7" t="s">
        <v>354</v>
      </c>
      <c r="L274" s="7"/>
      <c r="M274" s="7"/>
      <c r="N274" s="7"/>
      <c r="O274" s="84" t="str" cm="1">
        <f t="array" ref="O274">_xlfn.XLOOKUP(1,(A274=Geotech!$A$4:$A$10094)*(Data_Discontinuities[[#This Row],[Depth (m)]]&gt;=Geotech!$C$4:$C$10094)*(Data_Discontinuities[[#This Row],[Depth (m)]]&lt;Geotech!$D$4:$D$10094),Geotech!$M$4:$M$10094)</f>
        <v>Basalt</v>
      </c>
      <c r="P274" s="84"/>
      <c r="Q274" s="84"/>
      <c r="R274" s="84"/>
      <c r="S27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7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74" s="71">
        <f>IFERROR(Data_Discontinuities[[#This Row],[Joint roughness]]/Data_Discontinuities[[#This Row],[Joint alteration]],"")</f>
        <v>1</v>
      </c>
      <c r="V27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74" s="87"/>
    </row>
    <row r="275" spans="1:23" ht="15" customHeight="1" x14ac:dyDescent="0.25">
      <c r="A275" s="150" t="s">
        <v>30</v>
      </c>
      <c r="B275" s="17" t="str">
        <f>VLOOKUP(Data_Discontinuities[[#This Row],[Hole ID]],Data_Log[],2,FALSE)</f>
        <v>CGF-02</v>
      </c>
      <c r="C275" s="8">
        <v>69.59</v>
      </c>
      <c r="D275" s="8">
        <v>1</v>
      </c>
      <c r="E275" s="7" t="s">
        <v>481</v>
      </c>
      <c r="F275" s="7"/>
      <c r="G275" s="7"/>
      <c r="H275" s="118"/>
      <c r="I275" s="7" t="s">
        <v>251</v>
      </c>
      <c r="J275" s="7" t="s">
        <v>380</v>
      </c>
      <c r="K275" s="7" t="s">
        <v>406</v>
      </c>
      <c r="L275" s="7" t="s">
        <v>57</v>
      </c>
      <c r="M275" s="7" t="s">
        <v>447</v>
      </c>
      <c r="N275" s="7"/>
      <c r="O275" s="84" t="str" cm="1">
        <f t="array" ref="O275">_xlfn.XLOOKUP(1,(A275=Geotech!$A$4:$A$10094)*(Data_Discontinuities[[#This Row],[Depth (m)]]&gt;=Geotech!$C$4:$C$10094)*(Data_Discontinuities[[#This Row],[Depth (m)]]&lt;Geotech!$D$4:$D$10094),Geotech!$M$4:$M$10094)</f>
        <v>Basalt</v>
      </c>
      <c r="P275" s="84"/>
      <c r="Q275" s="84"/>
      <c r="R275" s="84"/>
      <c r="S27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7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75" s="71">
        <f>IFERROR(Data_Discontinuities[[#This Row],[Joint roughness]]/Data_Discontinuities[[#This Row],[Joint alteration]],"")</f>
        <v>0.375</v>
      </c>
      <c r="V27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75" s="87"/>
    </row>
    <row r="276" spans="1:23" ht="15" customHeight="1" x14ac:dyDescent="0.25">
      <c r="A276" s="150" t="s">
        <v>30</v>
      </c>
      <c r="B276" s="17" t="str">
        <f>VLOOKUP(Data_Discontinuities[[#This Row],[Hole ID]],Data_Log[],2,FALSE)</f>
        <v>CGF-02</v>
      </c>
      <c r="C276" s="8">
        <v>69.77</v>
      </c>
      <c r="D276" s="8">
        <v>1</v>
      </c>
      <c r="E276" s="7" t="s">
        <v>445</v>
      </c>
      <c r="F276" s="7"/>
      <c r="G276" s="7"/>
      <c r="H276" s="118"/>
      <c r="I276" s="7" t="s">
        <v>251</v>
      </c>
      <c r="J276" s="7" t="s">
        <v>352</v>
      </c>
      <c r="K276" s="7" t="s">
        <v>382</v>
      </c>
      <c r="L276" s="7" t="s">
        <v>437</v>
      </c>
      <c r="M276" s="7" t="s">
        <v>472</v>
      </c>
      <c r="N276" s="7"/>
      <c r="O276" s="84" t="str" cm="1">
        <f t="array" ref="O276">_xlfn.XLOOKUP(1,(A276=Geotech!$A$4:$A$10094)*(Data_Discontinuities[[#This Row],[Depth (m)]]&gt;=Geotech!$C$4:$C$10094)*(Data_Discontinuities[[#This Row],[Depth (m)]]&lt;Geotech!$D$4:$D$10094),Geotech!$M$4:$M$10094)</f>
        <v>Basalt</v>
      </c>
      <c r="P276" s="84"/>
      <c r="Q276" s="84"/>
      <c r="R276" s="84"/>
      <c r="S2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76" s="71">
        <f>IFERROR(Data_Discontinuities[[#This Row],[Joint roughness]]/Data_Discontinuities[[#This Row],[Joint alteration]],"")</f>
        <v>0.375</v>
      </c>
      <c r="V2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76" s="87"/>
    </row>
    <row r="277" spans="1:23" ht="15" customHeight="1" x14ac:dyDescent="0.25">
      <c r="A277" s="150" t="s">
        <v>30</v>
      </c>
      <c r="B277" s="17" t="str">
        <f>VLOOKUP(Data_Discontinuities[[#This Row],[Hole ID]],Data_Log[],2,FALSE)</f>
        <v>CGF-02</v>
      </c>
      <c r="C277" s="8">
        <v>70.28</v>
      </c>
      <c r="D277" s="8">
        <v>1</v>
      </c>
      <c r="E277" s="7" t="s">
        <v>481</v>
      </c>
      <c r="F277" s="7"/>
      <c r="G277" s="7"/>
      <c r="H277" s="118"/>
      <c r="I277" s="7" t="s">
        <v>251</v>
      </c>
      <c r="J277" s="7" t="s">
        <v>380</v>
      </c>
      <c r="K277" s="7" t="s">
        <v>406</v>
      </c>
      <c r="L277" s="7" t="s">
        <v>57</v>
      </c>
      <c r="M277" s="7"/>
      <c r="N277" s="7"/>
      <c r="O277" s="84" t="str" cm="1">
        <f t="array" ref="O277">_xlfn.XLOOKUP(1,(A277=Geotech!$A$4:$A$10094)*(Data_Discontinuities[[#This Row],[Depth (m)]]&gt;=Geotech!$C$4:$C$10094)*(Data_Discontinuities[[#This Row],[Depth (m)]]&lt;Geotech!$D$4:$D$10094),Geotech!$M$4:$M$10094)</f>
        <v>Basalt</v>
      </c>
      <c r="P277" s="84"/>
      <c r="Q277" s="84"/>
      <c r="R277" s="84"/>
      <c r="S2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77" s="71">
        <f>IFERROR(Data_Discontinuities[[#This Row],[Joint roughness]]/Data_Discontinuities[[#This Row],[Joint alteration]],"")</f>
        <v>0.375</v>
      </c>
      <c r="V2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77" s="87"/>
    </row>
    <row r="278" spans="1:23" ht="15" customHeight="1" x14ac:dyDescent="0.25">
      <c r="A278" s="150" t="s">
        <v>30</v>
      </c>
      <c r="B278" s="17" t="str">
        <f>VLOOKUP(Data_Discontinuities[[#This Row],[Hole ID]],Data_Log[],2,FALSE)</f>
        <v>CGF-02</v>
      </c>
      <c r="C278" s="8">
        <v>70.569999999999993</v>
      </c>
      <c r="D278" s="8">
        <v>1</v>
      </c>
      <c r="E278" s="7" t="s">
        <v>481</v>
      </c>
      <c r="F278" s="7"/>
      <c r="G278" s="7"/>
      <c r="H278" s="118"/>
      <c r="I278" s="7" t="s">
        <v>322</v>
      </c>
      <c r="J278" s="7" t="s">
        <v>380</v>
      </c>
      <c r="K278" s="7" t="s">
        <v>382</v>
      </c>
      <c r="L278" s="7" t="s">
        <v>447</v>
      </c>
      <c r="M278" s="7" t="s">
        <v>472</v>
      </c>
      <c r="N278" s="7"/>
      <c r="O278" s="84" t="str" cm="1">
        <f t="array" ref="O278">_xlfn.XLOOKUP(1,(A278=Geotech!$A$4:$A$10094)*(Data_Discontinuities[[#This Row],[Depth (m)]]&gt;=Geotech!$C$4:$C$10094)*(Data_Discontinuities[[#This Row],[Depth (m)]]&lt;Geotech!$D$4:$D$10094),Geotech!$M$4:$M$10094)</f>
        <v>Boulamarque granodiorite</v>
      </c>
      <c r="P278" s="84"/>
      <c r="Q278" s="84"/>
      <c r="R278" s="84"/>
      <c r="S2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78" s="71">
        <f>IFERROR(Data_Discontinuities[[#This Row],[Joint roughness]]/Data_Discontinuities[[#This Row],[Joint alteration]],"")</f>
        <v>1</v>
      </c>
      <c r="V2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78" s="87"/>
    </row>
    <row r="279" spans="1:23" ht="15" customHeight="1" x14ac:dyDescent="0.25">
      <c r="A279" s="150" t="s">
        <v>30</v>
      </c>
      <c r="B279" s="17" t="str">
        <f>VLOOKUP(Data_Discontinuities[[#This Row],[Hole ID]],Data_Log[],2,FALSE)</f>
        <v>CGF-02</v>
      </c>
      <c r="C279" s="8">
        <v>70.739999999999995</v>
      </c>
      <c r="D279" s="8">
        <v>1</v>
      </c>
      <c r="E279" s="7" t="s">
        <v>420</v>
      </c>
      <c r="F279" s="7"/>
      <c r="G279" s="7"/>
      <c r="H279" s="118"/>
      <c r="I279" s="7" t="s">
        <v>286</v>
      </c>
      <c r="J279" s="7" t="s">
        <v>352</v>
      </c>
      <c r="K279" s="7" t="s">
        <v>354</v>
      </c>
      <c r="L279" s="7"/>
      <c r="M279" s="7"/>
      <c r="N279" s="7"/>
      <c r="O279" s="84" t="str" cm="1">
        <f t="array" ref="O279">_xlfn.XLOOKUP(1,(A279=Geotech!$A$4:$A$10094)*(Data_Discontinuities[[#This Row],[Depth (m)]]&gt;=Geotech!$C$4:$C$10094)*(Data_Discontinuities[[#This Row],[Depth (m)]]&lt;Geotech!$D$4:$D$10094),Geotech!$M$4:$M$10094)</f>
        <v>Boulamarque granodiorite</v>
      </c>
      <c r="P279" s="84"/>
      <c r="Q279" s="84"/>
      <c r="R279" s="84"/>
      <c r="S2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79" s="71">
        <f>IFERROR(Data_Discontinuities[[#This Row],[Joint roughness]]/Data_Discontinuities[[#This Row],[Joint alteration]],"")</f>
        <v>1.5</v>
      </c>
      <c r="V2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79" s="87"/>
    </row>
    <row r="280" spans="1:23" ht="15" customHeight="1" x14ac:dyDescent="0.25">
      <c r="A280" s="150" t="s">
        <v>30</v>
      </c>
      <c r="B280" s="17" t="str">
        <f>VLOOKUP(Data_Discontinuities[[#This Row],[Hole ID]],Data_Log[],2,FALSE)</f>
        <v>CGF-02</v>
      </c>
      <c r="C280" s="8">
        <v>71.73</v>
      </c>
      <c r="D280" s="8">
        <v>1</v>
      </c>
      <c r="E280" s="7" t="s">
        <v>420</v>
      </c>
      <c r="F280" s="7"/>
      <c r="G280" s="7"/>
      <c r="H280" s="118"/>
      <c r="I280" s="7" t="s">
        <v>286</v>
      </c>
      <c r="J280" s="7" t="s">
        <v>352</v>
      </c>
      <c r="K280" s="7" t="s">
        <v>382</v>
      </c>
      <c r="L280" s="7" t="s">
        <v>447</v>
      </c>
      <c r="M280" s="7"/>
      <c r="N280" s="7"/>
      <c r="O280" s="84" t="str" cm="1">
        <f t="array" ref="O280">_xlfn.XLOOKUP(1,(A280=Geotech!$A$4:$A$10094)*(Data_Discontinuities[[#This Row],[Depth (m)]]&gt;=Geotech!$C$4:$C$10094)*(Data_Discontinuities[[#This Row],[Depth (m)]]&lt;Geotech!$D$4:$D$10094),Geotech!$M$4:$M$10094)</f>
        <v>Boulamarque granodiorite</v>
      </c>
      <c r="P280" s="84"/>
      <c r="Q280" s="84"/>
      <c r="R280" s="84"/>
      <c r="S2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80" s="71">
        <f>IFERROR(Data_Discontinuities[[#This Row],[Joint roughness]]/Data_Discontinuities[[#This Row],[Joint alteration]],"")</f>
        <v>1</v>
      </c>
      <c r="V2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80" s="87"/>
    </row>
    <row r="281" spans="1:23" ht="15" customHeight="1" x14ac:dyDescent="0.25">
      <c r="A281" s="150" t="s">
        <v>30</v>
      </c>
      <c r="B281" s="17" t="str">
        <f>VLOOKUP(Data_Discontinuities[[#This Row],[Hole ID]],Data_Log[],2,FALSE)</f>
        <v>CGF-02</v>
      </c>
      <c r="C281" s="8">
        <v>71.92</v>
      </c>
      <c r="D281" s="8">
        <v>1</v>
      </c>
      <c r="E281" s="7" t="s">
        <v>445</v>
      </c>
      <c r="F281" s="7"/>
      <c r="G281" s="7"/>
      <c r="H281" s="118"/>
      <c r="I281" s="7" t="s">
        <v>286</v>
      </c>
      <c r="J281" s="7" t="s">
        <v>352</v>
      </c>
      <c r="K281" s="7" t="s">
        <v>354</v>
      </c>
      <c r="L281" s="7"/>
      <c r="M281" s="7"/>
      <c r="N281" s="7"/>
      <c r="O281" s="84" t="str" cm="1">
        <f t="array" ref="O281">_xlfn.XLOOKUP(1,(A281=Geotech!$A$4:$A$10094)*(Data_Discontinuities[[#This Row],[Depth (m)]]&gt;=Geotech!$C$4:$C$10094)*(Data_Discontinuities[[#This Row],[Depth (m)]]&lt;Geotech!$D$4:$D$10094),Geotech!$M$4:$M$10094)</f>
        <v>Boulamarque granodiorite</v>
      </c>
      <c r="P281" s="84"/>
      <c r="Q281" s="84"/>
      <c r="R281" s="84"/>
      <c r="S28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1" s="71">
        <f>IFERROR(Data_Discontinuities[[#This Row],[Joint roughness]]/Data_Discontinuities[[#This Row],[Joint alteration]],"")</f>
        <v>1.5</v>
      </c>
      <c r="V28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1" s="87"/>
    </row>
    <row r="282" spans="1:23" ht="15" customHeight="1" x14ac:dyDescent="0.25">
      <c r="A282" s="150" t="s">
        <v>30</v>
      </c>
      <c r="B282" s="17" t="str">
        <f>VLOOKUP(Data_Discontinuities[[#This Row],[Hole ID]],Data_Log[],2,FALSE)</f>
        <v>CGF-02</v>
      </c>
      <c r="C282" s="8">
        <v>72.44</v>
      </c>
      <c r="D282" s="8">
        <v>1</v>
      </c>
      <c r="E282" s="7" t="s">
        <v>445</v>
      </c>
      <c r="F282" s="7"/>
      <c r="G282" s="7"/>
      <c r="H282" s="118"/>
      <c r="I282" s="7" t="s">
        <v>286</v>
      </c>
      <c r="J282" s="7" t="s">
        <v>352</v>
      </c>
      <c r="K282" s="7" t="s">
        <v>322</v>
      </c>
      <c r="L282" s="7"/>
      <c r="M282" s="7"/>
      <c r="N282" s="7"/>
      <c r="O282" s="84" t="str" cm="1">
        <f t="array" ref="O282">_xlfn.XLOOKUP(1,(A282=Geotech!$A$4:$A$10094)*(Data_Discontinuities[[#This Row],[Depth (m)]]&gt;=Geotech!$C$4:$C$10094)*(Data_Discontinuities[[#This Row],[Depth (m)]]&lt;Geotech!$D$4:$D$10094),Geotech!$M$4:$M$10094)</f>
        <v>Boulamarque granodiorite</v>
      </c>
      <c r="P282" s="84"/>
      <c r="Q282" s="84"/>
      <c r="R282" s="84"/>
      <c r="S2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82" s="71">
        <f>IFERROR(Data_Discontinuities[[#This Row],[Joint roughness]]/Data_Discontinuities[[#This Row],[Joint alteration]],"")</f>
        <v>3</v>
      </c>
      <c r="V2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2" s="87"/>
    </row>
    <row r="283" spans="1:23" ht="15" customHeight="1" x14ac:dyDescent="0.25">
      <c r="A283" s="150" t="s">
        <v>30</v>
      </c>
      <c r="B283" s="17" t="str">
        <f>VLOOKUP(Data_Discontinuities[[#This Row],[Hole ID]],Data_Log[],2,FALSE)</f>
        <v>CGF-02</v>
      </c>
      <c r="C283" s="8">
        <v>72.900000000000006</v>
      </c>
      <c r="D283" s="8">
        <v>1</v>
      </c>
      <c r="E283" s="7" t="s">
        <v>445</v>
      </c>
      <c r="F283" s="7"/>
      <c r="G283" s="7"/>
      <c r="H283" s="118"/>
      <c r="I283" s="7" t="s">
        <v>286</v>
      </c>
      <c r="J283" s="7" t="s">
        <v>352</v>
      </c>
      <c r="K283" s="7" t="s">
        <v>322</v>
      </c>
      <c r="L283" s="7"/>
      <c r="M283" s="7"/>
      <c r="N283" s="7"/>
      <c r="O283" s="84" t="str" cm="1">
        <f t="array" ref="O283">_xlfn.XLOOKUP(1,(A283=Geotech!$A$4:$A$10094)*(Data_Discontinuities[[#This Row],[Depth (m)]]&gt;=Geotech!$C$4:$C$10094)*(Data_Discontinuities[[#This Row],[Depth (m)]]&lt;Geotech!$D$4:$D$10094),Geotech!$M$4:$M$10094)</f>
        <v>Boulamarque granodiorite</v>
      </c>
      <c r="P283" s="84"/>
      <c r="Q283" s="84"/>
      <c r="R283" s="84"/>
      <c r="S2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283" s="71">
        <f>IFERROR(Data_Discontinuities[[#This Row],[Joint roughness]]/Data_Discontinuities[[#This Row],[Joint alteration]],"")</f>
        <v>3</v>
      </c>
      <c r="V2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3" s="87"/>
    </row>
    <row r="284" spans="1:23" ht="15" customHeight="1" x14ac:dyDescent="0.25">
      <c r="A284" s="150" t="s">
        <v>30</v>
      </c>
      <c r="B284" s="17" t="str">
        <f>VLOOKUP(Data_Discontinuities[[#This Row],[Hole ID]],Data_Log[],2,FALSE)</f>
        <v>CGF-02</v>
      </c>
      <c r="C284" s="8">
        <v>73.459999999999994</v>
      </c>
      <c r="D284" s="8">
        <v>1</v>
      </c>
      <c r="E284" s="7" t="s">
        <v>445</v>
      </c>
      <c r="F284" s="7"/>
      <c r="G284" s="7"/>
      <c r="H284" s="118"/>
      <c r="I284" s="7" t="s">
        <v>318</v>
      </c>
      <c r="J284" s="7" t="s">
        <v>320</v>
      </c>
      <c r="K284" s="7" t="s">
        <v>354</v>
      </c>
      <c r="L284" s="7"/>
      <c r="M284" s="7"/>
      <c r="N284" s="7"/>
      <c r="O284" s="84" t="str" cm="1">
        <f t="array" ref="O284">_xlfn.XLOOKUP(1,(A284=Geotech!$A$4:$A$10094)*(Data_Discontinuities[[#This Row],[Depth (m)]]&gt;=Geotech!$C$4:$C$10094)*(Data_Discontinuities[[#This Row],[Depth (m)]]&lt;Geotech!$D$4:$D$10094),Geotech!$M$4:$M$10094)</f>
        <v>Boulamarque granodiorite</v>
      </c>
      <c r="P284" s="84"/>
      <c r="Q284" s="84"/>
      <c r="R284" s="84"/>
      <c r="S28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8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4" s="71">
        <f>IFERROR(Data_Discontinuities[[#This Row],[Joint roughness]]/Data_Discontinuities[[#This Row],[Joint alteration]],"")</f>
        <v>1</v>
      </c>
      <c r="V28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84" s="87"/>
    </row>
    <row r="285" spans="1:23" ht="15" customHeight="1" x14ac:dyDescent="0.25">
      <c r="A285" s="150" t="s">
        <v>30</v>
      </c>
      <c r="B285" s="17" t="str">
        <f>VLOOKUP(Data_Discontinuities[[#This Row],[Hole ID]],Data_Log[],2,FALSE)</f>
        <v>CGF-02</v>
      </c>
      <c r="C285" s="8">
        <v>74.41</v>
      </c>
      <c r="D285" s="8">
        <v>1</v>
      </c>
      <c r="E285" s="7" t="s">
        <v>445</v>
      </c>
      <c r="F285" s="7"/>
      <c r="G285" s="7"/>
      <c r="H285" s="118"/>
      <c r="I285" s="7" t="s">
        <v>286</v>
      </c>
      <c r="J285" s="7" t="s">
        <v>320</v>
      </c>
      <c r="K285" s="7" t="s">
        <v>354</v>
      </c>
      <c r="L285" s="7"/>
      <c r="M285" s="7"/>
      <c r="N285" s="7"/>
      <c r="O285" s="84" t="str" cm="1">
        <f t="array" ref="O285">_xlfn.XLOOKUP(1,(A285=Geotech!$A$4:$A$10094)*(Data_Discontinuities[[#This Row],[Depth (m)]]&gt;=Geotech!$C$4:$C$10094)*(Data_Discontinuities[[#This Row],[Depth (m)]]&lt;Geotech!$D$4:$D$10094),Geotech!$M$4:$M$10094)</f>
        <v>Boulamarque granodiorite</v>
      </c>
      <c r="P285" s="84"/>
      <c r="Q285" s="84"/>
      <c r="R285" s="84"/>
      <c r="S2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5" s="71">
        <f>IFERROR(Data_Discontinuities[[#This Row],[Joint roughness]]/Data_Discontinuities[[#This Row],[Joint alteration]],"")</f>
        <v>1</v>
      </c>
      <c r="V2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85" s="87"/>
    </row>
    <row r="286" spans="1:23" ht="15" customHeight="1" x14ac:dyDescent="0.25">
      <c r="A286" s="150" t="s">
        <v>30</v>
      </c>
      <c r="B286" s="17" t="str">
        <f>VLOOKUP(Data_Discontinuities[[#This Row],[Hole ID]],Data_Log[],2,FALSE)</f>
        <v>CGF-02</v>
      </c>
      <c r="C286" s="8">
        <v>74.89</v>
      </c>
      <c r="D286" s="8">
        <v>1</v>
      </c>
      <c r="E286" s="7" t="s">
        <v>445</v>
      </c>
      <c r="F286" s="7"/>
      <c r="G286" s="7"/>
      <c r="H286" s="118"/>
      <c r="I286" s="7" t="s">
        <v>318</v>
      </c>
      <c r="J286" s="7" t="s">
        <v>352</v>
      </c>
      <c r="K286" s="7" t="s">
        <v>382</v>
      </c>
      <c r="L286" s="7" t="s">
        <v>447</v>
      </c>
      <c r="M286" s="7"/>
      <c r="N286" s="7"/>
      <c r="O286" s="84" t="str" cm="1">
        <f t="array" ref="O286">_xlfn.XLOOKUP(1,(A286=Geotech!$A$4:$A$10094)*(Data_Discontinuities[[#This Row],[Depth (m)]]&gt;=Geotech!$C$4:$C$10094)*(Data_Discontinuities[[#This Row],[Depth (m)]]&lt;Geotech!$D$4:$D$10094),Geotech!$M$4:$M$10094)</f>
        <v>Boulamarque granodiorite</v>
      </c>
      <c r="P286" s="84"/>
      <c r="Q286" s="84"/>
      <c r="R286" s="84"/>
      <c r="S2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86" s="71">
        <f>IFERROR(Data_Discontinuities[[#This Row],[Joint roughness]]/Data_Discontinuities[[#This Row],[Joint alteration]],"")</f>
        <v>1</v>
      </c>
      <c r="V2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86" s="87"/>
    </row>
    <row r="287" spans="1:23" ht="15" customHeight="1" x14ac:dyDescent="0.25">
      <c r="A287" s="150" t="s">
        <v>30</v>
      </c>
      <c r="B287" s="17" t="str">
        <f>VLOOKUP(Data_Discontinuities[[#This Row],[Hole ID]],Data_Log[],2,FALSE)</f>
        <v>CGF-02</v>
      </c>
      <c r="C287" s="8">
        <v>75.400000000000006</v>
      </c>
      <c r="D287" s="8">
        <v>1</v>
      </c>
      <c r="E287" s="7" t="s">
        <v>420</v>
      </c>
      <c r="F287" s="7"/>
      <c r="G287" s="7"/>
      <c r="H287" s="118"/>
      <c r="I287" s="7" t="s">
        <v>318</v>
      </c>
      <c r="J287" s="7" t="s">
        <v>380</v>
      </c>
      <c r="K287" s="7" t="s">
        <v>290</v>
      </c>
      <c r="L287" s="7"/>
      <c r="M287" s="7"/>
      <c r="N287" s="7"/>
      <c r="O287" s="84" t="str" cm="1">
        <f t="array" ref="O287">_xlfn.XLOOKUP(1,(A287=Geotech!$A$4:$A$10094)*(Data_Discontinuities[[#This Row],[Depth (m)]]&gt;=Geotech!$C$4:$C$10094)*(Data_Discontinuities[[#This Row],[Depth (m)]]&lt;Geotech!$D$4:$D$10094),Geotech!$M$4:$M$10094)</f>
        <v>Boulamarque granodiorite</v>
      </c>
      <c r="P287" s="84"/>
      <c r="Q287" s="84"/>
      <c r="R287" s="84"/>
      <c r="S2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7" s="71">
        <f>IFERROR(Data_Discontinuities[[#This Row],[Joint roughness]]/Data_Discontinuities[[#This Row],[Joint alteration]],"")</f>
        <v>1.5</v>
      </c>
      <c r="V2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7" s="87"/>
    </row>
    <row r="288" spans="1:23" ht="15" customHeight="1" x14ac:dyDescent="0.25">
      <c r="A288" s="150" t="s">
        <v>30</v>
      </c>
      <c r="B288" s="17" t="str">
        <f>VLOOKUP(Data_Discontinuities[[#This Row],[Hole ID]],Data_Log[],2,FALSE)</f>
        <v>CGF-02</v>
      </c>
      <c r="C288" s="8">
        <v>75.64</v>
      </c>
      <c r="D288" s="8">
        <v>1</v>
      </c>
      <c r="E288" s="7" t="s">
        <v>481</v>
      </c>
      <c r="F288" s="7"/>
      <c r="G288" s="7"/>
      <c r="H288" s="118"/>
      <c r="I288" s="7" t="s">
        <v>251</v>
      </c>
      <c r="J288" s="7" t="s">
        <v>380</v>
      </c>
      <c r="K288" s="7" t="s">
        <v>406</v>
      </c>
      <c r="L288" s="7" t="s">
        <v>447</v>
      </c>
      <c r="M288" s="7"/>
      <c r="N288" s="7"/>
      <c r="O288" s="84" t="str" cm="1">
        <f t="array" ref="O288">_xlfn.XLOOKUP(1,(A288=Geotech!$A$4:$A$10094)*(Data_Discontinuities[[#This Row],[Depth (m)]]&gt;=Geotech!$C$4:$C$10094)*(Data_Discontinuities[[#This Row],[Depth (m)]]&lt;Geotech!$D$4:$D$10094),Geotech!$M$4:$M$10094)</f>
        <v>Boulamarque granodiorite</v>
      </c>
      <c r="P288" s="84"/>
      <c r="Q288" s="84"/>
      <c r="R288" s="84"/>
      <c r="S28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8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88" s="71">
        <f>IFERROR(Data_Discontinuities[[#This Row],[Joint roughness]]/Data_Discontinuities[[#This Row],[Joint alteration]],"")</f>
        <v>0.5</v>
      </c>
      <c r="V28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88" s="87"/>
    </row>
    <row r="289" spans="1:23" ht="15" customHeight="1" x14ac:dyDescent="0.25">
      <c r="A289" s="150" t="s">
        <v>30</v>
      </c>
      <c r="B289" s="17" t="str">
        <f>VLOOKUP(Data_Discontinuities[[#This Row],[Hole ID]],Data_Log[],2,FALSE)</f>
        <v>CGF-02</v>
      </c>
      <c r="C289" s="8">
        <v>78.319999999999993</v>
      </c>
      <c r="D289" s="8">
        <v>1</v>
      </c>
      <c r="E289" s="7" t="s">
        <v>445</v>
      </c>
      <c r="F289" s="7"/>
      <c r="G289" s="7"/>
      <c r="H289" s="118"/>
      <c r="I289" s="7" t="s">
        <v>318</v>
      </c>
      <c r="J289" s="7" t="s">
        <v>352</v>
      </c>
      <c r="K289" s="7" t="s">
        <v>354</v>
      </c>
      <c r="L289" s="7"/>
      <c r="M289" s="7"/>
      <c r="N289" s="7"/>
      <c r="O289" s="84" t="str" cm="1">
        <f t="array" ref="O289">_xlfn.XLOOKUP(1,(A289=Geotech!$A$4:$A$10094)*(Data_Discontinuities[[#This Row],[Depth (m)]]&gt;=Geotech!$C$4:$C$10094)*(Data_Discontinuities[[#This Row],[Depth (m)]]&lt;Geotech!$D$4:$D$10094),Geotech!$M$4:$M$10094)</f>
        <v>Diorite</v>
      </c>
      <c r="P289" s="84"/>
      <c r="Q289" s="84"/>
      <c r="R289" s="84"/>
      <c r="S28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8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89" s="71">
        <f>IFERROR(Data_Discontinuities[[#This Row],[Joint roughness]]/Data_Discontinuities[[#This Row],[Joint alteration]],"")</f>
        <v>1.5</v>
      </c>
      <c r="V28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89" s="87"/>
    </row>
    <row r="290" spans="1:23" ht="15" customHeight="1" x14ac:dyDescent="0.25">
      <c r="A290" s="150" t="s">
        <v>30</v>
      </c>
      <c r="B290" s="17" t="str">
        <f>VLOOKUP(Data_Discontinuities[[#This Row],[Hole ID]],Data_Log[],2,FALSE)</f>
        <v>CGF-02</v>
      </c>
      <c r="C290" s="8">
        <v>79</v>
      </c>
      <c r="D290" s="8">
        <v>1</v>
      </c>
      <c r="E290" s="7" t="s">
        <v>445</v>
      </c>
      <c r="F290" s="7"/>
      <c r="G290" s="7"/>
      <c r="H290" s="118"/>
      <c r="I290" s="7" t="s">
        <v>318</v>
      </c>
      <c r="J290" s="7" t="s">
        <v>352</v>
      </c>
      <c r="K290" s="7" t="s">
        <v>382</v>
      </c>
      <c r="L290" s="7" t="s">
        <v>437</v>
      </c>
      <c r="M290" s="7" t="s">
        <v>57</v>
      </c>
      <c r="N290" s="7"/>
      <c r="O290" s="84" t="str" cm="1">
        <f t="array" ref="O290">_xlfn.XLOOKUP(1,(A290=Geotech!$A$4:$A$10094)*(Data_Discontinuities[[#This Row],[Depth (m)]]&gt;=Geotech!$C$4:$C$10094)*(Data_Discontinuities[[#This Row],[Depth (m)]]&lt;Geotech!$D$4:$D$10094),Geotech!$M$4:$M$10094)</f>
        <v>Diorite</v>
      </c>
      <c r="P290" s="84"/>
      <c r="Q290" s="84"/>
      <c r="R290" s="84"/>
      <c r="S2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90" s="71">
        <f>IFERROR(Data_Discontinuities[[#This Row],[Joint roughness]]/Data_Discontinuities[[#This Row],[Joint alteration]],"")</f>
        <v>0.75</v>
      </c>
      <c r="V2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90" s="87"/>
    </row>
    <row r="291" spans="1:23" ht="15" customHeight="1" x14ac:dyDescent="0.25">
      <c r="A291" s="150" t="s">
        <v>30</v>
      </c>
      <c r="B291" s="17" t="str">
        <f>VLOOKUP(Data_Discontinuities[[#This Row],[Hole ID]],Data_Log[],2,FALSE)</f>
        <v>CGF-02</v>
      </c>
      <c r="C291" s="8">
        <v>80.569999999999993</v>
      </c>
      <c r="D291" s="8">
        <v>1</v>
      </c>
      <c r="E291" s="7" t="s">
        <v>445</v>
      </c>
      <c r="F291" s="7"/>
      <c r="G291" s="7"/>
      <c r="H291" s="118"/>
      <c r="I291" s="7" t="s">
        <v>286</v>
      </c>
      <c r="J291" s="7" t="s">
        <v>288</v>
      </c>
      <c r="K291" s="7" t="s">
        <v>382</v>
      </c>
      <c r="L291" s="7" t="s">
        <v>447</v>
      </c>
      <c r="M291" s="7" t="s">
        <v>437</v>
      </c>
      <c r="N291" s="7"/>
      <c r="O291" s="84" t="str" cm="1">
        <f t="array" ref="O291">_xlfn.XLOOKUP(1,(A291=Geotech!$A$4:$A$10094)*(Data_Discontinuities[[#This Row],[Depth (m)]]&gt;=Geotech!$C$4:$C$10094)*(Data_Discontinuities[[#This Row],[Depth (m)]]&lt;Geotech!$D$4:$D$10094),Geotech!$M$4:$M$10094)</f>
        <v>Diorite</v>
      </c>
      <c r="P291" s="84"/>
      <c r="Q291" s="84"/>
      <c r="R291" s="84"/>
      <c r="S2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91" s="71">
        <f>IFERROR(Data_Discontinuities[[#This Row],[Joint roughness]]/Data_Discontinuities[[#This Row],[Joint alteration]],"")</f>
        <v>0.5</v>
      </c>
      <c r="V2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291" s="87"/>
    </row>
    <row r="292" spans="1:23" ht="15" customHeight="1" x14ac:dyDescent="0.25">
      <c r="A292" s="150" t="s">
        <v>30</v>
      </c>
      <c r="B292" s="17" t="str">
        <f>VLOOKUP(Data_Discontinuities[[#This Row],[Hole ID]],Data_Log[],2,FALSE)</f>
        <v>CGF-02</v>
      </c>
      <c r="C292" s="8">
        <v>83.79</v>
      </c>
      <c r="D292" s="8">
        <v>1</v>
      </c>
      <c r="E292" s="7" t="s">
        <v>445</v>
      </c>
      <c r="F292" s="7"/>
      <c r="G292" s="7"/>
      <c r="H292" s="118"/>
      <c r="I292" s="7" t="s">
        <v>251</v>
      </c>
      <c r="J292" s="7" t="s">
        <v>404</v>
      </c>
      <c r="K292" s="7" t="s">
        <v>382</v>
      </c>
      <c r="L292" s="7" t="s">
        <v>447</v>
      </c>
      <c r="M292" s="7"/>
      <c r="N292" s="7"/>
      <c r="O292" s="84" t="str" cm="1">
        <f t="array" ref="O292">_xlfn.XLOOKUP(1,(A292=Geotech!$A$4:$A$10094)*(Data_Discontinuities[[#This Row],[Depth (m)]]&gt;=Geotech!$C$4:$C$10094)*(Data_Discontinuities[[#This Row],[Depth (m)]]&lt;Geotech!$D$4:$D$10094),Geotech!$M$4:$M$10094)</f>
        <v>Diorite</v>
      </c>
      <c r="P292" s="84"/>
      <c r="Q292" s="84"/>
      <c r="R292" s="84"/>
      <c r="S29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29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292" s="71">
        <f>IFERROR(Data_Discontinuities[[#This Row],[Joint roughness]]/Data_Discontinuities[[#This Row],[Joint alteration]],"")</f>
        <v>0.5</v>
      </c>
      <c r="V29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92" s="87"/>
    </row>
    <row r="293" spans="1:23" ht="15" customHeight="1" x14ac:dyDescent="0.25">
      <c r="A293" s="150" t="s">
        <v>30</v>
      </c>
      <c r="B293" s="17" t="str">
        <f>VLOOKUP(Data_Discontinuities[[#This Row],[Hole ID]],Data_Log[],2,FALSE)</f>
        <v>CGF-02</v>
      </c>
      <c r="C293" s="8">
        <v>84.08</v>
      </c>
      <c r="D293" s="8">
        <v>1</v>
      </c>
      <c r="E293" s="7" t="s">
        <v>445</v>
      </c>
      <c r="F293" s="7"/>
      <c r="G293" s="7"/>
      <c r="H293" s="118"/>
      <c r="I293" s="7" t="s">
        <v>251</v>
      </c>
      <c r="J293" s="7" t="s">
        <v>320</v>
      </c>
      <c r="K293" s="7" t="s">
        <v>382</v>
      </c>
      <c r="L293" s="7" t="s">
        <v>437</v>
      </c>
      <c r="M293" s="7" t="s">
        <v>447</v>
      </c>
      <c r="N293" s="7"/>
      <c r="O293" s="84" t="str" cm="1">
        <f t="array" ref="O293">_xlfn.XLOOKUP(1,(A293=Geotech!$A$4:$A$10094)*(Data_Discontinuities[[#This Row],[Depth (m)]]&gt;=Geotech!$C$4:$C$10094)*(Data_Discontinuities[[#This Row],[Depth (m)]]&lt;Geotech!$D$4:$D$10094),Geotech!$M$4:$M$10094)</f>
        <v>Diorite</v>
      </c>
      <c r="P293" s="84"/>
      <c r="Q293" s="84"/>
      <c r="R293" s="84"/>
      <c r="S2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2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93" s="71">
        <f>IFERROR(Data_Discontinuities[[#This Row],[Joint roughness]]/Data_Discontinuities[[#This Row],[Joint alteration]],"")</f>
        <v>0.25</v>
      </c>
      <c r="V2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93" s="87"/>
    </row>
    <row r="294" spans="1:23" ht="15" customHeight="1" x14ac:dyDescent="0.25">
      <c r="A294" s="150" t="s">
        <v>30</v>
      </c>
      <c r="B294" s="17" t="str">
        <f>VLOOKUP(Data_Discontinuities[[#This Row],[Hole ID]],Data_Log[],2,FALSE)</f>
        <v>CGF-02</v>
      </c>
      <c r="C294" s="8">
        <v>84.33</v>
      </c>
      <c r="D294" s="8">
        <v>1</v>
      </c>
      <c r="E294" s="7" t="s">
        <v>445</v>
      </c>
      <c r="F294" s="7"/>
      <c r="G294" s="7"/>
      <c r="H294" s="118"/>
      <c r="I294" s="7" t="s">
        <v>318</v>
      </c>
      <c r="J294" s="7" t="s">
        <v>320</v>
      </c>
      <c r="K294" s="7" t="s">
        <v>382</v>
      </c>
      <c r="L294" s="7" t="s">
        <v>437</v>
      </c>
      <c r="M294" s="7"/>
      <c r="N294" s="7"/>
      <c r="O294" s="84" t="str" cm="1">
        <f t="array" ref="O294">_xlfn.XLOOKUP(1,(A294=Geotech!$A$4:$A$10094)*(Data_Discontinuities[[#This Row],[Depth (m)]]&gt;=Geotech!$C$4:$C$10094)*(Data_Discontinuities[[#This Row],[Depth (m)]]&lt;Geotech!$D$4:$D$10094),Geotech!$M$4:$M$10094)</f>
        <v>Diorite</v>
      </c>
      <c r="P294" s="84"/>
      <c r="Q294" s="84"/>
      <c r="R294" s="84"/>
      <c r="S2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94" s="71">
        <f>IFERROR(Data_Discontinuities[[#This Row],[Joint roughness]]/Data_Discontinuities[[#This Row],[Joint alteration]],"")</f>
        <v>0.5</v>
      </c>
      <c r="V2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94" s="87"/>
    </row>
    <row r="295" spans="1:23" ht="15" customHeight="1" x14ac:dyDescent="0.25">
      <c r="A295" s="150" t="s">
        <v>30</v>
      </c>
      <c r="B295" s="17" t="str">
        <f>VLOOKUP(Data_Discontinuities[[#This Row],[Hole ID]],Data_Log[],2,FALSE)</f>
        <v>CGF-02</v>
      </c>
      <c r="C295" s="8">
        <v>85.13</v>
      </c>
      <c r="D295" s="8">
        <v>1</v>
      </c>
      <c r="E295" s="7" t="s">
        <v>445</v>
      </c>
      <c r="F295" s="7"/>
      <c r="G295" s="7"/>
      <c r="H295" s="118"/>
      <c r="I295" s="7" t="s">
        <v>286</v>
      </c>
      <c r="J295" s="7" t="s">
        <v>320</v>
      </c>
      <c r="K295" s="7" t="s">
        <v>354</v>
      </c>
      <c r="L295" s="7"/>
      <c r="M295" s="7"/>
      <c r="N295" s="7"/>
      <c r="O295" s="84" t="str" cm="1">
        <f t="array" ref="O295">_xlfn.XLOOKUP(1,(A295=Geotech!$A$4:$A$10094)*(Data_Discontinuities[[#This Row],[Depth (m)]]&gt;=Geotech!$C$4:$C$10094)*(Data_Discontinuities[[#This Row],[Depth (m)]]&lt;Geotech!$D$4:$D$10094),Geotech!$M$4:$M$10094)</f>
        <v>Diorite</v>
      </c>
      <c r="P295" s="84"/>
      <c r="Q295" s="84"/>
      <c r="R295" s="84"/>
      <c r="S2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95" s="71">
        <f>IFERROR(Data_Discontinuities[[#This Row],[Joint roughness]]/Data_Discontinuities[[#This Row],[Joint alteration]],"")</f>
        <v>1</v>
      </c>
      <c r="V2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95" s="87"/>
    </row>
    <row r="296" spans="1:23" ht="15" customHeight="1" x14ac:dyDescent="0.25">
      <c r="A296" s="150" t="s">
        <v>30</v>
      </c>
      <c r="B296" s="17" t="str">
        <f>VLOOKUP(Data_Discontinuities[[#This Row],[Hole ID]],Data_Log[],2,FALSE)</f>
        <v>CGF-02</v>
      </c>
      <c r="C296" s="8">
        <v>85.86</v>
      </c>
      <c r="D296" s="8">
        <v>1</v>
      </c>
      <c r="E296" s="7" t="s">
        <v>445</v>
      </c>
      <c r="F296" s="7"/>
      <c r="G296" s="7"/>
      <c r="H296" s="118"/>
      <c r="I296" s="7" t="s">
        <v>286</v>
      </c>
      <c r="J296" s="7" t="s">
        <v>352</v>
      </c>
      <c r="K296" s="7" t="s">
        <v>354</v>
      </c>
      <c r="L296" s="7"/>
      <c r="M296" s="7"/>
      <c r="N296" s="7"/>
      <c r="O296" s="84" t="str" cm="1">
        <f t="array" ref="O296">_xlfn.XLOOKUP(1,(A296=Geotech!$A$4:$A$10094)*(Data_Discontinuities[[#This Row],[Depth (m)]]&gt;=Geotech!$C$4:$C$10094)*(Data_Discontinuities[[#This Row],[Depth (m)]]&lt;Geotech!$D$4:$D$10094),Geotech!$M$4:$M$10094)</f>
        <v>Diorite</v>
      </c>
      <c r="P296" s="84"/>
      <c r="Q296" s="84"/>
      <c r="R296" s="84"/>
      <c r="S2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96" s="71">
        <f>IFERROR(Data_Discontinuities[[#This Row],[Joint roughness]]/Data_Discontinuities[[#This Row],[Joint alteration]],"")</f>
        <v>1.5</v>
      </c>
      <c r="V2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96" s="87"/>
    </row>
    <row r="297" spans="1:23" ht="15" customHeight="1" x14ac:dyDescent="0.25">
      <c r="A297" s="150" t="s">
        <v>30</v>
      </c>
      <c r="B297" s="17" t="str">
        <f>VLOOKUP(Data_Discontinuities[[#This Row],[Hole ID]],Data_Log[],2,FALSE)</f>
        <v>CGF-02</v>
      </c>
      <c r="C297" s="8">
        <v>86.34</v>
      </c>
      <c r="D297" s="8">
        <v>1</v>
      </c>
      <c r="E297" s="7" t="s">
        <v>445</v>
      </c>
      <c r="F297" s="7"/>
      <c r="G297" s="7"/>
      <c r="H297" s="118"/>
      <c r="I297" s="7" t="s">
        <v>286</v>
      </c>
      <c r="J297" s="7" t="s">
        <v>320</v>
      </c>
      <c r="K297" s="7" t="s">
        <v>354</v>
      </c>
      <c r="L297" s="7"/>
      <c r="M297" s="7"/>
      <c r="N297" s="7"/>
      <c r="O297" s="84" t="str" cm="1">
        <f t="array" ref="O297">_xlfn.XLOOKUP(1,(A297=Geotech!$A$4:$A$10094)*(Data_Discontinuities[[#This Row],[Depth (m)]]&gt;=Geotech!$C$4:$C$10094)*(Data_Discontinuities[[#This Row],[Depth (m)]]&lt;Geotech!$D$4:$D$10094),Geotech!$M$4:$M$10094)</f>
        <v>Diorite</v>
      </c>
      <c r="P297" s="84"/>
      <c r="Q297" s="84"/>
      <c r="R297" s="84"/>
      <c r="S2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97" s="71">
        <f>IFERROR(Data_Discontinuities[[#This Row],[Joint roughness]]/Data_Discontinuities[[#This Row],[Joint alteration]],"")</f>
        <v>1</v>
      </c>
      <c r="V2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297" s="87"/>
    </row>
    <row r="298" spans="1:23" ht="15" customHeight="1" x14ac:dyDescent="0.25">
      <c r="A298" s="150" t="s">
        <v>30</v>
      </c>
      <c r="B298" s="17" t="str">
        <f>VLOOKUP(Data_Discontinuities[[#This Row],[Hole ID]],Data_Log[],2,FALSE)</f>
        <v>CGF-02</v>
      </c>
      <c r="C298" s="8">
        <v>86.47</v>
      </c>
      <c r="D298" s="8">
        <v>1</v>
      </c>
      <c r="E298" s="7" t="s">
        <v>445</v>
      </c>
      <c r="F298" s="7"/>
      <c r="G298" s="7"/>
      <c r="H298" s="118"/>
      <c r="I298" s="7" t="s">
        <v>286</v>
      </c>
      <c r="J298" s="7" t="s">
        <v>352</v>
      </c>
      <c r="K298" s="7" t="s">
        <v>354</v>
      </c>
      <c r="L298" s="7"/>
      <c r="M298" s="7"/>
      <c r="N298" s="7"/>
      <c r="O298" s="84" t="str" cm="1">
        <f t="array" ref="O298">_xlfn.XLOOKUP(1,(A298=Geotech!$A$4:$A$10094)*(Data_Discontinuities[[#This Row],[Depth (m)]]&gt;=Geotech!$C$4:$C$10094)*(Data_Discontinuities[[#This Row],[Depth (m)]]&lt;Geotech!$D$4:$D$10094),Geotech!$M$4:$M$10094)</f>
        <v>Diorite</v>
      </c>
      <c r="P298" s="84"/>
      <c r="Q298" s="84"/>
      <c r="R298" s="84"/>
      <c r="S2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2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298" s="71">
        <f>IFERROR(Data_Discontinuities[[#This Row],[Joint roughness]]/Data_Discontinuities[[#This Row],[Joint alteration]],"")</f>
        <v>1.5</v>
      </c>
      <c r="V2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298" s="87"/>
    </row>
    <row r="299" spans="1:23" ht="15" customHeight="1" x14ac:dyDescent="0.25">
      <c r="A299" s="150" t="s">
        <v>30</v>
      </c>
      <c r="B299" s="17" t="str">
        <f>VLOOKUP(Data_Discontinuities[[#This Row],[Hole ID]],Data_Log[],2,FALSE)</f>
        <v>CGF-02</v>
      </c>
      <c r="C299" s="8">
        <v>86.7</v>
      </c>
      <c r="D299" s="8">
        <v>1</v>
      </c>
      <c r="E299" s="7" t="s">
        <v>445</v>
      </c>
      <c r="F299" s="7"/>
      <c r="G299" s="7"/>
      <c r="H299" s="118"/>
      <c r="I299" s="7" t="s">
        <v>286</v>
      </c>
      <c r="J299" s="7" t="s">
        <v>320</v>
      </c>
      <c r="K299" s="7" t="s">
        <v>406</v>
      </c>
      <c r="L299" s="7" t="s">
        <v>546</v>
      </c>
      <c r="M299" s="7"/>
      <c r="N299" s="7"/>
      <c r="O299" s="84" t="str" cm="1">
        <f t="array" ref="O299">_xlfn.XLOOKUP(1,(A299=Geotech!$A$4:$A$10094)*(Data_Discontinuities[[#This Row],[Depth (m)]]&gt;=Geotech!$C$4:$C$10094)*(Data_Discontinuities[[#This Row],[Depth (m)]]&lt;Geotech!$D$4:$D$10094),Geotech!$M$4:$M$10094)</f>
        <v>Diorite</v>
      </c>
      <c r="P299" s="84"/>
      <c r="Q299" s="84"/>
      <c r="R299" s="84"/>
      <c r="S2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2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299" s="71">
        <f>IFERROR(Data_Discontinuities[[#This Row],[Joint roughness]]/Data_Discontinuities[[#This Row],[Joint alteration]],"")</f>
        <v>0.5</v>
      </c>
      <c r="V2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299" s="87"/>
    </row>
    <row r="300" spans="1:23" ht="15" customHeight="1" x14ac:dyDescent="0.25">
      <c r="A300" s="150" t="s">
        <v>30</v>
      </c>
      <c r="B300" s="17" t="str">
        <f>VLOOKUP(Data_Discontinuities[[#This Row],[Hole ID]],Data_Log[],2,FALSE)</f>
        <v>CGF-02</v>
      </c>
      <c r="C300" s="8">
        <v>87.63</v>
      </c>
      <c r="D300" s="8">
        <v>1</v>
      </c>
      <c r="E300" s="7" t="s">
        <v>445</v>
      </c>
      <c r="F300" s="7"/>
      <c r="G300" s="7"/>
      <c r="H300" s="118"/>
      <c r="I300" s="7" t="s">
        <v>318</v>
      </c>
      <c r="J300" s="7" t="s">
        <v>352</v>
      </c>
      <c r="K300" s="7" t="s">
        <v>382</v>
      </c>
      <c r="L300" s="7" t="s">
        <v>447</v>
      </c>
      <c r="M300" s="7"/>
      <c r="N300" s="7"/>
      <c r="O300" s="84" t="str" cm="1">
        <f t="array" ref="O300">_xlfn.XLOOKUP(1,(A300=Geotech!$A$4:$A$10094)*(Data_Discontinuities[[#This Row],[Depth (m)]]&gt;=Geotech!$C$4:$C$10094)*(Data_Discontinuities[[#This Row],[Depth (m)]]&lt;Geotech!$D$4:$D$10094),Geotech!$M$4:$M$10094)</f>
        <v>Diorite</v>
      </c>
      <c r="P300" s="84"/>
      <c r="Q300" s="84"/>
      <c r="R300" s="84"/>
      <c r="S3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00" s="71">
        <f>IFERROR(Data_Discontinuities[[#This Row],[Joint roughness]]/Data_Discontinuities[[#This Row],[Joint alteration]],"")</f>
        <v>1</v>
      </c>
      <c r="V3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00" s="87"/>
    </row>
    <row r="301" spans="1:23" ht="15" customHeight="1" x14ac:dyDescent="0.25">
      <c r="A301" s="150" t="s">
        <v>30</v>
      </c>
      <c r="B301" s="17" t="str">
        <f>VLOOKUP(Data_Discontinuities[[#This Row],[Hole ID]],Data_Log[],2,FALSE)</f>
        <v>CGF-02</v>
      </c>
      <c r="C301" s="8">
        <v>88.48</v>
      </c>
      <c r="D301" s="8">
        <v>1</v>
      </c>
      <c r="E301" s="7" t="s">
        <v>445</v>
      </c>
      <c r="F301" s="7"/>
      <c r="G301" s="7"/>
      <c r="H301" s="118"/>
      <c r="I301" s="7" t="s">
        <v>286</v>
      </c>
      <c r="J301" s="7" t="s">
        <v>288</v>
      </c>
      <c r="K301" s="7" t="s">
        <v>354</v>
      </c>
      <c r="L301" s="7"/>
      <c r="M301" s="7"/>
      <c r="N301" s="7"/>
      <c r="O301" s="84" t="str" cm="1">
        <f t="array" ref="O301">_xlfn.XLOOKUP(1,(A301=Geotech!$A$4:$A$10094)*(Data_Discontinuities[[#This Row],[Depth (m)]]&gt;=Geotech!$C$4:$C$10094)*(Data_Discontinuities[[#This Row],[Depth (m)]]&lt;Geotech!$D$4:$D$10094),Geotech!$M$4:$M$10094)</f>
        <v>Diorite</v>
      </c>
      <c r="P301" s="84"/>
      <c r="Q301" s="84"/>
      <c r="R301" s="84"/>
      <c r="S3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01" s="71">
        <f>IFERROR(Data_Discontinuities[[#This Row],[Joint roughness]]/Data_Discontinuities[[#This Row],[Joint alteration]],"")</f>
        <v>0.75</v>
      </c>
      <c r="V3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01" s="87"/>
    </row>
    <row r="302" spans="1:23" ht="15" customHeight="1" x14ac:dyDescent="0.25">
      <c r="A302" s="150" t="s">
        <v>30</v>
      </c>
      <c r="B302" s="17" t="str">
        <f>VLOOKUP(Data_Discontinuities[[#This Row],[Hole ID]],Data_Log[],2,FALSE)</f>
        <v>CGF-02</v>
      </c>
      <c r="C302" s="8">
        <v>88.69</v>
      </c>
      <c r="D302" s="8">
        <v>1</v>
      </c>
      <c r="E302" s="7" t="s">
        <v>445</v>
      </c>
      <c r="F302" s="7"/>
      <c r="G302" s="7"/>
      <c r="H302" s="118"/>
      <c r="I302" s="7" t="s">
        <v>286</v>
      </c>
      <c r="J302" s="7" t="s">
        <v>320</v>
      </c>
      <c r="K302" s="7" t="s">
        <v>354</v>
      </c>
      <c r="L302" s="7"/>
      <c r="M302" s="7"/>
      <c r="N302" s="7"/>
      <c r="O302" s="84" t="str" cm="1">
        <f t="array" ref="O302">_xlfn.XLOOKUP(1,(A302=Geotech!$A$4:$A$10094)*(Data_Discontinuities[[#This Row],[Depth (m)]]&gt;=Geotech!$C$4:$C$10094)*(Data_Discontinuities[[#This Row],[Depth (m)]]&lt;Geotech!$D$4:$D$10094),Geotech!$M$4:$M$10094)</f>
        <v>Diorite</v>
      </c>
      <c r="P302" s="84"/>
      <c r="Q302" s="84"/>
      <c r="R302" s="84"/>
      <c r="S30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0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02" s="71">
        <f>IFERROR(Data_Discontinuities[[#This Row],[Joint roughness]]/Data_Discontinuities[[#This Row],[Joint alteration]],"")</f>
        <v>1</v>
      </c>
      <c r="V30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02" s="87"/>
    </row>
    <row r="303" spans="1:23" ht="15" customHeight="1" x14ac:dyDescent="0.25">
      <c r="A303" s="150" t="s">
        <v>30</v>
      </c>
      <c r="B303" s="17" t="str">
        <f>VLOOKUP(Data_Discontinuities[[#This Row],[Hole ID]],Data_Log[],2,FALSE)</f>
        <v>CGF-02</v>
      </c>
      <c r="C303" s="8">
        <v>89.14</v>
      </c>
      <c r="D303" s="8">
        <v>1</v>
      </c>
      <c r="E303" s="7" t="s">
        <v>445</v>
      </c>
      <c r="F303" s="7"/>
      <c r="G303" s="7"/>
      <c r="H303" s="118"/>
      <c r="I303" s="7" t="s">
        <v>318</v>
      </c>
      <c r="J303" s="7" t="s">
        <v>352</v>
      </c>
      <c r="K303" s="7" t="s">
        <v>382</v>
      </c>
      <c r="L303" s="7" t="s">
        <v>437</v>
      </c>
      <c r="M303" s="7" t="s">
        <v>546</v>
      </c>
      <c r="N303" s="7"/>
      <c r="O303" s="84" t="str" cm="1">
        <f t="array" ref="O303">_xlfn.XLOOKUP(1,(A303=Geotech!$A$4:$A$10094)*(Data_Discontinuities[[#This Row],[Depth (m)]]&gt;=Geotech!$C$4:$C$10094)*(Data_Discontinuities[[#This Row],[Depth (m)]]&lt;Geotech!$D$4:$D$10094),Geotech!$M$4:$M$10094)</f>
        <v>Diorite</v>
      </c>
      <c r="P303" s="84"/>
      <c r="Q303" s="84"/>
      <c r="R303" s="84"/>
      <c r="S3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03" s="71">
        <f>IFERROR(Data_Discontinuities[[#This Row],[Joint roughness]]/Data_Discontinuities[[#This Row],[Joint alteration]],"")</f>
        <v>0.75</v>
      </c>
      <c r="V3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03" s="87"/>
    </row>
    <row r="304" spans="1:23" ht="15" customHeight="1" x14ac:dyDescent="0.25">
      <c r="A304" s="150" t="s">
        <v>30</v>
      </c>
      <c r="B304" s="17" t="str">
        <f>VLOOKUP(Data_Discontinuities[[#This Row],[Hole ID]],Data_Log[],2,FALSE)</f>
        <v>CGF-02</v>
      </c>
      <c r="C304" s="8">
        <v>90.28</v>
      </c>
      <c r="D304" s="8">
        <v>1</v>
      </c>
      <c r="E304" s="7" t="s">
        <v>445</v>
      </c>
      <c r="F304" s="7"/>
      <c r="G304" s="7"/>
      <c r="H304" s="118"/>
      <c r="I304" s="7" t="s">
        <v>378</v>
      </c>
      <c r="J304" s="7" t="s">
        <v>404</v>
      </c>
      <c r="K304" s="7" t="s">
        <v>322</v>
      </c>
      <c r="L304" s="7"/>
      <c r="M304" s="7"/>
      <c r="N304" s="7"/>
      <c r="O304" s="84" t="str" cm="1">
        <f t="array" ref="O304">_xlfn.XLOOKUP(1,(A304=Geotech!$A$4:$A$10094)*(Data_Discontinuities[[#This Row],[Depth (m)]]&gt;=Geotech!$C$4:$C$10094)*(Data_Discontinuities[[#This Row],[Depth (m)]]&lt;Geotech!$D$4:$D$10094),Geotech!$M$4:$M$10094)</f>
        <v>Diorite</v>
      </c>
      <c r="P304" s="84"/>
      <c r="Q304" s="84"/>
      <c r="R304" s="84"/>
      <c r="S30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0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04" s="71">
        <f>IFERROR(Data_Discontinuities[[#This Row],[Joint roughness]]/Data_Discontinuities[[#This Row],[Joint alteration]],"")</f>
        <v>3</v>
      </c>
      <c r="V30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04" s="87"/>
    </row>
    <row r="305" spans="1:23" ht="15" customHeight="1" x14ac:dyDescent="0.25">
      <c r="A305" s="150" t="s">
        <v>30</v>
      </c>
      <c r="B305" s="17" t="str">
        <f>VLOOKUP(Data_Discontinuities[[#This Row],[Hole ID]],Data_Log[],2,FALSE)</f>
        <v>CGF-02</v>
      </c>
      <c r="C305" s="8">
        <v>92.38</v>
      </c>
      <c r="D305" s="8">
        <v>1</v>
      </c>
      <c r="E305" s="7" t="s">
        <v>445</v>
      </c>
      <c r="F305" s="7"/>
      <c r="G305" s="7"/>
      <c r="H305" s="118"/>
      <c r="I305" s="7" t="s">
        <v>251</v>
      </c>
      <c r="J305" s="7" t="s">
        <v>320</v>
      </c>
      <c r="K305" s="7" t="s">
        <v>354</v>
      </c>
      <c r="L305" s="7"/>
      <c r="M305" s="7"/>
      <c r="N305" s="7"/>
      <c r="O305" s="84" t="str" cm="1">
        <f t="array" ref="O305">_xlfn.XLOOKUP(1,(A305=Geotech!$A$4:$A$10094)*(Data_Discontinuities[[#This Row],[Depth (m)]]&gt;=Geotech!$C$4:$C$10094)*(Data_Discontinuities[[#This Row],[Depth (m)]]&lt;Geotech!$D$4:$D$10094),Geotech!$M$4:$M$10094)</f>
        <v>Diorite</v>
      </c>
      <c r="P305" s="84"/>
      <c r="Q305" s="84"/>
      <c r="R305" s="84"/>
      <c r="S3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3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05" s="71">
        <f>IFERROR(Data_Discontinuities[[#This Row],[Joint roughness]]/Data_Discontinuities[[#This Row],[Joint alteration]],"")</f>
        <v>0.5</v>
      </c>
      <c r="V3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05" s="87"/>
    </row>
    <row r="306" spans="1:23" ht="15" customHeight="1" x14ac:dyDescent="0.25">
      <c r="A306" s="150" t="s">
        <v>30</v>
      </c>
      <c r="B306" s="17" t="str">
        <f>VLOOKUP(Data_Discontinuities[[#This Row],[Hole ID]],Data_Log[],2,FALSE)</f>
        <v>CGF-02</v>
      </c>
      <c r="C306" s="8">
        <v>92.49</v>
      </c>
      <c r="D306" s="8">
        <v>1</v>
      </c>
      <c r="E306" s="7" t="s">
        <v>445</v>
      </c>
      <c r="F306" s="7"/>
      <c r="G306" s="7"/>
      <c r="H306" s="118"/>
      <c r="I306" s="7" t="s">
        <v>251</v>
      </c>
      <c r="J306" s="7" t="s">
        <v>352</v>
      </c>
      <c r="K306" s="7" t="s">
        <v>382</v>
      </c>
      <c r="L306" s="7" t="s">
        <v>447</v>
      </c>
      <c r="M306" s="7"/>
      <c r="N306" s="7"/>
      <c r="O306" s="84" t="str" cm="1">
        <f t="array" ref="O306">_xlfn.XLOOKUP(1,(A306=Geotech!$A$4:$A$10094)*(Data_Discontinuities[[#This Row],[Depth (m)]]&gt;=Geotech!$C$4:$C$10094)*(Data_Discontinuities[[#This Row],[Depth (m)]]&lt;Geotech!$D$4:$D$10094),Geotech!$M$4:$M$10094)</f>
        <v>Diorite</v>
      </c>
      <c r="P306" s="84"/>
      <c r="Q306" s="84"/>
      <c r="R306" s="84"/>
      <c r="S3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06" s="71">
        <f>IFERROR(Data_Discontinuities[[#This Row],[Joint roughness]]/Data_Discontinuities[[#This Row],[Joint alteration]],"")</f>
        <v>0.5</v>
      </c>
      <c r="V3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06" s="87"/>
    </row>
    <row r="307" spans="1:23" ht="15" customHeight="1" x14ac:dyDescent="0.25">
      <c r="A307" s="150" t="s">
        <v>30</v>
      </c>
      <c r="B307" s="17" t="str">
        <f>VLOOKUP(Data_Discontinuities[[#This Row],[Hole ID]],Data_Log[],2,FALSE)</f>
        <v>CGF-02</v>
      </c>
      <c r="C307" s="8">
        <v>92.93</v>
      </c>
      <c r="D307" s="8">
        <v>1</v>
      </c>
      <c r="E307" s="7" t="s">
        <v>445</v>
      </c>
      <c r="F307" s="7"/>
      <c r="G307" s="7"/>
      <c r="H307" s="118"/>
      <c r="I307" s="7" t="s">
        <v>251</v>
      </c>
      <c r="J307" s="7" t="s">
        <v>380</v>
      </c>
      <c r="K307" s="7" t="s">
        <v>406</v>
      </c>
      <c r="L307" s="7" t="s">
        <v>447</v>
      </c>
      <c r="M307" s="7"/>
      <c r="N307" s="7"/>
      <c r="O307" s="84" t="str" cm="1">
        <f t="array" ref="O307">_xlfn.XLOOKUP(1,(A307=Geotech!$A$4:$A$10094)*(Data_Discontinuities[[#This Row],[Depth (m)]]&gt;=Geotech!$C$4:$C$10094)*(Data_Discontinuities[[#This Row],[Depth (m)]]&lt;Geotech!$D$4:$D$10094),Geotech!$M$4:$M$10094)</f>
        <v>Diorite</v>
      </c>
      <c r="P307" s="84"/>
      <c r="Q307" s="84"/>
      <c r="R307" s="84"/>
      <c r="S3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07" s="71">
        <f>IFERROR(Data_Discontinuities[[#This Row],[Joint roughness]]/Data_Discontinuities[[#This Row],[Joint alteration]],"")</f>
        <v>0.5</v>
      </c>
      <c r="V3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07" s="87"/>
    </row>
    <row r="308" spans="1:23" ht="15" customHeight="1" x14ac:dyDescent="0.25">
      <c r="A308" s="150" t="s">
        <v>30</v>
      </c>
      <c r="B308" s="17" t="str">
        <f>VLOOKUP(Data_Discontinuities[[#This Row],[Hole ID]],Data_Log[],2,FALSE)</f>
        <v>CGF-02</v>
      </c>
      <c r="C308" s="8">
        <v>95.33</v>
      </c>
      <c r="D308" s="8">
        <v>1</v>
      </c>
      <c r="E308" s="7" t="s">
        <v>445</v>
      </c>
      <c r="F308" s="7"/>
      <c r="G308" s="7"/>
      <c r="H308" s="118"/>
      <c r="I308" s="7" t="s">
        <v>378</v>
      </c>
      <c r="J308" s="7" t="s">
        <v>352</v>
      </c>
      <c r="K308" s="7" t="s">
        <v>382</v>
      </c>
      <c r="L308" s="7" t="s">
        <v>447</v>
      </c>
      <c r="M308" s="7"/>
      <c r="N308" s="7"/>
      <c r="O308" s="84" t="str" cm="1">
        <f t="array" ref="O308">_xlfn.XLOOKUP(1,(A308=Geotech!$A$4:$A$10094)*(Data_Discontinuities[[#This Row],[Depth (m)]]&gt;=Geotech!$C$4:$C$10094)*(Data_Discontinuities[[#This Row],[Depth (m)]]&lt;Geotech!$D$4:$D$10094),Geotech!$M$4:$M$10094)</f>
        <v>Diorite</v>
      </c>
      <c r="P308" s="84"/>
      <c r="Q308" s="84"/>
      <c r="R308" s="84"/>
      <c r="S3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08" s="71">
        <f>IFERROR(Data_Discontinuities[[#This Row],[Joint roughness]]/Data_Discontinuities[[#This Row],[Joint alteration]],"")</f>
        <v>1</v>
      </c>
      <c r="V3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08" s="87"/>
    </row>
    <row r="309" spans="1:23" ht="15" customHeight="1" x14ac:dyDescent="0.25">
      <c r="A309" s="150" t="s">
        <v>30</v>
      </c>
      <c r="B309" s="17" t="str">
        <f>VLOOKUP(Data_Discontinuities[[#This Row],[Hole ID]],Data_Log[],2,FALSE)</f>
        <v>CGF-02</v>
      </c>
      <c r="C309" s="8">
        <v>95.51</v>
      </c>
      <c r="D309" s="8">
        <v>1</v>
      </c>
      <c r="E309" s="7" t="s">
        <v>445</v>
      </c>
      <c r="F309" s="7"/>
      <c r="G309" s="7"/>
      <c r="H309" s="118"/>
      <c r="I309" s="7" t="s">
        <v>318</v>
      </c>
      <c r="J309" s="7" t="s">
        <v>288</v>
      </c>
      <c r="K309" s="7" t="s">
        <v>354</v>
      </c>
      <c r="L309" s="7"/>
      <c r="M309" s="7"/>
      <c r="N309" s="7"/>
      <c r="O309" s="84" t="str" cm="1">
        <f t="array" ref="O309">_xlfn.XLOOKUP(1,(A309=Geotech!$A$4:$A$10094)*(Data_Discontinuities[[#This Row],[Depth (m)]]&gt;=Geotech!$C$4:$C$10094)*(Data_Discontinuities[[#This Row],[Depth (m)]]&lt;Geotech!$D$4:$D$10094),Geotech!$M$4:$M$10094)</f>
        <v>Diorite</v>
      </c>
      <c r="P309" s="84"/>
      <c r="Q309" s="84"/>
      <c r="R309" s="84"/>
      <c r="S3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09" s="71">
        <f>IFERROR(Data_Discontinuities[[#This Row],[Joint roughness]]/Data_Discontinuities[[#This Row],[Joint alteration]],"")</f>
        <v>0.75</v>
      </c>
      <c r="V3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09" s="87"/>
    </row>
    <row r="310" spans="1:23" ht="15" customHeight="1" x14ac:dyDescent="0.25">
      <c r="A310" s="150" t="s">
        <v>30</v>
      </c>
      <c r="B310" s="17" t="str">
        <f>VLOOKUP(Data_Discontinuities[[#This Row],[Hole ID]],Data_Log[],2,FALSE)</f>
        <v>CGF-02</v>
      </c>
      <c r="C310" s="8">
        <v>95.51</v>
      </c>
      <c r="D310" s="8">
        <v>1</v>
      </c>
      <c r="E310" s="7" t="s">
        <v>445</v>
      </c>
      <c r="F310" s="7"/>
      <c r="G310" s="7"/>
      <c r="H310" s="118"/>
      <c r="I310" s="7" t="s">
        <v>318</v>
      </c>
      <c r="J310" s="7" t="s">
        <v>288</v>
      </c>
      <c r="K310" s="7" t="s">
        <v>354</v>
      </c>
      <c r="L310" s="7"/>
      <c r="M310" s="7"/>
      <c r="N310" s="7"/>
      <c r="O310" s="84" t="str" cm="1">
        <f t="array" ref="O310">_xlfn.XLOOKUP(1,(A310=Geotech!$A$4:$A$10094)*(Data_Discontinuities[[#This Row],[Depth (m)]]&gt;=Geotech!$C$4:$C$10094)*(Data_Discontinuities[[#This Row],[Depth (m)]]&lt;Geotech!$D$4:$D$10094),Geotech!$M$4:$M$10094)</f>
        <v>Diorite</v>
      </c>
      <c r="P310" s="84"/>
      <c r="Q310" s="84"/>
      <c r="R310" s="84"/>
      <c r="S3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0" s="71">
        <f>IFERROR(Data_Discontinuities[[#This Row],[Joint roughness]]/Data_Discontinuities[[#This Row],[Joint alteration]],"")</f>
        <v>0.75</v>
      </c>
      <c r="V3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10" s="87"/>
    </row>
    <row r="311" spans="1:23" ht="15" customHeight="1" x14ac:dyDescent="0.25">
      <c r="A311" s="150" t="s">
        <v>30</v>
      </c>
      <c r="B311" s="17" t="str">
        <f>VLOOKUP(Data_Discontinuities[[#This Row],[Hole ID]],Data_Log[],2,FALSE)</f>
        <v>CGF-02</v>
      </c>
      <c r="C311" s="8">
        <v>95.95</v>
      </c>
      <c r="D311" s="8">
        <v>1</v>
      </c>
      <c r="E311" s="7" t="s">
        <v>445</v>
      </c>
      <c r="F311" s="7"/>
      <c r="G311" s="7"/>
      <c r="H311" s="118"/>
      <c r="I311" s="7" t="s">
        <v>378</v>
      </c>
      <c r="J311" s="7" t="s">
        <v>380</v>
      </c>
      <c r="K311" s="7" t="s">
        <v>382</v>
      </c>
      <c r="L311" s="7" t="s">
        <v>447</v>
      </c>
      <c r="M311" s="7"/>
      <c r="N311" s="7"/>
      <c r="O311" s="84" t="str" cm="1">
        <f t="array" ref="O311">_xlfn.XLOOKUP(1,(A311=Geotech!$A$4:$A$10094)*(Data_Discontinuities[[#This Row],[Depth (m)]]&gt;=Geotech!$C$4:$C$10094)*(Data_Discontinuities[[#This Row],[Depth (m)]]&lt;Geotech!$D$4:$D$10094),Geotech!$M$4:$M$10094)</f>
        <v>Diorite</v>
      </c>
      <c r="P311" s="84"/>
      <c r="Q311" s="84"/>
      <c r="R311" s="84"/>
      <c r="S3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11" s="71">
        <f>IFERROR(Data_Discontinuities[[#This Row],[Joint roughness]]/Data_Discontinuities[[#This Row],[Joint alteration]],"")</f>
        <v>1</v>
      </c>
      <c r="V3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11" s="87"/>
    </row>
    <row r="312" spans="1:23" ht="15" customHeight="1" x14ac:dyDescent="0.25">
      <c r="A312" s="150" t="s">
        <v>30</v>
      </c>
      <c r="B312" s="17" t="str">
        <f>VLOOKUP(Data_Discontinuities[[#This Row],[Hole ID]],Data_Log[],2,FALSE)</f>
        <v>CGF-02</v>
      </c>
      <c r="C312" s="8">
        <v>96.7</v>
      </c>
      <c r="D312" s="8">
        <v>1</v>
      </c>
      <c r="E312" s="7" t="s">
        <v>420</v>
      </c>
      <c r="F312" s="7"/>
      <c r="G312" s="7"/>
      <c r="H312" s="118"/>
      <c r="I312" s="7" t="s">
        <v>286</v>
      </c>
      <c r="J312" s="7" t="s">
        <v>320</v>
      </c>
      <c r="K312" s="7" t="s">
        <v>354</v>
      </c>
      <c r="L312" s="7"/>
      <c r="M312" s="7"/>
      <c r="N312" s="7"/>
      <c r="O312" s="84" t="str" cm="1">
        <f t="array" ref="O312">_xlfn.XLOOKUP(1,(A312=Geotech!$A$4:$A$10094)*(Data_Discontinuities[[#This Row],[Depth (m)]]&gt;=Geotech!$C$4:$C$10094)*(Data_Discontinuities[[#This Row],[Depth (m)]]&lt;Geotech!$D$4:$D$10094),Geotech!$M$4:$M$10094)</f>
        <v>Diorite</v>
      </c>
      <c r="P312" s="84"/>
      <c r="Q312" s="84"/>
      <c r="R312" s="84"/>
      <c r="S3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2" s="71">
        <f>IFERROR(Data_Discontinuities[[#This Row],[Joint roughness]]/Data_Discontinuities[[#This Row],[Joint alteration]],"")</f>
        <v>1</v>
      </c>
      <c r="V3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12" s="87"/>
    </row>
    <row r="313" spans="1:23" ht="15" customHeight="1" x14ac:dyDescent="0.25">
      <c r="A313" s="150" t="s">
        <v>30</v>
      </c>
      <c r="B313" s="17" t="str">
        <f>VLOOKUP(Data_Discontinuities[[#This Row],[Hole ID]],Data_Log[],2,FALSE)</f>
        <v>CGF-02</v>
      </c>
      <c r="C313" s="8">
        <v>97.12</v>
      </c>
      <c r="D313" s="8">
        <v>1</v>
      </c>
      <c r="E313" s="7" t="s">
        <v>420</v>
      </c>
      <c r="F313" s="7"/>
      <c r="G313" s="7"/>
      <c r="H313" s="118"/>
      <c r="I313" s="7" t="s">
        <v>318</v>
      </c>
      <c r="J313" s="7" t="s">
        <v>288</v>
      </c>
      <c r="K313" s="7" t="s">
        <v>354</v>
      </c>
      <c r="L313" s="7"/>
      <c r="M313" s="7"/>
      <c r="N313" s="7"/>
      <c r="O313" s="84" t="str" cm="1">
        <f t="array" ref="O313">_xlfn.XLOOKUP(1,(A313=Geotech!$A$4:$A$10094)*(Data_Discontinuities[[#This Row],[Depth (m)]]&gt;=Geotech!$C$4:$C$10094)*(Data_Discontinuities[[#This Row],[Depth (m)]]&lt;Geotech!$D$4:$D$10094),Geotech!$M$4:$M$10094)</f>
        <v>Diorite</v>
      </c>
      <c r="P313" s="84"/>
      <c r="Q313" s="84"/>
      <c r="R313" s="84"/>
      <c r="S3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3" s="71">
        <f>IFERROR(Data_Discontinuities[[#This Row],[Joint roughness]]/Data_Discontinuities[[#This Row],[Joint alteration]],"")</f>
        <v>0.75</v>
      </c>
      <c r="V3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13" s="87"/>
    </row>
    <row r="314" spans="1:23" ht="15" customHeight="1" x14ac:dyDescent="0.25">
      <c r="A314" s="150" t="s">
        <v>30</v>
      </c>
      <c r="B314" s="17" t="str">
        <f>VLOOKUP(Data_Discontinuities[[#This Row],[Hole ID]],Data_Log[],2,FALSE)</f>
        <v>CGF-02</v>
      </c>
      <c r="C314" s="8">
        <v>97.37</v>
      </c>
      <c r="D314" s="8">
        <v>1</v>
      </c>
      <c r="E314" s="7" t="s">
        <v>445</v>
      </c>
      <c r="F314" s="7"/>
      <c r="G314" s="7"/>
      <c r="H314" s="118"/>
      <c r="I314" s="7" t="s">
        <v>378</v>
      </c>
      <c r="J314" s="7" t="s">
        <v>352</v>
      </c>
      <c r="K314" s="7" t="s">
        <v>406</v>
      </c>
      <c r="L314" s="7" t="s">
        <v>57</v>
      </c>
      <c r="M314" s="7"/>
      <c r="N314" s="7"/>
      <c r="O314" s="84" t="str" cm="1">
        <f t="array" ref="O314">_xlfn.XLOOKUP(1,(A314=Geotech!$A$4:$A$10094)*(Data_Discontinuities[[#This Row],[Depth (m)]]&gt;=Geotech!$C$4:$C$10094)*(Data_Discontinuities[[#This Row],[Depth (m)]]&lt;Geotech!$D$4:$D$10094),Geotech!$M$4:$M$10094)</f>
        <v>Diorite</v>
      </c>
      <c r="P314" s="84"/>
      <c r="Q314" s="84"/>
      <c r="R314" s="84"/>
      <c r="S3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14" s="71">
        <f>IFERROR(Data_Discontinuities[[#This Row],[Joint roughness]]/Data_Discontinuities[[#This Row],[Joint alteration]],"")</f>
        <v>0.75</v>
      </c>
      <c r="V3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14" s="87"/>
    </row>
    <row r="315" spans="1:23" ht="15" customHeight="1" x14ac:dyDescent="0.25">
      <c r="A315" s="150" t="s">
        <v>30</v>
      </c>
      <c r="B315" s="17" t="str">
        <f>VLOOKUP(Data_Discontinuities[[#This Row],[Hole ID]],Data_Log[],2,FALSE)</f>
        <v>CGF-02</v>
      </c>
      <c r="C315" s="8">
        <v>98.2</v>
      </c>
      <c r="D315" s="8">
        <v>1</v>
      </c>
      <c r="E315" s="7" t="s">
        <v>420</v>
      </c>
      <c r="F315" s="7"/>
      <c r="G315" s="7"/>
      <c r="H315" s="118"/>
      <c r="I315" s="7" t="s">
        <v>318</v>
      </c>
      <c r="J315" s="7" t="s">
        <v>352</v>
      </c>
      <c r="K315" s="7" t="s">
        <v>354</v>
      </c>
      <c r="L315" s="7"/>
      <c r="M315" s="7"/>
      <c r="N315" s="7"/>
      <c r="O315" s="84" t="str" cm="1">
        <f t="array" ref="O315">_xlfn.XLOOKUP(1,(A315=Geotech!$A$4:$A$10094)*(Data_Discontinuities[[#This Row],[Depth (m)]]&gt;=Geotech!$C$4:$C$10094)*(Data_Discontinuities[[#This Row],[Depth (m)]]&lt;Geotech!$D$4:$D$10094),Geotech!$M$4:$M$10094)</f>
        <v>Diorite</v>
      </c>
      <c r="P315" s="84"/>
      <c r="Q315" s="84"/>
      <c r="R315" s="84"/>
      <c r="S3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5" s="71">
        <f>IFERROR(Data_Discontinuities[[#This Row],[Joint roughness]]/Data_Discontinuities[[#This Row],[Joint alteration]],"")</f>
        <v>1.5</v>
      </c>
      <c r="V3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15" s="87"/>
    </row>
    <row r="316" spans="1:23" ht="15" customHeight="1" x14ac:dyDescent="0.25">
      <c r="A316" s="150" t="s">
        <v>30</v>
      </c>
      <c r="B316" s="17" t="str">
        <f>VLOOKUP(Data_Discontinuities[[#This Row],[Hole ID]],Data_Log[],2,FALSE)</f>
        <v>CGF-02</v>
      </c>
      <c r="C316" s="8">
        <v>98.32</v>
      </c>
      <c r="D316" s="8">
        <v>1</v>
      </c>
      <c r="E316" s="7" t="s">
        <v>248</v>
      </c>
      <c r="F316" s="7"/>
      <c r="G316" s="7"/>
      <c r="H316" s="118"/>
      <c r="I316" s="7"/>
      <c r="J316" s="7"/>
      <c r="K316" s="7"/>
      <c r="L316" s="7"/>
      <c r="M316" s="7"/>
      <c r="N316" s="7">
        <v>0.09</v>
      </c>
      <c r="O316" s="84" t="str" cm="1">
        <f t="array" ref="O316">_xlfn.XLOOKUP(1,(A316=Geotech!$A$4:$A$10094)*(Data_Discontinuities[[#This Row],[Depth (m)]]&gt;=Geotech!$C$4:$C$10094)*(Data_Discontinuities[[#This Row],[Depth (m)]]&lt;Geotech!$D$4:$D$10094),Geotech!$M$4:$M$10094)</f>
        <v>Diorite</v>
      </c>
      <c r="P316" s="84"/>
      <c r="Q316" s="84"/>
      <c r="R316" s="84"/>
      <c r="S3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16" s="71" t="str">
        <f>IFERROR(Data_Discontinuities[[#This Row],[Joint roughness]]/Data_Discontinuities[[#This Row],[Joint alteration]],"")</f>
        <v/>
      </c>
      <c r="V3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16" s="87"/>
    </row>
    <row r="317" spans="1:23" ht="15" customHeight="1" x14ac:dyDescent="0.25">
      <c r="A317" s="150" t="s">
        <v>30</v>
      </c>
      <c r="B317" s="17" t="str">
        <f>VLOOKUP(Data_Discontinuities[[#This Row],[Hole ID]],Data_Log[],2,FALSE)</f>
        <v>CGF-02</v>
      </c>
      <c r="C317" s="8">
        <v>98.8</v>
      </c>
      <c r="D317" s="8">
        <v>1</v>
      </c>
      <c r="E317" s="7" t="s">
        <v>420</v>
      </c>
      <c r="F317" s="7"/>
      <c r="G317" s="7"/>
      <c r="H317" s="118"/>
      <c r="I317" s="7" t="s">
        <v>318</v>
      </c>
      <c r="J317" s="7" t="s">
        <v>352</v>
      </c>
      <c r="K317" s="7" t="s">
        <v>322</v>
      </c>
      <c r="L317" s="7"/>
      <c r="M317" s="7"/>
      <c r="N317" s="7"/>
      <c r="O317" s="84" t="str" cm="1">
        <f t="array" ref="O317">_xlfn.XLOOKUP(1,(A317=Geotech!$A$4:$A$10094)*(Data_Discontinuities[[#This Row],[Depth (m)]]&gt;=Geotech!$C$4:$C$10094)*(Data_Discontinuities[[#This Row],[Depth (m)]]&lt;Geotech!$D$4:$D$10094),Geotech!$M$4:$M$10094)</f>
        <v>Diorite</v>
      </c>
      <c r="P317" s="84"/>
      <c r="Q317" s="84"/>
      <c r="R317" s="84"/>
      <c r="S3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17" s="71">
        <f>IFERROR(Data_Discontinuities[[#This Row],[Joint roughness]]/Data_Discontinuities[[#This Row],[Joint alteration]],"")</f>
        <v>3</v>
      </c>
      <c r="V3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17" s="87"/>
    </row>
    <row r="318" spans="1:23" ht="15" customHeight="1" x14ac:dyDescent="0.25">
      <c r="A318" s="150" t="s">
        <v>30</v>
      </c>
      <c r="B318" s="17" t="str">
        <f>VLOOKUP(Data_Discontinuities[[#This Row],[Hole ID]],Data_Log[],2,FALSE)</f>
        <v>CGF-02</v>
      </c>
      <c r="C318" s="8">
        <v>99.28</v>
      </c>
      <c r="D318" s="8">
        <v>1</v>
      </c>
      <c r="E318" s="7" t="s">
        <v>445</v>
      </c>
      <c r="F318" s="7"/>
      <c r="G318" s="7"/>
      <c r="H318" s="118"/>
      <c r="I318" s="7" t="s">
        <v>286</v>
      </c>
      <c r="J318" s="7" t="s">
        <v>320</v>
      </c>
      <c r="K318" s="7" t="s">
        <v>354</v>
      </c>
      <c r="L318" s="7"/>
      <c r="M318" s="7"/>
      <c r="N318" s="7"/>
      <c r="O318" s="84" t="str" cm="1">
        <f t="array" ref="O318">_xlfn.XLOOKUP(1,(A318=Geotech!$A$4:$A$10094)*(Data_Discontinuities[[#This Row],[Depth (m)]]&gt;=Geotech!$C$4:$C$10094)*(Data_Discontinuities[[#This Row],[Depth (m)]]&lt;Geotech!$D$4:$D$10094),Geotech!$M$4:$M$10094)</f>
        <v>Diorite</v>
      </c>
      <c r="P318" s="84"/>
      <c r="Q318" s="84"/>
      <c r="R318" s="84"/>
      <c r="S3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18" s="71">
        <f>IFERROR(Data_Discontinuities[[#This Row],[Joint roughness]]/Data_Discontinuities[[#This Row],[Joint alteration]],"")</f>
        <v>1</v>
      </c>
      <c r="V3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18" s="87"/>
    </row>
    <row r="319" spans="1:23" ht="15" customHeight="1" x14ac:dyDescent="0.25">
      <c r="A319" s="150" t="s">
        <v>30</v>
      </c>
      <c r="B319" s="17" t="str">
        <f>VLOOKUP(Data_Discontinuities[[#This Row],[Hole ID]],Data_Log[],2,FALSE)</f>
        <v>CGF-02</v>
      </c>
      <c r="C319" s="8">
        <v>100.33</v>
      </c>
      <c r="D319" s="8">
        <v>1</v>
      </c>
      <c r="E319" s="7" t="s">
        <v>445</v>
      </c>
      <c r="F319" s="7"/>
      <c r="G319" s="7"/>
      <c r="H319" s="118"/>
      <c r="I319" s="7" t="s">
        <v>251</v>
      </c>
      <c r="J319" s="7" t="s">
        <v>320</v>
      </c>
      <c r="K319" s="7" t="s">
        <v>322</v>
      </c>
      <c r="L319" s="7"/>
      <c r="M319" s="7"/>
      <c r="N319" s="7"/>
      <c r="O319" s="84" t="str" cm="1">
        <f t="array" ref="O319">_xlfn.XLOOKUP(1,(A319=Geotech!$A$4:$A$10094)*(Data_Discontinuities[[#This Row],[Depth (m)]]&gt;=Geotech!$C$4:$C$10094)*(Data_Discontinuities[[#This Row],[Depth (m)]]&lt;Geotech!$D$4:$D$10094),Geotech!$M$4:$M$10094)</f>
        <v>Diorite</v>
      </c>
      <c r="P319" s="84"/>
      <c r="Q319" s="84"/>
      <c r="R319" s="84"/>
      <c r="S3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3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19" s="71">
        <f>IFERROR(Data_Discontinuities[[#This Row],[Joint roughness]]/Data_Discontinuities[[#This Row],[Joint alteration]],"")</f>
        <v>1</v>
      </c>
      <c r="V3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19" s="87"/>
    </row>
    <row r="320" spans="1:23" ht="15" customHeight="1" x14ac:dyDescent="0.25">
      <c r="A320" s="150" t="s">
        <v>30</v>
      </c>
      <c r="B320" s="17" t="str">
        <f>VLOOKUP(Data_Discontinuities[[#This Row],[Hole ID]],Data_Log[],2,FALSE)</f>
        <v>CGF-02</v>
      </c>
      <c r="C320" s="8">
        <v>100.44</v>
      </c>
      <c r="D320" s="8">
        <v>1</v>
      </c>
      <c r="E320" s="7" t="s">
        <v>445</v>
      </c>
      <c r="F320" s="7"/>
      <c r="G320" s="7"/>
      <c r="H320" s="118"/>
      <c r="I320" s="7" t="s">
        <v>286</v>
      </c>
      <c r="J320" s="7" t="s">
        <v>320</v>
      </c>
      <c r="K320" s="7" t="s">
        <v>354</v>
      </c>
      <c r="L320" s="7"/>
      <c r="M320" s="7"/>
      <c r="N320" s="7"/>
      <c r="O320" s="84" t="str" cm="1">
        <f t="array" ref="O320">_xlfn.XLOOKUP(1,(A320=Geotech!$A$4:$A$10094)*(Data_Discontinuities[[#This Row],[Depth (m)]]&gt;=Geotech!$C$4:$C$10094)*(Data_Discontinuities[[#This Row],[Depth (m)]]&lt;Geotech!$D$4:$D$10094),Geotech!$M$4:$M$10094)</f>
        <v>Diorite</v>
      </c>
      <c r="P320" s="84"/>
      <c r="Q320" s="84"/>
      <c r="R320" s="84"/>
      <c r="S3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20" s="71">
        <f>IFERROR(Data_Discontinuities[[#This Row],[Joint roughness]]/Data_Discontinuities[[#This Row],[Joint alteration]],"")</f>
        <v>1</v>
      </c>
      <c r="V3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20" s="87"/>
    </row>
    <row r="321" spans="1:23" ht="15" customHeight="1" x14ac:dyDescent="0.25">
      <c r="A321" s="150" t="s">
        <v>30</v>
      </c>
      <c r="B321" s="17" t="str">
        <f>VLOOKUP(Data_Discontinuities[[#This Row],[Hole ID]],Data_Log[],2,FALSE)</f>
        <v>CGF-02</v>
      </c>
      <c r="C321" s="8">
        <v>100.89</v>
      </c>
      <c r="D321" s="8">
        <v>1</v>
      </c>
      <c r="E321" s="7" t="s">
        <v>248</v>
      </c>
      <c r="F321" s="7"/>
      <c r="G321" s="7"/>
      <c r="H321" s="118"/>
      <c r="I321" s="7"/>
      <c r="J321" s="7"/>
      <c r="K321" s="7"/>
      <c r="L321" s="7"/>
      <c r="M321" s="7"/>
      <c r="N321" s="7">
        <v>0.16</v>
      </c>
      <c r="O321" s="84" t="str" cm="1">
        <f t="array" ref="O321">_xlfn.XLOOKUP(1,(A321=Geotech!$A$4:$A$10094)*(Data_Discontinuities[[#This Row],[Depth (m)]]&gt;=Geotech!$C$4:$C$10094)*(Data_Discontinuities[[#This Row],[Depth (m)]]&lt;Geotech!$D$4:$D$10094),Geotech!$M$4:$M$10094)</f>
        <v>Diorite</v>
      </c>
      <c r="P321" s="84"/>
      <c r="Q321" s="84"/>
      <c r="R321" s="84"/>
      <c r="S3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21" s="71" t="str">
        <f>IFERROR(Data_Discontinuities[[#This Row],[Joint roughness]]/Data_Discontinuities[[#This Row],[Joint alteration]],"")</f>
        <v/>
      </c>
      <c r="V3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21" s="87"/>
    </row>
    <row r="322" spans="1:23" ht="15" customHeight="1" x14ac:dyDescent="0.25">
      <c r="A322" s="150" t="s">
        <v>30</v>
      </c>
      <c r="B322" s="17" t="str">
        <f>VLOOKUP(Data_Discontinuities[[#This Row],[Hole ID]],Data_Log[],2,FALSE)</f>
        <v>CGF-02</v>
      </c>
      <c r="C322" s="8">
        <v>101.29</v>
      </c>
      <c r="D322" s="8">
        <v>1</v>
      </c>
      <c r="E322" s="7" t="s">
        <v>445</v>
      </c>
      <c r="F322" s="7"/>
      <c r="G322" s="7"/>
      <c r="H322" s="118"/>
      <c r="I322" s="7" t="s">
        <v>286</v>
      </c>
      <c r="J322" s="7" t="s">
        <v>320</v>
      </c>
      <c r="K322" s="7" t="s">
        <v>382</v>
      </c>
      <c r="L322" s="7" t="s">
        <v>437</v>
      </c>
      <c r="M322" s="7"/>
      <c r="N322" s="7"/>
      <c r="O322" s="84" t="str" cm="1">
        <f t="array" ref="O322">_xlfn.XLOOKUP(1,(A322=Geotech!$A$4:$A$10094)*(Data_Discontinuities[[#This Row],[Depth (m)]]&gt;=Geotech!$C$4:$C$10094)*(Data_Discontinuities[[#This Row],[Depth (m)]]&lt;Geotech!$D$4:$D$10094),Geotech!$M$4:$M$10094)</f>
        <v>Diorite</v>
      </c>
      <c r="P322" s="84"/>
      <c r="Q322" s="84"/>
      <c r="R322" s="84"/>
      <c r="S3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22" s="71">
        <f>IFERROR(Data_Discontinuities[[#This Row],[Joint roughness]]/Data_Discontinuities[[#This Row],[Joint alteration]],"")</f>
        <v>0.5</v>
      </c>
      <c r="V3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22" s="87"/>
    </row>
    <row r="323" spans="1:23" ht="15" customHeight="1" x14ac:dyDescent="0.25">
      <c r="A323" s="150" t="s">
        <v>30</v>
      </c>
      <c r="B323" s="17" t="str">
        <f>VLOOKUP(Data_Discontinuities[[#This Row],[Hole ID]],Data_Log[],2,FALSE)</f>
        <v>CGF-02</v>
      </c>
      <c r="C323" s="8">
        <v>101.37</v>
      </c>
      <c r="D323" s="8">
        <v>1</v>
      </c>
      <c r="E323" s="7" t="s">
        <v>248</v>
      </c>
      <c r="F323" s="7"/>
      <c r="G323" s="7"/>
      <c r="H323" s="118"/>
      <c r="I323" s="7"/>
      <c r="J323" s="7"/>
      <c r="K323" s="7"/>
      <c r="L323" s="7"/>
      <c r="M323" s="7"/>
      <c r="N323" s="7">
        <v>0.05</v>
      </c>
      <c r="O323" s="84" t="str" cm="1">
        <f t="array" ref="O323">_xlfn.XLOOKUP(1,(A323=Geotech!$A$4:$A$10094)*(Data_Discontinuities[[#This Row],[Depth (m)]]&gt;=Geotech!$C$4:$C$10094)*(Data_Discontinuities[[#This Row],[Depth (m)]]&lt;Geotech!$D$4:$D$10094),Geotech!$M$4:$M$10094)</f>
        <v>Diorite</v>
      </c>
      <c r="P323" s="84"/>
      <c r="Q323" s="84"/>
      <c r="R323" s="84"/>
      <c r="S3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23" s="71" t="str">
        <f>IFERROR(Data_Discontinuities[[#This Row],[Joint roughness]]/Data_Discontinuities[[#This Row],[Joint alteration]],"")</f>
        <v/>
      </c>
      <c r="V3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23" s="87"/>
    </row>
    <row r="324" spans="1:23" ht="15" customHeight="1" x14ac:dyDescent="0.25">
      <c r="A324" s="150" t="s">
        <v>30</v>
      </c>
      <c r="B324" s="17" t="str">
        <f>VLOOKUP(Data_Discontinuities[[#This Row],[Hole ID]],Data_Log[],2,FALSE)</f>
        <v>CGF-02</v>
      </c>
      <c r="C324" s="8">
        <v>101.85</v>
      </c>
      <c r="D324" s="8">
        <v>1</v>
      </c>
      <c r="E324" s="7" t="s">
        <v>445</v>
      </c>
      <c r="F324" s="7"/>
      <c r="G324" s="7"/>
      <c r="H324" s="118"/>
      <c r="I324" s="7" t="s">
        <v>286</v>
      </c>
      <c r="J324" s="7" t="s">
        <v>352</v>
      </c>
      <c r="K324" s="7" t="s">
        <v>290</v>
      </c>
      <c r="L324" s="7"/>
      <c r="M324" s="7"/>
      <c r="N324" s="7"/>
      <c r="O324" s="84" t="str" cm="1">
        <f t="array" ref="O324">_xlfn.XLOOKUP(1,(A324=Geotech!$A$4:$A$10094)*(Data_Discontinuities[[#This Row],[Depth (m)]]&gt;=Geotech!$C$4:$C$10094)*(Data_Discontinuities[[#This Row],[Depth (m)]]&lt;Geotech!$D$4:$D$10094),Geotech!$M$4:$M$10094)</f>
        <v>Diorite</v>
      </c>
      <c r="P324" s="84"/>
      <c r="Q324" s="84"/>
      <c r="R324" s="84"/>
      <c r="S3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24" s="71">
        <f>IFERROR(Data_Discontinuities[[#This Row],[Joint roughness]]/Data_Discontinuities[[#This Row],[Joint alteration]],"")</f>
        <v>1.5</v>
      </c>
      <c r="V3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24" s="87"/>
    </row>
    <row r="325" spans="1:23" ht="15" customHeight="1" x14ac:dyDescent="0.25">
      <c r="A325" s="150" t="s">
        <v>30</v>
      </c>
      <c r="B325" s="17" t="str">
        <f>VLOOKUP(Data_Discontinuities[[#This Row],[Hole ID]],Data_Log[],2,FALSE)</f>
        <v>CGF-02</v>
      </c>
      <c r="C325" s="8">
        <v>102.87</v>
      </c>
      <c r="D325" s="8">
        <v>1</v>
      </c>
      <c r="E325" s="7" t="s">
        <v>445</v>
      </c>
      <c r="F325" s="7"/>
      <c r="G325" s="7"/>
      <c r="H325" s="118"/>
      <c r="I325" s="7" t="s">
        <v>318</v>
      </c>
      <c r="J325" s="7" t="s">
        <v>288</v>
      </c>
      <c r="K325" s="7" t="s">
        <v>382</v>
      </c>
      <c r="L325" s="7" t="s">
        <v>447</v>
      </c>
      <c r="M325" s="7"/>
      <c r="N325" s="7"/>
      <c r="O325" s="84" t="str" cm="1">
        <f t="array" ref="O325">_xlfn.XLOOKUP(1,(A325=Geotech!$A$4:$A$10094)*(Data_Discontinuities[[#This Row],[Depth (m)]]&gt;=Geotech!$C$4:$C$10094)*(Data_Discontinuities[[#This Row],[Depth (m)]]&lt;Geotech!$D$4:$D$10094),Geotech!$M$4:$M$10094)</f>
        <v>Diorite</v>
      </c>
      <c r="P325" s="84"/>
      <c r="Q325" s="84"/>
      <c r="R325" s="84"/>
      <c r="S3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25" s="71">
        <f>IFERROR(Data_Discontinuities[[#This Row],[Joint roughness]]/Data_Discontinuities[[#This Row],[Joint alteration]],"")</f>
        <v>0.5</v>
      </c>
      <c r="V3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25" s="87"/>
    </row>
    <row r="326" spans="1:23" ht="15" customHeight="1" x14ac:dyDescent="0.25">
      <c r="A326" s="150" t="s">
        <v>30</v>
      </c>
      <c r="B326" s="17" t="str">
        <f>VLOOKUP(Data_Discontinuities[[#This Row],[Hole ID]],Data_Log[],2,FALSE)</f>
        <v>CGF-02</v>
      </c>
      <c r="C326" s="8">
        <v>103.8</v>
      </c>
      <c r="D326" s="8">
        <v>1</v>
      </c>
      <c r="E326" s="7" t="s">
        <v>348</v>
      </c>
      <c r="F326" s="7"/>
      <c r="G326" s="7"/>
      <c r="H326" s="118"/>
      <c r="I326" s="7" t="s">
        <v>318</v>
      </c>
      <c r="J326" s="7" t="s">
        <v>380</v>
      </c>
      <c r="K326" s="7" t="s">
        <v>382</v>
      </c>
      <c r="L326" s="7" t="s">
        <v>447</v>
      </c>
      <c r="M326" s="7"/>
      <c r="N326" s="7"/>
      <c r="O326" s="84" t="str" cm="1">
        <f t="array" ref="O326">_xlfn.XLOOKUP(1,(A326=Geotech!$A$4:$A$10094)*(Data_Discontinuities[[#This Row],[Depth (m)]]&gt;=Geotech!$C$4:$C$10094)*(Data_Discontinuities[[#This Row],[Depth (m)]]&lt;Geotech!$D$4:$D$10094),Geotech!$M$4:$M$10094)</f>
        <v>Boulamarque granodiorite</v>
      </c>
      <c r="P326" s="84"/>
      <c r="Q326" s="84"/>
      <c r="R326" s="84"/>
      <c r="S3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26" s="71">
        <f>IFERROR(Data_Discontinuities[[#This Row],[Joint roughness]]/Data_Discontinuities[[#This Row],[Joint alteration]],"")</f>
        <v>1</v>
      </c>
      <c r="V3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26" s="87" t="s">
        <v>598</v>
      </c>
    </row>
    <row r="327" spans="1:23" ht="15" customHeight="1" x14ac:dyDescent="0.25">
      <c r="A327" s="150" t="s">
        <v>30</v>
      </c>
      <c r="B327" s="17" t="str">
        <f>VLOOKUP(Data_Discontinuities[[#This Row],[Hole ID]],Data_Log[],2,FALSE)</f>
        <v>CGF-02</v>
      </c>
      <c r="C327" s="8">
        <v>104.49</v>
      </c>
      <c r="D327" s="8">
        <v>1</v>
      </c>
      <c r="E327" s="7" t="s">
        <v>420</v>
      </c>
      <c r="F327" s="7"/>
      <c r="G327" s="7"/>
      <c r="H327" s="118"/>
      <c r="I327" s="7" t="s">
        <v>318</v>
      </c>
      <c r="J327" s="7" t="s">
        <v>320</v>
      </c>
      <c r="K327" s="7" t="s">
        <v>354</v>
      </c>
      <c r="L327" s="7"/>
      <c r="M327" s="7"/>
      <c r="N327" s="7"/>
      <c r="O327" s="84" t="str" cm="1">
        <f t="array" ref="O327">_xlfn.XLOOKUP(1,(A327=Geotech!$A$4:$A$10094)*(Data_Discontinuities[[#This Row],[Depth (m)]]&gt;=Geotech!$C$4:$C$10094)*(Data_Discontinuities[[#This Row],[Depth (m)]]&lt;Geotech!$D$4:$D$10094),Geotech!$M$4:$M$10094)</f>
        <v>Boulamarque granodiorite</v>
      </c>
      <c r="P327" s="84"/>
      <c r="Q327" s="84"/>
      <c r="R327" s="84"/>
      <c r="S3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27" s="71">
        <f>IFERROR(Data_Discontinuities[[#This Row],[Joint roughness]]/Data_Discontinuities[[#This Row],[Joint alteration]],"")</f>
        <v>1</v>
      </c>
      <c r="V3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27" s="87"/>
    </row>
    <row r="328" spans="1:23" ht="15" customHeight="1" x14ac:dyDescent="0.25">
      <c r="A328" s="150" t="s">
        <v>30</v>
      </c>
      <c r="B328" s="17" t="str">
        <f>VLOOKUP(Data_Discontinuities[[#This Row],[Hole ID]],Data_Log[],2,FALSE)</f>
        <v>CGF-02</v>
      </c>
      <c r="C328" s="8">
        <v>104.55</v>
      </c>
      <c r="D328" s="8">
        <v>1</v>
      </c>
      <c r="E328" s="7" t="s">
        <v>420</v>
      </c>
      <c r="F328" s="7"/>
      <c r="G328" s="7"/>
      <c r="H328" s="118"/>
      <c r="I328" s="7" t="s">
        <v>318</v>
      </c>
      <c r="J328" s="7" t="s">
        <v>320</v>
      </c>
      <c r="K328" s="7" t="s">
        <v>354</v>
      </c>
      <c r="L328" s="7"/>
      <c r="M328" s="7"/>
      <c r="N328" s="7"/>
      <c r="O328" s="84" t="str" cm="1">
        <f t="array" ref="O328">_xlfn.XLOOKUP(1,(A328=Geotech!$A$4:$A$10094)*(Data_Discontinuities[[#This Row],[Depth (m)]]&gt;=Geotech!$C$4:$C$10094)*(Data_Discontinuities[[#This Row],[Depth (m)]]&lt;Geotech!$D$4:$D$10094),Geotech!$M$4:$M$10094)</f>
        <v>Boulamarque granodiorite</v>
      </c>
      <c r="P328" s="84"/>
      <c r="Q328" s="84"/>
      <c r="R328" s="84"/>
      <c r="S3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28" s="71">
        <f>IFERROR(Data_Discontinuities[[#This Row],[Joint roughness]]/Data_Discontinuities[[#This Row],[Joint alteration]],"")</f>
        <v>1</v>
      </c>
      <c r="V3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28" s="87"/>
    </row>
    <row r="329" spans="1:23" ht="15" customHeight="1" x14ac:dyDescent="0.25">
      <c r="A329" s="150" t="s">
        <v>30</v>
      </c>
      <c r="B329" s="17" t="str">
        <f>VLOOKUP(Data_Discontinuities[[#This Row],[Hole ID]],Data_Log[],2,FALSE)</f>
        <v>CGF-02</v>
      </c>
      <c r="C329" s="8">
        <v>104.74</v>
      </c>
      <c r="D329" s="8">
        <v>1</v>
      </c>
      <c r="E329" s="7" t="s">
        <v>420</v>
      </c>
      <c r="F329" s="7"/>
      <c r="G329" s="7"/>
      <c r="H329" s="118"/>
      <c r="I329" s="7" t="s">
        <v>286</v>
      </c>
      <c r="J329" s="7" t="s">
        <v>352</v>
      </c>
      <c r="K329" s="7" t="s">
        <v>322</v>
      </c>
      <c r="L329" s="7"/>
      <c r="M329" s="7"/>
      <c r="N329" s="7"/>
      <c r="O329" s="84" t="str" cm="1">
        <f t="array" ref="O329">_xlfn.XLOOKUP(1,(A329=Geotech!$A$4:$A$10094)*(Data_Discontinuities[[#This Row],[Depth (m)]]&gt;=Geotech!$C$4:$C$10094)*(Data_Discontinuities[[#This Row],[Depth (m)]]&lt;Geotech!$D$4:$D$10094),Geotech!$M$4:$M$10094)</f>
        <v>Boulamarque granodiorite</v>
      </c>
      <c r="P329" s="84"/>
      <c r="Q329" s="84"/>
      <c r="R329" s="84"/>
      <c r="S3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29" s="71">
        <f>IFERROR(Data_Discontinuities[[#This Row],[Joint roughness]]/Data_Discontinuities[[#This Row],[Joint alteration]],"")</f>
        <v>3</v>
      </c>
      <c r="V3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29" s="87"/>
    </row>
    <row r="330" spans="1:23" ht="15" customHeight="1" x14ac:dyDescent="0.25">
      <c r="A330" s="150" t="s">
        <v>30</v>
      </c>
      <c r="B330" s="17" t="str">
        <f>VLOOKUP(Data_Discontinuities[[#This Row],[Hole ID]],Data_Log[],2,FALSE)</f>
        <v>CGF-02</v>
      </c>
      <c r="C330" s="8">
        <v>105.52</v>
      </c>
      <c r="D330" s="8">
        <v>1</v>
      </c>
      <c r="E330" s="7" t="s">
        <v>420</v>
      </c>
      <c r="F330" s="7"/>
      <c r="G330" s="7"/>
      <c r="H330" s="118"/>
      <c r="I330" s="7" t="s">
        <v>286</v>
      </c>
      <c r="J330" s="7" t="s">
        <v>320</v>
      </c>
      <c r="K330" s="7" t="s">
        <v>354</v>
      </c>
      <c r="L330" s="7"/>
      <c r="M330" s="7"/>
      <c r="N330" s="7"/>
      <c r="O330" s="84" t="str" cm="1">
        <f t="array" ref="O330">_xlfn.XLOOKUP(1,(A330=Geotech!$A$4:$A$10094)*(Data_Discontinuities[[#This Row],[Depth (m)]]&gt;=Geotech!$C$4:$C$10094)*(Data_Discontinuities[[#This Row],[Depth (m)]]&lt;Geotech!$D$4:$D$10094),Geotech!$M$4:$M$10094)</f>
        <v>Boulamarque granodiorite</v>
      </c>
      <c r="P330" s="84"/>
      <c r="Q330" s="84"/>
      <c r="R330" s="84"/>
      <c r="S3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0" s="71">
        <f>IFERROR(Data_Discontinuities[[#This Row],[Joint roughness]]/Data_Discontinuities[[#This Row],[Joint alteration]],"")</f>
        <v>1</v>
      </c>
      <c r="V3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30" s="87"/>
    </row>
    <row r="331" spans="1:23" ht="15" customHeight="1" x14ac:dyDescent="0.25">
      <c r="A331" s="150" t="s">
        <v>30</v>
      </c>
      <c r="B331" s="17" t="str">
        <f>VLOOKUP(Data_Discontinuities[[#This Row],[Hole ID]],Data_Log[],2,FALSE)</f>
        <v>CGF-02</v>
      </c>
      <c r="C331" s="8">
        <v>106.15</v>
      </c>
      <c r="D331" s="8">
        <v>1</v>
      </c>
      <c r="E331" s="7" t="s">
        <v>420</v>
      </c>
      <c r="F331" s="7"/>
      <c r="G331" s="7"/>
      <c r="H331" s="118"/>
      <c r="I331" s="7" t="s">
        <v>286</v>
      </c>
      <c r="J331" s="7" t="s">
        <v>352</v>
      </c>
      <c r="K331" s="7" t="s">
        <v>382</v>
      </c>
      <c r="L331" s="7" t="s">
        <v>447</v>
      </c>
      <c r="M331" s="7" t="s">
        <v>437</v>
      </c>
      <c r="N331" s="7"/>
      <c r="O331" s="84" t="str" cm="1">
        <f t="array" ref="O331">_xlfn.XLOOKUP(1,(A331=Geotech!$A$4:$A$10094)*(Data_Discontinuities[[#This Row],[Depth (m)]]&gt;=Geotech!$C$4:$C$10094)*(Data_Discontinuities[[#This Row],[Depth (m)]]&lt;Geotech!$D$4:$D$10094),Geotech!$M$4:$M$10094)</f>
        <v>Boulamarque granodiorite</v>
      </c>
      <c r="P331" s="84"/>
      <c r="Q331" s="84"/>
      <c r="R331" s="84"/>
      <c r="S3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31" s="71">
        <f>IFERROR(Data_Discontinuities[[#This Row],[Joint roughness]]/Data_Discontinuities[[#This Row],[Joint alteration]],"")</f>
        <v>1</v>
      </c>
      <c r="V3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31" s="87"/>
    </row>
    <row r="332" spans="1:23" ht="15" customHeight="1" x14ac:dyDescent="0.25">
      <c r="A332" s="150" t="s">
        <v>30</v>
      </c>
      <c r="B332" s="17" t="str">
        <f>VLOOKUP(Data_Discontinuities[[#This Row],[Hole ID]],Data_Log[],2,FALSE)</f>
        <v>CGF-02</v>
      </c>
      <c r="C332" s="8">
        <v>106.36</v>
      </c>
      <c r="D332" s="8">
        <v>1</v>
      </c>
      <c r="E332" s="7" t="s">
        <v>348</v>
      </c>
      <c r="F332" s="7"/>
      <c r="G332" s="7"/>
      <c r="H332" s="118"/>
      <c r="I332" s="7" t="s">
        <v>318</v>
      </c>
      <c r="J332" s="7" t="s">
        <v>380</v>
      </c>
      <c r="K332" s="7" t="s">
        <v>354</v>
      </c>
      <c r="L332" s="7"/>
      <c r="M332" s="7"/>
      <c r="N332" s="7"/>
      <c r="O332" s="84" t="str" cm="1">
        <f t="array" ref="O332">_xlfn.XLOOKUP(1,(A332=Geotech!$A$4:$A$10094)*(Data_Discontinuities[[#This Row],[Depth (m)]]&gt;=Geotech!$C$4:$C$10094)*(Data_Discontinuities[[#This Row],[Depth (m)]]&lt;Geotech!$D$4:$D$10094),Geotech!$M$4:$M$10094)</f>
        <v>Basalt</v>
      </c>
      <c r="P332" s="84"/>
      <c r="Q332" s="84"/>
      <c r="R332" s="84"/>
      <c r="S3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2" s="71">
        <f>IFERROR(Data_Discontinuities[[#This Row],[Joint roughness]]/Data_Discontinuities[[#This Row],[Joint alteration]],"")</f>
        <v>1.5</v>
      </c>
      <c r="V3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32" s="87" t="s">
        <v>599</v>
      </c>
    </row>
    <row r="333" spans="1:23" ht="15" customHeight="1" x14ac:dyDescent="0.25">
      <c r="A333" s="150" t="s">
        <v>30</v>
      </c>
      <c r="B333" s="17" t="str">
        <f>VLOOKUP(Data_Discontinuities[[#This Row],[Hole ID]],Data_Log[],2,FALSE)</f>
        <v>CGF-02</v>
      </c>
      <c r="C333" s="8">
        <v>107.65</v>
      </c>
      <c r="D333" s="8">
        <v>1</v>
      </c>
      <c r="E333" s="7" t="s">
        <v>420</v>
      </c>
      <c r="F333" s="7"/>
      <c r="G333" s="7"/>
      <c r="H333" s="118"/>
      <c r="I333" s="7" t="s">
        <v>286</v>
      </c>
      <c r="J333" s="7" t="s">
        <v>352</v>
      </c>
      <c r="K333" s="7" t="s">
        <v>290</v>
      </c>
      <c r="L333" s="7"/>
      <c r="M333" s="7"/>
      <c r="N333" s="7"/>
      <c r="O333" s="84" t="str" cm="1">
        <f t="array" ref="O333">_xlfn.XLOOKUP(1,(A333=Geotech!$A$4:$A$10094)*(Data_Discontinuities[[#This Row],[Depth (m)]]&gt;=Geotech!$C$4:$C$10094)*(Data_Discontinuities[[#This Row],[Depth (m)]]&lt;Geotech!$D$4:$D$10094),Geotech!$M$4:$M$10094)</f>
        <v>Basalt</v>
      </c>
      <c r="P333" s="84"/>
      <c r="Q333" s="84"/>
      <c r="R333" s="84"/>
      <c r="S3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3" s="71">
        <f>IFERROR(Data_Discontinuities[[#This Row],[Joint roughness]]/Data_Discontinuities[[#This Row],[Joint alteration]],"")</f>
        <v>1.5</v>
      </c>
      <c r="V3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33" s="87"/>
    </row>
    <row r="334" spans="1:23" ht="15" customHeight="1" x14ac:dyDescent="0.25">
      <c r="A334" s="150" t="s">
        <v>30</v>
      </c>
      <c r="B334" s="17" t="str">
        <f>VLOOKUP(Data_Discontinuities[[#This Row],[Hole ID]],Data_Log[],2,FALSE)</f>
        <v>CGF-02</v>
      </c>
      <c r="C334" s="8">
        <v>108.42</v>
      </c>
      <c r="D334" s="8">
        <v>1</v>
      </c>
      <c r="E334" s="7" t="s">
        <v>420</v>
      </c>
      <c r="F334" s="7"/>
      <c r="G334" s="7"/>
      <c r="H334" s="118"/>
      <c r="I334" s="7" t="s">
        <v>286</v>
      </c>
      <c r="J334" s="7" t="s">
        <v>320</v>
      </c>
      <c r="K334" s="7" t="s">
        <v>354</v>
      </c>
      <c r="L334" s="7"/>
      <c r="M334" s="7"/>
      <c r="N334" s="7"/>
      <c r="O334" s="84" t="str" cm="1">
        <f t="array" ref="O334">_xlfn.XLOOKUP(1,(A334=Geotech!$A$4:$A$10094)*(Data_Discontinuities[[#This Row],[Depth (m)]]&gt;=Geotech!$C$4:$C$10094)*(Data_Discontinuities[[#This Row],[Depth (m)]]&lt;Geotech!$D$4:$D$10094),Geotech!$M$4:$M$10094)</f>
        <v>Basalt</v>
      </c>
      <c r="P334" s="84"/>
      <c r="Q334" s="84"/>
      <c r="R334" s="84"/>
      <c r="S3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4" s="71">
        <f>IFERROR(Data_Discontinuities[[#This Row],[Joint roughness]]/Data_Discontinuities[[#This Row],[Joint alteration]],"")</f>
        <v>1</v>
      </c>
      <c r="V3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34" s="87"/>
    </row>
    <row r="335" spans="1:23" ht="15" customHeight="1" x14ac:dyDescent="0.25">
      <c r="A335" s="150" t="s">
        <v>30</v>
      </c>
      <c r="B335" s="17" t="str">
        <f>VLOOKUP(Data_Discontinuities[[#This Row],[Hole ID]],Data_Log[],2,FALSE)</f>
        <v>CGF-02</v>
      </c>
      <c r="C335" s="8">
        <v>108.86</v>
      </c>
      <c r="D335" s="8">
        <v>1</v>
      </c>
      <c r="E335" s="7" t="s">
        <v>402</v>
      </c>
      <c r="F335" s="7"/>
      <c r="G335" s="7"/>
      <c r="H335" s="118"/>
      <c r="I335" s="7"/>
      <c r="J335" s="7"/>
      <c r="K335" s="7"/>
      <c r="L335" s="7"/>
      <c r="M335" s="7"/>
      <c r="N335" s="7">
        <v>0.17</v>
      </c>
      <c r="O335" s="84" t="str" cm="1">
        <f t="array" ref="O335">_xlfn.XLOOKUP(1,(A335=Geotech!$A$4:$A$10094)*(Data_Discontinuities[[#This Row],[Depth (m)]]&gt;=Geotech!$C$4:$C$10094)*(Data_Discontinuities[[#This Row],[Depth (m)]]&lt;Geotech!$D$4:$D$10094),Geotech!$M$4:$M$10094)</f>
        <v>Basalt</v>
      </c>
      <c r="P335" s="84"/>
      <c r="Q335" s="84"/>
      <c r="R335" s="84"/>
      <c r="S3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35" s="71" t="str">
        <f>IFERROR(Data_Discontinuities[[#This Row],[Joint roughness]]/Data_Discontinuities[[#This Row],[Joint alteration]],"")</f>
        <v/>
      </c>
      <c r="V3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35" s="87"/>
    </row>
    <row r="336" spans="1:23" ht="15" customHeight="1" x14ac:dyDescent="0.25">
      <c r="A336" s="150" t="s">
        <v>30</v>
      </c>
      <c r="B336" s="17" t="str">
        <f>VLOOKUP(Data_Discontinuities[[#This Row],[Hole ID]],Data_Log[],2,FALSE)</f>
        <v>CGF-02</v>
      </c>
      <c r="C336" s="8">
        <v>109.14</v>
      </c>
      <c r="D336" s="8">
        <v>1</v>
      </c>
      <c r="E336" s="7" t="s">
        <v>420</v>
      </c>
      <c r="F336" s="7"/>
      <c r="G336" s="7"/>
      <c r="H336" s="118"/>
      <c r="I336" s="7" t="s">
        <v>286</v>
      </c>
      <c r="J336" s="7" t="s">
        <v>288</v>
      </c>
      <c r="K336" s="7" t="s">
        <v>406</v>
      </c>
      <c r="L336" s="7" t="s">
        <v>447</v>
      </c>
      <c r="M336" s="7" t="s">
        <v>437</v>
      </c>
      <c r="N336" s="7"/>
      <c r="O336" s="84" t="str" cm="1">
        <f t="array" ref="O336">_xlfn.XLOOKUP(1,(A336=Geotech!$A$4:$A$10094)*(Data_Discontinuities[[#This Row],[Depth (m)]]&gt;=Geotech!$C$4:$C$10094)*(Data_Discontinuities[[#This Row],[Depth (m)]]&lt;Geotech!$D$4:$D$10094),Geotech!$M$4:$M$10094)</f>
        <v>Basalt</v>
      </c>
      <c r="P336" s="84"/>
      <c r="Q336" s="84"/>
      <c r="R336" s="84"/>
      <c r="S3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36" s="71">
        <f>IFERROR(Data_Discontinuities[[#This Row],[Joint roughness]]/Data_Discontinuities[[#This Row],[Joint alteration]],"")</f>
        <v>0.5</v>
      </c>
      <c r="V3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36" s="87"/>
    </row>
    <row r="337" spans="1:23" ht="15" customHeight="1" x14ac:dyDescent="0.25">
      <c r="A337" s="150" t="s">
        <v>30</v>
      </c>
      <c r="B337" s="17" t="str">
        <f>VLOOKUP(Data_Discontinuities[[#This Row],[Hole ID]],Data_Log[],2,FALSE)</f>
        <v>CGF-02</v>
      </c>
      <c r="C337" s="8">
        <v>109.28</v>
      </c>
      <c r="D337" s="8">
        <v>1</v>
      </c>
      <c r="E337" s="7" t="s">
        <v>420</v>
      </c>
      <c r="F337" s="7"/>
      <c r="G337" s="7"/>
      <c r="H337" s="118"/>
      <c r="I337" s="7" t="s">
        <v>318</v>
      </c>
      <c r="J337" s="7" t="s">
        <v>288</v>
      </c>
      <c r="K337" s="7" t="s">
        <v>406</v>
      </c>
      <c r="L337" s="7" t="s">
        <v>447</v>
      </c>
      <c r="M337" s="7" t="s">
        <v>437</v>
      </c>
      <c r="N337" s="7"/>
      <c r="O337" s="84" t="str" cm="1">
        <f t="array" ref="O337">_xlfn.XLOOKUP(1,(A337=Geotech!$A$4:$A$10094)*(Data_Discontinuities[[#This Row],[Depth (m)]]&gt;=Geotech!$C$4:$C$10094)*(Data_Discontinuities[[#This Row],[Depth (m)]]&lt;Geotech!$D$4:$D$10094),Geotech!$M$4:$M$10094)</f>
        <v>Basalt</v>
      </c>
      <c r="P337" s="84"/>
      <c r="Q337" s="84"/>
      <c r="R337" s="84"/>
      <c r="S3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37" s="71">
        <f>IFERROR(Data_Discontinuities[[#This Row],[Joint roughness]]/Data_Discontinuities[[#This Row],[Joint alteration]],"")</f>
        <v>0.5</v>
      </c>
      <c r="V3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37" s="87"/>
    </row>
    <row r="338" spans="1:23" ht="15" customHeight="1" x14ac:dyDescent="0.25">
      <c r="A338" s="150" t="s">
        <v>30</v>
      </c>
      <c r="B338" s="17" t="str">
        <f>VLOOKUP(Data_Discontinuities[[#This Row],[Hole ID]],Data_Log[],2,FALSE)</f>
        <v>CGF-02</v>
      </c>
      <c r="C338" s="8">
        <v>109.5</v>
      </c>
      <c r="D338" s="8">
        <v>1</v>
      </c>
      <c r="E338" s="7" t="s">
        <v>420</v>
      </c>
      <c r="F338" s="7"/>
      <c r="G338" s="7"/>
      <c r="H338" s="118"/>
      <c r="I338" s="7" t="s">
        <v>318</v>
      </c>
      <c r="J338" s="7" t="s">
        <v>320</v>
      </c>
      <c r="K338" s="7" t="s">
        <v>354</v>
      </c>
      <c r="L338" s="7"/>
      <c r="M338" s="7"/>
      <c r="N338" s="7"/>
      <c r="O338" s="84" t="str" cm="1">
        <f t="array" ref="O338">_xlfn.XLOOKUP(1,(A338=Geotech!$A$4:$A$10094)*(Data_Discontinuities[[#This Row],[Depth (m)]]&gt;=Geotech!$C$4:$C$10094)*(Data_Discontinuities[[#This Row],[Depth (m)]]&lt;Geotech!$D$4:$D$10094),Geotech!$M$4:$M$10094)</f>
        <v>Basalt</v>
      </c>
      <c r="P338" s="84"/>
      <c r="Q338" s="84"/>
      <c r="R338" s="84"/>
      <c r="S3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38" s="71">
        <f>IFERROR(Data_Discontinuities[[#This Row],[Joint roughness]]/Data_Discontinuities[[#This Row],[Joint alteration]],"")</f>
        <v>1</v>
      </c>
      <c r="V3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38" s="87"/>
    </row>
    <row r="339" spans="1:23" ht="15" customHeight="1" x14ac:dyDescent="0.25">
      <c r="A339" s="150" t="s">
        <v>30</v>
      </c>
      <c r="B339" s="17" t="str">
        <f>VLOOKUP(Data_Discontinuities[[#This Row],[Hole ID]],Data_Log[],2,FALSE)</f>
        <v>CGF-02</v>
      </c>
      <c r="C339" s="8">
        <v>109.62</v>
      </c>
      <c r="D339" s="8">
        <v>1</v>
      </c>
      <c r="E339" s="7" t="s">
        <v>248</v>
      </c>
      <c r="F339" s="7"/>
      <c r="G339" s="7"/>
      <c r="H339" s="118"/>
      <c r="I339" s="7"/>
      <c r="J339" s="7"/>
      <c r="K339" s="7"/>
      <c r="L339" s="7"/>
      <c r="M339" s="7"/>
      <c r="N339" s="7">
        <v>0.06</v>
      </c>
      <c r="O339" s="84" t="str" cm="1">
        <f t="array" ref="O339">_xlfn.XLOOKUP(1,(A339=Geotech!$A$4:$A$10094)*(Data_Discontinuities[[#This Row],[Depth (m)]]&gt;=Geotech!$C$4:$C$10094)*(Data_Discontinuities[[#This Row],[Depth (m)]]&lt;Geotech!$D$4:$D$10094),Geotech!$M$4:$M$10094)</f>
        <v>Basalt</v>
      </c>
      <c r="P339" s="84"/>
      <c r="Q339" s="84"/>
      <c r="R339" s="84"/>
      <c r="S3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39" s="71" t="str">
        <f>IFERROR(Data_Discontinuities[[#This Row],[Joint roughness]]/Data_Discontinuities[[#This Row],[Joint alteration]],"")</f>
        <v/>
      </c>
      <c r="V3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39" s="87"/>
    </row>
    <row r="340" spans="1:23" ht="15" customHeight="1" x14ac:dyDescent="0.25">
      <c r="A340" s="150" t="s">
        <v>30</v>
      </c>
      <c r="B340" s="17" t="str">
        <f>VLOOKUP(Data_Discontinuities[[#This Row],[Hole ID]],Data_Log[],2,FALSE)</f>
        <v>CGF-02</v>
      </c>
      <c r="C340" s="8">
        <v>109.76</v>
      </c>
      <c r="D340" s="8">
        <v>1</v>
      </c>
      <c r="E340" s="7" t="s">
        <v>420</v>
      </c>
      <c r="F340" s="7"/>
      <c r="G340" s="7"/>
      <c r="H340" s="118"/>
      <c r="I340" s="7" t="s">
        <v>286</v>
      </c>
      <c r="J340" s="7" t="s">
        <v>320</v>
      </c>
      <c r="K340" s="7" t="s">
        <v>354</v>
      </c>
      <c r="L340" s="7"/>
      <c r="M340" s="7"/>
      <c r="N340" s="7"/>
      <c r="O340" s="84" t="str" cm="1">
        <f t="array" ref="O340">_xlfn.XLOOKUP(1,(A340=Geotech!$A$4:$A$10094)*(Data_Discontinuities[[#This Row],[Depth (m)]]&gt;=Geotech!$C$4:$C$10094)*(Data_Discontinuities[[#This Row],[Depth (m)]]&lt;Geotech!$D$4:$D$10094),Geotech!$M$4:$M$10094)</f>
        <v>Basalt</v>
      </c>
      <c r="P340" s="84"/>
      <c r="Q340" s="84"/>
      <c r="R340" s="84"/>
      <c r="S3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40" s="71">
        <f>IFERROR(Data_Discontinuities[[#This Row],[Joint roughness]]/Data_Discontinuities[[#This Row],[Joint alteration]],"")</f>
        <v>1</v>
      </c>
      <c r="V3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40" s="87"/>
    </row>
    <row r="341" spans="1:23" ht="15" customHeight="1" x14ac:dyDescent="0.25">
      <c r="A341" s="150" t="s">
        <v>30</v>
      </c>
      <c r="B341" s="17" t="str">
        <f>VLOOKUP(Data_Discontinuities[[#This Row],[Hole ID]],Data_Log[],2,FALSE)</f>
        <v>CGF-02</v>
      </c>
      <c r="C341" s="8">
        <v>111</v>
      </c>
      <c r="D341" s="8">
        <v>1</v>
      </c>
      <c r="E341" s="7" t="s">
        <v>445</v>
      </c>
      <c r="F341" s="7"/>
      <c r="G341" s="7"/>
      <c r="H341" s="118"/>
      <c r="I341" s="7" t="s">
        <v>318</v>
      </c>
      <c r="J341" s="7" t="s">
        <v>352</v>
      </c>
      <c r="K341" s="7" t="s">
        <v>322</v>
      </c>
      <c r="L341" s="7"/>
      <c r="M341" s="7"/>
      <c r="N341" s="7"/>
      <c r="O341" s="84" t="str" cm="1">
        <f t="array" ref="O341">_xlfn.XLOOKUP(1,(A341=Geotech!$A$4:$A$10094)*(Data_Discontinuities[[#This Row],[Depth (m)]]&gt;=Geotech!$C$4:$C$10094)*(Data_Discontinuities[[#This Row],[Depth (m)]]&lt;Geotech!$D$4:$D$10094),Geotech!$M$4:$M$10094)</f>
        <v>Basalt</v>
      </c>
      <c r="P341" s="84"/>
      <c r="Q341" s="84"/>
      <c r="R341" s="84"/>
      <c r="S3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41" s="71">
        <f>IFERROR(Data_Discontinuities[[#This Row],[Joint roughness]]/Data_Discontinuities[[#This Row],[Joint alteration]],"")</f>
        <v>3</v>
      </c>
      <c r="V3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41" s="87"/>
    </row>
    <row r="342" spans="1:23" ht="15" customHeight="1" x14ac:dyDescent="0.25">
      <c r="A342" s="150" t="s">
        <v>30</v>
      </c>
      <c r="B342" s="17" t="str">
        <f>VLOOKUP(Data_Discontinuities[[#This Row],[Hole ID]],Data_Log[],2,FALSE)</f>
        <v>CGF-02</v>
      </c>
      <c r="C342" s="8">
        <v>111.16</v>
      </c>
      <c r="D342" s="8">
        <v>1</v>
      </c>
      <c r="E342" s="7" t="s">
        <v>420</v>
      </c>
      <c r="F342" s="7"/>
      <c r="G342" s="7"/>
      <c r="H342" s="118"/>
      <c r="I342" s="7" t="s">
        <v>286</v>
      </c>
      <c r="J342" s="7" t="s">
        <v>320</v>
      </c>
      <c r="K342" s="7" t="s">
        <v>382</v>
      </c>
      <c r="L342" s="7" t="s">
        <v>447</v>
      </c>
      <c r="M342" s="7" t="s">
        <v>546</v>
      </c>
      <c r="N342" s="7"/>
      <c r="O342" s="84" t="str" cm="1">
        <f t="array" ref="O342">_xlfn.XLOOKUP(1,(A342=Geotech!$A$4:$A$10094)*(Data_Discontinuities[[#This Row],[Depth (m)]]&gt;=Geotech!$C$4:$C$10094)*(Data_Discontinuities[[#This Row],[Depth (m)]]&lt;Geotech!$D$4:$D$10094),Geotech!$M$4:$M$10094)</f>
        <v>Basalt</v>
      </c>
      <c r="P342" s="84"/>
      <c r="Q342" s="84"/>
      <c r="R342" s="84"/>
      <c r="S3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42" s="71">
        <f>IFERROR(Data_Discontinuities[[#This Row],[Joint roughness]]/Data_Discontinuities[[#This Row],[Joint alteration]],"")</f>
        <v>0.66666666666666663</v>
      </c>
      <c r="V3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42" s="87"/>
    </row>
    <row r="343" spans="1:23" ht="15" customHeight="1" x14ac:dyDescent="0.25">
      <c r="A343" s="150" t="s">
        <v>30</v>
      </c>
      <c r="B343" s="17" t="str">
        <f>VLOOKUP(Data_Discontinuities[[#This Row],[Hole ID]],Data_Log[],2,FALSE)</f>
        <v>CGF-02</v>
      </c>
      <c r="C343" s="8">
        <v>111.67</v>
      </c>
      <c r="D343" s="8">
        <v>1</v>
      </c>
      <c r="E343" s="7" t="s">
        <v>402</v>
      </c>
      <c r="F343" s="7"/>
      <c r="G343" s="7"/>
      <c r="H343" s="118"/>
      <c r="I343" s="7"/>
      <c r="J343" s="7"/>
      <c r="K343" s="7"/>
      <c r="L343" s="7"/>
      <c r="M343" s="7"/>
      <c r="N343" s="7">
        <v>0.66</v>
      </c>
      <c r="O343" s="84" t="str" cm="1">
        <f t="array" ref="O343">_xlfn.XLOOKUP(1,(A343=Geotech!$A$4:$A$10094)*(Data_Discontinuities[[#This Row],[Depth (m)]]&gt;=Geotech!$C$4:$C$10094)*(Data_Discontinuities[[#This Row],[Depth (m)]]&lt;Geotech!$D$4:$D$10094),Geotech!$M$4:$M$10094)</f>
        <v>Basalt</v>
      </c>
      <c r="P343" s="84"/>
      <c r="Q343" s="84"/>
      <c r="R343" s="84"/>
      <c r="S3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43" s="71" t="str">
        <f>IFERROR(Data_Discontinuities[[#This Row],[Joint roughness]]/Data_Discontinuities[[#This Row],[Joint alteration]],"")</f>
        <v/>
      </c>
      <c r="V3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43" s="87"/>
    </row>
    <row r="344" spans="1:23" ht="15" customHeight="1" x14ac:dyDescent="0.25">
      <c r="A344" s="150" t="s">
        <v>30</v>
      </c>
      <c r="B344" s="17" t="str">
        <f>VLOOKUP(Data_Discontinuities[[#This Row],[Hole ID]],Data_Log[],2,FALSE)</f>
        <v>CGF-02</v>
      </c>
      <c r="C344" s="8">
        <v>112.82</v>
      </c>
      <c r="D344" s="8">
        <v>1</v>
      </c>
      <c r="E344" s="7" t="s">
        <v>420</v>
      </c>
      <c r="F344" s="7"/>
      <c r="G344" s="7"/>
      <c r="H344" s="118"/>
      <c r="I344" s="7" t="s">
        <v>286</v>
      </c>
      <c r="J344" s="7" t="s">
        <v>320</v>
      </c>
      <c r="K344" s="7" t="s">
        <v>354</v>
      </c>
      <c r="L344" s="7"/>
      <c r="M344" s="7"/>
      <c r="N344" s="7"/>
      <c r="O344" s="84" t="str" cm="1">
        <f t="array" ref="O344">_xlfn.XLOOKUP(1,(A344=Geotech!$A$4:$A$10094)*(Data_Discontinuities[[#This Row],[Depth (m)]]&gt;=Geotech!$C$4:$C$10094)*(Data_Discontinuities[[#This Row],[Depth (m)]]&lt;Geotech!$D$4:$D$10094),Geotech!$M$4:$M$10094)</f>
        <v>Basalt</v>
      </c>
      <c r="P344" s="84"/>
      <c r="Q344" s="84"/>
      <c r="R344" s="84"/>
      <c r="S3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44" s="71">
        <f>IFERROR(Data_Discontinuities[[#This Row],[Joint roughness]]/Data_Discontinuities[[#This Row],[Joint alteration]],"")</f>
        <v>1</v>
      </c>
      <c r="V3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44" s="87"/>
    </row>
    <row r="345" spans="1:23" ht="15" customHeight="1" x14ac:dyDescent="0.25">
      <c r="A345" s="150" t="s">
        <v>30</v>
      </c>
      <c r="B345" s="17" t="str">
        <f>VLOOKUP(Data_Discontinuities[[#This Row],[Hole ID]],Data_Log[],2,FALSE)</f>
        <v>CGF-02</v>
      </c>
      <c r="C345" s="8">
        <v>113</v>
      </c>
      <c r="D345" s="8">
        <v>1</v>
      </c>
      <c r="E345" s="7" t="s">
        <v>420</v>
      </c>
      <c r="F345" s="7"/>
      <c r="G345" s="7"/>
      <c r="H345" s="118"/>
      <c r="I345" s="7" t="s">
        <v>286</v>
      </c>
      <c r="J345" s="7" t="s">
        <v>320</v>
      </c>
      <c r="K345" s="7" t="s">
        <v>354</v>
      </c>
      <c r="L345" s="7"/>
      <c r="M345" s="7"/>
      <c r="N345" s="7"/>
      <c r="O345" s="84" t="str" cm="1">
        <f t="array" ref="O345">_xlfn.XLOOKUP(1,(A345=Geotech!$A$4:$A$10094)*(Data_Discontinuities[[#This Row],[Depth (m)]]&gt;=Geotech!$C$4:$C$10094)*(Data_Discontinuities[[#This Row],[Depth (m)]]&lt;Geotech!$D$4:$D$10094),Geotech!$M$4:$M$10094)</f>
        <v>Basalt</v>
      </c>
      <c r="P345" s="84"/>
      <c r="Q345" s="84"/>
      <c r="R345" s="84"/>
      <c r="S3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45" s="71">
        <f>IFERROR(Data_Discontinuities[[#This Row],[Joint roughness]]/Data_Discontinuities[[#This Row],[Joint alteration]],"")</f>
        <v>1</v>
      </c>
      <c r="V3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45" s="87"/>
    </row>
    <row r="346" spans="1:23" ht="15" customHeight="1" x14ac:dyDescent="0.25">
      <c r="A346" s="150" t="s">
        <v>30</v>
      </c>
      <c r="B346" s="17" t="str">
        <f>VLOOKUP(Data_Discontinuities[[#This Row],[Hole ID]],Data_Log[],2,FALSE)</f>
        <v>CGF-02</v>
      </c>
      <c r="C346" s="8">
        <v>113.06</v>
      </c>
      <c r="D346" s="8">
        <v>1</v>
      </c>
      <c r="E346" s="7" t="s">
        <v>420</v>
      </c>
      <c r="F346" s="7"/>
      <c r="G346" s="7"/>
      <c r="H346" s="118"/>
      <c r="I346" s="7" t="s">
        <v>286</v>
      </c>
      <c r="J346" s="7" t="s">
        <v>288</v>
      </c>
      <c r="K346" s="7" t="s">
        <v>406</v>
      </c>
      <c r="L346" s="7" t="s">
        <v>437</v>
      </c>
      <c r="M346" s="7"/>
      <c r="N346" s="7"/>
      <c r="O346" s="84" t="str" cm="1">
        <f t="array" ref="O346">_xlfn.XLOOKUP(1,(A346=Geotech!$A$4:$A$10094)*(Data_Discontinuities[[#This Row],[Depth (m)]]&gt;=Geotech!$C$4:$C$10094)*(Data_Discontinuities[[#This Row],[Depth (m)]]&lt;Geotech!$D$4:$D$10094),Geotech!$M$4:$M$10094)</f>
        <v>Basalt</v>
      </c>
      <c r="P346" s="84"/>
      <c r="Q346" s="84"/>
      <c r="R346" s="84"/>
      <c r="S3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46" s="71">
        <f>IFERROR(Data_Discontinuities[[#This Row],[Joint roughness]]/Data_Discontinuities[[#This Row],[Joint alteration]],"")</f>
        <v>0.375</v>
      </c>
      <c r="V3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46" s="87"/>
    </row>
    <row r="347" spans="1:23" ht="15" customHeight="1" x14ac:dyDescent="0.25">
      <c r="A347" s="150" t="s">
        <v>30</v>
      </c>
      <c r="B347" s="17" t="str">
        <f>VLOOKUP(Data_Discontinuities[[#This Row],[Hole ID]],Data_Log[],2,FALSE)</f>
        <v>CGF-02</v>
      </c>
      <c r="C347" s="8">
        <v>113.15</v>
      </c>
      <c r="D347" s="8">
        <v>1</v>
      </c>
      <c r="E347" s="7" t="s">
        <v>420</v>
      </c>
      <c r="F347" s="7"/>
      <c r="G347" s="7"/>
      <c r="H347" s="118"/>
      <c r="I347" s="7" t="s">
        <v>286</v>
      </c>
      <c r="J347" s="7" t="s">
        <v>288</v>
      </c>
      <c r="K347" s="7" t="s">
        <v>406</v>
      </c>
      <c r="L347" s="7" t="s">
        <v>437</v>
      </c>
      <c r="M347" s="7" t="s">
        <v>546</v>
      </c>
      <c r="N347" s="7"/>
      <c r="O347" s="84" t="str" cm="1">
        <f t="array" ref="O347">_xlfn.XLOOKUP(1,(A347=Geotech!$A$4:$A$10094)*(Data_Discontinuities[[#This Row],[Depth (m)]]&gt;=Geotech!$C$4:$C$10094)*(Data_Discontinuities[[#This Row],[Depth (m)]]&lt;Geotech!$D$4:$D$10094),Geotech!$M$4:$M$10094)</f>
        <v>Basalt</v>
      </c>
      <c r="P347" s="84"/>
      <c r="Q347" s="84"/>
      <c r="R347" s="84"/>
      <c r="S3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47" s="71">
        <f>IFERROR(Data_Discontinuities[[#This Row],[Joint roughness]]/Data_Discontinuities[[#This Row],[Joint alteration]],"")</f>
        <v>0.375</v>
      </c>
      <c r="V3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47" s="87"/>
    </row>
    <row r="348" spans="1:23" ht="15" customHeight="1" x14ac:dyDescent="0.25">
      <c r="A348" s="150" t="s">
        <v>30</v>
      </c>
      <c r="B348" s="17" t="str">
        <f>VLOOKUP(Data_Discontinuities[[#This Row],[Hole ID]],Data_Log[],2,FALSE)</f>
        <v>CGF-02</v>
      </c>
      <c r="C348" s="8">
        <v>113.38</v>
      </c>
      <c r="D348" s="8">
        <v>1</v>
      </c>
      <c r="E348" s="7" t="s">
        <v>445</v>
      </c>
      <c r="F348" s="7"/>
      <c r="G348" s="7"/>
      <c r="H348" s="118"/>
      <c r="I348" s="7" t="s">
        <v>318</v>
      </c>
      <c r="J348" s="7" t="s">
        <v>320</v>
      </c>
      <c r="K348" s="7" t="s">
        <v>354</v>
      </c>
      <c r="L348" s="7"/>
      <c r="M348" s="7"/>
      <c r="N348" s="7"/>
      <c r="O348" s="84" t="str" cm="1">
        <f t="array" ref="O348">_xlfn.XLOOKUP(1,(A348=Geotech!$A$4:$A$10094)*(Data_Discontinuities[[#This Row],[Depth (m)]]&gt;=Geotech!$C$4:$C$10094)*(Data_Discontinuities[[#This Row],[Depth (m)]]&lt;Geotech!$D$4:$D$10094),Geotech!$M$4:$M$10094)</f>
        <v>Basalt</v>
      </c>
      <c r="P348" s="84"/>
      <c r="Q348" s="84"/>
      <c r="R348" s="84"/>
      <c r="S3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48" s="71">
        <f>IFERROR(Data_Discontinuities[[#This Row],[Joint roughness]]/Data_Discontinuities[[#This Row],[Joint alteration]],"")</f>
        <v>1</v>
      </c>
      <c r="V3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48" s="87"/>
    </row>
    <row r="349" spans="1:23" ht="15" customHeight="1" x14ac:dyDescent="0.25">
      <c r="A349" s="150" t="s">
        <v>30</v>
      </c>
      <c r="B349" s="17" t="str">
        <f>VLOOKUP(Data_Discontinuities[[#This Row],[Hole ID]],Data_Log[],2,FALSE)</f>
        <v>CGF-02</v>
      </c>
      <c r="C349" s="8">
        <v>114.8</v>
      </c>
      <c r="D349" s="8">
        <v>1</v>
      </c>
      <c r="E349" s="7" t="s">
        <v>445</v>
      </c>
      <c r="F349" s="7"/>
      <c r="G349" s="7"/>
      <c r="H349" s="118"/>
      <c r="I349" s="7" t="s">
        <v>286</v>
      </c>
      <c r="J349" s="7" t="s">
        <v>352</v>
      </c>
      <c r="K349" s="7" t="s">
        <v>382</v>
      </c>
      <c r="L349" s="7" t="s">
        <v>437</v>
      </c>
      <c r="M349" s="7"/>
      <c r="N349" s="7"/>
      <c r="O349" s="84" t="str" cm="1">
        <f t="array" ref="O349">_xlfn.XLOOKUP(1,(A349=Geotech!$A$4:$A$10094)*(Data_Discontinuities[[#This Row],[Depth (m)]]&gt;=Geotech!$C$4:$C$10094)*(Data_Discontinuities[[#This Row],[Depth (m)]]&lt;Geotech!$D$4:$D$10094),Geotech!$M$4:$M$10094)</f>
        <v>Boulamarque granodiorite</v>
      </c>
      <c r="P349" s="84"/>
      <c r="Q349" s="84"/>
      <c r="R349" s="84"/>
      <c r="S3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49" s="71">
        <f>IFERROR(Data_Discontinuities[[#This Row],[Joint roughness]]/Data_Discontinuities[[#This Row],[Joint alteration]],"")</f>
        <v>0.75</v>
      </c>
      <c r="V3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49" s="87"/>
    </row>
    <row r="350" spans="1:23" ht="15" customHeight="1" x14ac:dyDescent="0.25">
      <c r="A350" s="150" t="s">
        <v>30</v>
      </c>
      <c r="B350" s="17" t="str">
        <f>VLOOKUP(Data_Discontinuities[[#This Row],[Hole ID]],Data_Log[],2,FALSE)</f>
        <v>CGF-02</v>
      </c>
      <c r="C350" s="8">
        <v>115.31</v>
      </c>
      <c r="D350" s="8">
        <v>1</v>
      </c>
      <c r="E350" s="7" t="s">
        <v>445</v>
      </c>
      <c r="F350" s="7"/>
      <c r="G350" s="7"/>
      <c r="H350" s="118"/>
      <c r="I350" s="7" t="s">
        <v>286</v>
      </c>
      <c r="J350" s="7" t="s">
        <v>352</v>
      </c>
      <c r="K350" s="7" t="s">
        <v>354</v>
      </c>
      <c r="L350" s="7"/>
      <c r="M350" s="7"/>
      <c r="N350" s="7"/>
      <c r="O350" s="84" t="str" cm="1">
        <f t="array" ref="O350">_xlfn.XLOOKUP(1,(A350=Geotech!$A$4:$A$10094)*(Data_Discontinuities[[#This Row],[Depth (m)]]&gt;=Geotech!$C$4:$C$10094)*(Data_Discontinuities[[#This Row],[Depth (m)]]&lt;Geotech!$D$4:$D$10094),Geotech!$M$4:$M$10094)</f>
        <v>Boulamarque granodiorite</v>
      </c>
      <c r="P350" s="84"/>
      <c r="Q350" s="84"/>
      <c r="R350" s="84"/>
      <c r="S3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50" s="71">
        <f>IFERROR(Data_Discontinuities[[#This Row],[Joint roughness]]/Data_Discontinuities[[#This Row],[Joint alteration]],"")</f>
        <v>1.5</v>
      </c>
      <c r="V3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50" s="87"/>
    </row>
    <row r="351" spans="1:23" ht="15" customHeight="1" x14ac:dyDescent="0.25">
      <c r="A351" s="150" t="s">
        <v>30</v>
      </c>
      <c r="B351" s="17" t="str">
        <f>VLOOKUP(Data_Discontinuities[[#This Row],[Hole ID]],Data_Log[],2,FALSE)</f>
        <v>CGF-02</v>
      </c>
      <c r="C351" s="8">
        <v>115.7</v>
      </c>
      <c r="D351" s="8">
        <v>1</v>
      </c>
      <c r="E351" s="7" t="s">
        <v>445</v>
      </c>
      <c r="F351" s="7"/>
      <c r="G351" s="7"/>
      <c r="H351" s="118"/>
      <c r="I351" s="7" t="s">
        <v>286</v>
      </c>
      <c r="J351" s="7" t="s">
        <v>320</v>
      </c>
      <c r="K351" s="7" t="s">
        <v>354</v>
      </c>
      <c r="L351" s="7"/>
      <c r="M351" s="7"/>
      <c r="N351" s="7"/>
      <c r="O351" s="84" t="str" cm="1">
        <f t="array" ref="O351">_xlfn.XLOOKUP(1,(A351=Geotech!$A$4:$A$10094)*(Data_Discontinuities[[#This Row],[Depth (m)]]&gt;=Geotech!$C$4:$C$10094)*(Data_Discontinuities[[#This Row],[Depth (m)]]&lt;Geotech!$D$4:$D$10094),Geotech!$M$4:$M$10094)</f>
        <v>Boulamarque granodiorite</v>
      </c>
      <c r="P351" s="84"/>
      <c r="Q351" s="84"/>
      <c r="R351" s="84"/>
      <c r="S3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51" s="71">
        <f>IFERROR(Data_Discontinuities[[#This Row],[Joint roughness]]/Data_Discontinuities[[#This Row],[Joint alteration]],"")</f>
        <v>1</v>
      </c>
      <c r="V3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51" s="87"/>
    </row>
    <row r="352" spans="1:23" ht="15" customHeight="1" x14ac:dyDescent="0.25">
      <c r="A352" s="150" t="s">
        <v>30</v>
      </c>
      <c r="B352" s="17" t="str">
        <f>VLOOKUP(Data_Discontinuities[[#This Row],[Hole ID]],Data_Log[],2,FALSE)</f>
        <v>CGF-02</v>
      </c>
      <c r="C352" s="8">
        <v>115.85</v>
      </c>
      <c r="D352" s="8">
        <v>1</v>
      </c>
      <c r="E352" s="7" t="s">
        <v>420</v>
      </c>
      <c r="F352" s="7"/>
      <c r="G352" s="7"/>
      <c r="H352" s="118"/>
      <c r="I352" s="7" t="s">
        <v>286</v>
      </c>
      <c r="J352" s="7" t="s">
        <v>320</v>
      </c>
      <c r="K352" s="7" t="s">
        <v>354</v>
      </c>
      <c r="L352" s="7"/>
      <c r="M352" s="7"/>
      <c r="N352" s="7"/>
      <c r="O352" s="84" t="str" cm="1">
        <f t="array" ref="O352">_xlfn.XLOOKUP(1,(A352=Geotech!$A$4:$A$10094)*(Data_Discontinuities[[#This Row],[Depth (m)]]&gt;=Geotech!$C$4:$C$10094)*(Data_Discontinuities[[#This Row],[Depth (m)]]&lt;Geotech!$D$4:$D$10094),Geotech!$M$4:$M$10094)</f>
        <v>Boulamarque granodiorite</v>
      </c>
      <c r="P352" s="84"/>
      <c r="Q352" s="84"/>
      <c r="R352" s="84"/>
      <c r="S3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52" s="71">
        <f>IFERROR(Data_Discontinuities[[#This Row],[Joint roughness]]/Data_Discontinuities[[#This Row],[Joint alteration]],"")</f>
        <v>1</v>
      </c>
      <c r="V3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52" s="87"/>
    </row>
    <row r="353" spans="1:23" ht="15" customHeight="1" x14ac:dyDescent="0.25">
      <c r="A353" s="150" t="s">
        <v>30</v>
      </c>
      <c r="B353" s="17" t="str">
        <f>VLOOKUP(Data_Discontinuities[[#This Row],[Hole ID]],Data_Log[],2,FALSE)</f>
        <v>CGF-02</v>
      </c>
      <c r="C353" s="8">
        <v>116.05</v>
      </c>
      <c r="D353" s="8">
        <v>1</v>
      </c>
      <c r="E353" s="7" t="s">
        <v>420</v>
      </c>
      <c r="F353" s="7"/>
      <c r="G353" s="7"/>
      <c r="H353" s="118"/>
      <c r="I353" s="7" t="s">
        <v>318</v>
      </c>
      <c r="J353" s="7" t="s">
        <v>288</v>
      </c>
      <c r="K353" s="7" t="s">
        <v>382</v>
      </c>
      <c r="L353" s="7" t="s">
        <v>437</v>
      </c>
      <c r="M353" s="7"/>
      <c r="N353" s="7"/>
      <c r="O353" s="84" t="str" cm="1">
        <f t="array" ref="O353">_xlfn.XLOOKUP(1,(A353=Geotech!$A$4:$A$10094)*(Data_Discontinuities[[#This Row],[Depth (m)]]&gt;=Geotech!$C$4:$C$10094)*(Data_Discontinuities[[#This Row],[Depth (m)]]&lt;Geotech!$D$4:$D$10094),Geotech!$M$4:$M$10094)</f>
        <v>Basalt</v>
      </c>
      <c r="P353" s="84"/>
      <c r="Q353" s="84"/>
      <c r="R353" s="84"/>
      <c r="S3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53" s="71">
        <f>IFERROR(Data_Discontinuities[[#This Row],[Joint roughness]]/Data_Discontinuities[[#This Row],[Joint alteration]],"")</f>
        <v>0.375</v>
      </c>
      <c r="V3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53" s="87"/>
    </row>
    <row r="354" spans="1:23" ht="15" customHeight="1" x14ac:dyDescent="0.25">
      <c r="A354" s="150" t="s">
        <v>30</v>
      </c>
      <c r="B354" s="17" t="str">
        <f>VLOOKUP(Data_Discontinuities[[#This Row],[Hole ID]],Data_Log[],2,FALSE)</f>
        <v>CGF-02</v>
      </c>
      <c r="C354" s="8">
        <v>116.08</v>
      </c>
      <c r="D354" s="8">
        <v>1</v>
      </c>
      <c r="E354" s="7" t="s">
        <v>348</v>
      </c>
      <c r="F354" s="7"/>
      <c r="G354" s="7"/>
      <c r="H354" s="118"/>
      <c r="I354" s="7" t="s">
        <v>251</v>
      </c>
      <c r="J354" s="7" t="s">
        <v>288</v>
      </c>
      <c r="K354" s="7" t="s">
        <v>382</v>
      </c>
      <c r="L354" s="7" t="s">
        <v>437</v>
      </c>
      <c r="M354" s="7"/>
      <c r="N354" s="7"/>
      <c r="O354" s="84" t="str" cm="1">
        <f t="array" ref="O354">_xlfn.XLOOKUP(1,(A354=Geotech!$A$4:$A$10094)*(Data_Discontinuities[[#This Row],[Depth (m)]]&gt;=Geotech!$C$4:$C$10094)*(Data_Discontinuities[[#This Row],[Depth (m)]]&lt;Geotech!$D$4:$D$10094),Geotech!$M$4:$M$10094)</f>
        <v>Basalt</v>
      </c>
      <c r="P354" s="84"/>
      <c r="Q354" s="84"/>
      <c r="R354" s="84"/>
      <c r="S35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35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54" s="71">
        <f>IFERROR(Data_Discontinuities[[#This Row],[Joint roughness]]/Data_Discontinuities[[#This Row],[Joint alteration]],"")</f>
        <v>0.125</v>
      </c>
      <c r="V35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54" s="87"/>
    </row>
    <row r="355" spans="1:23" ht="15" customHeight="1" x14ac:dyDescent="0.25">
      <c r="A355" s="150" t="s">
        <v>30</v>
      </c>
      <c r="B355" s="17" t="str">
        <f>VLOOKUP(Data_Discontinuities[[#This Row],[Hole ID]],Data_Log[],2,FALSE)</f>
        <v>CGF-02</v>
      </c>
      <c r="C355" s="8">
        <v>116.12</v>
      </c>
      <c r="D355" s="8">
        <v>1</v>
      </c>
      <c r="E355" s="7" t="s">
        <v>420</v>
      </c>
      <c r="F355" s="7"/>
      <c r="G355" s="7"/>
      <c r="H355" s="118"/>
      <c r="I355" s="7" t="s">
        <v>286</v>
      </c>
      <c r="J355" s="7" t="s">
        <v>288</v>
      </c>
      <c r="K355" s="7" t="s">
        <v>382</v>
      </c>
      <c r="L355" s="7" t="s">
        <v>437</v>
      </c>
      <c r="M355" s="7"/>
      <c r="N355" s="7"/>
      <c r="O355" s="84" t="str" cm="1">
        <f t="array" ref="O355">_xlfn.XLOOKUP(1,(A355=Geotech!$A$4:$A$10094)*(Data_Discontinuities[[#This Row],[Depth (m)]]&gt;=Geotech!$C$4:$C$10094)*(Data_Discontinuities[[#This Row],[Depth (m)]]&lt;Geotech!$D$4:$D$10094),Geotech!$M$4:$M$10094)</f>
        <v>Basalt</v>
      </c>
      <c r="P355" s="84"/>
      <c r="Q355" s="84"/>
      <c r="R355" s="84"/>
      <c r="S3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55" s="71">
        <f>IFERROR(Data_Discontinuities[[#This Row],[Joint roughness]]/Data_Discontinuities[[#This Row],[Joint alteration]],"")</f>
        <v>0.375</v>
      </c>
      <c r="V3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55" s="87"/>
    </row>
    <row r="356" spans="1:23" ht="15" customHeight="1" x14ac:dyDescent="0.25">
      <c r="A356" s="150" t="s">
        <v>30</v>
      </c>
      <c r="B356" s="17" t="str">
        <f>VLOOKUP(Data_Discontinuities[[#This Row],[Hole ID]],Data_Log[],2,FALSE)</f>
        <v>CGF-02</v>
      </c>
      <c r="C356" s="8">
        <v>116.64</v>
      </c>
      <c r="D356" s="8">
        <v>1</v>
      </c>
      <c r="E356" s="7" t="s">
        <v>445</v>
      </c>
      <c r="F356" s="7"/>
      <c r="G356" s="7"/>
      <c r="H356" s="118"/>
      <c r="I356" s="7" t="s">
        <v>286</v>
      </c>
      <c r="J356" s="7" t="s">
        <v>352</v>
      </c>
      <c r="K356" s="7" t="s">
        <v>406</v>
      </c>
      <c r="L356" s="7" t="s">
        <v>447</v>
      </c>
      <c r="M356" s="7"/>
      <c r="N356" s="7"/>
      <c r="O356" s="84" t="str" cm="1">
        <f t="array" ref="O356">_xlfn.XLOOKUP(1,(A356=Geotech!$A$4:$A$10094)*(Data_Discontinuities[[#This Row],[Depth (m)]]&gt;=Geotech!$C$4:$C$10094)*(Data_Discontinuities[[#This Row],[Depth (m)]]&lt;Geotech!$D$4:$D$10094),Geotech!$M$4:$M$10094)</f>
        <v>Basalt</v>
      </c>
      <c r="P356" s="84"/>
      <c r="Q356" s="84"/>
      <c r="R356" s="84"/>
      <c r="S3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56" s="71">
        <f>IFERROR(Data_Discontinuities[[#This Row],[Joint roughness]]/Data_Discontinuities[[#This Row],[Joint alteration]],"")</f>
        <v>1</v>
      </c>
      <c r="V3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56" s="87"/>
    </row>
    <row r="357" spans="1:23" ht="15" customHeight="1" x14ac:dyDescent="0.25">
      <c r="A357" s="150" t="s">
        <v>30</v>
      </c>
      <c r="B357" s="17" t="str">
        <f>VLOOKUP(Data_Discontinuities[[#This Row],[Hole ID]],Data_Log[],2,FALSE)</f>
        <v>CGF-02</v>
      </c>
      <c r="C357" s="8">
        <v>116.77</v>
      </c>
      <c r="D357" s="8">
        <v>1</v>
      </c>
      <c r="E357" s="7" t="s">
        <v>445</v>
      </c>
      <c r="F357" s="7"/>
      <c r="G357" s="7"/>
      <c r="H357" s="118"/>
      <c r="I357" s="7" t="s">
        <v>251</v>
      </c>
      <c r="J357" s="7" t="s">
        <v>352</v>
      </c>
      <c r="K357" s="7" t="s">
        <v>406</v>
      </c>
      <c r="L357" s="7" t="s">
        <v>447</v>
      </c>
      <c r="M357" s="7"/>
      <c r="N357" s="7"/>
      <c r="O357" s="84" t="str" cm="1">
        <f t="array" ref="O357">_xlfn.XLOOKUP(1,(A357=Geotech!$A$4:$A$10094)*(Data_Discontinuities[[#This Row],[Depth (m)]]&gt;=Geotech!$C$4:$C$10094)*(Data_Discontinuities[[#This Row],[Depth (m)]]&lt;Geotech!$D$4:$D$10094),Geotech!$M$4:$M$10094)</f>
        <v>Basalt</v>
      </c>
      <c r="P357" s="84"/>
      <c r="Q357" s="84"/>
      <c r="R357" s="84"/>
      <c r="S35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5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57" s="71">
        <f>IFERROR(Data_Discontinuities[[#This Row],[Joint roughness]]/Data_Discontinuities[[#This Row],[Joint alteration]],"")</f>
        <v>0.5</v>
      </c>
      <c r="V35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57" s="87"/>
    </row>
    <row r="358" spans="1:23" ht="15" customHeight="1" x14ac:dyDescent="0.25">
      <c r="A358" s="150" t="s">
        <v>30</v>
      </c>
      <c r="B358" s="17" t="str">
        <f>VLOOKUP(Data_Discontinuities[[#This Row],[Hole ID]],Data_Log[],2,FALSE)</f>
        <v>CGF-02</v>
      </c>
      <c r="C358" s="8">
        <v>117.52</v>
      </c>
      <c r="D358" s="8">
        <v>1</v>
      </c>
      <c r="E358" s="7" t="s">
        <v>420</v>
      </c>
      <c r="F358" s="7"/>
      <c r="G358" s="7"/>
      <c r="H358" s="118"/>
      <c r="I358" s="7" t="s">
        <v>251</v>
      </c>
      <c r="J358" s="7" t="s">
        <v>380</v>
      </c>
      <c r="K358" s="7" t="s">
        <v>382</v>
      </c>
      <c r="L358" s="7" t="s">
        <v>447</v>
      </c>
      <c r="M358" s="7" t="s">
        <v>437</v>
      </c>
      <c r="N358" s="7"/>
      <c r="O358" s="84" t="str" cm="1">
        <f t="array" ref="O358">_xlfn.XLOOKUP(1,(A358=Geotech!$A$4:$A$10094)*(Data_Discontinuities[[#This Row],[Depth (m)]]&gt;=Geotech!$C$4:$C$10094)*(Data_Discontinuities[[#This Row],[Depth (m)]]&lt;Geotech!$D$4:$D$10094),Geotech!$M$4:$M$10094)</f>
        <v>Basalt</v>
      </c>
      <c r="P358" s="84"/>
      <c r="Q358" s="84"/>
      <c r="R358" s="84"/>
      <c r="S3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58" s="71">
        <f>IFERROR(Data_Discontinuities[[#This Row],[Joint roughness]]/Data_Discontinuities[[#This Row],[Joint alteration]],"")</f>
        <v>0.5</v>
      </c>
      <c r="V3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58" s="87"/>
    </row>
    <row r="359" spans="1:23" ht="15" customHeight="1" x14ac:dyDescent="0.25">
      <c r="A359" s="150" t="s">
        <v>30</v>
      </c>
      <c r="B359" s="17" t="str">
        <f>VLOOKUP(Data_Discontinuities[[#This Row],[Hole ID]],Data_Log[],2,FALSE)</f>
        <v>CGF-02</v>
      </c>
      <c r="C359" s="8">
        <v>117.95</v>
      </c>
      <c r="D359" s="8">
        <v>1</v>
      </c>
      <c r="E359" s="7" t="s">
        <v>445</v>
      </c>
      <c r="F359" s="7"/>
      <c r="G359" s="7"/>
      <c r="H359" s="118"/>
      <c r="I359" s="7" t="s">
        <v>286</v>
      </c>
      <c r="J359" s="7" t="s">
        <v>352</v>
      </c>
      <c r="K359" s="7" t="s">
        <v>382</v>
      </c>
      <c r="L359" s="7" t="s">
        <v>447</v>
      </c>
      <c r="M359" s="7" t="s">
        <v>437</v>
      </c>
      <c r="N359" s="7"/>
      <c r="O359" s="84" t="str" cm="1">
        <f t="array" ref="O359">_xlfn.XLOOKUP(1,(A359=Geotech!$A$4:$A$10094)*(Data_Discontinuities[[#This Row],[Depth (m)]]&gt;=Geotech!$C$4:$C$10094)*(Data_Discontinuities[[#This Row],[Depth (m)]]&lt;Geotech!$D$4:$D$10094),Geotech!$M$4:$M$10094)</f>
        <v>Basalt</v>
      </c>
      <c r="P359" s="84"/>
      <c r="Q359" s="84"/>
      <c r="R359" s="84"/>
      <c r="S3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59" s="71">
        <f>IFERROR(Data_Discontinuities[[#This Row],[Joint roughness]]/Data_Discontinuities[[#This Row],[Joint alteration]],"")</f>
        <v>1</v>
      </c>
      <c r="V3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59" s="87"/>
    </row>
    <row r="360" spans="1:23" ht="15" customHeight="1" x14ac:dyDescent="0.25">
      <c r="A360" s="150" t="s">
        <v>30</v>
      </c>
      <c r="B360" s="17" t="str">
        <f>VLOOKUP(Data_Discontinuities[[#This Row],[Hole ID]],Data_Log[],2,FALSE)</f>
        <v>CGF-02</v>
      </c>
      <c r="C360" s="8">
        <v>118.2</v>
      </c>
      <c r="D360" s="8">
        <v>1</v>
      </c>
      <c r="E360" s="7" t="s">
        <v>420</v>
      </c>
      <c r="F360" s="7"/>
      <c r="G360" s="7"/>
      <c r="H360" s="118"/>
      <c r="I360" s="7" t="s">
        <v>251</v>
      </c>
      <c r="J360" s="7" t="s">
        <v>320</v>
      </c>
      <c r="K360" s="7" t="s">
        <v>322</v>
      </c>
      <c r="L360" s="7"/>
      <c r="M360" s="7"/>
      <c r="N360" s="7"/>
      <c r="O360" s="84" t="str" cm="1">
        <f t="array" ref="O360">_xlfn.XLOOKUP(1,(A360=Geotech!$A$4:$A$10094)*(Data_Discontinuities[[#This Row],[Depth (m)]]&gt;=Geotech!$C$4:$C$10094)*(Data_Discontinuities[[#This Row],[Depth (m)]]&lt;Geotech!$D$4:$D$10094),Geotech!$M$4:$M$10094)</f>
        <v>Basalt</v>
      </c>
      <c r="P360" s="84"/>
      <c r="Q360" s="84"/>
      <c r="R360" s="84"/>
      <c r="S3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3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60" s="71">
        <f>IFERROR(Data_Discontinuities[[#This Row],[Joint roughness]]/Data_Discontinuities[[#This Row],[Joint alteration]],"")</f>
        <v>1</v>
      </c>
      <c r="V3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60" s="87"/>
    </row>
    <row r="361" spans="1:23" ht="15" customHeight="1" x14ac:dyDescent="0.25">
      <c r="A361" s="150" t="s">
        <v>30</v>
      </c>
      <c r="B361" s="17" t="str">
        <f>VLOOKUP(Data_Discontinuities[[#This Row],[Hole ID]],Data_Log[],2,FALSE)</f>
        <v>CGF-02</v>
      </c>
      <c r="C361" s="8">
        <v>118.48</v>
      </c>
      <c r="D361" s="8">
        <v>1</v>
      </c>
      <c r="E361" s="7" t="s">
        <v>420</v>
      </c>
      <c r="F361" s="7"/>
      <c r="G361" s="7"/>
      <c r="H361" s="118"/>
      <c r="I361" s="7" t="s">
        <v>378</v>
      </c>
      <c r="J361" s="7" t="s">
        <v>352</v>
      </c>
      <c r="K361" s="7" t="s">
        <v>382</v>
      </c>
      <c r="L361" s="7" t="s">
        <v>437</v>
      </c>
      <c r="M361" s="7" t="s">
        <v>447</v>
      </c>
      <c r="N361" s="7"/>
      <c r="O361" s="84" t="str" cm="1">
        <f t="array" ref="O361">_xlfn.XLOOKUP(1,(A361=Geotech!$A$4:$A$10094)*(Data_Discontinuities[[#This Row],[Depth (m)]]&gt;=Geotech!$C$4:$C$10094)*(Data_Discontinuities[[#This Row],[Depth (m)]]&lt;Geotech!$D$4:$D$10094),Geotech!$M$4:$M$10094)</f>
        <v>Basalt</v>
      </c>
      <c r="P361" s="84"/>
      <c r="Q361" s="84"/>
      <c r="R361" s="84"/>
      <c r="S3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61" s="71">
        <f>IFERROR(Data_Discontinuities[[#This Row],[Joint roughness]]/Data_Discontinuities[[#This Row],[Joint alteration]],"")</f>
        <v>0.75</v>
      </c>
      <c r="V3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61" s="87"/>
    </row>
    <row r="362" spans="1:23" ht="15" customHeight="1" x14ac:dyDescent="0.25">
      <c r="A362" s="150" t="s">
        <v>30</v>
      </c>
      <c r="B362" s="17" t="str">
        <f>VLOOKUP(Data_Discontinuities[[#This Row],[Hole ID]],Data_Log[],2,FALSE)</f>
        <v>CGF-02</v>
      </c>
      <c r="C362" s="8">
        <v>118.63</v>
      </c>
      <c r="D362" s="8">
        <v>1</v>
      </c>
      <c r="E362" s="7" t="s">
        <v>420</v>
      </c>
      <c r="F362" s="7"/>
      <c r="G362" s="7"/>
      <c r="H362" s="118"/>
      <c r="I362" s="7" t="s">
        <v>378</v>
      </c>
      <c r="J362" s="7" t="s">
        <v>320</v>
      </c>
      <c r="K362" s="7" t="s">
        <v>382</v>
      </c>
      <c r="L362" s="7" t="s">
        <v>437</v>
      </c>
      <c r="M362" s="7" t="s">
        <v>447</v>
      </c>
      <c r="N362" s="7"/>
      <c r="O362" s="84" t="str" cm="1">
        <f t="array" ref="O362">_xlfn.XLOOKUP(1,(A362=Geotech!$A$4:$A$10094)*(Data_Discontinuities[[#This Row],[Depth (m)]]&gt;=Geotech!$C$4:$C$10094)*(Data_Discontinuities[[#This Row],[Depth (m)]]&lt;Geotech!$D$4:$D$10094),Geotech!$M$4:$M$10094)</f>
        <v>Basalt</v>
      </c>
      <c r="P362" s="84"/>
      <c r="Q362" s="84"/>
      <c r="R362" s="84"/>
      <c r="S3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62" s="71">
        <f>IFERROR(Data_Discontinuities[[#This Row],[Joint roughness]]/Data_Discontinuities[[#This Row],[Joint alteration]],"")</f>
        <v>0.5</v>
      </c>
      <c r="V3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62" s="87"/>
    </row>
    <row r="363" spans="1:23" ht="15" customHeight="1" x14ac:dyDescent="0.25">
      <c r="A363" s="150" t="s">
        <v>30</v>
      </c>
      <c r="B363" s="17" t="str">
        <f>VLOOKUP(Data_Discontinuities[[#This Row],[Hole ID]],Data_Log[],2,FALSE)</f>
        <v>CGF-02</v>
      </c>
      <c r="C363" s="8">
        <v>118.91</v>
      </c>
      <c r="D363" s="8">
        <v>1</v>
      </c>
      <c r="E363" s="7" t="s">
        <v>420</v>
      </c>
      <c r="F363" s="7"/>
      <c r="G363" s="7"/>
      <c r="H363" s="118"/>
      <c r="I363" s="7" t="s">
        <v>286</v>
      </c>
      <c r="J363" s="7" t="s">
        <v>352</v>
      </c>
      <c r="K363" s="7" t="s">
        <v>382</v>
      </c>
      <c r="L363" s="7" t="s">
        <v>447</v>
      </c>
      <c r="M363" s="7" t="s">
        <v>437</v>
      </c>
      <c r="N363" s="7"/>
      <c r="O363" s="84" t="str" cm="1">
        <f t="array" ref="O363">_xlfn.XLOOKUP(1,(A363=Geotech!$A$4:$A$10094)*(Data_Discontinuities[[#This Row],[Depth (m)]]&gt;=Geotech!$C$4:$C$10094)*(Data_Discontinuities[[#This Row],[Depth (m)]]&lt;Geotech!$D$4:$D$10094),Geotech!$M$4:$M$10094)</f>
        <v>Basalt</v>
      </c>
      <c r="P363" s="84"/>
      <c r="Q363" s="84"/>
      <c r="R363" s="84"/>
      <c r="S3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63" s="71">
        <f>IFERROR(Data_Discontinuities[[#This Row],[Joint roughness]]/Data_Discontinuities[[#This Row],[Joint alteration]],"")</f>
        <v>1</v>
      </c>
      <c r="V3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63" s="87"/>
    </row>
    <row r="364" spans="1:23" ht="15" customHeight="1" x14ac:dyDescent="0.25">
      <c r="A364" s="150" t="s">
        <v>30</v>
      </c>
      <c r="B364" s="17" t="str">
        <f>VLOOKUP(Data_Discontinuities[[#This Row],[Hole ID]],Data_Log[],2,FALSE)</f>
        <v>CGF-02</v>
      </c>
      <c r="C364" s="8">
        <v>119</v>
      </c>
      <c r="D364" s="8">
        <v>1</v>
      </c>
      <c r="E364" s="7" t="s">
        <v>445</v>
      </c>
      <c r="F364" s="7"/>
      <c r="G364" s="7"/>
      <c r="H364" s="118"/>
      <c r="I364" s="7" t="s">
        <v>286</v>
      </c>
      <c r="J364" s="7" t="s">
        <v>288</v>
      </c>
      <c r="K364" s="7" t="s">
        <v>354</v>
      </c>
      <c r="L364" s="7"/>
      <c r="M364" s="7"/>
      <c r="N364" s="7"/>
      <c r="O364" s="84" t="str" cm="1">
        <f t="array" ref="O364">_xlfn.XLOOKUP(1,(A364=Geotech!$A$4:$A$10094)*(Data_Discontinuities[[#This Row],[Depth (m)]]&gt;=Geotech!$C$4:$C$10094)*(Data_Discontinuities[[#This Row],[Depth (m)]]&lt;Geotech!$D$4:$D$10094),Geotech!$M$4:$M$10094)</f>
        <v>Basalt</v>
      </c>
      <c r="P364" s="84"/>
      <c r="Q364" s="84"/>
      <c r="R364" s="84"/>
      <c r="S36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6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64" s="71">
        <f>IFERROR(Data_Discontinuities[[#This Row],[Joint roughness]]/Data_Discontinuities[[#This Row],[Joint alteration]],"")</f>
        <v>0.75</v>
      </c>
      <c r="V36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64" s="87"/>
    </row>
    <row r="365" spans="1:23" ht="15" customHeight="1" x14ac:dyDescent="0.25">
      <c r="A365" s="150" t="s">
        <v>30</v>
      </c>
      <c r="B365" s="17" t="str">
        <f>VLOOKUP(Data_Discontinuities[[#This Row],[Hole ID]],Data_Log[],2,FALSE)</f>
        <v>CGF-02</v>
      </c>
      <c r="C365" s="8">
        <v>119.35</v>
      </c>
      <c r="D365" s="8">
        <v>1</v>
      </c>
      <c r="E365" s="7" t="s">
        <v>420</v>
      </c>
      <c r="F365" s="7"/>
      <c r="G365" s="7"/>
      <c r="H365" s="118"/>
      <c r="I365" s="7" t="s">
        <v>286</v>
      </c>
      <c r="J365" s="7" t="s">
        <v>320</v>
      </c>
      <c r="K365" s="7" t="s">
        <v>354</v>
      </c>
      <c r="L365" s="7"/>
      <c r="M365" s="7"/>
      <c r="N365" s="7"/>
      <c r="O365" s="84" t="str" cm="1">
        <f t="array" ref="O365">_xlfn.XLOOKUP(1,(A365=Geotech!$A$4:$A$10094)*(Data_Discontinuities[[#This Row],[Depth (m)]]&gt;=Geotech!$C$4:$C$10094)*(Data_Discontinuities[[#This Row],[Depth (m)]]&lt;Geotech!$D$4:$D$10094),Geotech!$M$4:$M$10094)</f>
        <v>Basalt</v>
      </c>
      <c r="P365" s="84"/>
      <c r="Q365" s="84"/>
      <c r="R365" s="84"/>
      <c r="S3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65" s="71">
        <f>IFERROR(Data_Discontinuities[[#This Row],[Joint roughness]]/Data_Discontinuities[[#This Row],[Joint alteration]],"")</f>
        <v>1</v>
      </c>
      <c r="V3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65" s="87"/>
    </row>
    <row r="366" spans="1:23" ht="15" customHeight="1" x14ac:dyDescent="0.25">
      <c r="A366" s="150" t="s">
        <v>30</v>
      </c>
      <c r="B366" s="17" t="str">
        <f>VLOOKUP(Data_Discontinuities[[#This Row],[Hole ID]],Data_Log[],2,FALSE)</f>
        <v>CGF-02</v>
      </c>
      <c r="C366" s="8">
        <v>119.79</v>
      </c>
      <c r="D366" s="8">
        <v>1</v>
      </c>
      <c r="E366" s="7" t="s">
        <v>420</v>
      </c>
      <c r="F366" s="7"/>
      <c r="G366" s="7"/>
      <c r="H366" s="118"/>
      <c r="I366" s="7" t="s">
        <v>286</v>
      </c>
      <c r="J366" s="7" t="s">
        <v>288</v>
      </c>
      <c r="K366" s="7" t="s">
        <v>354</v>
      </c>
      <c r="L366" s="7"/>
      <c r="M366" s="7"/>
      <c r="N366" s="7"/>
      <c r="O366" s="84" t="str" cm="1">
        <f t="array" ref="O366">_xlfn.XLOOKUP(1,(A366=Geotech!$A$4:$A$10094)*(Data_Discontinuities[[#This Row],[Depth (m)]]&gt;=Geotech!$C$4:$C$10094)*(Data_Discontinuities[[#This Row],[Depth (m)]]&lt;Geotech!$D$4:$D$10094),Geotech!$M$4:$M$10094)</f>
        <v>Basalt</v>
      </c>
      <c r="P366" s="84"/>
      <c r="Q366" s="84"/>
      <c r="R366" s="84"/>
      <c r="S3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66" s="71">
        <f>IFERROR(Data_Discontinuities[[#This Row],[Joint roughness]]/Data_Discontinuities[[#This Row],[Joint alteration]],"")</f>
        <v>0.75</v>
      </c>
      <c r="V3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66" s="87"/>
    </row>
    <row r="367" spans="1:23" ht="15" customHeight="1" x14ac:dyDescent="0.25">
      <c r="A367" s="150" t="s">
        <v>30</v>
      </c>
      <c r="B367" s="17" t="str">
        <f>VLOOKUP(Data_Discontinuities[[#This Row],[Hole ID]],Data_Log[],2,FALSE)</f>
        <v>CGF-02</v>
      </c>
      <c r="C367" s="8">
        <v>119.93</v>
      </c>
      <c r="D367" s="8">
        <v>1</v>
      </c>
      <c r="E367" s="7" t="s">
        <v>420</v>
      </c>
      <c r="F367" s="7"/>
      <c r="G367" s="7"/>
      <c r="H367" s="118"/>
      <c r="I367" s="7" t="s">
        <v>286</v>
      </c>
      <c r="J367" s="7" t="s">
        <v>320</v>
      </c>
      <c r="K367" s="7" t="s">
        <v>382</v>
      </c>
      <c r="L367" s="7" t="s">
        <v>447</v>
      </c>
      <c r="M367" s="7" t="s">
        <v>437</v>
      </c>
      <c r="N367" s="7"/>
      <c r="O367" s="84" t="str" cm="1">
        <f t="array" ref="O367">_xlfn.XLOOKUP(1,(A367=Geotech!$A$4:$A$10094)*(Data_Discontinuities[[#This Row],[Depth (m)]]&gt;=Geotech!$C$4:$C$10094)*(Data_Discontinuities[[#This Row],[Depth (m)]]&lt;Geotech!$D$4:$D$10094),Geotech!$M$4:$M$10094)</f>
        <v>Basalt</v>
      </c>
      <c r="P367" s="84"/>
      <c r="Q367" s="84"/>
      <c r="R367" s="84"/>
      <c r="S3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67" s="71">
        <f>IFERROR(Data_Discontinuities[[#This Row],[Joint roughness]]/Data_Discontinuities[[#This Row],[Joint alteration]],"")</f>
        <v>0.66666666666666663</v>
      </c>
      <c r="V3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67" s="87"/>
    </row>
    <row r="368" spans="1:23" ht="15" customHeight="1" x14ac:dyDescent="0.25">
      <c r="A368" s="150" t="s">
        <v>30</v>
      </c>
      <c r="B368" s="17" t="str">
        <f>VLOOKUP(Data_Discontinuities[[#This Row],[Hole ID]],Data_Log[],2,FALSE)</f>
        <v>CGF-02</v>
      </c>
      <c r="C368" s="8">
        <v>120.36</v>
      </c>
      <c r="D368" s="8">
        <v>1</v>
      </c>
      <c r="E368" s="7" t="s">
        <v>248</v>
      </c>
      <c r="F368" s="7"/>
      <c r="G368" s="7"/>
      <c r="H368" s="118"/>
      <c r="I368" s="7"/>
      <c r="J368" s="7"/>
      <c r="K368" s="7"/>
      <c r="L368" s="7"/>
      <c r="M368" s="7"/>
      <c r="N368" s="7">
        <v>0.03</v>
      </c>
      <c r="O368" s="84" t="str" cm="1">
        <f t="array" ref="O368">_xlfn.XLOOKUP(1,(A368=Geotech!$A$4:$A$10094)*(Data_Discontinuities[[#This Row],[Depth (m)]]&gt;=Geotech!$C$4:$C$10094)*(Data_Discontinuities[[#This Row],[Depth (m)]]&lt;Geotech!$D$4:$D$10094),Geotech!$M$4:$M$10094)</f>
        <v>Basalt</v>
      </c>
      <c r="P368" s="84"/>
      <c r="Q368" s="84"/>
      <c r="R368" s="84"/>
      <c r="S3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68" s="71" t="str">
        <f>IFERROR(Data_Discontinuities[[#This Row],[Joint roughness]]/Data_Discontinuities[[#This Row],[Joint alteration]],"")</f>
        <v/>
      </c>
      <c r="V3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68" s="87"/>
    </row>
    <row r="369" spans="1:23" ht="15" customHeight="1" x14ac:dyDescent="0.25">
      <c r="A369" s="150" t="s">
        <v>30</v>
      </c>
      <c r="B369" s="17" t="str">
        <f>VLOOKUP(Data_Discontinuities[[#This Row],[Hole ID]],Data_Log[],2,FALSE)</f>
        <v>CGF-02</v>
      </c>
      <c r="C369" s="8">
        <v>120.62</v>
      </c>
      <c r="D369" s="8">
        <v>1</v>
      </c>
      <c r="E369" s="7" t="s">
        <v>445</v>
      </c>
      <c r="F369" s="7"/>
      <c r="G369" s="7"/>
      <c r="H369" s="118"/>
      <c r="I369" s="7" t="s">
        <v>286</v>
      </c>
      <c r="J369" s="7" t="s">
        <v>320</v>
      </c>
      <c r="K369" s="7" t="s">
        <v>354</v>
      </c>
      <c r="L369" s="7"/>
      <c r="M369" s="7"/>
      <c r="N369" s="7"/>
      <c r="O369" s="84" t="str" cm="1">
        <f t="array" ref="O369">_xlfn.XLOOKUP(1,(A369=Geotech!$A$4:$A$10094)*(Data_Discontinuities[[#This Row],[Depth (m)]]&gt;=Geotech!$C$4:$C$10094)*(Data_Discontinuities[[#This Row],[Depth (m)]]&lt;Geotech!$D$4:$D$10094),Geotech!$M$4:$M$10094)</f>
        <v>Basalt</v>
      </c>
      <c r="P369" s="84"/>
      <c r="Q369" s="84"/>
      <c r="R369" s="84"/>
      <c r="S3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69" s="71">
        <f>IFERROR(Data_Discontinuities[[#This Row],[Joint roughness]]/Data_Discontinuities[[#This Row],[Joint alteration]],"")</f>
        <v>1</v>
      </c>
      <c r="V3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69" s="87"/>
    </row>
    <row r="370" spans="1:23" ht="15" customHeight="1" x14ac:dyDescent="0.25">
      <c r="A370" s="150" t="s">
        <v>30</v>
      </c>
      <c r="B370" s="17" t="str">
        <f>VLOOKUP(Data_Discontinuities[[#This Row],[Hole ID]],Data_Log[],2,FALSE)</f>
        <v>CGF-02</v>
      </c>
      <c r="C370" s="8">
        <v>121.02</v>
      </c>
      <c r="D370" s="8">
        <v>1</v>
      </c>
      <c r="E370" s="7" t="s">
        <v>445</v>
      </c>
      <c r="F370" s="7"/>
      <c r="G370" s="7"/>
      <c r="H370" s="118"/>
      <c r="I370" s="7" t="s">
        <v>286</v>
      </c>
      <c r="J370" s="7" t="s">
        <v>320</v>
      </c>
      <c r="K370" s="7" t="s">
        <v>354</v>
      </c>
      <c r="L370" s="7"/>
      <c r="M370" s="7"/>
      <c r="N370" s="7"/>
      <c r="O370" s="84" t="str" cm="1">
        <f t="array" ref="O370">_xlfn.XLOOKUP(1,(A370=Geotech!$A$4:$A$10094)*(Data_Discontinuities[[#This Row],[Depth (m)]]&gt;=Geotech!$C$4:$C$10094)*(Data_Discontinuities[[#This Row],[Depth (m)]]&lt;Geotech!$D$4:$D$10094),Geotech!$M$4:$M$10094)</f>
        <v>Basalt</v>
      </c>
      <c r="P370" s="84"/>
      <c r="Q370" s="84"/>
      <c r="R370" s="84"/>
      <c r="S37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7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70" s="71">
        <f>IFERROR(Data_Discontinuities[[#This Row],[Joint roughness]]/Data_Discontinuities[[#This Row],[Joint alteration]],"")</f>
        <v>1</v>
      </c>
      <c r="V37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70" s="87"/>
    </row>
    <row r="371" spans="1:23" ht="15" customHeight="1" x14ac:dyDescent="0.25">
      <c r="A371" s="150" t="s">
        <v>30</v>
      </c>
      <c r="B371" s="17" t="str">
        <f>VLOOKUP(Data_Discontinuities[[#This Row],[Hole ID]],Data_Log[],2,FALSE)</f>
        <v>CGF-02</v>
      </c>
      <c r="C371" s="8">
        <v>121.46</v>
      </c>
      <c r="D371" s="8">
        <v>1</v>
      </c>
      <c r="E371" s="7" t="s">
        <v>248</v>
      </c>
      <c r="F371" s="7"/>
      <c r="G371" s="7"/>
      <c r="H371" s="118"/>
      <c r="I371" s="7"/>
      <c r="J371" s="7"/>
      <c r="K371" s="7"/>
      <c r="L371" s="7"/>
      <c r="M371" s="7"/>
      <c r="N371" s="7">
        <v>7.0000000000000007E-2</v>
      </c>
      <c r="O371" s="84" t="str" cm="1">
        <f t="array" ref="O371">_xlfn.XLOOKUP(1,(A371=Geotech!$A$4:$A$10094)*(Data_Discontinuities[[#This Row],[Depth (m)]]&gt;=Geotech!$C$4:$C$10094)*(Data_Discontinuities[[#This Row],[Depth (m)]]&lt;Geotech!$D$4:$D$10094),Geotech!$M$4:$M$10094)</f>
        <v>Basalt</v>
      </c>
      <c r="P371" s="84"/>
      <c r="Q371" s="84"/>
      <c r="R371" s="84"/>
      <c r="S3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71" s="71" t="str">
        <f>IFERROR(Data_Discontinuities[[#This Row],[Joint roughness]]/Data_Discontinuities[[#This Row],[Joint alteration]],"")</f>
        <v/>
      </c>
      <c r="V3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71" s="87"/>
    </row>
    <row r="372" spans="1:23" ht="15" customHeight="1" x14ac:dyDescent="0.25">
      <c r="A372" s="150" t="s">
        <v>30</v>
      </c>
      <c r="B372" s="17" t="str">
        <f>VLOOKUP(Data_Discontinuities[[#This Row],[Hole ID]],Data_Log[],2,FALSE)</f>
        <v>CGF-02</v>
      </c>
      <c r="C372" s="8">
        <v>121.55</v>
      </c>
      <c r="D372" s="8">
        <v>1</v>
      </c>
      <c r="E372" s="7" t="s">
        <v>445</v>
      </c>
      <c r="F372" s="7"/>
      <c r="G372" s="7"/>
      <c r="H372" s="118"/>
      <c r="I372" s="7" t="s">
        <v>286</v>
      </c>
      <c r="J372" s="7" t="s">
        <v>288</v>
      </c>
      <c r="K372" s="7" t="s">
        <v>354</v>
      </c>
      <c r="L372" s="7"/>
      <c r="M372" s="7"/>
      <c r="N372" s="7"/>
      <c r="O372" s="84" t="str" cm="1">
        <f t="array" ref="O372">_xlfn.XLOOKUP(1,(A372=Geotech!$A$4:$A$10094)*(Data_Discontinuities[[#This Row],[Depth (m)]]&gt;=Geotech!$C$4:$C$10094)*(Data_Discontinuities[[#This Row],[Depth (m)]]&lt;Geotech!$D$4:$D$10094),Geotech!$M$4:$M$10094)</f>
        <v>Basalt</v>
      </c>
      <c r="P372" s="84"/>
      <c r="Q372" s="84"/>
      <c r="R372" s="84"/>
      <c r="S3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72" s="71">
        <f>IFERROR(Data_Discontinuities[[#This Row],[Joint roughness]]/Data_Discontinuities[[#This Row],[Joint alteration]],"")</f>
        <v>0.75</v>
      </c>
      <c r="V3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72" s="87"/>
    </row>
    <row r="373" spans="1:23" ht="15" customHeight="1" x14ac:dyDescent="0.25">
      <c r="A373" s="150" t="s">
        <v>30</v>
      </c>
      <c r="B373" s="17" t="str">
        <f>VLOOKUP(Data_Discontinuities[[#This Row],[Hole ID]],Data_Log[],2,FALSE)</f>
        <v>CGF-02</v>
      </c>
      <c r="C373" s="8">
        <v>121.88</v>
      </c>
      <c r="D373" s="8">
        <v>1</v>
      </c>
      <c r="E373" s="7" t="s">
        <v>445</v>
      </c>
      <c r="F373" s="7"/>
      <c r="G373" s="7"/>
      <c r="H373" s="118"/>
      <c r="I373" s="7" t="s">
        <v>318</v>
      </c>
      <c r="J373" s="7" t="s">
        <v>320</v>
      </c>
      <c r="K373" s="7" t="s">
        <v>382</v>
      </c>
      <c r="L373" s="7" t="s">
        <v>437</v>
      </c>
      <c r="M373" s="7" t="s">
        <v>447</v>
      </c>
      <c r="N373" s="7"/>
      <c r="O373" s="84" t="str" cm="1">
        <f t="array" ref="O373">_xlfn.XLOOKUP(1,(A373=Geotech!$A$4:$A$10094)*(Data_Discontinuities[[#This Row],[Depth (m)]]&gt;=Geotech!$C$4:$C$10094)*(Data_Discontinuities[[#This Row],[Depth (m)]]&lt;Geotech!$D$4:$D$10094),Geotech!$M$4:$M$10094)</f>
        <v>Basalt</v>
      </c>
      <c r="P373" s="84"/>
      <c r="Q373" s="84"/>
      <c r="R373" s="84"/>
      <c r="S37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7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73" s="71">
        <f>IFERROR(Data_Discontinuities[[#This Row],[Joint roughness]]/Data_Discontinuities[[#This Row],[Joint alteration]],"")</f>
        <v>0.5</v>
      </c>
      <c r="V37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73" s="87"/>
    </row>
    <row r="374" spans="1:23" ht="15" customHeight="1" x14ac:dyDescent="0.25">
      <c r="A374" s="150" t="s">
        <v>30</v>
      </c>
      <c r="B374" s="17" t="str">
        <f>VLOOKUP(Data_Discontinuities[[#This Row],[Hole ID]],Data_Log[],2,FALSE)</f>
        <v>CGF-02</v>
      </c>
      <c r="C374" s="8">
        <v>122.2</v>
      </c>
      <c r="D374" s="8">
        <v>1</v>
      </c>
      <c r="E374" s="7" t="s">
        <v>445</v>
      </c>
      <c r="F374" s="7"/>
      <c r="G374" s="7"/>
      <c r="H374" s="118"/>
      <c r="I374" s="7" t="s">
        <v>286</v>
      </c>
      <c r="J374" s="7" t="s">
        <v>320</v>
      </c>
      <c r="K374" s="7" t="s">
        <v>382</v>
      </c>
      <c r="L374" s="7" t="s">
        <v>437</v>
      </c>
      <c r="M374" s="7" t="s">
        <v>447</v>
      </c>
      <c r="N374" s="7"/>
      <c r="O374" s="84" t="str" cm="1">
        <f t="array" ref="O374">_xlfn.XLOOKUP(1,(A374=Geotech!$A$4:$A$10094)*(Data_Discontinuities[[#This Row],[Depth (m)]]&gt;=Geotech!$C$4:$C$10094)*(Data_Discontinuities[[#This Row],[Depth (m)]]&lt;Geotech!$D$4:$D$10094),Geotech!$M$4:$M$10094)</f>
        <v>Basalt</v>
      </c>
      <c r="P374" s="84"/>
      <c r="Q374" s="84"/>
      <c r="R374" s="84"/>
      <c r="S37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7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74" s="71">
        <f>IFERROR(Data_Discontinuities[[#This Row],[Joint roughness]]/Data_Discontinuities[[#This Row],[Joint alteration]],"")</f>
        <v>0.5</v>
      </c>
      <c r="V37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74" s="87"/>
    </row>
    <row r="375" spans="1:23" ht="15" customHeight="1" x14ac:dyDescent="0.25">
      <c r="A375" s="150" t="s">
        <v>30</v>
      </c>
      <c r="B375" s="17" t="str">
        <f>VLOOKUP(Data_Discontinuities[[#This Row],[Hole ID]],Data_Log[],2,FALSE)</f>
        <v>CGF-02</v>
      </c>
      <c r="C375" s="8">
        <v>122.6</v>
      </c>
      <c r="D375" s="8">
        <v>1</v>
      </c>
      <c r="E375" s="7" t="s">
        <v>445</v>
      </c>
      <c r="F375" s="7"/>
      <c r="G375" s="7"/>
      <c r="H375" s="118"/>
      <c r="I375" s="7" t="s">
        <v>286</v>
      </c>
      <c r="J375" s="7" t="s">
        <v>320</v>
      </c>
      <c r="K375" s="7" t="s">
        <v>406</v>
      </c>
      <c r="L375" s="7" t="s">
        <v>447</v>
      </c>
      <c r="M375" s="7"/>
      <c r="N375" s="7"/>
      <c r="O375" s="84" t="str" cm="1">
        <f t="array" ref="O375">_xlfn.XLOOKUP(1,(A375=Geotech!$A$4:$A$10094)*(Data_Discontinuities[[#This Row],[Depth (m)]]&gt;=Geotech!$C$4:$C$10094)*(Data_Discontinuities[[#This Row],[Depth (m)]]&lt;Geotech!$D$4:$D$10094),Geotech!$M$4:$M$10094)</f>
        <v>Basalt</v>
      </c>
      <c r="P375" s="84"/>
      <c r="Q375" s="84"/>
      <c r="R375" s="84"/>
      <c r="S37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7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75" s="71">
        <f>IFERROR(Data_Discontinuities[[#This Row],[Joint roughness]]/Data_Discontinuities[[#This Row],[Joint alteration]],"")</f>
        <v>0.66666666666666663</v>
      </c>
      <c r="V37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75" s="87"/>
    </row>
    <row r="376" spans="1:23" ht="15" customHeight="1" x14ac:dyDescent="0.25">
      <c r="A376" s="150" t="s">
        <v>30</v>
      </c>
      <c r="B376" s="17" t="str">
        <f>VLOOKUP(Data_Discontinuities[[#This Row],[Hole ID]],Data_Log[],2,FALSE)</f>
        <v>CGF-02</v>
      </c>
      <c r="C376" s="8">
        <v>123</v>
      </c>
      <c r="D376" s="8">
        <v>1</v>
      </c>
      <c r="E376" s="7" t="s">
        <v>445</v>
      </c>
      <c r="F376" s="7"/>
      <c r="G376" s="7"/>
      <c r="H376" s="118"/>
      <c r="I376" s="7" t="s">
        <v>251</v>
      </c>
      <c r="J376" s="7" t="s">
        <v>288</v>
      </c>
      <c r="K376" s="7" t="s">
        <v>406</v>
      </c>
      <c r="L376" s="7" t="s">
        <v>447</v>
      </c>
      <c r="M376" s="7" t="s">
        <v>546</v>
      </c>
      <c r="N376" s="7"/>
      <c r="O376" s="84" t="str" cm="1">
        <f t="array" ref="O376">_xlfn.XLOOKUP(1,(A376=Geotech!$A$4:$A$10094)*(Data_Discontinuities[[#This Row],[Depth (m)]]&gt;=Geotech!$C$4:$C$10094)*(Data_Discontinuities[[#This Row],[Depth (m)]]&lt;Geotech!$D$4:$D$10094),Geotech!$M$4:$M$10094)</f>
        <v>Basalt</v>
      </c>
      <c r="P376" s="84"/>
      <c r="Q376" s="84"/>
      <c r="R376" s="84"/>
      <c r="S3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3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76" s="71">
        <f>IFERROR(Data_Discontinuities[[#This Row],[Joint roughness]]/Data_Discontinuities[[#This Row],[Joint alteration]],"")</f>
        <v>0.16666666666666666</v>
      </c>
      <c r="V3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76" s="87"/>
    </row>
    <row r="377" spans="1:23" ht="15" customHeight="1" x14ac:dyDescent="0.25">
      <c r="A377" s="150" t="s">
        <v>30</v>
      </c>
      <c r="B377" s="17" t="str">
        <f>VLOOKUP(Data_Discontinuities[[#This Row],[Hole ID]],Data_Log[],2,FALSE)</f>
        <v>CGF-02</v>
      </c>
      <c r="C377" s="8">
        <v>123.44</v>
      </c>
      <c r="D377" s="8">
        <v>1</v>
      </c>
      <c r="E377" s="7" t="s">
        <v>445</v>
      </c>
      <c r="F377" s="7"/>
      <c r="G377" s="7"/>
      <c r="H377" s="118"/>
      <c r="I377" s="7" t="s">
        <v>378</v>
      </c>
      <c r="J377" s="7" t="s">
        <v>380</v>
      </c>
      <c r="K377" s="7" t="s">
        <v>322</v>
      </c>
      <c r="L377" s="7"/>
      <c r="M377" s="7"/>
      <c r="N377" s="7"/>
      <c r="O377" s="84" t="str" cm="1">
        <f t="array" ref="O377">_xlfn.XLOOKUP(1,(A377=Geotech!$A$4:$A$10094)*(Data_Discontinuities[[#This Row],[Depth (m)]]&gt;=Geotech!$C$4:$C$10094)*(Data_Discontinuities[[#This Row],[Depth (m)]]&lt;Geotech!$D$4:$D$10094),Geotech!$M$4:$M$10094)</f>
        <v>Basalt</v>
      </c>
      <c r="P377" s="84"/>
      <c r="Q377" s="84"/>
      <c r="R377" s="84"/>
      <c r="S3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77" s="71">
        <f>IFERROR(Data_Discontinuities[[#This Row],[Joint roughness]]/Data_Discontinuities[[#This Row],[Joint alteration]],"")</f>
        <v>3</v>
      </c>
      <c r="V3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377" s="87"/>
    </row>
    <row r="378" spans="1:23" ht="15" customHeight="1" x14ac:dyDescent="0.25">
      <c r="A378" s="150" t="s">
        <v>30</v>
      </c>
      <c r="B378" s="17" t="str">
        <f>VLOOKUP(Data_Discontinuities[[#This Row],[Hole ID]],Data_Log[],2,FALSE)</f>
        <v>CGF-02</v>
      </c>
      <c r="C378" s="8">
        <v>123.67</v>
      </c>
      <c r="D378" s="8">
        <v>1</v>
      </c>
      <c r="E378" s="7" t="s">
        <v>420</v>
      </c>
      <c r="F378" s="7"/>
      <c r="G378" s="7"/>
      <c r="H378" s="118"/>
      <c r="I378" s="7" t="s">
        <v>286</v>
      </c>
      <c r="J378" s="7" t="s">
        <v>320</v>
      </c>
      <c r="K378" s="7" t="s">
        <v>354</v>
      </c>
      <c r="L378" s="7"/>
      <c r="M378" s="7"/>
      <c r="N378" s="7"/>
      <c r="O378" s="84" t="str" cm="1">
        <f t="array" ref="O378">_xlfn.XLOOKUP(1,(A378=Geotech!$A$4:$A$10094)*(Data_Discontinuities[[#This Row],[Depth (m)]]&gt;=Geotech!$C$4:$C$10094)*(Data_Discontinuities[[#This Row],[Depth (m)]]&lt;Geotech!$D$4:$D$10094),Geotech!$M$4:$M$10094)</f>
        <v>Basalt</v>
      </c>
      <c r="P378" s="84"/>
      <c r="Q378" s="84"/>
      <c r="R378" s="84"/>
      <c r="S3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78" s="71">
        <f>IFERROR(Data_Discontinuities[[#This Row],[Joint roughness]]/Data_Discontinuities[[#This Row],[Joint alteration]],"")</f>
        <v>1</v>
      </c>
      <c r="V3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78" s="87"/>
    </row>
    <row r="379" spans="1:23" ht="15" customHeight="1" x14ac:dyDescent="0.25">
      <c r="A379" s="150" t="s">
        <v>30</v>
      </c>
      <c r="B379" s="17" t="str">
        <f>VLOOKUP(Data_Discontinuities[[#This Row],[Hole ID]],Data_Log[],2,FALSE)</f>
        <v>CGF-02</v>
      </c>
      <c r="C379" s="8">
        <v>124</v>
      </c>
      <c r="D379" s="8">
        <v>1</v>
      </c>
      <c r="E379" s="7" t="s">
        <v>420</v>
      </c>
      <c r="F379" s="7"/>
      <c r="G379" s="7"/>
      <c r="H379" s="118"/>
      <c r="I379" s="7" t="s">
        <v>286</v>
      </c>
      <c r="J379" s="7" t="s">
        <v>288</v>
      </c>
      <c r="K379" s="7" t="s">
        <v>354</v>
      </c>
      <c r="L379" s="7"/>
      <c r="M379" s="7"/>
      <c r="N379" s="7"/>
      <c r="O379" s="84" t="str" cm="1">
        <f t="array" ref="O379">_xlfn.XLOOKUP(1,(A379=Geotech!$A$4:$A$10094)*(Data_Discontinuities[[#This Row],[Depth (m)]]&gt;=Geotech!$C$4:$C$10094)*(Data_Discontinuities[[#This Row],[Depth (m)]]&lt;Geotech!$D$4:$D$10094),Geotech!$M$4:$M$10094)</f>
        <v>Basalt</v>
      </c>
      <c r="P379" s="84"/>
      <c r="Q379" s="84"/>
      <c r="R379" s="84"/>
      <c r="S3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79" s="71">
        <f>IFERROR(Data_Discontinuities[[#This Row],[Joint roughness]]/Data_Discontinuities[[#This Row],[Joint alteration]],"")</f>
        <v>0.75</v>
      </c>
      <c r="V3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79" s="87"/>
    </row>
    <row r="380" spans="1:23" ht="15" customHeight="1" x14ac:dyDescent="0.25">
      <c r="A380" s="150" t="s">
        <v>30</v>
      </c>
      <c r="B380" s="17" t="str">
        <f>VLOOKUP(Data_Discontinuities[[#This Row],[Hole ID]],Data_Log[],2,FALSE)</f>
        <v>CGF-02</v>
      </c>
      <c r="C380" s="8">
        <v>124.36</v>
      </c>
      <c r="D380" s="8">
        <v>1</v>
      </c>
      <c r="E380" s="7" t="s">
        <v>445</v>
      </c>
      <c r="F380" s="7"/>
      <c r="G380" s="7"/>
      <c r="H380" s="118"/>
      <c r="I380" s="7" t="s">
        <v>251</v>
      </c>
      <c r="J380" s="7" t="s">
        <v>352</v>
      </c>
      <c r="K380" s="7" t="s">
        <v>322</v>
      </c>
      <c r="L380" s="7"/>
      <c r="M380" s="7"/>
      <c r="N380" s="7"/>
      <c r="O380" s="84" t="str" cm="1">
        <f t="array" ref="O380">_xlfn.XLOOKUP(1,(A380=Geotech!$A$4:$A$10094)*(Data_Discontinuities[[#This Row],[Depth (m)]]&gt;=Geotech!$C$4:$C$10094)*(Data_Discontinuities[[#This Row],[Depth (m)]]&lt;Geotech!$D$4:$D$10094),Geotech!$M$4:$M$10094)</f>
        <v>Boulamarque granodiorite</v>
      </c>
      <c r="P380" s="84"/>
      <c r="Q380" s="84"/>
      <c r="R380" s="84"/>
      <c r="S3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80" s="71">
        <f>IFERROR(Data_Discontinuities[[#This Row],[Joint roughness]]/Data_Discontinuities[[#This Row],[Joint alteration]],"")</f>
        <v>1.5</v>
      </c>
      <c r="V3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80" s="87"/>
    </row>
    <row r="381" spans="1:23" ht="15" customHeight="1" x14ac:dyDescent="0.25">
      <c r="A381" s="150" t="s">
        <v>30</v>
      </c>
      <c r="B381" s="17" t="str">
        <f>VLOOKUP(Data_Discontinuities[[#This Row],[Hole ID]],Data_Log[],2,FALSE)</f>
        <v>CGF-02</v>
      </c>
      <c r="C381" s="8">
        <v>124.94</v>
      </c>
      <c r="D381" s="8">
        <v>1</v>
      </c>
      <c r="E381" s="7" t="s">
        <v>420</v>
      </c>
      <c r="F381" s="7"/>
      <c r="G381" s="7"/>
      <c r="H381" s="118"/>
      <c r="I381" s="7" t="s">
        <v>318</v>
      </c>
      <c r="J381" s="7" t="s">
        <v>352</v>
      </c>
      <c r="K381" s="7" t="s">
        <v>382</v>
      </c>
      <c r="L381" s="7" t="s">
        <v>447</v>
      </c>
      <c r="M381" s="7" t="s">
        <v>437</v>
      </c>
      <c r="N381" s="7"/>
      <c r="O381" s="84" t="str" cm="1">
        <f t="array" ref="O381">_xlfn.XLOOKUP(1,(A381=Geotech!$A$4:$A$10094)*(Data_Discontinuities[[#This Row],[Depth (m)]]&gt;=Geotech!$C$4:$C$10094)*(Data_Discontinuities[[#This Row],[Depth (m)]]&lt;Geotech!$D$4:$D$10094),Geotech!$M$4:$M$10094)</f>
        <v>Boulamarque granodiorite</v>
      </c>
      <c r="P381" s="84"/>
      <c r="Q381" s="84"/>
      <c r="R381" s="84"/>
      <c r="S38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8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81" s="71">
        <f>IFERROR(Data_Discontinuities[[#This Row],[Joint roughness]]/Data_Discontinuities[[#This Row],[Joint alteration]],"")</f>
        <v>1</v>
      </c>
      <c r="V38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81" s="87"/>
    </row>
    <row r="382" spans="1:23" ht="15" customHeight="1" x14ac:dyDescent="0.25">
      <c r="A382" s="150" t="s">
        <v>30</v>
      </c>
      <c r="B382" s="17" t="str">
        <f>VLOOKUP(Data_Discontinuities[[#This Row],[Hole ID]],Data_Log[],2,FALSE)</f>
        <v>CGF-02</v>
      </c>
      <c r="C382" s="8">
        <v>125.04</v>
      </c>
      <c r="D382" s="8">
        <v>1</v>
      </c>
      <c r="E382" s="7" t="s">
        <v>420</v>
      </c>
      <c r="F382" s="7"/>
      <c r="G382" s="7"/>
      <c r="H382" s="118"/>
      <c r="I382" s="7" t="s">
        <v>318</v>
      </c>
      <c r="J382" s="7" t="s">
        <v>352</v>
      </c>
      <c r="K382" s="7" t="s">
        <v>382</v>
      </c>
      <c r="L382" s="7" t="s">
        <v>447</v>
      </c>
      <c r="M382" s="7"/>
      <c r="N382" s="7"/>
      <c r="O382" s="84" t="str" cm="1">
        <f t="array" ref="O382">_xlfn.XLOOKUP(1,(A382=Geotech!$A$4:$A$10094)*(Data_Discontinuities[[#This Row],[Depth (m)]]&gt;=Geotech!$C$4:$C$10094)*(Data_Discontinuities[[#This Row],[Depth (m)]]&lt;Geotech!$D$4:$D$10094),Geotech!$M$4:$M$10094)</f>
        <v>Basalt</v>
      </c>
      <c r="P382" s="84"/>
      <c r="Q382" s="84"/>
      <c r="R382" s="84"/>
      <c r="S3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82" s="71">
        <f>IFERROR(Data_Discontinuities[[#This Row],[Joint roughness]]/Data_Discontinuities[[#This Row],[Joint alteration]],"")</f>
        <v>1</v>
      </c>
      <c r="V3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82" s="87"/>
    </row>
    <row r="383" spans="1:23" ht="15" customHeight="1" x14ac:dyDescent="0.25">
      <c r="A383" s="150" t="s">
        <v>30</v>
      </c>
      <c r="B383" s="17" t="str">
        <f>VLOOKUP(Data_Discontinuities[[#This Row],[Hole ID]],Data_Log[],2,FALSE)</f>
        <v>CGF-02</v>
      </c>
      <c r="C383" s="8">
        <v>125.17</v>
      </c>
      <c r="D383" s="8">
        <v>1</v>
      </c>
      <c r="E383" s="7" t="s">
        <v>445</v>
      </c>
      <c r="F383" s="7"/>
      <c r="G383" s="7"/>
      <c r="H383" s="118"/>
      <c r="I383" s="7" t="s">
        <v>318</v>
      </c>
      <c r="J383" s="7" t="s">
        <v>352</v>
      </c>
      <c r="K383" s="7" t="s">
        <v>382</v>
      </c>
      <c r="L383" s="7" t="s">
        <v>437</v>
      </c>
      <c r="M383" s="7" t="s">
        <v>447</v>
      </c>
      <c r="N383" s="7"/>
      <c r="O383" s="84" t="str" cm="1">
        <f t="array" ref="O383">_xlfn.XLOOKUP(1,(A383=Geotech!$A$4:$A$10094)*(Data_Discontinuities[[#This Row],[Depth (m)]]&gt;=Geotech!$C$4:$C$10094)*(Data_Discontinuities[[#This Row],[Depth (m)]]&lt;Geotech!$D$4:$D$10094),Geotech!$M$4:$M$10094)</f>
        <v>Basalt</v>
      </c>
      <c r="P383" s="84"/>
      <c r="Q383" s="84"/>
      <c r="R383" s="84"/>
      <c r="S3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3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83" s="71">
        <f>IFERROR(Data_Discontinuities[[#This Row],[Joint roughness]]/Data_Discontinuities[[#This Row],[Joint alteration]],"")</f>
        <v>0.75</v>
      </c>
      <c r="V3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83" s="87"/>
    </row>
    <row r="384" spans="1:23" ht="15" customHeight="1" x14ac:dyDescent="0.25">
      <c r="A384" s="150" t="s">
        <v>30</v>
      </c>
      <c r="B384" s="17" t="str">
        <f>VLOOKUP(Data_Discontinuities[[#This Row],[Hole ID]],Data_Log[],2,FALSE)</f>
        <v>CGF-02</v>
      </c>
      <c r="C384" s="8">
        <v>125.62</v>
      </c>
      <c r="D384" s="8">
        <v>1</v>
      </c>
      <c r="E384" s="7" t="s">
        <v>445</v>
      </c>
      <c r="F384" s="7"/>
      <c r="G384" s="7"/>
      <c r="H384" s="118"/>
      <c r="I384" s="7" t="s">
        <v>318</v>
      </c>
      <c r="J384" s="7" t="s">
        <v>320</v>
      </c>
      <c r="K384" s="7" t="s">
        <v>382</v>
      </c>
      <c r="L384" s="7" t="s">
        <v>447</v>
      </c>
      <c r="M384" s="7"/>
      <c r="N384" s="7"/>
      <c r="O384" s="84" t="str" cm="1">
        <f t="array" ref="O384">_xlfn.XLOOKUP(1,(A384=Geotech!$A$4:$A$10094)*(Data_Discontinuities[[#This Row],[Depth (m)]]&gt;=Geotech!$C$4:$C$10094)*(Data_Discontinuities[[#This Row],[Depth (m)]]&lt;Geotech!$D$4:$D$10094),Geotech!$M$4:$M$10094)</f>
        <v>Basalt</v>
      </c>
      <c r="P384" s="84"/>
      <c r="Q384" s="84"/>
      <c r="R384" s="84"/>
      <c r="S38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8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84" s="71">
        <f>IFERROR(Data_Discontinuities[[#This Row],[Joint roughness]]/Data_Discontinuities[[#This Row],[Joint alteration]],"")</f>
        <v>0.66666666666666663</v>
      </c>
      <c r="V38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84" s="87"/>
    </row>
    <row r="385" spans="1:23" ht="15" customHeight="1" x14ac:dyDescent="0.25">
      <c r="A385" s="150" t="s">
        <v>30</v>
      </c>
      <c r="B385" s="17" t="str">
        <f>VLOOKUP(Data_Discontinuities[[#This Row],[Hole ID]],Data_Log[],2,FALSE)</f>
        <v>CGF-02</v>
      </c>
      <c r="C385" s="8">
        <v>125.9</v>
      </c>
      <c r="D385" s="8">
        <v>1</v>
      </c>
      <c r="E385" s="7" t="s">
        <v>445</v>
      </c>
      <c r="F385" s="7"/>
      <c r="G385" s="7"/>
      <c r="H385" s="118"/>
      <c r="I385" s="7" t="s">
        <v>318</v>
      </c>
      <c r="J385" s="7" t="s">
        <v>320</v>
      </c>
      <c r="K385" s="7" t="s">
        <v>382</v>
      </c>
      <c r="L385" s="7" t="s">
        <v>447</v>
      </c>
      <c r="M385" s="7"/>
      <c r="N385" s="7"/>
      <c r="O385" s="84" t="str" cm="1">
        <f t="array" ref="O385">_xlfn.XLOOKUP(1,(A385=Geotech!$A$4:$A$10094)*(Data_Discontinuities[[#This Row],[Depth (m)]]&gt;=Geotech!$C$4:$C$10094)*(Data_Discontinuities[[#This Row],[Depth (m)]]&lt;Geotech!$D$4:$D$10094),Geotech!$M$4:$M$10094)</f>
        <v>Basalt</v>
      </c>
      <c r="P385" s="84"/>
      <c r="Q385" s="84"/>
      <c r="R385" s="84"/>
      <c r="S3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85" s="71">
        <f>IFERROR(Data_Discontinuities[[#This Row],[Joint roughness]]/Data_Discontinuities[[#This Row],[Joint alteration]],"")</f>
        <v>0.66666666666666663</v>
      </c>
      <c r="V3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85" s="87"/>
    </row>
    <row r="386" spans="1:23" ht="15" customHeight="1" x14ac:dyDescent="0.25">
      <c r="A386" s="150" t="s">
        <v>30</v>
      </c>
      <c r="B386" s="17" t="str">
        <f>VLOOKUP(Data_Discontinuities[[#This Row],[Hole ID]],Data_Log[],2,FALSE)</f>
        <v>CGF-02</v>
      </c>
      <c r="C386" s="8">
        <v>126.62</v>
      </c>
      <c r="D386" s="8">
        <v>1</v>
      </c>
      <c r="E386" s="7" t="s">
        <v>445</v>
      </c>
      <c r="F386" s="7"/>
      <c r="G386" s="7"/>
      <c r="H386" s="118"/>
      <c r="I386" s="7" t="s">
        <v>378</v>
      </c>
      <c r="J386" s="7" t="s">
        <v>288</v>
      </c>
      <c r="K386" s="7" t="s">
        <v>322</v>
      </c>
      <c r="L386" s="7"/>
      <c r="M386" s="7"/>
      <c r="N386" s="7"/>
      <c r="O386" s="84" t="str" cm="1">
        <f t="array" ref="O386">_xlfn.XLOOKUP(1,(A386=Geotech!$A$4:$A$10094)*(Data_Discontinuities[[#This Row],[Depth (m)]]&gt;=Geotech!$C$4:$C$10094)*(Data_Discontinuities[[#This Row],[Depth (m)]]&lt;Geotech!$D$4:$D$10094),Geotech!$M$4:$M$10094)</f>
        <v>Basalt</v>
      </c>
      <c r="P386" s="84"/>
      <c r="Q386" s="84"/>
      <c r="R386" s="84"/>
      <c r="S3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86" s="71">
        <f>IFERROR(Data_Discontinuities[[#This Row],[Joint roughness]]/Data_Discontinuities[[#This Row],[Joint alteration]],"")</f>
        <v>1.5</v>
      </c>
      <c r="V3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86" s="87"/>
    </row>
    <row r="387" spans="1:23" ht="15" customHeight="1" x14ac:dyDescent="0.25">
      <c r="A387" s="150" t="s">
        <v>30</v>
      </c>
      <c r="B387" s="17" t="str">
        <f>VLOOKUP(Data_Discontinuities[[#This Row],[Hole ID]],Data_Log[],2,FALSE)</f>
        <v>CGF-02</v>
      </c>
      <c r="C387" s="8">
        <v>127</v>
      </c>
      <c r="D387" s="8">
        <v>1</v>
      </c>
      <c r="E387" s="7" t="s">
        <v>445</v>
      </c>
      <c r="F387" s="7"/>
      <c r="G387" s="7"/>
      <c r="H387" s="118"/>
      <c r="I387" s="7" t="s">
        <v>251</v>
      </c>
      <c r="J387" s="7" t="s">
        <v>320</v>
      </c>
      <c r="K387" s="7" t="s">
        <v>354</v>
      </c>
      <c r="L387" s="7"/>
      <c r="M387" s="7"/>
      <c r="N387" s="7"/>
      <c r="O387" s="84" t="str" cm="1">
        <f t="array" ref="O387">_xlfn.XLOOKUP(1,(A387=Geotech!$A$4:$A$10094)*(Data_Discontinuities[[#This Row],[Depth (m)]]&gt;=Geotech!$C$4:$C$10094)*(Data_Discontinuities[[#This Row],[Depth (m)]]&lt;Geotech!$D$4:$D$10094),Geotech!$M$4:$M$10094)</f>
        <v>Basalt</v>
      </c>
      <c r="P387" s="84"/>
      <c r="Q387" s="84"/>
      <c r="R387" s="84"/>
      <c r="S3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3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87" s="71">
        <f>IFERROR(Data_Discontinuities[[#This Row],[Joint roughness]]/Data_Discontinuities[[#This Row],[Joint alteration]],"")</f>
        <v>0.5</v>
      </c>
      <c r="V3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87" s="87"/>
    </row>
    <row r="388" spans="1:23" ht="15" customHeight="1" x14ac:dyDescent="0.25">
      <c r="A388" s="150" t="s">
        <v>30</v>
      </c>
      <c r="B388" s="17" t="str">
        <f>VLOOKUP(Data_Discontinuities[[#This Row],[Hole ID]],Data_Log[],2,FALSE)</f>
        <v>CGF-02</v>
      </c>
      <c r="C388" s="8">
        <v>127.87</v>
      </c>
      <c r="D388" s="8">
        <v>1</v>
      </c>
      <c r="E388" s="7" t="s">
        <v>420</v>
      </c>
      <c r="F388" s="7"/>
      <c r="G388" s="7"/>
      <c r="H388" s="118"/>
      <c r="I388" s="7" t="s">
        <v>286</v>
      </c>
      <c r="J388" s="7" t="s">
        <v>320</v>
      </c>
      <c r="K388" s="7" t="s">
        <v>354</v>
      </c>
      <c r="L388" s="7"/>
      <c r="M388" s="7"/>
      <c r="N388" s="7"/>
      <c r="O388" s="84" t="str" cm="1">
        <f t="array" ref="O388">_xlfn.XLOOKUP(1,(A388=Geotech!$A$4:$A$10094)*(Data_Discontinuities[[#This Row],[Depth (m)]]&gt;=Geotech!$C$4:$C$10094)*(Data_Discontinuities[[#This Row],[Depth (m)]]&lt;Geotech!$D$4:$D$10094),Geotech!$M$4:$M$10094)</f>
        <v>Basalt</v>
      </c>
      <c r="P388" s="84"/>
      <c r="Q388" s="84"/>
      <c r="R388" s="84"/>
      <c r="S38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8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88" s="71">
        <f>IFERROR(Data_Discontinuities[[#This Row],[Joint roughness]]/Data_Discontinuities[[#This Row],[Joint alteration]],"")</f>
        <v>1</v>
      </c>
      <c r="V38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88" s="87"/>
    </row>
    <row r="389" spans="1:23" ht="15" customHeight="1" x14ac:dyDescent="0.25">
      <c r="A389" s="150" t="s">
        <v>30</v>
      </c>
      <c r="B389" s="17" t="str">
        <f>VLOOKUP(Data_Discontinuities[[#This Row],[Hole ID]],Data_Log[],2,FALSE)</f>
        <v>CGF-02</v>
      </c>
      <c r="C389" s="8">
        <v>128.05000000000001</v>
      </c>
      <c r="D389" s="8">
        <v>1</v>
      </c>
      <c r="E389" s="7" t="s">
        <v>420</v>
      </c>
      <c r="F389" s="7"/>
      <c r="G389" s="7"/>
      <c r="H389" s="118"/>
      <c r="I389" s="7" t="s">
        <v>318</v>
      </c>
      <c r="J389" s="7" t="s">
        <v>320</v>
      </c>
      <c r="K389" s="7" t="s">
        <v>382</v>
      </c>
      <c r="L389" s="7" t="s">
        <v>437</v>
      </c>
      <c r="M389" s="7"/>
      <c r="N389" s="7"/>
      <c r="O389" s="84" t="str" cm="1">
        <f t="array" ref="O389">_xlfn.XLOOKUP(1,(A389=Geotech!$A$4:$A$10094)*(Data_Discontinuities[[#This Row],[Depth (m)]]&gt;=Geotech!$C$4:$C$10094)*(Data_Discontinuities[[#This Row],[Depth (m)]]&lt;Geotech!$D$4:$D$10094),Geotech!$M$4:$M$10094)</f>
        <v>Basalt</v>
      </c>
      <c r="P389" s="84"/>
      <c r="Q389" s="84"/>
      <c r="R389" s="84"/>
      <c r="S38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8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389" s="71">
        <f>IFERROR(Data_Discontinuities[[#This Row],[Joint roughness]]/Data_Discontinuities[[#This Row],[Joint alteration]],"")</f>
        <v>0.5</v>
      </c>
      <c r="V38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89" s="87"/>
    </row>
    <row r="390" spans="1:23" ht="15" customHeight="1" x14ac:dyDescent="0.25">
      <c r="A390" s="150" t="s">
        <v>30</v>
      </c>
      <c r="B390" s="17" t="str">
        <f>VLOOKUP(Data_Discontinuities[[#This Row],[Hole ID]],Data_Log[],2,FALSE)</f>
        <v>CGF-02</v>
      </c>
      <c r="C390" s="8">
        <v>128.27000000000001</v>
      </c>
      <c r="D390" s="8">
        <v>1</v>
      </c>
      <c r="E390" s="7" t="s">
        <v>420</v>
      </c>
      <c r="F390" s="7"/>
      <c r="G390" s="7"/>
      <c r="H390" s="118"/>
      <c r="I390" s="7" t="s">
        <v>286</v>
      </c>
      <c r="J390" s="7" t="s">
        <v>320</v>
      </c>
      <c r="K390" s="7" t="s">
        <v>382</v>
      </c>
      <c r="L390" s="7" t="s">
        <v>447</v>
      </c>
      <c r="M390" s="7"/>
      <c r="N390" s="7"/>
      <c r="O390" s="84" t="str" cm="1">
        <f t="array" ref="O390">_xlfn.XLOOKUP(1,(A390=Geotech!$A$4:$A$10094)*(Data_Discontinuities[[#This Row],[Depth (m)]]&gt;=Geotech!$C$4:$C$10094)*(Data_Discontinuities[[#This Row],[Depth (m)]]&lt;Geotech!$D$4:$D$10094),Geotech!$M$4:$M$10094)</f>
        <v>Basalt</v>
      </c>
      <c r="P390" s="84"/>
      <c r="Q390" s="84"/>
      <c r="R390" s="84"/>
      <c r="S3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90" s="71">
        <f>IFERROR(Data_Discontinuities[[#This Row],[Joint roughness]]/Data_Discontinuities[[#This Row],[Joint alteration]],"")</f>
        <v>0.66666666666666663</v>
      </c>
      <c r="V3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90" s="87"/>
    </row>
    <row r="391" spans="1:23" ht="15" customHeight="1" x14ac:dyDescent="0.25">
      <c r="A391" s="150" t="s">
        <v>30</v>
      </c>
      <c r="B391" s="17" t="str">
        <f>VLOOKUP(Data_Discontinuities[[#This Row],[Hole ID]],Data_Log[],2,FALSE)</f>
        <v>CGF-02</v>
      </c>
      <c r="C391" s="8">
        <v>128.82</v>
      </c>
      <c r="D391" s="8">
        <v>1</v>
      </c>
      <c r="E391" s="7" t="s">
        <v>420</v>
      </c>
      <c r="F391" s="7"/>
      <c r="G391" s="7"/>
      <c r="H391" s="118"/>
      <c r="I391" s="7" t="s">
        <v>318</v>
      </c>
      <c r="J391" s="7" t="s">
        <v>320</v>
      </c>
      <c r="K391" s="7" t="s">
        <v>354</v>
      </c>
      <c r="L391" s="7"/>
      <c r="M391" s="7"/>
      <c r="N391" s="7"/>
      <c r="O391" s="84" t="str" cm="1">
        <f t="array" ref="O391">_xlfn.XLOOKUP(1,(A391=Geotech!$A$4:$A$10094)*(Data_Discontinuities[[#This Row],[Depth (m)]]&gt;=Geotech!$C$4:$C$10094)*(Data_Discontinuities[[#This Row],[Depth (m)]]&lt;Geotech!$D$4:$D$10094),Geotech!$M$4:$M$10094)</f>
        <v>Basalt</v>
      </c>
      <c r="P391" s="84"/>
      <c r="Q391" s="84"/>
      <c r="R391" s="84"/>
      <c r="S3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1" s="71">
        <f>IFERROR(Data_Discontinuities[[#This Row],[Joint roughness]]/Data_Discontinuities[[#This Row],[Joint alteration]],"")</f>
        <v>1</v>
      </c>
      <c r="V3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91" s="87"/>
    </row>
    <row r="392" spans="1:23" ht="15" customHeight="1" x14ac:dyDescent="0.25">
      <c r="A392" s="150" t="s">
        <v>30</v>
      </c>
      <c r="B392" s="17" t="str">
        <f>VLOOKUP(Data_Discontinuities[[#This Row],[Hole ID]],Data_Log[],2,FALSE)</f>
        <v>CGF-02</v>
      </c>
      <c r="C392" s="8">
        <v>129.07</v>
      </c>
      <c r="D392" s="8">
        <v>1</v>
      </c>
      <c r="E392" s="7" t="s">
        <v>248</v>
      </c>
      <c r="F392" s="7"/>
      <c r="G392" s="7"/>
      <c r="H392" s="118"/>
      <c r="I392" s="7"/>
      <c r="J392" s="7"/>
      <c r="K392" s="7"/>
      <c r="L392" s="7"/>
      <c r="M392" s="7"/>
      <c r="N392" s="7">
        <v>0.06</v>
      </c>
      <c r="O392" s="84" t="str" cm="1">
        <f t="array" ref="O392">_xlfn.XLOOKUP(1,(A392=Geotech!$A$4:$A$10094)*(Data_Discontinuities[[#This Row],[Depth (m)]]&gt;=Geotech!$C$4:$C$10094)*(Data_Discontinuities[[#This Row],[Depth (m)]]&lt;Geotech!$D$4:$D$10094),Geotech!$M$4:$M$10094)</f>
        <v>Basalt</v>
      </c>
      <c r="P392" s="84"/>
      <c r="Q392" s="84"/>
      <c r="R392" s="84"/>
      <c r="S3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3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392" s="71" t="str">
        <f>IFERROR(Data_Discontinuities[[#This Row],[Joint roughness]]/Data_Discontinuities[[#This Row],[Joint alteration]],"")</f>
        <v/>
      </c>
      <c r="V3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392" s="87"/>
    </row>
    <row r="393" spans="1:23" ht="15" customHeight="1" x14ac:dyDescent="0.25">
      <c r="A393" s="150" t="s">
        <v>30</v>
      </c>
      <c r="B393" s="17" t="str">
        <f>VLOOKUP(Data_Discontinuities[[#This Row],[Hole ID]],Data_Log[],2,FALSE)</f>
        <v>CGF-02</v>
      </c>
      <c r="C393" s="8">
        <v>129.32</v>
      </c>
      <c r="D393" s="8">
        <v>1</v>
      </c>
      <c r="E393" s="7" t="s">
        <v>420</v>
      </c>
      <c r="F393" s="7"/>
      <c r="G393" s="7"/>
      <c r="H393" s="118"/>
      <c r="I393" s="7" t="s">
        <v>318</v>
      </c>
      <c r="J393" s="7" t="s">
        <v>288</v>
      </c>
      <c r="K393" s="7" t="s">
        <v>322</v>
      </c>
      <c r="L393" s="7"/>
      <c r="M393" s="7"/>
      <c r="N393" s="7"/>
      <c r="O393" s="84" t="str" cm="1">
        <f t="array" ref="O393">_xlfn.XLOOKUP(1,(A393=Geotech!$A$4:$A$10094)*(Data_Discontinuities[[#This Row],[Depth (m)]]&gt;=Geotech!$C$4:$C$10094)*(Data_Discontinuities[[#This Row],[Depth (m)]]&lt;Geotech!$D$4:$D$10094),Geotech!$M$4:$M$10094)</f>
        <v>Basalt</v>
      </c>
      <c r="P393" s="84"/>
      <c r="Q393" s="84"/>
      <c r="R393" s="84"/>
      <c r="S3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3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393" s="71">
        <f>IFERROR(Data_Discontinuities[[#This Row],[Joint roughness]]/Data_Discontinuities[[#This Row],[Joint alteration]],"")</f>
        <v>1.5</v>
      </c>
      <c r="V3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393" s="87"/>
    </row>
    <row r="394" spans="1:23" ht="15" customHeight="1" x14ac:dyDescent="0.25">
      <c r="A394" s="150" t="s">
        <v>30</v>
      </c>
      <c r="B394" s="17" t="str">
        <f>VLOOKUP(Data_Discontinuities[[#This Row],[Hole ID]],Data_Log[],2,FALSE)</f>
        <v>CGF-02</v>
      </c>
      <c r="C394" s="8">
        <v>129.44</v>
      </c>
      <c r="D394" s="8">
        <v>1</v>
      </c>
      <c r="E394" s="7" t="s">
        <v>420</v>
      </c>
      <c r="F394" s="7"/>
      <c r="G394" s="7"/>
      <c r="H394" s="118"/>
      <c r="I394" s="7" t="s">
        <v>286</v>
      </c>
      <c r="J394" s="7" t="s">
        <v>320</v>
      </c>
      <c r="K394" s="7" t="s">
        <v>382</v>
      </c>
      <c r="L394" s="7" t="s">
        <v>447</v>
      </c>
      <c r="M394" s="7"/>
      <c r="N394" s="7"/>
      <c r="O394" s="84" t="str" cm="1">
        <f t="array" ref="O394">_xlfn.XLOOKUP(1,(A394=Geotech!$A$4:$A$10094)*(Data_Discontinuities[[#This Row],[Depth (m)]]&gt;=Geotech!$C$4:$C$10094)*(Data_Discontinuities[[#This Row],[Depth (m)]]&lt;Geotech!$D$4:$D$10094),Geotech!$M$4:$M$10094)</f>
        <v>Basalt</v>
      </c>
      <c r="P394" s="84"/>
      <c r="Q394" s="84"/>
      <c r="R394" s="84"/>
      <c r="S3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94" s="71">
        <f>IFERROR(Data_Discontinuities[[#This Row],[Joint roughness]]/Data_Discontinuities[[#This Row],[Joint alteration]],"")</f>
        <v>0.66666666666666663</v>
      </c>
      <c r="V3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94" s="87"/>
    </row>
    <row r="395" spans="1:23" ht="15" customHeight="1" x14ac:dyDescent="0.25">
      <c r="A395" s="150" t="s">
        <v>30</v>
      </c>
      <c r="B395" s="17" t="str">
        <f>VLOOKUP(Data_Discontinuities[[#This Row],[Hole ID]],Data_Log[],2,FALSE)</f>
        <v>CGF-02</v>
      </c>
      <c r="C395" s="8">
        <v>129.44</v>
      </c>
      <c r="D395" s="8">
        <v>1</v>
      </c>
      <c r="E395" s="7" t="s">
        <v>420</v>
      </c>
      <c r="F395" s="7"/>
      <c r="G395" s="7"/>
      <c r="H395" s="118"/>
      <c r="I395" s="7" t="s">
        <v>318</v>
      </c>
      <c r="J395" s="7" t="s">
        <v>320</v>
      </c>
      <c r="K395" s="7" t="s">
        <v>354</v>
      </c>
      <c r="L395" s="7"/>
      <c r="M395" s="7"/>
      <c r="N395" s="7"/>
      <c r="O395" s="84" t="str" cm="1">
        <f t="array" ref="O395">_xlfn.XLOOKUP(1,(A395=Geotech!$A$4:$A$10094)*(Data_Discontinuities[[#This Row],[Depth (m)]]&gt;=Geotech!$C$4:$C$10094)*(Data_Discontinuities[[#This Row],[Depth (m)]]&lt;Geotech!$D$4:$D$10094),Geotech!$M$4:$M$10094)</f>
        <v>Basalt</v>
      </c>
      <c r="P395" s="84"/>
      <c r="Q395" s="84"/>
      <c r="R395" s="84"/>
      <c r="S3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5" s="71">
        <f>IFERROR(Data_Discontinuities[[#This Row],[Joint roughness]]/Data_Discontinuities[[#This Row],[Joint alteration]],"")</f>
        <v>1</v>
      </c>
      <c r="V3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95" s="87"/>
    </row>
    <row r="396" spans="1:23" ht="15" customHeight="1" x14ac:dyDescent="0.25">
      <c r="A396" s="150" t="s">
        <v>30</v>
      </c>
      <c r="B396" s="17" t="str">
        <f>VLOOKUP(Data_Discontinuities[[#This Row],[Hole ID]],Data_Log[],2,FALSE)</f>
        <v>CGF-02</v>
      </c>
      <c r="C396" s="8">
        <v>130</v>
      </c>
      <c r="D396" s="8">
        <v>1</v>
      </c>
      <c r="E396" s="7" t="s">
        <v>420</v>
      </c>
      <c r="F396" s="7"/>
      <c r="G396" s="7"/>
      <c r="H396" s="118"/>
      <c r="I396" s="7" t="s">
        <v>318</v>
      </c>
      <c r="J396" s="7" t="s">
        <v>320</v>
      </c>
      <c r="K396" s="7" t="s">
        <v>354</v>
      </c>
      <c r="L396" s="7"/>
      <c r="M396" s="7"/>
      <c r="N396" s="7"/>
      <c r="O396" s="84" t="str" cm="1">
        <f t="array" ref="O396">_xlfn.XLOOKUP(1,(A396=Geotech!$A$4:$A$10094)*(Data_Discontinuities[[#This Row],[Depth (m)]]&gt;=Geotech!$C$4:$C$10094)*(Data_Discontinuities[[#This Row],[Depth (m)]]&lt;Geotech!$D$4:$D$10094),Geotech!$M$4:$M$10094)</f>
        <v>Basalt</v>
      </c>
      <c r="P396" s="84"/>
      <c r="Q396" s="84"/>
      <c r="R396" s="84"/>
      <c r="S3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6" s="71">
        <f>IFERROR(Data_Discontinuities[[#This Row],[Joint roughness]]/Data_Discontinuities[[#This Row],[Joint alteration]],"")</f>
        <v>1</v>
      </c>
      <c r="V3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96" s="87"/>
    </row>
    <row r="397" spans="1:23" ht="15" customHeight="1" x14ac:dyDescent="0.25">
      <c r="A397" s="150" t="s">
        <v>30</v>
      </c>
      <c r="B397" s="17" t="str">
        <f>VLOOKUP(Data_Discontinuities[[#This Row],[Hole ID]],Data_Log[],2,FALSE)</f>
        <v>CGF-02</v>
      </c>
      <c r="C397" s="8">
        <v>131.6</v>
      </c>
      <c r="D397" s="8">
        <v>1</v>
      </c>
      <c r="E397" s="7" t="s">
        <v>445</v>
      </c>
      <c r="F397" s="7"/>
      <c r="G397" s="7"/>
      <c r="H397" s="118"/>
      <c r="I397" s="7" t="s">
        <v>286</v>
      </c>
      <c r="J397" s="7" t="s">
        <v>320</v>
      </c>
      <c r="K397" s="7" t="s">
        <v>354</v>
      </c>
      <c r="L397" s="7"/>
      <c r="M397" s="7"/>
      <c r="N397" s="7"/>
      <c r="O397" s="84" t="str" cm="1">
        <f t="array" ref="O397">_xlfn.XLOOKUP(1,(A397=Geotech!$A$4:$A$10094)*(Data_Discontinuities[[#This Row],[Depth (m)]]&gt;=Geotech!$C$4:$C$10094)*(Data_Discontinuities[[#This Row],[Depth (m)]]&lt;Geotech!$D$4:$D$10094),Geotech!$M$4:$M$10094)</f>
        <v>Basalt</v>
      </c>
      <c r="P397" s="84"/>
      <c r="Q397" s="84"/>
      <c r="R397" s="84"/>
      <c r="S3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7" s="71">
        <f>IFERROR(Data_Discontinuities[[#This Row],[Joint roughness]]/Data_Discontinuities[[#This Row],[Joint alteration]],"")</f>
        <v>1</v>
      </c>
      <c r="V3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97" s="87"/>
    </row>
    <row r="398" spans="1:23" ht="15" customHeight="1" x14ac:dyDescent="0.25">
      <c r="A398" s="150" t="s">
        <v>30</v>
      </c>
      <c r="B398" s="17" t="str">
        <f>VLOOKUP(Data_Discontinuities[[#This Row],[Hole ID]],Data_Log[],2,FALSE)</f>
        <v>CGF-02</v>
      </c>
      <c r="C398" s="8">
        <v>131.78</v>
      </c>
      <c r="D398" s="8">
        <v>1</v>
      </c>
      <c r="E398" s="7" t="s">
        <v>445</v>
      </c>
      <c r="F398" s="7"/>
      <c r="G398" s="7"/>
      <c r="H398" s="118"/>
      <c r="I398" s="7" t="s">
        <v>286</v>
      </c>
      <c r="J398" s="7" t="s">
        <v>320</v>
      </c>
      <c r="K398" s="7" t="s">
        <v>354</v>
      </c>
      <c r="L398" s="7"/>
      <c r="M398" s="7"/>
      <c r="N398" s="7"/>
      <c r="O398" s="84" t="str" cm="1">
        <f t="array" ref="O398">_xlfn.XLOOKUP(1,(A398=Geotech!$A$4:$A$10094)*(Data_Discontinuities[[#This Row],[Depth (m)]]&gt;=Geotech!$C$4:$C$10094)*(Data_Discontinuities[[#This Row],[Depth (m)]]&lt;Geotech!$D$4:$D$10094),Geotech!$M$4:$M$10094)</f>
        <v>Basalt</v>
      </c>
      <c r="P398" s="84"/>
      <c r="Q398" s="84"/>
      <c r="R398" s="84"/>
      <c r="S3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398" s="71">
        <f>IFERROR(Data_Discontinuities[[#This Row],[Joint roughness]]/Data_Discontinuities[[#This Row],[Joint alteration]],"")</f>
        <v>1</v>
      </c>
      <c r="V3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398" s="87"/>
    </row>
    <row r="399" spans="1:23" ht="15" customHeight="1" x14ac:dyDescent="0.25">
      <c r="A399" s="150" t="s">
        <v>30</v>
      </c>
      <c r="B399" s="17" t="str">
        <f>VLOOKUP(Data_Discontinuities[[#This Row],[Hole ID]],Data_Log[],2,FALSE)</f>
        <v>CGF-02</v>
      </c>
      <c r="C399" s="8">
        <v>132.69999999999999</v>
      </c>
      <c r="D399" s="8">
        <v>1</v>
      </c>
      <c r="E399" s="7" t="s">
        <v>445</v>
      </c>
      <c r="F399" s="7"/>
      <c r="G399" s="7"/>
      <c r="H399" s="118"/>
      <c r="I399" s="7" t="s">
        <v>286</v>
      </c>
      <c r="J399" s="7" t="s">
        <v>320</v>
      </c>
      <c r="K399" s="7" t="s">
        <v>382</v>
      </c>
      <c r="L399" s="7" t="s">
        <v>447</v>
      </c>
      <c r="M399" s="7"/>
      <c r="N399" s="7"/>
      <c r="O399" s="84" t="str" cm="1">
        <f t="array" ref="O399">_xlfn.XLOOKUP(1,(A399=Geotech!$A$4:$A$10094)*(Data_Discontinuities[[#This Row],[Depth (m)]]&gt;=Geotech!$C$4:$C$10094)*(Data_Discontinuities[[#This Row],[Depth (m)]]&lt;Geotech!$D$4:$D$10094),Geotech!$M$4:$M$10094)</f>
        <v>Basalt</v>
      </c>
      <c r="P399" s="84"/>
      <c r="Q399" s="84"/>
      <c r="R399" s="84"/>
      <c r="S3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3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399" s="71">
        <f>IFERROR(Data_Discontinuities[[#This Row],[Joint roughness]]/Data_Discontinuities[[#This Row],[Joint alteration]],"")</f>
        <v>0.66666666666666663</v>
      </c>
      <c r="V3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399" s="87"/>
    </row>
    <row r="400" spans="1:23" ht="15" customHeight="1" x14ac:dyDescent="0.25">
      <c r="A400" s="150" t="s">
        <v>30</v>
      </c>
      <c r="B400" s="17" t="str">
        <f>VLOOKUP(Data_Discontinuities[[#This Row],[Hole ID]],Data_Log[],2,FALSE)</f>
        <v>CGF-02</v>
      </c>
      <c r="C400" s="8">
        <v>133.22999999999999</v>
      </c>
      <c r="D400" s="8">
        <v>1</v>
      </c>
      <c r="E400" s="7" t="s">
        <v>445</v>
      </c>
      <c r="F400" s="7"/>
      <c r="G400" s="7"/>
      <c r="H400" s="118"/>
      <c r="I400" s="7" t="s">
        <v>286</v>
      </c>
      <c r="J400" s="7" t="s">
        <v>288</v>
      </c>
      <c r="K400" s="7" t="s">
        <v>354</v>
      </c>
      <c r="L400" s="7"/>
      <c r="M400" s="7"/>
      <c r="N400" s="7"/>
      <c r="O400" s="84" t="str" cm="1">
        <f t="array" ref="O400">_xlfn.XLOOKUP(1,(A400=Geotech!$A$4:$A$10094)*(Data_Discontinuities[[#This Row],[Depth (m)]]&gt;=Geotech!$C$4:$C$10094)*(Data_Discontinuities[[#This Row],[Depth (m)]]&lt;Geotech!$D$4:$D$10094),Geotech!$M$4:$M$10094)</f>
        <v>Basalt</v>
      </c>
      <c r="P400" s="84"/>
      <c r="Q400" s="84"/>
      <c r="R400" s="84"/>
      <c r="S4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00" s="71">
        <f>IFERROR(Data_Discontinuities[[#This Row],[Joint roughness]]/Data_Discontinuities[[#This Row],[Joint alteration]],"")</f>
        <v>0.75</v>
      </c>
      <c r="V4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00" s="87"/>
    </row>
    <row r="401" spans="1:23" ht="15" customHeight="1" x14ac:dyDescent="0.25">
      <c r="A401" s="150" t="s">
        <v>30</v>
      </c>
      <c r="B401" s="17" t="str">
        <f>VLOOKUP(Data_Discontinuities[[#This Row],[Hole ID]],Data_Log[],2,FALSE)</f>
        <v>CGF-02</v>
      </c>
      <c r="C401" s="8">
        <v>134.19999999999999</v>
      </c>
      <c r="D401" s="8">
        <v>1</v>
      </c>
      <c r="E401" s="7" t="s">
        <v>445</v>
      </c>
      <c r="F401" s="7"/>
      <c r="G401" s="7"/>
      <c r="H401" s="118"/>
      <c r="I401" s="7" t="s">
        <v>286</v>
      </c>
      <c r="J401" s="7" t="s">
        <v>352</v>
      </c>
      <c r="K401" s="7" t="s">
        <v>406</v>
      </c>
      <c r="L401" s="7" t="s">
        <v>447</v>
      </c>
      <c r="M401" s="7" t="s">
        <v>437</v>
      </c>
      <c r="N401" s="7"/>
      <c r="O401" s="84" t="str" cm="1">
        <f t="array" ref="O401">_xlfn.XLOOKUP(1,(A401=Geotech!$A$4:$A$10094)*(Data_Discontinuities[[#This Row],[Depth (m)]]&gt;=Geotech!$C$4:$C$10094)*(Data_Discontinuities[[#This Row],[Depth (m)]]&lt;Geotech!$D$4:$D$10094),Geotech!$M$4:$M$10094)</f>
        <v>Basalt</v>
      </c>
      <c r="P401" s="84"/>
      <c r="Q401" s="84"/>
      <c r="R401" s="84"/>
      <c r="S4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01" s="71">
        <f>IFERROR(Data_Discontinuities[[#This Row],[Joint roughness]]/Data_Discontinuities[[#This Row],[Joint alteration]],"")</f>
        <v>1</v>
      </c>
      <c r="V4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1" s="87"/>
    </row>
    <row r="402" spans="1:23" ht="15" customHeight="1" x14ac:dyDescent="0.25">
      <c r="A402" s="150" t="s">
        <v>30</v>
      </c>
      <c r="B402" s="17" t="str">
        <f>VLOOKUP(Data_Discontinuities[[#This Row],[Hole ID]],Data_Log[],2,FALSE)</f>
        <v>CGF-02</v>
      </c>
      <c r="C402" s="8">
        <v>134.97</v>
      </c>
      <c r="D402" s="8">
        <v>1</v>
      </c>
      <c r="E402" s="7" t="s">
        <v>445</v>
      </c>
      <c r="F402" s="7"/>
      <c r="G402" s="7"/>
      <c r="H402" s="118"/>
      <c r="I402" s="7" t="s">
        <v>318</v>
      </c>
      <c r="J402" s="7" t="s">
        <v>320</v>
      </c>
      <c r="K402" s="7" t="s">
        <v>322</v>
      </c>
      <c r="L402" s="7"/>
      <c r="M402" s="7"/>
      <c r="N402" s="7"/>
      <c r="O402" s="84" t="str" cm="1">
        <f t="array" ref="O402">_xlfn.XLOOKUP(1,(A402=Geotech!$A$4:$A$10094)*(Data_Discontinuities[[#This Row],[Depth (m)]]&gt;=Geotech!$C$4:$C$10094)*(Data_Discontinuities[[#This Row],[Depth (m)]]&lt;Geotech!$D$4:$D$10094),Geotech!$M$4:$M$10094)</f>
        <v>Basalt</v>
      </c>
      <c r="P402" s="84"/>
      <c r="Q402" s="84"/>
      <c r="R402" s="84"/>
      <c r="S40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0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02" s="71">
        <f>IFERROR(Data_Discontinuities[[#This Row],[Joint roughness]]/Data_Discontinuities[[#This Row],[Joint alteration]],"")</f>
        <v>2</v>
      </c>
      <c r="V40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2" s="87"/>
    </row>
    <row r="403" spans="1:23" ht="15" customHeight="1" x14ac:dyDescent="0.25">
      <c r="A403" s="150" t="s">
        <v>30</v>
      </c>
      <c r="B403" s="17" t="str">
        <f>VLOOKUP(Data_Discontinuities[[#This Row],[Hole ID]],Data_Log[],2,FALSE)</f>
        <v>CGF-02</v>
      </c>
      <c r="C403" s="8">
        <v>135.19999999999999</v>
      </c>
      <c r="D403" s="8">
        <v>1</v>
      </c>
      <c r="E403" s="7" t="s">
        <v>445</v>
      </c>
      <c r="F403" s="7"/>
      <c r="G403" s="7"/>
      <c r="H403" s="118"/>
      <c r="I403" s="7" t="s">
        <v>286</v>
      </c>
      <c r="J403" s="7" t="s">
        <v>320</v>
      </c>
      <c r="K403" s="7" t="s">
        <v>322</v>
      </c>
      <c r="L403" s="7"/>
      <c r="M403" s="7"/>
      <c r="N403" s="7"/>
      <c r="O403" s="84" t="str" cm="1">
        <f t="array" ref="O403">_xlfn.XLOOKUP(1,(A403=Geotech!$A$4:$A$10094)*(Data_Discontinuities[[#This Row],[Depth (m)]]&gt;=Geotech!$C$4:$C$10094)*(Data_Discontinuities[[#This Row],[Depth (m)]]&lt;Geotech!$D$4:$D$10094),Geotech!$M$4:$M$10094)</f>
        <v>Basalt</v>
      </c>
      <c r="P403" s="84"/>
      <c r="Q403" s="84"/>
      <c r="R403" s="84"/>
      <c r="S4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03" s="71">
        <f>IFERROR(Data_Discontinuities[[#This Row],[Joint roughness]]/Data_Discontinuities[[#This Row],[Joint alteration]],"")</f>
        <v>2</v>
      </c>
      <c r="V4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3" s="87"/>
    </row>
    <row r="404" spans="1:23" ht="15" customHeight="1" x14ac:dyDescent="0.25">
      <c r="A404" s="150" t="s">
        <v>30</v>
      </c>
      <c r="B404" s="17" t="str">
        <f>VLOOKUP(Data_Discontinuities[[#This Row],[Hole ID]],Data_Log[],2,FALSE)</f>
        <v>CGF-02</v>
      </c>
      <c r="C404" s="8">
        <v>135.81</v>
      </c>
      <c r="D404" s="8">
        <v>1</v>
      </c>
      <c r="E404" s="7" t="s">
        <v>445</v>
      </c>
      <c r="F404" s="7"/>
      <c r="G404" s="7"/>
      <c r="H404" s="118"/>
      <c r="I404" s="7" t="s">
        <v>318</v>
      </c>
      <c r="J404" s="7" t="s">
        <v>288</v>
      </c>
      <c r="K404" s="7" t="s">
        <v>354</v>
      </c>
      <c r="L404" s="7"/>
      <c r="M404" s="7"/>
      <c r="N404" s="7"/>
      <c r="O404" s="84" t="str" cm="1">
        <f t="array" ref="O404">_xlfn.XLOOKUP(1,(A404=Geotech!$A$4:$A$10094)*(Data_Discontinuities[[#This Row],[Depth (m)]]&gt;=Geotech!$C$4:$C$10094)*(Data_Discontinuities[[#This Row],[Depth (m)]]&lt;Geotech!$D$4:$D$10094),Geotech!$M$4:$M$10094)</f>
        <v>Basalt</v>
      </c>
      <c r="P404" s="84"/>
      <c r="Q404" s="84"/>
      <c r="R404" s="84"/>
      <c r="S40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0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04" s="71">
        <f>IFERROR(Data_Discontinuities[[#This Row],[Joint roughness]]/Data_Discontinuities[[#This Row],[Joint alteration]],"")</f>
        <v>0.75</v>
      </c>
      <c r="V40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04" s="87"/>
    </row>
    <row r="405" spans="1:23" ht="15" customHeight="1" x14ac:dyDescent="0.25">
      <c r="A405" s="150" t="s">
        <v>30</v>
      </c>
      <c r="B405" s="17" t="str">
        <f>VLOOKUP(Data_Discontinuities[[#This Row],[Hole ID]],Data_Log[],2,FALSE)</f>
        <v>CGF-02</v>
      </c>
      <c r="C405" s="8">
        <v>137.08000000000001</v>
      </c>
      <c r="D405" s="8">
        <v>1</v>
      </c>
      <c r="E405" s="7" t="s">
        <v>445</v>
      </c>
      <c r="F405" s="7"/>
      <c r="G405" s="7"/>
      <c r="H405" s="118"/>
      <c r="I405" s="7" t="s">
        <v>286</v>
      </c>
      <c r="J405" s="7" t="s">
        <v>320</v>
      </c>
      <c r="K405" s="7" t="s">
        <v>322</v>
      </c>
      <c r="L405" s="7"/>
      <c r="M405" s="7"/>
      <c r="N405" s="7"/>
      <c r="O405" s="84" t="str" cm="1">
        <f t="array" ref="O405">_xlfn.XLOOKUP(1,(A405=Geotech!$A$4:$A$10094)*(Data_Discontinuities[[#This Row],[Depth (m)]]&gt;=Geotech!$C$4:$C$10094)*(Data_Discontinuities[[#This Row],[Depth (m)]]&lt;Geotech!$D$4:$D$10094),Geotech!$M$4:$M$10094)</f>
        <v>Basalt</v>
      </c>
      <c r="P405" s="84"/>
      <c r="Q405" s="84"/>
      <c r="R405" s="84"/>
      <c r="S4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05" s="71">
        <f>IFERROR(Data_Discontinuities[[#This Row],[Joint roughness]]/Data_Discontinuities[[#This Row],[Joint alteration]],"")</f>
        <v>2</v>
      </c>
      <c r="V4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5" s="87"/>
    </row>
    <row r="406" spans="1:23" ht="15" customHeight="1" x14ac:dyDescent="0.25">
      <c r="A406" s="150" t="s">
        <v>30</v>
      </c>
      <c r="B406" s="17" t="str">
        <f>VLOOKUP(Data_Discontinuities[[#This Row],[Hole ID]],Data_Log[],2,FALSE)</f>
        <v>CGF-02</v>
      </c>
      <c r="C406" s="8">
        <v>138.63999999999999</v>
      </c>
      <c r="D406" s="8">
        <v>1</v>
      </c>
      <c r="E406" s="7" t="s">
        <v>445</v>
      </c>
      <c r="F406" s="7"/>
      <c r="G406" s="7"/>
      <c r="H406" s="118"/>
      <c r="I406" s="7" t="s">
        <v>322</v>
      </c>
      <c r="J406" s="7" t="s">
        <v>352</v>
      </c>
      <c r="K406" s="7" t="s">
        <v>382</v>
      </c>
      <c r="L406" s="7" t="s">
        <v>447</v>
      </c>
      <c r="M406" s="7"/>
      <c r="N406" s="7"/>
      <c r="O406" s="84" t="str" cm="1">
        <f t="array" ref="O406">_xlfn.XLOOKUP(1,(A406=Geotech!$A$4:$A$10094)*(Data_Discontinuities[[#This Row],[Depth (m)]]&gt;=Geotech!$C$4:$C$10094)*(Data_Discontinuities[[#This Row],[Depth (m)]]&lt;Geotech!$D$4:$D$10094),Geotech!$M$4:$M$10094)</f>
        <v>Basalt</v>
      </c>
      <c r="P406" s="84"/>
      <c r="Q406" s="84"/>
      <c r="R406" s="84"/>
      <c r="S4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06" s="71">
        <f>IFERROR(Data_Discontinuities[[#This Row],[Joint roughness]]/Data_Discontinuities[[#This Row],[Joint alteration]],"")</f>
        <v>1</v>
      </c>
      <c r="V4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6" s="87"/>
    </row>
    <row r="407" spans="1:23" ht="15" customHeight="1" x14ac:dyDescent="0.25">
      <c r="A407" s="150" t="s">
        <v>30</v>
      </c>
      <c r="B407" s="17" t="str">
        <f>VLOOKUP(Data_Discontinuities[[#This Row],[Hole ID]],Data_Log[],2,FALSE)</f>
        <v>CGF-02</v>
      </c>
      <c r="C407" s="8">
        <v>139.58000000000001</v>
      </c>
      <c r="D407" s="8">
        <v>1</v>
      </c>
      <c r="E407" s="7" t="s">
        <v>420</v>
      </c>
      <c r="F407" s="7"/>
      <c r="G407" s="7"/>
      <c r="H407" s="118"/>
      <c r="I407" s="7" t="s">
        <v>318</v>
      </c>
      <c r="J407" s="7" t="s">
        <v>352</v>
      </c>
      <c r="K407" s="7" t="s">
        <v>382</v>
      </c>
      <c r="L407" s="7" t="s">
        <v>447</v>
      </c>
      <c r="M407" s="7"/>
      <c r="N407" s="7"/>
      <c r="O407" s="84" t="str" cm="1">
        <f t="array" ref="O407">_xlfn.XLOOKUP(1,(A407=Geotech!$A$4:$A$10094)*(Data_Discontinuities[[#This Row],[Depth (m)]]&gt;=Geotech!$C$4:$C$10094)*(Data_Discontinuities[[#This Row],[Depth (m)]]&lt;Geotech!$D$4:$D$10094),Geotech!$M$4:$M$10094)</f>
        <v>Basalt</v>
      </c>
      <c r="P407" s="84"/>
      <c r="Q407" s="84"/>
      <c r="R407" s="84"/>
      <c r="S4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07" s="71">
        <f>IFERROR(Data_Discontinuities[[#This Row],[Joint roughness]]/Data_Discontinuities[[#This Row],[Joint alteration]],"")</f>
        <v>1</v>
      </c>
      <c r="V4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07" s="87"/>
    </row>
    <row r="408" spans="1:23" ht="15" customHeight="1" x14ac:dyDescent="0.25">
      <c r="A408" s="150" t="s">
        <v>30</v>
      </c>
      <c r="B408" s="17" t="str">
        <f>VLOOKUP(Data_Discontinuities[[#This Row],[Hole ID]],Data_Log[],2,FALSE)</f>
        <v>CGF-02</v>
      </c>
      <c r="C408" s="8">
        <v>139.72</v>
      </c>
      <c r="D408" s="8">
        <v>1</v>
      </c>
      <c r="E408" s="7" t="s">
        <v>348</v>
      </c>
      <c r="F408" s="7"/>
      <c r="G408" s="7"/>
      <c r="H408" s="118"/>
      <c r="I408" s="7" t="s">
        <v>318</v>
      </c>
      <c r="J408" s="7" t="s">
        <v>352</v>
      </c>
      <c r="K408" s="7" t="s">
        <v>354</v>
      </c>
      <c r="L408" s="7"/>
      <c r="M408" s="7"/>
      <c r="N408" s="7"/>
      <c r="O408" s="84" t="str" cm="1">
        <f t="array" ref="O408">_xlfn.XLOOKUP(1,(A408=Geotech!$A$4:$A$10094)*(Data_Discontinuities[[#This Row],[Depth (m)]]&gt;=Geotech!$C$4:$C$10094)*(Data_Discontinuities[[#This Row],[Depth (m)]]&lt;Geotech!$D$4:$D$10094),Geotech!$M$4:$M$10094)</f>
        <v>Boulamarque granodiorite</v>
      </c>
      <c r="P408" s="84"/>
      <c r="Q408" s="84"/>
      <c r="R408" s="84"/>
      <c r="S4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08" s="71">
        <f>IFERROR(Data_Discontinuities[[#This Row],[Joint roughness]]/Data_Discontinuities[[#This Row],[Joint alteration]],"")</f>
        <v>1.5</v>
      </c>
      <c r="V4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08" s="87"/>
    </row>
    <row r="409" spans="1:23" ht="15" customHeight="1" x14ac:dyDescent="0.25">
      <c r="A409" s="150" t="s">
        <v>30</v>
      </c>
      <c r="B409" s="17" t="str">
        <f>VLOOKUP(Data_Discontinuities[[#This Row],[Hole ID]],Data_Log[],2,FALSE)</f>
        <v>CGF-02</v>
      </c>
      <c r="C409" s="8">
        <v>140.56</v>
      </c>
      <c r="D409" s="8">
        <v>1</v>
      </c>
      <c r="E409" s="7" t="s">
        <v>445</v>
      </c>
      <c r="F409" s="7"/>
      <c r="G409" s="7"/>
      <c r="H409" s="118"/>
      <c r="I409" s="7" t="s">
        <v>251</v>
      </c>
      <c r="J409" s="7" t="s">
        <v>320</v>
      </c>
      <c r="K409" s="7" t="s">
        <v>322</v>
      </c>
      <c r="L409" s="7"/>
      <c r="M409" s="7"/>
      <c r="N409" s="7"/>
      <c r="O409" s="84" t="str" cm="1">
        <f t="array" ref="O409">_xlfn.XLOOKUP(1,(A409=Geotech!$A$4:$A$10094)*(Data_Discontinuities[[#This Row],[Depth (m)]]&gt;=Geotech!$C$4:$C$10094)*(Data_Discontinuities[[#This Row],[Depth (m)]]&lt;Geotech!$D$4:$D$10094),Geotech!$M$4:$M$10094)</f>
        <v>Boulamarque granodiorite</v>
      </c>
      <c r="P409" s="84"/>
      <c r="Q409" s="84"/>
      <c r="R409" s="84"/>
      <c r="S4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09" s="71">
        <f>IFERROR(Data_Discontinuities[[#This Row],[Joint roughness]]/Data_Discontinuities[[#This Row],[Joint alteration]],"")</f>
        <v>1</v>
      </c>
      <c r="V4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09" s="87"/>
    </row>
    <row r="410" spans="1:23" ht="15" customHeight="1" x14ac:dyDescent="0.25">
      <c r="A410" s="150" t="s">
        <v>30</v>
      </c>
      <c r="B410" s="17" t="str">
        <f>VLOOKUP(Data_Discontinuities[[#This Row],[Hole ID]],Data_Log[],2,FALSE)</f>
        <v>CGF-02</v>
      </c>
      <c r="C410" s="8">
        <v>140.62</v>
      </c>
      <c r="D410" s="8">
        <v>1</v>
      </c>
      <c r="E410" s="7" t="s">
        <v>445</v>
      </c>
      <c r="F410" s="7"/>
      <c r="G410" s="7"/>
      <c r="H410" s="118"/>
      <c r="I410" s="7" t="s">
        <v>251</v>
      </c>
      <c r="J410" s="7" t="s">
        <v>320</v>
      </c>
      <c r="K410" s="7" t="s">
        <v>322</v>
      </c>
      <c r="L410" s="7"/>
      <c r="M410" s="7"/>
      <c r="N410" s="7"/>
      <c r="O410" s="84" t="str" cm="1">
        <f t="array" ref="O410">_xlfn.XLOOKUP(1,(A410=Geotech!$A$4:$A$10094)*(Data_Discontinuities[[#This Row],[Depth (m)]]&gt;=Geotech!$C$4:$C$10094)*(Data_Discontinuities[[#This Row],[Depth (m)]]&lt;Geotech!$D$4:$D$10094),Geotech!$M$4:$M$10094)</f>
        <v>Boulamarque granodiorite</v>
      </c>
      <c r="P410" s="84"/>
      <c r="Q410" s="84"/>
      <c r="R410" s="84"/>
      <c r="S4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10" s="71">
        <f>IFERROR(Data_Discontinuities[[#This Row],[Joint roughness]]/Data_Discontinuities[[#This Row],[Joint alteration]],"")</f>
        <v>1</v>
      </c>
      <c r="V4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0" s="87"/>
    </row>
    <row r="411" spans="1:23" ht="15" customHeight="1" x14ac:dyDescent="0.25">
      <c r="A411" s="150" t="s">
        <v>30</v>
      </c>
      <c r="B411" s="17" t="str">
        <f>VLOOKUP(Data_Discontinuities[[#This Row],[Hole ID]],Data_Log[],2,FALSE)</f>
        <v>CGF-02</v>
      </c>
      <c r="C411" s="8">
        <v>141.38</v>
      </c>
      <c r="D411" s="8">
        <v>1</v>
      </c>
      <c r="E411" s="7" t="s">
        <v>445</v>
      </c>
      <c r="F411" s="7"/>
      <c r="G411" s="7"/>
      <c r="H411" s="118"/>
      <c r="I411" s="7" t="s">
        <v>286</v>
      </c>
      <c r="J411" s="7" t="s">
        <v>320</v>
      </c>
      <c r="K411" s="7" t="s">
        <v>322</v>
      </c>
      <c r="L411" s="7"/>
      <c r="M411" s="7"/>
      <c r="N411" s="7"/>
      <c r="O411" s="84" t="str" cm="1">
        <f t="array" ref="O411">_xlfn.XLOOKUP(1,(A411=Geotech!$A$4:$A$10094)*(Data_Discontinuities[[#This Row],[Depth (m)]]&gt;=Geotech!$C$4:$C$10094)*(Data_Discontinuities[[#This Row],[Depth (m)]]&lt;Geotech!$D$4:$D$10094),Geotech!$M$4:$M$10094)</f>
        <v>Basalt</v>
      </c>
      <c r="P411" s="84"/>
      <c r="Q411" s="84"/>
      <c r="R411" s="84"/>
      <c r="S4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11" s="71">
        <f>IFERROR(Data_Discontinuities[[#This Row],[Joint roughness]]/Data_Discontinuities[[#This Row],[Joint alteration]],"")</f>
        <v>2</v>
      </c>
      <c r="V4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11" s="87"/>
    </row>
    <row r="412" spans="1:23" ht="15" customHeight="1" x14ac:dyDescent="0.25">
      <c r="A412" s="150" t="s">
        <v>30</v>
      </c>
      <c r="B412" s="17" t="str">
        <f>VLOOKUP(Data_Discontinuities[[#This Row],[Hole ID]],Data_Log[],2,FALSE)</f>
        <v>CGF-02</v>
      </c>
      <c r="C412" s="8">
        <v>141.5</v>
      </c>
      <c r="D412" s="8">
        <v>1</v>
      </c>
      <c r="E412" s="7" t="s">
        <v>348</v>
      </c>
      <c r="F412" s="7"/>
      <c r="G412" s="7"/>
      <c r="H412" s="118"/>
      <c r="I412" s="7" t="s">
        <v>286</v>
      </c>
      <c r="J412" s="7" t="s">
        <v>320</v>
      </c>
      <c r="K412" s="7" t="s">
        <v>382</v>
      </c>
      <c r="L412" s="7" t="s">
        <v>447</v>
      </c>
      <c r="M412" s="7"/>
      <c r="N412" s="7"/>
      <c r="O412" s="84" t="str" cm="1">
        <f t="array" ref="O412">_xlfn.XLOOKUP(1,(A412=Geotech!$A$4:$A$10094)*(Data_Discontinuities[[#This Row],[Depth (m)]]&gt;=Geotech!$C$4:$C$10094)*(Data_Discontinuities[[#This Row],[Depth (m)]]&lt;Geotech!$D$4:$D$10094),Geotech!$M$4:$M$10094)</f>
        <v>Basalt</v>
      </c>
      <c r="P412" s="84"/>
      <c r="Q412" s="84"/>
      <c r="R412" s="84"/>
      <c r="S4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12" s="71">
        <f>IFERROR(Data_Discontinuities[[#This Row],[Joint roughness]]/Data_Discontinuities[[#This Row],[Joint alteration]],"")</f>
        <v>0.66666666666666663</v>
      </c>
      <c r="V4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2" s="87"/>
    </row>
    <row r="413" spans="1:23" ht="15" customHeight="1" x14ac:dyDescent="0.25">
      <c r="A413" s="150" t="s">
        <v>30</v>
      </c>
      <c r="B413" s="17" t="str">
        <f>VLOOKUP(Data_Discontinuities[[#This Row],[Hole ID]],Data_Log[],2,FALSE)</f>
        <v>CGF-02</v>
      </c>
      <c r="C413" s="8">
        <v>141.66999999999999</v>
      </c>
      <c r="D413" s="8">
        <v>1</v>
      </c>
      <c r="E413" s="7" t="s">
        <v>348</v>
      </c>
      <c r="F413" s="7"/>
      <c r="G413" s="7"/>
      <c r="H413" s="118"/>
      <c r="I413" s="7" t="s">
        <v>286</v>
      </c>
      <c r="J413" s="7" t="s">
        <v>288</v>
      </c>
      <c r="K413" s="7" t="s">
        <v>382</v>
      </c>
      <c r="L413" s="7" t="s">
        <v>447</v>
      </c>
      <c r="M413" s="7" t="s">
        <v>437</v>
      </c>
      <c r="N413" s="7"/>
      <c r="O413" s="84" t="str" cm="1">
        <f t="array" ref="O413">_xlfn.XLOOKUP(1,(A413=Geotech!$A$4:$A$10094)*(Data_Discontinuities[[#This Row],[Depth (m)]]&gt;=Geotech!$C$4:$C$10094)*(Data_Discontinuities[[#This Row],[Depth (m)]]&lt;Geotech!$D$4:$D$10094),Geotech!$M$4:$M$10094)</f>
        <v>Basalt</v>
      </c>
      <c r="P413" s="84"/>
      <c r="Q413" s="84"/>
      <c r="R413" s="84"/>
      <c r="S4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13" s="71">
        <f>IFERROR(Data_Discontinuities[[#This Row],[Joint roughness]]/Data_Discontinuities[[#This Row],[Joint alteration]],"")</f>
        <v>0.5</v>
      </c>
      <c r="V4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13" s="87"/>
    </row>
    <row r="414" spans="1:23" ht="15" customHeight="1" x14ac:dyDescent="0.25">
      <c r="A414" s="150" t="s">
        <v>30</v>
      </c>
      <c r="B414" s="17" t="str">
        <f>VLOOKUP(Data_Discontinuities[[#This Row],[Hole ID]],Data_Log[],2,FALSE)</f>
        <v>CGF-02</v>
      </c>
      <c r="C414" s="8">
        <v>141.72999999999999</v>
      </c>
      <c r="D414" s="8">
        <v>1</v>
      </c>
      <c r="E414" s="7" t="s">
        <v>445</v>
      </c>
      <c r="F414" s="7"/>
      <c r="G414" s="7"/>
      <c r="H414" s="118"/>
      <c r="I414" s="7" t="s">
        <v>251</v>
      </c>
      <c r="J414" s="7" t="s">
        <v>320</v>
      </c>
      <c r="K414" s="7" t="s">
        <v>322</v>
      </c>
      <c r="L414" s="7"/>
      <c r="M414" s="7"/>
      <c r="N414" s="7"/>
      <c r="O414" s="84" t="str" cm="1">
        <f t="array" ref="O414">_xlfn.XLOOKUP(1,(A414=Geotech!$A$4:$A$10094)*(Data_Discontinuities[[#This Row],[Depth (m)]]&gt;=Geotech!$C$4:$C$10094)*(Data_Discontinuities[[#This Row],[Depth (m)]]&lt;Geotech!$D$4:$D$10094),Geotech!$M$4:$M$10094)</f>
        <v>Basalt</v>
      </c>
      <c r="P414" s="84"/>
      <c r="Q414" s="84"/>
      <c r="R414" s="84"/>
      <c r="S4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14" s="71">
        <f>IFERROR(Data_Discontinuities[[#This Row],[Joint roughness]]/Data_Discontinuities[[#This Row],[Joint alteration]],"")</f>
        <v>1</v>
      </c>
      <c r="V4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4" s="87"/>
    </row>
    <row r="415" spans="1:23" ht="15" customHeight="1" x14ac:dyDescent="0.25">
      <c r="A415" s="150" t="s">
        <v>30</v>
      </c>
      <c r="B415" s="17" t="str">
        <f>VLOOKUP(Data_Discontinuities[[#This Row],[Hole ID]],Data_Log[],2,FALSE)</f>
        <v>CGF-02</v>
      </c>
      <c r="C415" s="8">
        <v>142.56</v>
      </c>
      <c r="D415" s="8">
        <v>1</v>
      </c>
      <c r="E415" s="7" t="s">
        <v>445</v>
      </c>
      <c r="F415" s="7"/>
      <c r="G415" s="7"/>
      <c r="H415" s="118"/>
      <c r="I415" s="7" t="s">
        <v>318</v>
      </c>
      <c r="J415" s="7" t="s">
        <v>320</v>
      </c>
      <c r="K415" s="7" t="s">
        <v>382</v>
      </c>
      <c r="L415" s="7" t="s">
        <v>437</v>
      </c>
      <c r="M415" s="7" t="s">
        <v>447</v>
      </c>
      <c r="N415" s="7"/>
      <c r="O415" s="84" t="str" cm="1">
        <f t="array" ref="O415">_xlfn.XLOOKUP(1,(A415=Geotech!$A$4:$A$10094)*(Data_Discontinuities[[#This Row],[Depth (m)]]&gt;=Geotech!$C$4:$C$10094)*(Data_Discontinuities[[#This Row],[Depth (m)]]&lt;Geotech!$D$4:$D$10094),Geotech!$M$4:$M$10094)</f>
        <v>Basalt</v>
      </c>
      <c r="P415" s="84"/>
      <c r="Q415" s="84"/>
      <c r="R415" s="84"/>
      <c r="S4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15" s="71">
        <f>IFERROR(Data_Discontinuities[[#This Row],[Joint roughness]]/Data_Discontinuities[[#This Row],[Joint alteration]],"")</f>
        <v>0.5</v>
      </c>
      <c r="V4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5" s="87"/>
    </row>
    <row r="416" spans="1:23" ht="15" customHeight="1" x14ac:dyDescent="0.25">
      <c r="A416" s="150" t="s">
        <v>30</v>
      </c>
      <c r="B416" s="17" t="str">
        <f>VLOOKUP(Data_Discontinuities[[#This Row],[Hole ID]],Data_Log[],2,FALSE)</f>
        <v>CGF-02</v>
      </c>
      <c r="C416" s="8">
        <v>143.85</v>
      </c>
      <c r="D416" s="8">
        <v>1</v>
      </c>
      <c r="E416" s="7" t="s">
        <v>445</v>
      </c>
      <c r="F416" s="7"/>
      <c r="G416" s="7"/>
      <c r="H416" s="118"/>
      <c r="I416" s="7" t="s">
        <v>318</v>
      </c>
      <c r="J416" s="7" t="s">
        <v>320</v>
      </c>
      <c r="K416" s="7" t="s">
        <v>382</v>
      </c>
      <c r="L416" s="7" t="s">
        <v>437</v>
      </c>
      <c r="M416" s="7" t="s">
        <v>447</v>
      </c>
      <c r="N416" s="7"/>
      <c r="O416" s="84" t="str" cm="1">
        <f t="array" ref="O416">_xlfn.XLOOKUP(1,(A416=Geotech!$A$4:$A$10094)*(Data_Discontinuities[[#This Row],[Depth (m)]]&gt;=Geotech!$C$4:$C$10094)*(Data_Discontinuities[[#This Row],[Depth (m)]]&lt;Geotech!$D$4:$D$10094),Geotech!$M$4:$M$10094)</f>
        <v>Basalt</v>
      </c>
      <c r="P416" s="84"/>
      <c r="Q416" s="84"/>
      <c r="R416" s="84"/>
      <c r="S4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16" s="71">
        <f>IFERROR(Data_Discontinuities[[#This Row],[Joint roughness]]/Data_Discontinuities[[#This Row],[Joint alteration]],"")</f>
        <v>0.5</v>
      </c>
      <c r="V4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6" s="87"/>
    </row>
    <row r="417" spans="1:23" ht="15" customHeight="1" x14ac:dyDescent="0.25">
      <c r="A417" s="150" t="s">
        <v>30</v>
      </c>
      <c r="B417" s="17" t="str">
        <f>VLOOKUP(Data_Discontinuities[[#This Row],[Hole ID]],Data_Log[],2,FALSE)</f>
        <v>CGF-02</v>
      </c>
      <c r="C417" s="8">
        <v>144.31</v>
      </c>
      <c r="D417" s="8">
        <v>1</v>
      </c>
      <c r="E417" s="7" t="s">
        <v>445</v>
      </c>
      <c r="F417" s="7"/>
      <c r="G417" s="7"/>
      <c r="H417" s="118"/>
      <c r="I417" s="7" t="s">
        <v>251</v>
      </c>
      <c r="J417" s="7" t="s">
        <v>352</v>
      </c>
      <c r="K417" s="7" t="s">
        <v>354</v>
      </c>
      <c r="L417" s="7"/>
      <c r="M417" s="7"/>
      <c r="N417" s="7"/>
      <c r="O417" s="84" t="str" cm="1">
        <f t="array" ref="O417">_xlfn.XLOOKUP(1,(A417=Geotech!$A$4:$A$10094)*(Data_Discontinuities[[#This Row],[Depth (m)]]&gt;=Geotech!$C$4:$C$10094)*(Data_Discontinuities[[#This Row],[Depth (m)]]&lt;Geotech!$D$4:$D$10094),Geotech!$M$4:$M$10094)</f>
        <v>Boulamarque granodiorite</v>
      </c>
      <c r="P417" s="84"/>
      <c r="Q417" s="84"/>
      <c r="R417" s="84"/>
      <c r="S4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17" s="71">
        <f>IFERROR(Data_Discontinuities[[#This Row],[Joint roughness]]/Data_Discontinuities[[#This Row],[Joint alteration]],"")</f>
        <v>0.75</v>
      </c>
      <c r="V4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17" s="87"/>
    </row>
    <row r="418" spans="1:23" ht="15" customHeight="1" x14ac:dyDescent="0.25">
      <c r="A418" s="150" t="s">
        <v>30</v>
      </c>
      <c r="B418" s="17" t="str">
        <f>VLOOKUP(Data_Discontinuities[[#This Row],[Hole ID]],Data_Log[],2,FALSE)</f>
        <v>CGF-02</v>
      </c>
      <c r="C418" s="8">
        <v>146.51</v>
      </c>
      <c r="D418" s="8">
        <v>1</v>
      </c>
      <c r="E418" s="7" t="s">
        <v>445</v>
      </c>
      <c r="F418" s="7"/>
      <c r="G418" s="7"/>
      <c r="H418" s="118"/>
      <c r="I418" s="7" t="s">
        <v>251</v>
      </c>
      <c r="J418" s="7" t="s">
        <v>320</v>
      </c>
      <c r="K418" s="7" t="s">
        <v>382</v>
      </c>
      <c r="L418" s="7" t="s">
        <v>546</v>
      </c>
      <c r="M418" s="7" t="s">
        <v>447</v>
      </c>
      <c r="N418" s="7"/>
      <c r="O418" s="84" t="str" cm="1">
        <f t="array" ref="O418">_xlfn.XLOOKUP(1,(A418=Geotech!$A$4:$A$10094)*(Data_Discontinuities[[#This Row],[Depth (m)]]&gt;=Geotech!$C$4:$C$10094)*(Data_Discontinuities[[#This Row],[Depth (m)]]&lt;Geotech!$D$4:$D$10094),Geotech!$M$4:$M$10094)</f>
        <v>Basalt</v>
      </c>
      <c r="P418" s="84"/>
      <c r="Q418" s="84"/>
      <c r="R418" s="84"/>
      <c r="S4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4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18" s="71">
        <f>IFERROR(Data_Discontinuities[[#This Row],[Joint roughness]]/Data_Discontinuities[[#This Row],[Joint alteration]],"")</f>
        <v>0.25</v>
      </c>
      <c r="V4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18" s="87"/>
    </row>
    <row r="419" spans="1:23" ht="15" customHeight="1" x14ac:dyDescent="0.25">
      <c r="A419" s="150" t="s">
        <v>30</v>
      </c>
      <c r="B419" s="17" t="str">
        <f>VLOOKUP(Data_Discontinuities[[#This Row],[Hole ID]],Data_Log[],2,FALSE)</f>
        <v>CGF-02</v>
      </c>
      <c r="C419" s="8">
        <v>146.71</v>
      </c>
      <c r="D419" s="8">
        <v>1</v>
      </c>
      <c r="E419" s="7" t="s">
        <v>420</v>
      </c>
      <c r="F419" s="7"/>
      <c r="G419" s="7"/>
      <c r="H419" s="118"/>
      <c r="I419" s="7" t="s">
        <v>286</v>
      </c>
      <c r="J419" s="7" t="s">
        <v>352</v>
      </c>
      <c r="K419" s="7" t="s">
        <v>354</v>
      </c>
      <c r="L419" s="7"/>
      <c r="M419" s="7"/>
      <c r="N419" s="7"/>
      <c r="O419" s="84" t="str" cm="1">
        <f t="array" ref="O419">_xlfn.XLOOKUP(1,(A419=Geotech!$A$4:$A$10094)*(Data_Discontinuities[[#This Row],[Depth (m)]]&gt;=Geotech!$C$4:$C$10094)*(Data_Discontinuities[[#This Row],[Depth (m)]]&lt;Geotech!$D$4:$D$10094),Geotech!$M$4:$M$10094)</f>
        <v>Basalt</v>
      </c>
      <c r="P419" s="84"/>
      <c r="Q419" s="84"/>
      <c r="R419" s="84"/>
      <c r="S4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19" s="71">
        <f>IFERROR(Data_Discontinuities[[#This Row],[Joint roughness]]/Data_Discontinuities[[#This Row],[Joint alteration]],"")</f>
        <v>1.5</v>
      </c>
      <c r="V4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19" s="87"/>
    </row>
    <row r="420" spans="1:23" ht="15" customHeight="1" x14ac:dyDescent="0.25">
      <c r="A420" s="150"/>
      <c r="B420" s="17" t="e">
        <f>VLOOKUP(Data_Discontinuities[[#This Row],[Hole ID]],Data_Log[],2,FALSE)</f>
        <v>#N/A</v>
      </c>
      <c r="C420" s="8"/>
      <c r="D420" s="8"/>
      <c r="E420" s="7"/>
      <c r="F420" s="7"/>
      <c r="G420" s="7"/>
      <c r="H420" s="118"/>
      <c r="I420" s="7"/>
      <c r="J420" s="7"/>
      <c r="K420" s="7"/>
      <c r="L420" s="7"/>
      <c r="M420" s="7"/>
      <c r="N420" s="7"/>
      <c r="O420" s="84" t="e" cm="1">
        <f t="array" ref="O420">_xlfn.XLOOKUP(1,(A420=Geotech!$A$4:$A$10094)*(Data_Discontinuities[[#This Row],[Depth (m)]]&gt;=Geotech!$C$4:$C$10094)*(Data_Discontinuities[[#This Row],[Depth (m)]]&lt;Geotech!$D$4:$D$10094),Geotech!$M$4:$M$10094)</f>
        <v>#N/A</v>
      </c>
      <c r="P420" s="84"/>
      <c r="Q420" s="84"/>
      <c r="R420" s="84"/>
      <c r="S4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20" s="71" t="str">
        <f>IFERROR(Data_Discontinuities[[#This Row],[Joint roughness]]/Data_Discontinuities[[#This Row],[Joint alteration]],"")</f>
        <v/>
      </c>
      <c r="V4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20" s="87"/>
    </row>
    <row r="421" spans="1:23" ht="15" customHeight="1" x14ac:dyDescent="0.25">
      <c r="A421" s="150" t="s">
        <v>36</v>
      </c>
      <c r="B421" s="17" t="str">
        <f>VLOOKUP(Data_Discontinuities[[#This Row],[Hole ID]],Data_Log[],2,FALSE)</f>
        <v>CGF-05</v>
      </c>
      <c r="C421" s="8">
        <v>41.08</v>
      </c>
      <c r="D421" s="8">
        <v>1</v>
      </c>
      <c r="E421" s="7" t="s">
        <v>248</v>
      </c>
      <c r="F421" s="7"/>
      <c r="G421" s="7"/>
      <c r="H421" s="118"/>
      <c r="I421" s="7"/>
      <c r="J421" s="7"/>
      <c r="K421" s="7"/>
      <c r="L421" s="7"/>
      <c r="M421" s="7"/>
      <c r="N421" s="7">
        <v>7.0000000000000007E-2</v>
      </c>
      <c r="O421" s="84" t="str" cm="1">
        <f t="array" ref="O421">_xlfn.XLOOKUP(1,(A421=Geotech!$A$4:$A$10094)*(Data_Discontinuities[[#This Row],[Depth (m)]]&gt;=Geotech!$C$4:$C$10094)*(Data_Discontinuities[[#This Row],[Depth (m)]]&lt;Geotech!$D$4:$D$10094),Geotech!$M$4:$M$10094)</f>
        <v>Basalt</v>
      </c>
      <c r="P421" s="84"/>
      <c r="Q421" s="84"/>
      <c r="R421" s="84"/>
      <c r="S4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21" s="71" t="str">
        <f>IFERROR(Data_Discontinuities[[#This Row],[Joint roughness]]/Data_Discontinuities[[#This Row],[Joint alteration]],"")</f>
        <v/>
      </c>
      <c r="V4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21" s="87"/>
    </row>
    <row r="422" spans="1:23" ht="15" customHeight="1" x14ac:dyDescent="0.25">
      <c r="A422" s="150" t="s">
        <v>36</v>
      </c>
      <c r="B422" s="17" t="str">
        <f>VLOOKUP(Data_Discontinuities[[#This Row],[Hole ID]],Data_Log[],2,FALSE)</f>
        <v>CGF-05</v>
      </c>
      <c r="C422" s="8">
        <v>41.22</v>
      </c>
      <c r="D422" s="8">
        <v>1</v>
      </c>
      <c r="E422" s="7" t="s">
        <v>445</v>
      </c>
      <c r="F422" s="7"/>
      <c r="G422" s="7"/>
      <c r="H422" s="118"/>
      <c r="I422" s="7" t="s">
        <v>378</v>
      </c>
      <c r="J422" s="7" t="s">
        <v>320</v>
      </c>
      <c r="K422" s="7" t="s">
        <v>354</v>
      </c>
      <c r="L422" s="7"/>
      <c r="M422" s="7"/>
      <c r="N422" s="7"/>
      <c r="O422" s="84" t="str" cm="1">
        <f t="array" ref="O422">_xlfn.XLOOKUP(1,(A422=Geotech!$A$4:$A$10094)*(Data_Discontinuities[[#This Row],[Depth (m)]]&gt;=Geotech!$C$4:$C$10094)*(Data_Discontinuities[[#This Row],[Depth (m)]]&lt;Geotech!$D$4:$D$10094),Geotech!$M$4:$M$10094)</f>
        <v>Basalt</v>
      </c>
      <c r="P422" s="84"/>
      <c r="Q422" s="84"/>
      <c r="R422" s="84"/>
      <c r="S4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2" s="71">
        <f>IFERROR(Data_Discontinuities[[#This Row],[Joint roughness]]/Data_Discontinuities[[#This Row],[Joint alteration]],"")</f>
        <v>1</v>
      </c>
      <c r="V4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22" s="87"/>
    </row>
    <row r="423" spans="1:23" ht="15" customHeight="1" x14ac:dyDescent="0.25">
      <c r="A423" s="150" t="s">
        <v>36</v>
      </c>
      <c r="B423" s="17" t="str">
        <f>VLOOKUP(Data_Discontinuities[[#This Row],[Hole ID]],Data_Log[],2,FALSE)</f>
        <v>CGF-05</v>
      </c>
      <c r="C423" s="8">
        <v>41.57</v>
      </c>
      <c r="D423" s="8">
        <v>1</v>
      </c>
      <c r="E423" s="7" t="s">
        <v>445</v>
      </c>
      <c r="F423" s="7"/>
      <c r="G423" s="7"/>
      <c r="H423" s="118"/>
      <c r="I423" s="7" t="s">
        <v>286</v>
      </c>
      <c r="J423" s="7" t="s">
        <v>320</v>
      </c>
      <c r="K423" s="7" t="s">
        <v>354</v>
      </c>
      <c r="L423" s="7"/>
      <c r="M423" s="7"/>
      <c r="N423" s="7"/>
      <c r="O423" s="84" t="str" cm="1">
        <f t="array" ref="O423">_xlfn.XLOOKUP(1,(A423=Geotech!$A$4:$A$10094)*(Data_Discontinuities[[#This Row],[Depth (m)]]&gt;=Geotech!$C$4:$C$10094)*(Data_Discontinuities[[#This Row],[Depth (m)]]&lt;Geotech!$D$4:$D$10094),Geotech!$M$4:$M$10094)</f>
        <v>Basalt</v>
      </c>
      <c r="P423" s="84"/>
      <c r="Q423" s="84"/>
      <c r="R423" s="84"/>
      <c r="S4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3" s="71">
        <f>IFERROR(Data_Discontinuities[[#This Row],[Joint roughness]]/Data_Discontinuities[[#This Row],[Joint alteration]],"")</f>
        <v>1</v>
      </c>
      <c r="V4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23" s="87"/>
    </row>
    <row r="424" spans="1:23" ht="15" customHeight="1" x14ac:dyDescent="0.25">
      <c r="A424" s="150" t="s">
        <v>36</v>
      </c>
      <c r="B424" s="17" t="str">
        <f>VLOOKUP(Data_Discontinuities[[#This Row],[Hole ID]],Data_Log[],2,FALSE)</f>
        <v>CGF-05</v>
      </c>
      <c r="C424" s="8">
        <v>41.86</v>
      </c>
      <c r="D424" s="8">
        <v>1</v>
      </c>
      <c r="E424" s="7" t="s">
        <v>445</v>
      </c>
      <c r="F424" s="7"/>
      <c r="G424" s="7"/>
      <c r="H424" s="118"/>
      <c r="I424" s="7" t="s">
        <v>318</v>
      </c>
      <c r="J424" s="7" t="s">
        <v>352</v>
      </c>
      <c r="K424" s="7" t="s">
        <v>354</v>
      </c>
      <c r="L424" s="7"/>
      <c r="M424" s="7"/>
      <c r="N424" s="7"/>
      <c r="O424" s="84" t="str" cm="1">
        <f t="array" ref="O424">_xlfn.XLOOKUP(1,(A424=Geotech!$A$4:$A$10094)*(Data_Discontinuities[[#This Row],[Depth (m)]]&gt;=Geotech!$C$4:$C$10094)*(Data_Discontinuities[[#This Row],[Depth (m)]]&lt;Geotech!$D$4:$D$10094),Geotech!$M$4:$M$10094)</f>
        <v>Basalt</v>
      </c>
      <c r="P424" s="84"/>
      <c r="Q424" s="84"/>
      <c r="R424" s="84"/>
      <c r="S4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4" s="71">
        <f>IFERROR(Data_Discontinuities[[#This Row],[Joint roughness]]/Data_Discontinuities[[#This Row],[Joint alteration]],"")</f>
        <v>1.5</v>
      </c>
      <c r="V4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24" s="87"/>
    </row>
    <row r="425" spans="1:23" ht="15" customHeight="1" x14ac:dyDescent="0.25">
      <c r="A425" s="150" t="s">
        <v>36</v>
      </c>
      <c r="B425" s="17" t="str">
        <f>VLOOKUP(Data_Discontinuities[[#This Row],[Hole ID]],Data_Log[],2,FALSE)</f>
        <v>CGF-05</v>
      </c>
      <c r="C425" s="8">
        <v>42.2</v>
      </c>
      <c r="D425" s="8">
        <v>1</v>
      </c>
      <c r="E425" s="7" t="s">
        <v>248</v>
      </c>
      <c r="F425" s="7"/>
      <c r="G425" s="7"/>
      <c r="H425" s="118"/>
      <c r="I425" s="7"/>
      <c r="J425" s="7"/>
      <c r="K425" s="7"/>
      <c r="L425" s="7"/>
      <c r="M425" s="7"/>
      <c r="N425" s="7">
        <v>0.14000000000000001</v>
      </c>
      <c r="O425" s="84" t="str" cm="1">
        <f t="array" ref="O425">_xlfn.XLOOKUP(1,(A425=Geotech!$A$4:$A$10094)*(Data_Discontinuities[[#This Row],[Depth (m)]]&gt;=Geotech!$C$4:$C$10094)*(Data_Discontinuities[[#This Row],[Depth (m)]]&lt;Geotech!$D$4:$D$10094),Geotech!$M$4:$M$10094)</f>
        <v>Basalt</v>
      </c>
      <c r="P425" s="84"/>
      <c r="Q425" s="84"/>
      <c r="R425" s="84"/>
      <c r="S4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25" s="71" t="str">
        <f>IFERROR(Data_Discontinuities[[#This Row],[Joint roughness]]/Data_Discontinuities[[#This Row],[Joint alteration]],"")</f>
        <v/>
      </c>
      <c r="V4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25" s="87"/>
    </row>
    <row r="426" spans="1:23" ht="15" customHeight="1" x14ac:dyDescent="0.25">
      <c r="A426" s="150" t="s">
        <v>36</v>
      </c>
      <c r="B426" s="17" t="str">
        <f>VLOOKUP(Data_Discontinuities[[#This Row],[Hole ID]],Data_Log[],2,FALSE)</f>
        <v>CGF-05</v>
      </c>
      <c r="C426" s="8">
        <v>42.66</v>
      </c>
      <c r="D426" s="8">
        <v>1</v>
      </c>
      <c r="E426" s="7" t="s">
        <v>248</v>
      </c>
      <c r="F426" s="7"/>
      <c r="G426" s="7"/>
      <c r="H426" s="118"/>
      <c r="I426" s="7"/>
      <c r="J426" s="7"/>
      <c r="K426" s="7"/>
      <c r="L426" s="7"/>
      <c r="M426" s="7"/>
      <c r="N426" s="7">
        <v>0.06</v>
      </c>
      <c r="O426" s="84" t="str" cm="1">
        <f t="array" ref="O426">_xlfn.XLOOKUP(1,(A426=Geotech!$A$4:$A$10094)*(Data_Discontinuities[[#This Row],[Depth (m)]]&gt;=Geotech!$C$4:$C$10094)*(Data_Discontinuities[[#This Row],[Depth (m)]]&lt;Geotech!$D$4:$D$10094),Geotech!$M$4:$M$10094)</f>
        <v>Basalt</v>
      </c>
      <c r="P426" s="84"/>
      <c r="Q426" s="84"/>
      <c r="R426" s="84"/>
      <c r="S4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26" s="71" t="str">
        <f>IFERROR(Data_Discontinuities[[#This Row],[Joint roughness]]/Data_Discontinuities[[#This Row],[Joint alteration]],"")</f>
        <v/>
      </c>
      <c r="V4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26" s="87"/>
    </row>
    <row r="427" spans="1:23" ht="15" customHeight="1" x14ac:dyDescent="0.25">
      <c r="A427" s="150" t="s">
        <v>36</v>
      </c>
      <c r="B427" s="17" t="str">
        <f>VLOOKUP(Data_Discontinuities[[#This Row],[Hole ID]],Data_Log[],2,FALSE)</f>
        <v>CGF-05</v>
      </c>
      <c r="C427" s="8">
        <v>42.96</v>
      </c>
      <c r="D427" s="8">
        <v>1</v>
      </c>
      <c r="E427" s="7" t="s">
        <v>445</v>
      </c>
      <c r="F427" s="7"/>
      <c r="G427" s="7"/>
      <c r="H427" s="118"/>
      <c r="I427" s="7" t="s">
        <v>286</v>
      </c>
      <c r="J427" s="7" t="s">
        <v>320</v>
      </c>
      <c r="K427" s="7" t="s">
        <v>354</v>
      </c>
      <c r="L427" s="7"/>
      <c r="M427" s="7"/>
      <c r="N427" s="7"/>
      <c r="O427" s="84" t="str" cm="1">
        <f t="array" ref="O427">_xlfn.XLOOKUP(1,(A427=Geotech!$A$4:$A$10094)*(Data_Discontinuities[[#This Row],[Depth (m)]]&gt;=Geotech!$C$4:$C$10094)*(Data_Discontinuities[[#This Row],[Depth (m)]]&lt;Geotech!$D$4:$D$10094),Geotech!$M$4:$M$10094)</f>
        <v>Basalt</v>
      </c>
      <c r="P427" s="84"/>
      <c r="Q427" s="84"/>
      <c r="R427" s="84"/>
      <c r="S4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7" s="71">
        <f>IFERROR(Data_Discontinuities[[#This Row],[Joint roughness]]/Data_Discontinuities[[#This Row],[Joint alteration]],"")</f>
        <v>1</v>
      </c>
      <c r="V4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27" s="87"/>
    </row>
    <row r="428" spans="1:23" ht="15" customHeight="1" x14ac:dyDescent="0.25">
      <c r="A428" s="150" t="s">
        <v>36</v>
      </c>
      <c r="B428" s="17" t="str">
        <f>VLOOKUP(Data_Discontinuities[[#This Row],[Hole ID]],Data_Log[],2,FALSE)</f>
        <v>CGF-05</v>
      </c>
      <c r="C428" s="8">
        <v>43.06</v>
      </c>
      <c r="D428" s="8">
        <v>1</v>
      </c>
      <c r="E428" s="7" t="s">
        <v>445</v>
      </c>
      <c r="F428" s="7"/>
      <c r="G428" s="7"/>
      <c r="H428" s="118"/>
      <c r="I428" s="7" t="s">
        <v>286</v>
      </c>
      <c r="J428" s="7" t="s">
        <v>288</v>
      </c>
      <c r="K428" s="7" t="s">
        <v>354</v>
      </c>
      <c r="L428" s="7"/>
      <c r="M428" s="7"/>
      <c r="N428" s="7"/>
      <c r="O428" s="84" t="str" cm="1">
        <f t="array" ref="O428">_xlfn.XLOOKUP(1,(A428=Geotech!$A$4:$A$10094)*(Data_Discontinuities[[#This Row],[Depth (m)]]&gt;=Geotech!$C$4:$C$10094)*(Data_Discontinuities[[#This Row],[Depth (m)]]&lt;Geotech!$D$4:$D$10094),Geotech!$M$4:$M$10094)</f>
        <v>Basalt</v>
      </c>
      <c r="P428" s="84"/>
      <c r="Q428" s="84"/>
      <c r="R428" s="84"/>
      <c r="S4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8" s="71">
        <f>IFERROR(Data_Discontinuities[[#This Row],[Joint roughness]]/Data_Discontinuities[[#This Row],[Joint alteration]],"")</f>
        <v>0.75</v>
      </c>
      <c r="V4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28" s="87"/>
    </row>
    <row r="429" spans="1:23" ht="15" customHeight="1" x14ac:dyDescent="0.25">
      <c r="A429" s="150" t="s">
        <v>36</v>
      </c>
      <c r="B429" s="17" t="str">
        <f>VLOOKUP(Data_Discontinuities[[#This Row],[Hole ID]],Data_Log[],2,FALSE)</f>
        <v>CGF-05</v>
      </c>
      <c r="C429" s="8">
        <v>43.16</v>
      </c>
      <c r="D429" s="8">
        <v>1</v>
      </c>
      <c r="E429" s="7" t="s">
        <v>445</v>
      </c>
      <c r="F429" s="7"/>
      <c r="G429" s="7"/>
      <c r="H429" s="118"/>
      <c r="I429" s="7" t="s">
        <v>251</v>
      </c>
      <c r="J429" s="7" t="s">
        <v>288</v>
      </c>
      <c r="K429" s="7" t="s">
        <v>354</v>
      </c>
      <c r="L429" s="7"/>
      <c r="M429" s="7"/>
      <c r="N429" s="7"/>
      <c r="O429" s="84" t="str" cm="1">
        <f t="array" ref="O429">_xlfn.XLOOKUP(1,(A429=Geotech!$A$4:$A$10094)*(Data_Discontinuities[[#This Row],[Depth (m)]]&gt;=Geotech!$C$4:$C$10094)*(Data_Discontinuities[[#This Row],[Depth (m)]]&lt;Geotech!$D$4:$D$10094),Geotech!$M$4:$M$10094)</f>
        <v>Basalt</v>
      </c>
      <c r="P429" s="84"/>
      <c r="Q429" s="84"/>
      <c r="R429" s="84"/>
      <c r="S4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4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29" s="71">
        <f>IFERROR(Data_Discontinuities[[#This Row],[Joint roughness]]/Data_Discontinuities[[#This Row],[Joint alteration]],"")</f>
        <v>0.25</v>
      </c>
      <c r="V4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29" s="87"/>
    </row>
    <row r="430" spans="1:23" ht="15" customHeight="1" x14ac:dyDescent="0.25">
      <c r="A430" s="150" t="s">
        <v>36</v>
      </c>
      <c r="B430" s="17" t="str">
        <f>VLOOKUP(Data_Discontinuities[[#This Row],[Hole ID]],Data_Log[],2,FALSE)</f>
        <v>CGF-05</v>
      </c>
      <c r="C430" s="8">
        <v>43.35</v>
      </c>
      <c r="D430" s="8">
        <v>1</v>
      </c>
      <c r="E430" s="7" t="s">
        <v>445</v>
      </c>
      <c r="F430" s="7"/>
      <c r="G430" s="7"/>
      <c r="H430" s="118"/>
      <c r="I430" s="7" t="s">
        <v>286</v>
      </c>
      <c r="J430" s="7" t="s">
        <v>320</v>
      </c>
      <c r="K430" s="7" t="s">
        <v>406</v>
      </c>
      <c r="L430" s="7" t="s">
        <v>437</v>
      </c>
      <c r="M430" s="7"/>
      <c r="N430" s="7"/>
      <c r="O430" s="84" t="str" cm="1">
        <f t="array" ref="O430">_xlfn.XLOOKUP(1,(A430=Geotech!$A$4:$A$10094)*(Data_Discontinuities[[#This Row],[Depth (m)]]&gt;=Geotech!$C$4:$C$10094)*(Data_Discontinuities[[#This Row],[Depth (m)]]&lt;Geotech!$D$4:$D$10094),Geotech!$M$4:$M$10094)</f>
        <v>Basalt</v>
      </c>
      <c r="P430" s="84"/>
      <c r="Q430" s="84"/>
      <c r="R430" s="84"/>
      <c r="S4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0" s="71">
        <f>IFERROR(Data_Discontinuities[[#This Row],[Joint roughness]]/Data_Discontinuities[[#This Row],[Joint alteration]],"")</f>
        <v>0.5</v>
      </c>
      <c r="V4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30" s="87"/>
    </row>
    <row r="431" spans="1:23" ht="15" customHeight="1" x14ac:dyDescent="0.25">
      <c r="A431" s="150" t="s">
        <v>36</v>
      </c>
      <c r="B431" s="17" t="str">
        <f>VLOOKUP(Data_Discontinuities[[#This Row],[Hole ID]],Data_Log[],2,FALSE)</f>
        <v>CGF-05</v>
      </c>
      <c r="C431" s="8">
        <v>43.96</v>
      </c>
      <c r="D431" s="8">
        <v>1</v>
      </c>
      <c r="E431" s="7" t="s">
        <v>445</v>
      </c>
      <c r="F431" s="7"/>
      <c r="G431" s="7"/>
      <c r="H431" s="118"/>
      <c r="I431" s="7" t="s">
        <v>318</v>
      </c>
      <c r="J431" s="7" t="s">
        <v>352</v>
      </c>
      <c r="K431" s="7" t="s">
        <v>406</v>
      </c>
      <c r="L431" s="7" t="s">
        <v>447</v>
      </c>
      <c r="M431" s="7"/>
      <c r="N431" s="7"/>
      <c r="O431" s="84" t="str" cm="1">
        <f t="array" ref="O431">_xlfn.XLOOKUP(1,(A431=Geotech!$A$4:$A$10094)*(Data_Discontinuities[[#This Row],[Depth (m)]]&gt;=Geotech!$C$4:$C$10094)*(Data_Discontinuities[[#This Row],[Depth (m)]]&lt;Geotech!$D$4:$D$10094),Geotech!$M$4:$M$10094)</f>
        <v>Basalt</v>
      </c>
      <c r="P431" s="84"/>
      <c r="Q431" s="84"/>
      <c r="R431" s="84"/>
      <c r="S4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31" s="71">
        <f>IFERROR(Data_Discontinuities[[#This Row],[Joint roughness]]/Data_Discontinuities[[#This Row],[Joint alteration]],"")</f>
        <v>1</v>
      </c>
      <c r="V4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31" s="87"/>
    </row>
    <row r="432" spans="1:23" ht="15" customHeight="1" x14ac:dyDescent="0.25">
      <c r="A432" s="150" t="s">
        <v>36</v>
      </c>
      <c r="B432" s="17" t="str">
        <f>VLOOKUP(Data_Discontinuities[[#This Row],[Hole ID]],Data_Log[],2,FALSE)</f>
        <v>CGF-05</v>
      </c>
      <c r="C432" s="8">
        <v>44.52</v>
      </c>
      <c r="D432" s="8">
        <v>1</v>
      </c>
      <c r="E432" s="7" t="s">
        <v>445</v>
      </c>
      <c r="F432" s="7"/>
      <c r="G432" s="7"/>
      <c r="H432" s="118"/>
      <c r="I432" s="7" t="s">
        <v>318</v>
      </c>
      <c r="J432" s="7" t="s">
        <v>352</v>
      </c>
      <c r="K432" s="7" t="s">
        <v>354</v>
      </c>
      <c r="L432" s="7"/>
      <c r="M432" s="7"/>
      <c r="N432" s="7"/>
      <c r="O432" s="84" t="str" cm="1">
        <f t="array" ref="O432">_xlfn.XLOOKUP(1,(A432=Geotech!$A$4:$A$10094)*(Data_Discontinuities[[#This Row],[Depth (m)]]&gt;=Geotech!$C$4:$C$10094)*(Data_Discontinuities[[#This Row],[Depth (m)]]&lt;Geotech!$D$4:$D$10094),Geotech!$M$4:$M$10094)</f>
        <v>Basalt</v>
      </c>
      <c r="P432" s="84"/>
      <c r="Q432" s="84"/>
      <c r="R432" s="84"/>
      <c r="S4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32" s="71">
        <f>IFERROR(Data_Discontinuities[[#This Row],[Joint roughness]]/Data_Discontinuities[[#This Row],[Joint alteration]],"")</f>
        <v>1.5</v>
      </c>
      <c r="V4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32" s="87"/>
    </row>
    <row r="433" spans="1:23" ht="15" customHeight="1" x14ac:dyDescent="0.25">
      <c r="A433" s="150" t="s">
        <v>36</v>
      </c>
      <c r="B433" s="17" t="str">
        <f>VLOOKUP(Data_Discontinuities[[#This Row],[Hole ID]],Data_Log[],2,FALSE)</f>
        <v>CGF-05</v>
      </c>
      <c r="C433" s="8">
        <v>44.86</v>
      </c>
      <c r="D433" s="8">
        <v>1</v>
      </c>
      <c r="E433" s="7" t="s">
        <v>445</v>
      </c>
      <c r="F433" s="7"/>
      <c r="G433" s="7"/>
      <c r="H433" s="118"/>
      <c r="I433" s="7" t="s">
        <v>286</v>
      </c>
      <c r="J433" s="7" t="s">
        <v>320</v>
      </c>
      <c r="K433" s="7" t="s">
        <v>382</v>
      </c>
      <c r="L433" s="7" t="s">
        <v>437</v>
      </c>
      <c r="M433" s="7" t="s">
        <v>447</v>
      </c>
      <c r="N433" s="7"/>
      <c r="O433" s="84" t="str" cm="1">
        <f t="array" ref="O433">_xlfn.XLOOKUP(1,(A433=Geotech!$A$4:$A$10094)*(Data_Discontinuities[[#This Row],[Depth (m)]]&gt;=Geotech!$C$4:$C$10094)*(Data_Discontinuities[[#This Row],[Depth (m)]]&lt;Geotech!$D$4:$D$10094),Geotech!$M$4:$M$10094)</f>
        <v>Basalt</v>
      </c>
      <c r="P433" s="84"/>
      <c r="Q433" s="84"/>
      <c r="R433" s="84"/>
      <c r="S4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3" s="71">
        <f>IFERROR(Data_Discontinuities[[#This Row],[Joint roughness]]/Data_Discontinuities[[#This Row],[Joint alteration]],"")</f>
        <v>0.5</v>
      </c>
      <c r="V4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33" s="87"/>
    </row>
    <row r="434" spans="1:23" ht="15" customHeight="1" x14ac:dyDescent="0.25">
      <c r="A434" s="150" t="s">
        <v>36</v>
      </c>
      <c r="B434" s="17" t="str">
        <f>VLOOKUP(Data_Discontinuities[[#This Row],[Hole ID]],Data_Log[],2,FALSE)</f>
        <v>CGF-05</v>
      </c>
      <c r="C434" s="8">
        <v>46.85</v>
      </c>
      <c r="D434" s="8">
        <v>1</v>
      </c>
      <c r="E434" s="7" t="s">
        <v>445</v>
      </c>
      <c r="F434" s="7"/>
      <c r="G434" s="7"/>
      <c r="H434" s="118"/>
      <c r="I434" s="7" t="s">
        <v>286</v>
      </c>
      <c r="J434" s="7" t="s">
        <v>352</v>
      </c>
      <c r="K434" s="7" t="s">
        <v>382</v>
      </c>
      <c r="L434" s="7" t="s">
        <v>437</v>
      </c>
      <c r="M434" s="7" t="s">
        <v>447</v>
      </c>
      <c r="N434" s="7"/>
      <c r="O434" s="84" t="str" cm="1">
        <f t="array" ref="O434">_xlfn.XLOOKUP(1,(A434=Geotech!$A$4:$A$10094)*(Data_Discontinuities[[#This Row],[Depth (m)]]&gt;=Geotech!$C$4:$C$10094)*(Data_Discontinuities[[#This Row],[Depth (m)]]&lt;Geotech!$D$4:$D$10094),Geotech!$M$4:$M$10094)</f>
        <v>Basalt</v>
      </c>
      <c r="P434" s="84"/>
      <c r="Q434" s="84"/>
      <c r="R434" s="84"/>
      <c r="S4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4" s="71">
        <f>IFERROR(Data_Discontinuities[[#This Row],[Joint roughness]]/Data_Discontinuities[[#This Row],[Joint alteration]],"")</f>
        <v>0.75</v>
      </c>
      <c r="V4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34" s="87"/>
    </row>
    <row r="435" spans="1:23" ht="15" customHeight="1" x14ac:dyDescent="0.25">
      <c r="A435" s="150" t="s">
        <v>36</v>
      </c>
      <c r="B435" s="17" t="str">
        <f>VLOOKUP(Data_Discontinuities[[#This Row],[Hole ID]],Data_Log[],2,FALSE)</f>
        <v>CGF-05</v>
      </c>
      <c r="C435" s="8">
        <v>47.22</v>
      </c>
      <c r="D435" s="8">
        <v>1</v>
      </c>
      <c r="E435" s="7" t="s">
        <v>445</v>
      </c>
      <c r="F435" s="7"/>
      <c r="G435" s="7"/>
      <c r="H435" s="118"/>
      <c r="I435" s="7" t="s">
        <v>318</v>
      </c>
      <c r="J435" s="7" t="s">
        <v>352</v>
      </c>
      <c r="K435" s="7" t="s">
        <v>322</v>
      </c>
      <c r="L435" s="7"/>
      <c r="M435" s="7"/>
      <c r="N435" s="7"/>
      <c r="O435" s="84" t="str" cm="1">
        <f t="array" ref="O435">_xlfn.XLOOKUP(1,(A435=Geotech!$A$4:$A$10094)*(Data_Discontinuities[[#This Row],[Depth (m)]]&gt;=Geotech!$C$4:$C$10094)*(Data_Discontinuities[[#This Row],[Depth (m)]]&lt;Geotech!$D$4:$D$10094),Geotech!$M$4:$M$10094)</f>
        <v>Basalt</v>
      </c>
      <c r="P435" s="84"/>
      <c r="Q435" s="84"/>
      <c r="R435" s="84"/>
      <c r="S43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35" s="71">
        <f>IFERROR(Data_Discontinuities[[#This Row],[Joint roughness]]/Data_Discontinuities[[#This Row],[Joint alteration]],"")</f>
        <v>3</v>
      </c>
      <c r="V43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35" s="87"/>
    </row>
    <row r="436" spans="1:23" ht="15" customHeight="1" x14ac:dyDescent="0.25">
      <c r="A436" s="150" t="s">
        <v>36</v>
      </c>
      <c r="B436" s="17" t="str">
        <f>VLOOKUP(Data_Discontinuities[[#This Row],[Hole ID]],Data_Log[],2,FALSE)</f>
        <v>CGF-05</v>
      </c>
      <c r="C436" s="8">
        <v>47.37</v>
      </c>
      <c r="D436" s="8">
        <v>1</v>
      </c>
      <c r="E436" s="7" t="s">
        <v>445</v>
      </c>
      <c r="F436" s="7"/>
      <c r="G436" s="7"/>
      <c r="H436" s="118"/>
      <c r="I436" s="7" t="s">
        <v>318</v>
      </c>
      <c r="J436" s="7" t="s">
        <v>320</v>
      </c>
      <c r="K436" s="7" t="s">
        <v>406</v>
      </c>
      <c r="L436" s="7" t="s">
        <v>546</v>
      </c>
      <c r="M436" s="7"/>
      <c r="N436" s="7"/>
      <c r="O436" s="84" t="str" cm="1">
        <f t="array" ref="O436">_xlfn.XLOOKUP(1,(A436=Geotech!$A$4:$A$10094)*(Data_Discontinuities[[#This Row],[Depth (m)]]&gt;=Geotech!$C$4:$C$10094)*(Data_Discontinuities[[#This Row],[Depth (m)]]&lt;Geotech!$D$4:$D$10094),Geotech!$M$4:$M$10094)</f>
        <v>Basalt</v>
      </c>
      <c r="P436" s="84"/>
      <c r="Q436" s="84"/>
      <c r="R436" s="84"/>
      <c r="S4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6" s="71">
        <f>IFERROR(Data_Discontinuities[[#This Row],[Joint roughness]]/Data_Discontinuities[[#This Row],[Joint alteration]],"")</f>
        <v>0.5</v>
      </c>
      <c r="V4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36" s="87"/>
    </row>
    <row r="437" spans="1:23" ht="15" customHeight="1" x14ac:dyDescent="0.25">
      <c r="A437" s="150" t="s">
        <v>36</v>
      </c>
      <c r="B437" s="17" t="str">
        <f>VLOOKUP(Data_Discontinuities[[#This Row],[Hole ID]],Data_Log[],2,FALSE)</f>
        <v>CGF-05</v>
      </c>
      <c r="C437" s="8">
        <v>47.76</v>
      </c>
      <c r="D437" s="8">
        <v>1</v>
      </c>
      <c r="E437" s="7" t="s">
        <v>420</v>
      </c>
      <c r="F437" s="7"/>
      <c r="G437" s="7"/>
      <c r="H437" s="118"/>
      <c r="I437" s="7" t="s">
        <v>286</v>
      </c>
      <c r="J437" s="7" t="s">
        <v>352</v>
      </c>
      <c r="K437" s="7" t="s">
        <v>406</v>
      </c>
      <c r="L437" s="7" t="s">
        <v>546</v>
      </c>
      <c r="M437" s="7"/>
      <c r="N437" s="7"/>
      <c r="O437" s="84" t="str" cm="1">
        <f t="array" ref="O437">_xlfn.XLOOKUP(1,(A437=Geotech!$A$4:$A$10094)*(Data_Discontinuities[[#This Row],[Depth (m)]]&gt;=Geotech!$C$4:$C$10094)*(Data_Discontinuities[[#This Row],[Depth (m)]]&lt;Geotech!$D$4:$D$10094),Geotech!$M$4:$M$10094)</f>
        <v>Basalt</v>
      </c>
      <c r="P437" s="84"/>
      <c r="Q437" s="84"/>
      <c r="R437" s="84"/>
      <c r="S4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7" s="71">
        <f>IFERROR(Data_Discontinuities[[#This Row],[Joint roughness]]/Data_Discontinuities[[#This Row],[Joint alteration]],"")</f>
        <v>0.75</v>
      </c>
      <c r="V4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37" s="87"/>
    </row>
    <row r="438" spans="1:23" ht="15" customHeight="1" x14ac:dyDescent="0.25">
      <c r="A438" s="150" t="s">
        <v>36</v>
      </c>
      <c r="B438" s="17" t="str">
        <f>VLOOKUP(Data_Discontinuities[[#This Row],[Hole ID]],Data_Log[],2,FALSE)</f>
        <v>CGF-05</v>
      </c>
      <c r="C438" s="8">
        <v>45.9</v>
      </c>
      <c r="D438" s="8">
        <v>1</v>
      </c>
      <c r="E438" s="7" t="s">
        <v>248</v>
      </c>
      <c r="F438" s="7"/>
      <c r="G438" s="7"/>
      <c r="H438" s="118"/>
      <c r="I438" s="7"/>
      <c r="J438" s="7"/>
      <c r="K438" s="7"/>
      <c r="L438" s="7"/>
      <c r="M438" s="7"/>
      <c r="N438" s="7">
        <v>0.18</v>
      </c>
      <c r="O438" s="84" t="str" cm="1">
        <f t="array" ref="O438">_xlfn.XLOOKUP(1,(A438=Geotech!$A$4:$A$10094)*(Data_Discontinuities[[#This Row],[Depth (m)]]&gt;=Geotech!$C$4:$C$10094)*(Data_Discontinuities[[#This Row],[Depth (m)]]&lt;Geotech!$D$4:$D$10094),Geotech!$M$4:$M$10094)</f>
        <v>Basalt</v>
      </c>
      <c r="P438" s="84"/>
      <c r="Q438" s="84"/>
      <c r="R438" s="84"/>
      <c r="S4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38" s="71" t="str">
        <f>IFERROR(Data_Discontinuities[[#This Row],[Joint roughness]]/Data_Discontinuities[[#This Row],[Joint alteration]],"")</f>
        <v/>
      </c>
      <c r="V4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38" s="87"/>
    </row>
    <row r="439" spans="1:23" ht="15" customHeight="1" x14ac:dyDescent="0.25">
      <c r="A439" s="150" t="s">
        <v>36</v>
      </c>
      <c r="B439" s="17" t="str">
        <f>VLOOKUP(Data_Discontinuities[[#This Row],[Hole ID]],Data_Log[],2,FALSE)</f>
        <v>CGF-05</v>
      </c>
      <c r="C439" s="8">
        <v>45.68</v>
      </c>
      <c r="D439" s="8">
        <v>1</v>
      </c>
      <c r="E439" s="7" t="s">
        <v>445</v>
      </c>
      <c r="F439" s="7"/>
      <c r="G439" s="7"/>
      <c r="H439" s="118"/>
      <c r="I439" s="7" t="s">
        <v>318</v>
      </c>
      <c r="J439" s="7" t="s">
        <v>352</v>
      </c>
      <c r="K439" s="7" t="s">
        <v>406</v>
      </c>
      <c r="L439" s="7" t="s">
        <v>546</v>
      </c>
      <c r="M439" s="7"/>
      <c r="N439" s="7"/>
      <c r="O439" s="84" t="str" cm="1">
        <f t="array" ref="O439">_xlfn.XLOOKUP(1,(A439=Geotech!$A$4:$A$10094)*(Data_Discontinuities[[#This Row],[Depth (m)]]&gt;=Geotech!$C$4:$C$10094)*(Data_Discontinuities[[#This Row],[Depth (m)]]&lt;Geotech!$D$4:$D$10094),Geotech!$M$4:$M$10094)</f>
        <v>Basalt</v>
      </c>
      <c r="P439" s="84"/>
      <c r="Q439" s="84"/>
      <c r="R439" s="84"/>
      <c r="S4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39" s="71">
        <f>IFERROR(Data_Discontinuities[[#This Row],[Joint roughness]]/Data_Discontinuities[[#This Row],[Joint alteration]],"")</f>
        <v>0.75</v>
      </c>
      <c r="V4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39" s="87"/>
    </row>
    <row r="440" spans="1:23" ht="15" customHeight="1" x14ac:dyDescent="0.25">
      <c r="A440" s="150" t="s">
        <v>36</v>
      </c>
      <c r="B440" s="17" t="str">
        <f>VLOOKUP(Data_Discontinuities[[#This Row],[Hole ID]],Data_Log[],2,FALSE)</f>
        <v>CGF-05</v>
      </c>
      <c r="C440" s="8">
        <v>49.66</v>
      </c>
      <c r="D440" s="8">
        <v>1</v>
      </c>
      <c r="E440" s="7" t="s">
        <v>445</v>
      </c>
      <c r="F440" s="7"/>
      <c r="G440" s="7"/>
      <c r="H440" s="118"/>
      <c r="I440" s="7" t="s">
        <v>251</v>
      </c>
      <c r="J440" s="7" t="s">
        <v>380</v>
      </c>
      <c r="K440" s="7" t="s">
        <v>406</v>
      </c>
      <c r="L440" s="7" t="s">
        <v>546</v>
      </c>
      <c r="M440" s="7" t="s">
        <v>447</v>
      </c>
      <c r="N440" s="7"/>
      <c r="O440" s="84" t="str" cm="1">
        <f t="array" ref="O440">_xlfn.XLOOKUP(1,(A440=Geotech!$A$4:$A$10094)*(Data_Discontinuities[[#This Row],[Depth (m)]]&gt;=Geotech!$C$4:$C$10094)*(Data_Discontinuities[[#This Row],[Depth (m)]]&lt;Geotech!$D$4:$D$10094),Geotech!$M$4:$M$10094)</f>
        <v>Basalt</v>
      </c>
      <c r="P440" s="84"/>
      <c r="Q440" s="84"/>
      <c r="R440" s="84"/>
      <c r="S4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0" s="71">
        <f>IFERROR(Data_Discontinuities[[#This Row],[Joint roughness]]/Data_Discontinuities[[#This Row],[Joint alteration]],"")</f>
        <v>0.375</v>
      </c>
      <c r="V4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0" s="87"/>
    </row>
    <row r="441" spans="1:23" ht="15" customHeight="1" x14ac:dyDescent="0.25">
      <c r="A441" s="150" t="s">
        <v>36</v>
      </c>
      <c r="B441" s="17" t="str">
        <f>VLOOKUP(Data_Discontinuities[[#This Row],[Hole ID]],Data_Log[],2,FALSE)</f>
        <v>CGF-05</v>
      </c>
      <c r="C441" s="8">
        <v>50.11</v>
      </c>
      <c r="D441" s="8">
        <v>1</v>
      </c>
      <c r="E441" s="7" t="s">
        <v>445</v>
      </c>
      <c r="F441" s="7"/>
      <c r="G441" s="7"/>
      <c r="H441" s="118"/>
      <c r="I441" s="7" t="s">
        <v>251</v>
      </c>
      <c r="J441" s="7" t="s">
        <v>352</v>
      </c>
      <c r="K441" s="7" t="s">
        <v>406</v>
      </c>
      <c r="L441" s="7" t="s">
        <v>437</v>
      </c>
      <c r="M441" s="7" t="s">
        <v>447</v>
      </c>
      <c r="N441" s="7"/>
      <c r="O441" s="84" t="str" cm="1">
        <f t="array" ref="O441">_xlfn.XLOOKUP(1,(A441=Geotech!$A$4:$A$10094)*(Data_Discontinuities[[#This Row],[Depth (m)]]&gt;=Geotech!$C$4:$C$10094)*(Data_Discontinuities[[#This Row],[Depth (m)]]&lt;Geotech!$D$4:$D$10094),Geotech!$M$4:$M$10094)</f>
        <v>Basalt</v>
      </c>
      <c r="P441" s="84"/>
      <c r="Q441" s="84"/>
      <c r="R441" s="84"/>
      <c r="S4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1" s="71">
        <f>IFERROR(Data_Discontinuities[[#This Row],[Joint roughness]]/Data_Discontinuities[[#This Row],[Joint alteration]],"")</f>
        <v>0.375</v>
      </c>
      <c r="V4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1" s="87"/>
    </row>
    <row r="442" spans="1:23" ht="15" customHeight="1" x14ac:dyDescent="0.25">
      <c r="A442" s="150" t="s">
        <v>36</v>
      </c>
      <c r="B442" s="17" t="str">
        <f>VLOOKUP(Data_Discontinuities[[#This Row],[Hole ID]],Data_Log[],2,FALSE)</f>
        <v>CGF-05</v>
      </c>
      <c r="C442" s="8">
        <v>50.57</v>
      </c>
      <c r="D442" s="8">
        <v>1</v>
      </c>
      <c r="E442" s="7" t="s">
        <v>445</v>
      </c>
      <c r="F442" s="7"/>
      <c r="G442" s="7"/>
      <c r="H442" s="118"/>
      <c r="I442" s="7" t="s">
        <v>318</v>
      </c>
      <c r="J442" s="7" t="s">
        <v>320</v>
      </c>
      <c r="K442" s="7" t="s">
        <v>382</v>
      </c>
      <c r="L442" s="7" t="s">
        <v>437</v>
      </c>
      <c r="M442" s="7"/>
      <c r="N442" s="7"/>
      <c r="O442" s="84" t="str" cm="1">
        <f t="array" ref="O442">_xlfn.XLOOKUP(1,(A442=Geotech!$A$4:$A$10094)*(Data_Discontinuities[[#This Row],[Depth (m)]]&gt;=Geotech!$C$4:$C$10094)*(Data_Discontinuities[[#This Row],[Depth (m)]]&lt;Geotech!$D$4:$D$10094),Geotech!$M$4:$M$10094)</f>
        <v>Basalt</v>
      </c>
      <c r="P442" s="84"/>
      <c r="Q442" s="84"/>
      <c r="R442" s="84"/>
      <c r="S4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2" s="71">
        <f>IFERROR(Data_Discontinuities[[#This Row],[Joint roughness]]/Data_Discontinuities[[#This Row],[Joint alteration]],"")</f>
        <v>0.5</v>
      </c>
      <c r="V4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2" s="87"/>
    </row>
    <row r="443" spans="1:23" ht="15" customHeight="1" x14ac:dyDescent="0.25">
      <c r="A443" s="150" t="s">
        <v>36</v>
      </c>
      <c r="B443" s="17" t="str">
        <f>VLOOKUP(Data_Discontinuities[[#This Row],[Hole ID]],Data_Log[],2,FALSE)</f>
        <v>CGF-05</v>
      </c>
      <c r="C443" s="8">
        <v>49.21</v>
      </c>
      <c r="D443" s="8">
        <v>1</v>
      </c>
      <c r="E443" s="7" t="s">
        <v>402</v>
      </c>
      <c r="F443" s="7"/>
      <c r="G443" s="7"/>
      <c r="H443" s="118"/>
      <c r="I443" s="7"/>
      <c r="J443" s="7"/>
      <c r="K443" s="7"/>
      <c r="L443" s="7"/>
      <c r="M443" s="7"/>
      <c r="N443" s="7">
        <v>0.15</v>
      </c>
      <c r="O443" s="84" t="str" cm="1">
        <f t="array" ref="O443">_xlfn.XLOOKUP(1,(A443=Geotech!$A$4:$A$10094)*(Data_Discontinuities[[#This Row],[Depth (m)]]&gt;=Geotech!$C$4:$C$10094)*(Data_Discontinuities[[#This Row],[Depth (m)]]&lt;Geotech!$D$4:$D$10094),Geotech!$M$4:$M$10094)</f>
        <v>Basalt</v>
      </c>
      <c r="P443" s="84"/>
      <c r="Q443" s="84"/>
      <c r="R443" s="84"/>
      <c r="S4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43" s="71" t="str">
        <f>IFERROR(Data_Discontinuities[[#This Row],[Joint roughness]]/Data_Discontinuities[[#This Row],[Joint alteration]],"")</f>
        <v/>
      </c>
      <c r="V4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43" s="87"/>
    </row>
    <row r="444" spans="1:23" ht="15" customHeight="1" x14ac:dyDescent="0.25">
      <c r="A444" s="150" t="s">
        <v>36</v>
      </c>
      <c r="B444" s="17" t="str">
        <f>VLOOKUP(Data_Discontinuities[[#This Row],[Hole ID]],Data_Log[],2,FALSE)</f>
        <v>CGF-05</v>
      </c>
      <c r="C444" s="8">
        <v>48.64</v>
      </c>
      <c r="D444" s="8">
        <v>1</v>
      </c>
      <c r="E444" s="7" t="s">
        <v>402</v>
      </c>
      <c r="F444" s="7"/>
      <c r="G444" s="7"/>
      <c r="H444" s="118"/>
      <c r="I444" s="7"/>
      <c r="J444" s="7"/>
      <c r="K444" s="7"/>
      <c r="L444" s="7"/>
      <c r="M444" s="7"/>
      <c r="N444" s="7">
        <v>0.69</v>
      </c>
      <c r="O444" s="84" t="str" cm="1">
        <f t="array" ref="O444">_xlfn.XLOOKUP(1,(A444=Geotech!$A$4:$A$10094)*(Data_Discontinuities[[#This Row],[Depth (m)]]&gt;=Geotech!$C$4:$C$10094)*(Data_Discontinuities[[#This Row],[Depth (m)]]&lt;Geotech!$D$4:$D$10094),Geotech!$M$4:$M$10094)</f>
        <v>Basalt</v>
      </c>
      <c r="P444" s="84"/>
      <c r="Q444" s="84"/>
      <c r="R444" s="84"/>
      <c r="S4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44" s="71" t="str">
        <f>IFERROR(Data_Discontinuities[[#This Row],[Joint roughness]]/Data_Discontinuities[[#This Row],[Joint alteration]],"")</f>
        <v/>
      </c>
      <c r="V4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44" s="87"/>
    </row>
    <row r="445" spans="1:23" ht="15" customHeight="1" x14ac:dyDescent="0.25">
      <c r="A445" s="150" t="s">
        <v>36</v>
      </c>
      <c r="B445" s="17" t="str">
        <f>VLOOKUP(Data_Discontinuities[[#This Row],[Hole ID]],Data_Log[],2,FALSE)</f>
        <v>CGF-05</v>
      </c>
      <c r="C445" s="8">
        <v>51.3</v>
      </c>
      <c r="D445" s="8">
        <v>1</v>
      </c>
      <c r="E445" s="7" t="s">
        <v>420</v>
      </c>
      <c r="F445" s="7"/>
      <c r="G445" s="7"/>
      <c r="H445" s="118"/>
      <c r="I445" s="7" t="s">
        <v>286</v>
      </c>
      <c r="J445" s="7" t="s">
        <v>320</v>
      </c>
      <c r="K445" s="7" t="s">
        <v>406</v>
      </c>
      <c r="L445" s="7" t="s">
        <v>437</v>
      </c>
      <c r="M445" s="7" t="s">
        <v>447</v>
      </c>
      <c r="N445" s="7"/>
      <c r="O445" s="84" t="str" cm="1">
        <f t="array" ref="O445">_xlfn.XLOOKUP(1,(A445=Geotech!$A$4:$A$10094)*(Data_Discontinuities[[#This Row],[Depth (m)]]&gt;=Geotech!$C$4:$C$10094)*(Data_Discontinuities[[#This Row],[Depth (m)]]&lt;Geotech!$D$4:$D$10094),Geotech!$M$4:$M$10094)</f>
        <v>Basalt</v>
      </c>
      <c r="P445" s="84"/>
      <c r="Q445" s="84"/>
      <c r="R445" s="84"/>
      <c r="S4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5" s="71">
        <f>IFERROR(Data_Discontinuities[[#This Row],[Joint roughness]]/Data_Discontinuities[[#This Row],[Joint alteration]],"")</f>
        <v>0.5</v>
      </c>
      <c r="V4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5" s="87"/>
    </row>
    <row r="446" spans="1:23" ht="15" customHeight="1" x14ac:dyDescent="0.25">
      <c r="A446" s="150" t="s">
        <v>36</v>
      </c>
      <c r="B446" s="17" t="str">
        <f>VLOOKUP(Data_Discontinuities[[#This Row],[Hole ID]],Data_Log[],2,FALSE)</f>
        <v>CGF-05</v>
      </c>
      <c r="C446" s="8">
        <v>51.86</v>
      </c>
      <c r="D446" s="8">
        <v>1</v>
      </c>
      <c r="E446" s="7" t="s">
        <v>420</v>
      </c>
      <c r="F446" s="7"/>
      <c r="G446" s="7"/>
      <c r="H446" s="118"/>
      <c r="I446" s="7" t="s">
        <v>286</v>
      </c>
      <c r="J446" s="7" t="s">
        <v>380</v>
      </c>
      <c r="K446" s="7" t="s">
        <v>406</v>
      </c>
      <c r="L446" s="7" t="s">
        <v>437</v>
      </c>
      <c r="M446" s="7"/>
      <c r="N446" s="7"/>
      <c r="O446" s="84" t="str" cm="1">
        <f t="array" ref="O446">_xlfn.XLOOKUP(1,(A446=Geotech!$A$4:$A$10094)*(Data_Discontinuities[[#This Row],[Depth (m)]]&gt;=Geotech!$C$4:$C$10094)*(Data_Discontinuities[[#This Row],[Depth (m)]]&lt;Geotech!$D$4:$D$10094),Geotech!$M$4:$M$10094)</f>
        <v>Basalt</v>
      </c>
      <c r="P446" s="84"/>
      <c r="Q446" s="84"/>
      <c r="R446" s="84"/>
      <c r="S4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6" s="71">
        <f>IFERROR(Data_Discontinuities[[#This Row],[Joint roughness]]/Data_Discontinuities[[#This Row],[Joint alteration]],"")</f>
        <v>0.75</v>
      </c>
      <c r="V4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46" s="87"/>
    </row>
    <row r="447" spans="1:23" ht="15" customHeight="1" x14ac:dyDescent="0.25">
      <c r="A447" s="150" t="s">
        <v>36</v>
      </c>
      <c r="B447" s="17" t="str">
        <f>VLOOKUP(Data_Discontinuities[[#This Row],[Hole ID]],Data_Log[],2,FALSE)</f>
        <v>CGF-05</v>
      </c>
      <c r="C447" s="8">
        <v>52.15</v>
      </c>
      <c r="D447" s="8">
        <v>1</v>
      </c>
      <c r="E447" s="7" t="s">
        <v>445</v>
      </c>
      <c r="F447" s="7"/>
      <c r="G447" s="7"/>
      <c r="H447" s="118"/>
      <c r="I447" s="7" t="s">
        <v>251</v>
      </c>
      <c r="J447" s="7" t="s">
        <v>352</v>
      </c>
      <c r="K447" s="7" t="s">
        <v>322</v>
      </c>
      <c r="L447" s="7"/>
      <c r="M447" s="7"/>
      <c r="N447" s="7"/>
      <c r="O447" s="84" t="str" cm="1">
        <f t="array" ref="O447">_xlfn.XLOOKUP(1,(A447=Geotech!$A$4:$A$10094)*(Data_Discontinuities[[#This Row],[Depth (m)]]&gt;=Geotech!$C$4:$C$10094)*(Data_Discontinuities[[#This Row],[Depth (m)]]&lt;Geotech!$D$4:$D$10094),Geotech!$M$4:$M$10094)</f>
        <v>Basalt</v>
      </c>
      <c r="P447" s="84"/>
      <c r="Q447" s="84"/>
      <c r="R447" s="84"/>
      <c r="S4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47" s="71">
        <f>IFERROR(Data_Discontinuities[[#This Row],[Joint roughness]]/Data_Discontinuities[[#This Row],[Joint alteration]],"")</f>
        <v>1.5</v>
      </c>
      <c r="V4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47" s="87"/>
    </row>
    <row r="448" spans="1:23" ht="15" customHeight="1" x14ac:dyDescent="0.25">
      <c r="A448" s="150" t="s">
        <v>36</v>
      </c>
      <c r="B448" s="17" t="str">
        <f>VLOOKUP(Data_Discontinuities[[#This Row],[Hole ID]],Data_Log[],2,FALSE)</f>
        <v>CGF-05</v>
      </c>
      <c r="C448" s="8">
        <v>52.43</v>
      </c>
      <c r="D448" s="8">
        <v>1</v>
      </c>
      <c r="E448" s="7" t="s">
        <v>445</v>
      </c>
      <c r="F448" s="7"/>
      <c r="G448" s="7"/>
      <c r="H448" s="118"/>
      <c r="I448" s="7" t="s">
        <v>251</v>
      </c>
      <c r="J448" s="7" t="s">
        <v>352</v>
      </c>
      <c r="K448" s="7" t="s">
        <v>382</v>
      </c>
      <c r="L448" s="7" t="s">
        <v>437</v>
      </c>
      <c r="M448" s="7"/>
      <c r="N448" s="7"/>
      <c r="O448" s="84" t="str" cm="1">
        <f t="array" ref="O448">_xlfn.XLOOKUP(1,(A448=Geotech!$A$4:$A$10094)*(Data_Discontinuities[[#This Row],[Depth (m)]]&gt;=Geotech!$C$4:$C$10094)*(Data_Discontinuities[[#This Row],[Depth (m)]]&lt;Geotech!$D$4:$D$10094),Geotech!$M$4:$M$10094)</f>
        <v>Basalt</v>
      </c>
      <c r="P448" s="84"/>
      <c r="Q448" s="84"/>
      <c r="R448" s="84"/>
      <c r="S4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8" s="71">
        <f>IFERROR(Data_Discontinuities[[#This Row],[Joint roughness]]/Data_Discontinuities[[#This Row],[Joint alteration]],"")</f>
        <v>0.375</v>
      </c>
      <c r="V4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8" s="87"/>
    </row>
    <row r="449" spans="1:23" ht="15" customHeight="1" x14ac:dyDescent="0.25">
      <c r="A449" s="150" t="s">
        <v>36</v>
      </c>
      <c r="B449" s="17" t="str">
        <f>VLOOKUP(Data_Discontinuities[[#This Row],[Hole ID]],Data_Log[],2,FALSE)</f>
        <v>CGF-05</v>
      </c>
      <c r="C449" s="8">
        <v>53</v>
      </c>
      <c r="D449" s="8">
        <v>1</v>
      </c>
      <c r="E449" s="7" t="s">
        <v>420</v>
      </c>
      <c r="F449" s="7"/>
      <c r="G449" s="7"/>
      <c r="H449" s="118"/>
      <c r="I449" s="7" t="s">
        <v>286</v>
      </c>
      <c r="J449" s="7" t="s">
        <v>320</v>
      </c>
      <c r="K449" s="7" t="s">
        <v>382</v>
      </c>
      <c r="L449" s="7" t="s">
        <v>437</v>
      </c>
      <c r="M449" s="7"/>
      <c r="N449" s="7"/>
      <c r="O449" s="84" t="str" cm="1">
        <f t="array" ref="O449">_xlfn.XLOOKUP(1,(A449=Geotech!$A$4:$A$10094)*(Data_Discontinuities[[#This Row],[Depth (m)]]&gt;=Geotech!$C$4:$C$10094)*(Data_Discontinuities[[#This Row],[Depth (m)]]&lt;Geotech!$D$4:$D$10094),Geotech!$M$4:$M$10094)</f>
        <v>Basalt</v>
      </c>
      <c r="P449" s="84"/>
      <c r="Q449" s="84"/>
      <c r="R449" s="84"/>
      <c r="S4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49" s="71">
        <f>IFERROR(Data_Discontinuities[[#This Row],[Joint roughness]]/Data_Discontinuities[[#This Row],[Joint alteration]],"")</f>
        <v>0.5</v>
      </c>
      <c r="V4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49" s="87"/>
    </row>
    <row r="450" spans="1:23" ht="15" customHeight="1" x14ac:dyDescent="0.25">
      <c r="A450" s="150" t="s">
        <v>36</v>
      </c>
      <c r="B450" s="17" t="str">
        <f>VLOOKUP(Data_Discontinuities[[#This Row],[Hole ID]],Data_Log[],2,FALSE)</f>
        <v>CGF-05</v>
      </c>
      <c r="C450" s="8">
        <v>54.18</v>
      </c>
      <c r="D450" s="8">
        <v>1</v>
      </c>
      <c r="E450" s="7" t="s">
        <v>420</v>
      </c>
      <c r="F450" s="7"/>
      <c r="G450" s="7"/>
      <c r="H450" s="118"/>
      <c r="I450" s="7" t="s">
        <v>286</v>
      </c>
      <c r="J450" s="7" t="s">
        <v>320</v>
      </c>
      <c r="K450" s="7" t="s">
        <v>382</v>
      </c>
      <c r="L450" s="7" t="s">
        <v>437</v>
      </c>
      <c r="M450" s="7" t="s">
        <v>447</v>
      </c>
      <c r="N450" s="7"/>
      <c r="O450" s="84" t="str" cm="1">
        <f t="array" ref="O450">_xlfn.XLOOKUP(1,(A450=Geotech!$A$4:$A$10094)*(Data_Discontinuities[[#This Row],[Depth (m)]]&gt;=Geotech!$C$4:$C$10094)*(Data_Discontinuities[[#This Row],[Depth (m)]]&lt;Geotech!$D$4:$D$10094),Geotech!$M$4:$M$10094)</f>
        <v>Basalt</v>
      </c>
      <c r="P450" s="84"/>
      <c r="Q450" s="84"/>
      <c r="R450" s="84"/>
      <c r="S4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0" s="71">
        <f>IFERROR(Data_Discontinuities[[#This Row],[Joint roughness]]/Data_Discontinuities[[#This Row],[Joint alteration]],"")</f>
        <v>0.5</v>
      </c>
      <c r="V4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50" s="87"/>
    </row>
    <row r="451" spans="1:23" ht="15" customHeight="1" x14ac:dyDescent="0.25">
      <c r="A451" s="150" t="s">
        <v>36</v>
      </c>
      <c r="B451" s="17" t="str">
        <f>VLOOKUP(Data_Discontinuities[[#This Row],[Hole ID]],Data_Log[],2,FALSE)</f>
        <v>CGF-05</v>
      </c>
      <c r="C451" s="8">
        <v>54.9</v>
      </c>
      <c r="D451" s="8">
        <v>1</v>
      </c>
      <c r="E451" s="7" t="s">
        <v>420</v>
      </c>
      <c r="F451" s="7"/>
      <c r="G451" s="7"/>
      <c r="H451" s="118"/>
      <c r="I451" s="7" t="s">
        <v>251</v>
      </c>
      <c r="J451" s="7" t="s">
        <v>352</v>
      </c>
      <c r="K451" s="7" t="s">
        <v>322</v>
      </c>
      <c r="L451" s="7"/>
      <c r="M451" s="7"/>
      <c r="N451" s="7"/>
      <c r="O451" s="84" t="str" cm="1">
        <f t="array" ref="O451">_xlfn.XLOOKUP(1,(A451=Geotech!$A$4:$A$10094)*(Data_Discontinuities[[#This Row],[Depth (m)]]&gt;=Geotech!$C$4:$C$10094)*(Data_Discontinuities[[#This Row],[Depth (m)]]&lt;Geotech!$D$4:$D$10094),Geotech!$M$4:$M$10094)</f>
        <v>Basalt</v>
      </c>
      <c r="P451" s="84"/>
      <c r="Q451" s="84"/>
      <c r="R451" s="84"/>
      <c r="S4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51" s="71">
        <f>IFERROR(Data_Discontinuities[[#This Row],[Joint roughness]]/Data_Discontinuities[[#This Row],[Joint alteration]],"")</f>
        <v>1.5</v>
      </c>
      <c r="V4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51" s="87"/>
    </row>
    <row r="452" spans="1:23" ht="15" customHeight="1" x14ac:dyDescent="0.25">
      <c r="A452" s="150" t="s">
        <v>36</v>
      </c>
      <c r="B452" s="17" t="str">
        <f>VLOOKUP(Data_Discontinuities[[#This Row],[Hole ID]],Data_Log[],2,FALSE)</f>
        <v>CGF-05</v>
      </c>
      <c r="C452" s="8">
        <v>55.41</v>
      </c>
      <c r="D452" s="8">
        <v>1</v>
      </c>
      <c r="E452" s="7" t="s">
        <v>420</v>
      </c>
      <c r="F452" s="7"/>
      <c r="G452" s="7"/>
      <c r="H452" s="118"/>
      <c r="I452" s="7" t="s">
        <v>251</v>
      </c>
      <c r="J452" s="7" t="s">
        <v>288</v>
      </c>
      <c r="K452" s="7" t="s">
        <v>354</v>
      </c>
      <c r="L452" s="7"/>
      <c r="M452" s="7"/>
      <c r="N452" s="7"/>
      <c r="O452" s="84" t="str" cm="1">
        <f t="array" ref="O452">_xlfn.XLOOKUP(1,(A452=Geotech!$A$4:$A$10094)*(Data_Discontinuities[[#This Row],[Depth (m)]]&gt;=Geotech!$C$4:$C$10094)*(Data_Discontinuities[[#This Row],[Depth (m)]]&lt;Geotech!$D$4:$D$10094),Geotech!$M$4:$M$10094)</f>
        <v>Basalt</v>
      </c>
      <c r="P452" s="84"/>
      <c r="Q452" s="84"/>
      <c r="R452" s="84"/>
      <c r="S4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4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52" s="71">
        <f>IFERROR(Data_Discontinuities[[#This Row],[Joint roughness]]/Data_Discontinuities[[#This Row],[Joint alteration]],"")</f>
        <v>0.25</v>
      </c>
      <c r="V4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52" s="87"/>
    </row>
    <row r="453" spans="1:23" ht="15" customHeight="1" x14ac:dyDescent="0.25">
      <c r="A453" s="150" t="s">
        <v>36</v>
      </c>
      <c r="B453" s="17" t="str">
        <f>VLOOKUP(Data_Discontinuities[[#This Row],[Hole ID]],Data_Log[],2,FALSE)</f>
        <v>CGF-05</v>
      </c>
      <c r="C453" s="8">
        <v>55.7</v>
      </c>
      <c r="D453" s="8">
        <v>1</v>
      </c>
      <c r="E453" s="7" t="s">
        <v>420</v>
      </c>
      <c r="F453" s="7"/>
      <c r="G453" s="7"/>
      <c r="H453" s="118"/>
      <c r="I453" s="7" t="s">
        <v>251</v>
      </c>
      <c r="J453" s="7" t="s">
        <v>288</v>
      </c>
      <c r="K453" s="7" t="s">
        <v>382</v>
      </c>
      <c r="L453" s="7" t="s">
        <v>437</v>
      </c>
      <c r="M453" s="7"/>
      <c r="N453" s="7"/>
      <c r="O453" s="84" t="str" cm="1">
        <f t="array" ref="O453">_xlfn.XLOOKUP(1,(A453=Geotech!$A$4:$A$10094)*(Data_Discontinuities[[#This Row],[Depth (m)]]&gt;=Geotech!$C$4:$C$10094)*(Data_Discontinuities[[#This Row],[Depth (m)]]&lt;Geotech!$D$4:$D$10094),Geotech!$M$4:$M$10094)</f>
        <v>Basalt</v>
      </c>
      <c r="P453" s="84"/>
      <c r="Q453" s="84"/>
      <c r="R453" s="84"/>
      <c r="S4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4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3" s="71">
        <f>IFERROR(Data_Discontinuities[[#This Row],[Joint roughness]]/Data_Discontinuities[[#This Row],[Joint alteration]],"")</f>
        <v>0.125</v>
      </c>
      <c r="V4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53" s="87"/>
    </row>
    <row r="454" spans="1:23" ht="15" customHeight="1" x14ac:dyDescent="0.25">
      <c r="A454" s="150" t="s">
        <v>36</v>
      </c>
      <c r="B454" s="17" t="str">
        <f>VLOOKUP(Data_Discontinuities[[#This Row],[Hole ID]],Data_Log[],2,FALSE)</f>
        <v>CGF-05</v>
      </c>
      <c r="C454" s="8">
        <v>57.1</v>
      </c>
      <c r="D454" s="8">
        <v>1</v>
      </c>
      <c r="E454" s="7" t="s">
        <v>420</v>
      </c>
      <c r="F454" s="7"/>
      <c r="G454" s="7"/>
      <c r="H454" s="118"/>
      <c r="I454" s="7" t="s">
        <v>318</v>
      </c>
      <c r="J454" s="7" t="s">
        <v>288</v>
      </c>
      <c r="K454" s="7" t="s">
        <v>354</v>
      </c>
      <c r="L454" s="7"/>
      <c r="M454" s="7"/>
      <c r="N454" s="7"/>
      <c r="O454" s="84" t="str" cm="1">
        <f t="array" ref="O454">_xlfn.XLOOKUP(1,(A454=Geotech!$A$4:$A$10094)*(Data_Discontinuities[[#This Row],[Depth (m)]]&gt;=Geotech!$C$4:$C$10094)*(Data_Discontinuities[[#This Row],[Depth (m)]]&lt;Geotech!$D$4:$D$10094),Geotech!$M$4:$M$10094)</f>
        <v>Basalt</v>
      </c>
      <c r="P454" s="84"/>
      <c r="Q454" s="84"/>
      <c r="R454" s="84"/>
      <c r="S45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5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54" s="71">
        <f>IFERROR(Data_Discontinuities[[#This Row],[Joint roughness]]/Data_Discontinuities[[#This Row],[Joint alteration]],"")</f>
        <v>0.75</v>
      </c>
      <c r="V45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54" s="87"/>
    </row>
    <row r="455" spans="1:23" ht="15" customHeight="1" x14ac:dyDescent="0.25">
      <c r="A455" s="150" t="s">
        <v>36</v>
      </c>
      <c r="B455" s="17" t="str">
        <f>VLOOKUP(Data_Discontinuities[[#This Row],[Hole ID]],Data_Log[],2,FALSE)</f>
        <v>CGF-05</v>
      </c>
      <c r="C455" s="8">
        <v>57.15</v>
      </c>
      <c r="D455" s="8">
        <v>1</v>
      </c>
      <c r="E455" s="7" t="s">
        <v>420</v>
      </c>
      <c r="F455" s="7"/>
      <c r="G455" s="7"/>
      <c r="H455" s="118"/>
      <c r="I455" s="7" t="s">
        <v>318</v>
      </c>
      <c r="J455" s="7" t="s">
        <v>320</v>
      </c>
      <c r="K455" s="7" t="s">
        <v>322</v>
      </c>
      <c r="L455" s="7"/>
      <c r="M455" s="7"/>
      <c r="N455" s="7"/>
      <c r="O455" s="84" t="str" cm="1">
        <f t="array" ref="O455">_xlfn.XLOOKUP(1,(A455=Geotech!$A$4:$A$10094)*(Data_Discontinuities[[#This Row],[Depth (m)]]&gt;=Geotech!$C$4:$C$10094)*(Data_Discontinuities[[#This Row],[Depth (m)]]&lt;Geotech!$D$4:$D$10094),Geotech!$M$4:$M$10094)</f>
        <v>Basalt</v>
      </c>
      <c r="P455" s="84"/>
      <c r="Q455" s="84"/>
      <c r="R455" s="84"/>
      <c r="S4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55" s="71">
        <f>IFERROR(Data_Discontinuities[[#This Row],[Joint roughness]]/Data_Discontinuities[[#This Row],[Joint alteration]],"")</f>
        <v>2</v>
      </c>
      <c r="V4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55" s="87"/>
    </row>
    <row r="456" spans="1:23" ht="15" customHeight="1" x14ac:dyDescent="0.25">
      <c r="A456" s="150" t="s">
        <v>36</v>
      </c>
      <c r="B456" s="17" t="str">
        <f>VLOOKUP(Data_Discontinuities[[#This Row],[Hole ID]],Data_Log[],2,FALSE)</f>
        <v>CGF-05</v>
      </c>
      <c r="C456" s="8">
        <v>57.51</v>
      </c>
      <c r="D456" s="8">
        <v>1</v>
      </c>
      <c r="E456" s="7" t="s">
        <v>420</v>
      </c>
      <c r="F456" s="7"/>
      <c r="G456" s="7"/>
      <c r="H456" s="118"/>
      <c r="I456" s="7" t="s">
        <v>318</v>
      </c>
      <c r="J456" s="7" t="s">
        <v>320</v>
      </c>
      <c r="K456" s="7" t="s">
        <v>406</v>
      </c>
      <c r="L456" s="7" t="s">
        <v>437</v>
      </c>
      <c r="M456" s="7" t="s">
        <v>447</v>
      </c>
      <c r="N456" s="7"/>
      <c r="O456" s="84" t="str" cm="1">
        <f t="array" ref="O456">_xlfn.XLOOKUP(1,(A456=Geotech!$A$4:$A$10094)*(Data_Discontinuities[[#This Row],[Depth (m)]]&gt;=Geotech!$C$4:$C$10094)*(Data_Discontinuities[[#This Row],[Depth (m)]]&lt;Geotech!$D$4:$D$10094),Geotech!$M$4:$M$10094)</f>
        <v>Basalt</v>
      </c>
      <c r="P456" s="84"/>
      <c r="Q456" s="84"/>
      <c r="R456" s="84"/>
      <c r="S4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6" s="71">
        <f>IFERROR(Data_Discontinuities[[#This Row],[Joint roughness]]/Data_Discontinuities[[#This Row],[Joint alteration]],"")</f>
        <v>0.5</v>
      </c>
      <c r="V4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56" s="87"/>
    </row>
    <row r="457" spans="1:23" ht="15" customHeight="1" x14ac:dyDescent="0.25">
      <c r="A457" s="150" t="s">
        <v>36</v>
      </c>
      <c r="B457" s="17" t="str">
        <f>VLOOKUP(Data_Discontinuities[[#This Row],[Hole ID]],Data_Log[],2,FALSE)</f>
        <v>CGF-05</v>
      </c>
      <c r="C457" s="8">
        <v>57.97</v>
      </c>
      <c r="D457" s="8">
        <v>1</v>
      </c>
      <c r="E457" s="7" t="s">
        <v>420</v>
      </c>
      <c r="F457" s="7"/>
      <c r="G457" s="7"/>
      <c r="H457" s="118"/>
      <c r="I457" s="7" t="s">
        <v>286</v>
      </c>
      <c r="J457" s="7" t="s">
        <v>320</v>
      </c>
      <c r="K457" s="7" t="s">
        <v>382</v>
      </c>
      <c r="L457" s="7" t="s">
        <v>437</v>
      </c>
      <c r="M457" s="7" t="s">
        <v>447</v>
      </c>
      <c r="N457" s="7"/>
      <c r="O457" s="84" t="str" cm="1">
        <f t="array" ref="O457">_xlfn.XLOOKUP(1,(A457=Geotech!$A$4:$A$10094)*(Data_Discontinuities[[#This Row],[Depth (m)]]&gt;=Geotech!$C$4:$C$10094)*(Data_Discontinuities[[#This Row],[Depth (m)]]&lt;Geotech!$D$4:$D$10094),Geotech!$M$4:$M$10094)</f>
        <v>Basalt</v>
      </c>
      <c r="P457" s="84"/>
      <c r="Q457" s="84"/>
      <c r="R457" s="84"/>
      <c r="S45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7" s="71">
        <f>IFERROR(Data_Discontinuities[[#This Row],[Joint roughness]]/Data_Discontinuities[[#This Row],[Joint alteration]],"")</f>
        <v>0.5</v>
      </c>
      <c r="V45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57" s="87"/>
    </row>
    <row r="458" spans="1:23" ht="15" customHeight="1" x14ac:dyDescent="0.25">
      <c r="A458" s="150" t="s">
        <v>36</v>
      </c>
      <c r="B458" s="17" t="str">
        <f>VLOOKUP(Data_Discontinuities[[#This Row],[Hole ID]],Data_Log[],2,FALSE)</f>
        <v>CGF-05</v>
      </c>
      <c r="C458" s="8">
        <v>59.11</v>
      </c>
      <c r="D458" s="8">
        <v>1</v>
      </c>
      <c r="E458" s="7" t="s">
        <v>420</v>
      </c>
      <c r="F458" s="7"/>
      <c r="G458" s="7"/>
      <c r="H458" s="118"/>
      <c r="I458" s="7" t="s">
        <v>286</v>
      </c>
      <c r="J458" s="7" t="s">
        <v>352</v>
      </c>
      <c r="K458" s="7" t="s">
        <v>382</v>
      </c>
      <c r="L458" s="7" t="s">
        <v>437</v>
      </c>
      <c r="M458" s="7" t="s">
        <v>447</v>
      </c>
      <c r="N458" s="7"/>
      <c r="O458" s="84" t="str" cm="1">
        <f t="array" ref="O458">_xlfn.XLOOKUP(1,(A458=Geotech!$A$4:$A$10094)*(Data_Discontinuities[[#This Row],[Depth (m)]]&gt;=Geotech!$C$4:$C$10094)*(Data_Discontinuities[[#This Row],[Depth (m)]]&lt;Geotech!$D$4:$D$10094),Geotech!$M$4:$M$10094)</f>
        <v>Basalt</v>
      </c>
      <c r="P458" s="84"/>
      <c r="Q458" s="84"/>
      <c r="R458" s="84"/>
      <c r="S4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8" s="71">
        <f>IFERROR(Data_Discontinuities[[#This Row],[Joint roughness]]/Data_Discontinuities[[#This Row],[Joint alteration]],"")</f>
        <v>0.75</v>
      </c>
      <c r="V4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58" s="87"/>
    </row>
    <row r="459" spans="1:23" ht="15" customHeight="1" x14ac:dyDescent="0.25">
      <c r="A459" s="150" t="s">
        <v>36</v>
      </c>
      <c r="B459" s="17" t="str">
        <f>VLOOKUP(Data_Discontinuities[[#This Row],[Hole ID]],Data_Log[],2,FALSE)</f>
        <v>CGF-05</v>
      </c>
      <c r="C459" s="8">
        <v>59.47</v>
      </c>
      <c r="D459" s="8">
        <v>1</v>
      </c>
      <c r="E459" s="7" t="s">
        <v>420</v>
      </c>
      <c r="F459" s="7"/>
      <c r="G459" s="7"/>
      <c r="H459" s="118"/>
      <c r="I459" s="7" t="s">
        <v>286</v>
      </c>
      <c r="J459" s="7" t="s">
        <v>320</v>
      </c>
      <c r="K459" s="7" t="s">
        <v>406</v>
      </c>
      <c r="L459" s="7" t="s">
        <v>437</v>
      </c>
      <c r="M459" s="7" t="s">
        <v>447</v>
      </c>
      <c r="N459" s="7"/>
      <c r="O459" s="84" t="str" cm="1">
        <f t="array" ref="O459">_xlfn.XLOOKUP(1,(A459=Geotech!$A$4:$A$10094)*(Data_Discontinuities[[#This Row],[Depth (m)]]&gt;=Geotech!$C$4:$C$10094)*(Data_Discontinuities[[#This Row],[Depth (m)]]&lt;Geotech!$D$4:$D$10094),Geotech!$M$4:$M$10094)</f>
        <v>Basalt</v>
      </c>
      <c r="P459" s="84"/>
      <c r="Q459" s="84"/>
      <c r="R459" s="84"/>
      <c r="S4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59" s="71">
        <f>IFERROR(Data_Discontinuities[[#This Row],[Joint roughness]]/Data_Discontinuities[[#This Row],[Joint alteration]],"")</f>
        <v>0.5</v>
      </c>
      <c r="V4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59" s="87"/>
    </row>
    <row r="460" spans="1:23" ht="15" customHeight="1" x14ac:dyDescent="0.25">
      <c r="A460" s="150" t="s">
        <v>36</v>
      </c>
      <c r="B460" s="17" t="str">
        <f>VLOOKUP(Data_Discontinuities[[#This Row],[Hole ID]],Data_Log[],2,FALSE)</f>
        <v>CGF-05</v>
      </c>
      <c r="C460" s="8">
        <v>59.61</v>
      </c>
      <c r="D460" s="8">
        <v>1</v>
      </c>
      <c r="E460" s="7" t="s">
        <v>420</v>
      </c>
      <c r="F460" s="7"/>
      <c r="G460" s="7"/>
      <c r="H460" s="118"/>
      <c r="I460" s="7" t="s">
        <v>286</v>
      </c>
      <c r="J460" s="7" t="s">
        <v>320</v>
      </c>
      <c r="K460" s="7" t="s">
        <v>406</v>
      </c>
      <c r="L460" s="7" t="s">
        <v>437</v>
      </c>
      <c r="M460" s="7" t="s">
        <v>447</v>
      </c>
      <c r="N460" s="7"/>
      <c r="O460" s="84" t="str" cm="1">
        <f t="array" ref="O460">_xlfn.XLOOKUP(1,(A460=Geotech!$A$4:$A$10094)*(Data_Discontinuities[[#This Row],[Depth (m)]]&gt;=Geotech!$C$4:$C$10094)*(Data_Discontinuities[[#This Row],[Depth (m)]]&lt;Geotech!$D$4:$D$10094),Geotech!$M$4:$M$10094)</f>
        <v>Basalt</v>
      </c>
      <c r="P460" s="84"/>
      <c r="Q460" s="84"/>
      <c r="R460" s="84"/>
      <c r="S4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60" s="71">
        <f>IFERROR(Data_Discontinuities[[#This Row],[Joint roughness]]/Data_Discontinuities[[#This Row],[Joint alteration]],"")</f>
        <v>0.5</v>
      </c>
      <c r="V4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60" s="87"/>
    </row>
    <row r="461" spans="1:23" ht="15" customHeight="1" x14ac:dyDescent="0.25">
      <c r="A461" s="150" t="s">
        <v>36</v>
      </c>
      <c r="B461" s="17" t="str">
        <f>VLOOKUP(Data_Discontinuities[[#This Row],[Hole ID]],Data_Log[],2,FALSE)</f>
        <v>CGF-05</v>
      </c>
      <c r="C461" s="8">
        <v>60.56</v>
      </c>
      <c r="D461" s="8">
        <v>1</v>
      </c>
      <c r="E461" s="7" t="s">
        <v>445</v>
      </c>
      <c r="F461" s="7"/>
      <c r="G461" s="7"/>
      <c r="H461" s="118"/>
      <c r="I461" s="7" t="s">
        <v>378</v>
      </c>
      <c r="J461" s="7" t="s">
        <v>352</v>
      </c>
      <c r="K461" s="7" t="s">
        <v>406</v>
      </c>
      <c r="L461" s="7" t="s">
        <v>447</v>
      </c>
      <c r="M461" s="7"/>
      <c r="N461" s="7"/>
      <c r="O461" s="84" t="str" cm="1">
        <f t="array" ref="O461">_xlfn.XLOOKUP(1,(A461=Geotech!$A$4:$A$10094)*(Data_Discontinuities[[#This Row],[Depth (m)]]&gt;=Geotech!$C$4:$C$10094)*(Data_Discontinuities[[#This Row],[Depth (m)]]&lt;Geotech!$D$4:$D$10094),Geotech!$M$4:$M$10094)</f>
        <v>Basalt</v>
      </c>
      <c r="P461" s="84"/>
      <c r="Q461" s="84"/>
      <c r="R461" s="84"/>
      <c r="S4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61" s="71">
        <f>IFERROR(Data_Discontinuities[[#This Row],[Joint roughness]]/Data_Discontinuities[[#This Row],[Joint alteration]],"")</f>
        <v>1</v>
      </c>
      <c r="V4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61" s="87"/>
    </row>
    <row r="462" spans="1:23" ht="15" customHeight="1" x14ac:dyDescent="0.25">
      <c r="A462" s="150" t="s">
        <v>36</v>
      </c>
      <c r="B462" s="17" t="str">
        <f>VLOOKUP(Data_Discontinuities[[#This Row],[Hole ID]],Data_Log[],2,FALSE)</f>
        <v>CGF-05</v>
      </c>
      <c r="C462" s="8">
        <v>61.14</v>
      </c>
      <c r="D462" s="8">
        <v>1</v>
      </c>
      <c r="E462" s="7" t="s">
        <v>420</v>
      </c>
      <c r="F462" s="7"/>
      <c r="G462" s="7"/>
      <c r="H462" s="118"/>
      <c r="I462" s="7" t="s">
        <v>286</v>
      </c>
      <c r="J462" s="7" t="s">
        <v>320</v>
      </c>
      <c r="K462" s="7" t="s">
        <v>406</v>
      </c>
      <c r="L462" s="7" t="s">
        <v>437</v>
      </c>
      <c r="M462" s="7" t="s">
        <v>447</v>
      </c>
      <c r="N462" s="7"/>
      <c r="O462" s="84" t="str" cm="1">
        <f t="array" ref="O462">_xlfn.XLOOKUP(1,(A462=Geotech!$A$4:$A$10094)*(Data_Discontinuities[[#This Row],[Depth (m)]]&gt;=Geotech!$C$4:$C$10094)*(Data_Discontinuities[[#This Row],[Depth (m)]]&lt;Geotech!$D$4:$D$10094),Geotech!$M$4:$M$10094)</f>
        <v>Basalt</v>
      </c>
      <c r="P462" s="84"/>
      <c r="Q462" s="84"/>
      <c r="R462" s="84"/>
      <c r="S4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62" s="71">
        <f>IFERROR(Data_Discontinuities[[#This Row],[Joint roughness]]/Data_Discontinuities[[#This Row],[Joint alteration]],"")</f>
        <v>0.5</v>
      </c>
      <c r="V4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62" s="87"/>
    </row>
    <row r="463" spans="1:23" ht="15" customHeight="1" x14ac:dyDescent="0.25">
      <c r="A463" s="150" t="s">
        <v>36</v>
      </c>
      <c r="B463" s="17" t="str">
        <f>VLOOKUP(Data_Discontinuities[[#This Row],[Hole ID]],Data_Log[],2,FALSE)</f>
        <v>CGF-05</v>
      </c>
      <c r="C463" s="8">
        <v>61.84</v>
      </c>
      <c r="D463" s="8">
        <v>1</v>
      </c>
      <c r="E463" s="7" t="s">
        <v>420</v>
      </c>
      <c r="F463" s="7"/>
      <c r="G463" s="7"/>
      <c r="H463" s="118"/>
      <c r="I463" s="7" t="s">
        <v>286</v>
      </c>
      <c r="J463" s="7" t="s">
        <v>320</v>
      </c>
      <c r="K463" s="7" t="s">
        <v>322</v>
      </c>
      <c r="L463" s="7"/>
      <c r="M463" s="7"/>
      <c r="N463" s="7"/>
      <c r="O463" s="84" t="str" cm="1">
        <f t="array" ref="O463">_xlfn.XLOOKUP(1,(A463=Geotech!$A$4:$A$10094)*(Data_Discontinuities[[#This Row],[Depth (m)]]&gt;=Geotech!$C$4:$C$10094)*(Data_Discontinuities[[#This Row],[Depth (m)]]&lt;Geotech!$D$4:$D$10094),Geotech!$M$4:$M$10094)</f>
        <v>Basalt</v>
      </c>
      <c r="P463" s="84"/>
      <c r="Q463" s="84"/>
      <c r="R463" s="84"/>
      <c r="S4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63" s="71">
        <f>IFERROR(Data_Discontinuities[[#This Row],[Joint roughness]]/Data_Discontinuities[[#This Row],[Joint alteration]],"")</f>
        <v>2</v>
      </c>
      <c r="V4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63" s="87"/>
    </row>
    <row r="464" spans="1:23" ht="15" customHeight="1" x14ac:dyDescent="0.25">
      <c r="A464" s="150" t="s">
        <v>36</v>
      </c>
      <c r="B464" s="17" t="str">
        <f>VLOOKUP(Data_Discontinuities[[#This Row],[Hole ID]],Data_Log[],2,FALSE)</f>
        <v>CGF-05</v>
      </c>
      <c r="C464" s="8">
        <v>62.1</v>
      </c>
      <c r="D464" s="8">
        <v>1</v>
      </c>
      <c r="E464" s="7" t="s">
        <v>420</v>
      </c>
      <c r="F464" s="7"/>
      <c r="G464" s="7"/>
      <c r="H464" s="118"/>
      <c r="I464" s="7" t="s">
        <v>251</v>
      </c>
      <c r="J464" s="7" t="s">
        <v>352</v>
      </c>
      <c r="K464" s="7" t="s">
        <v>354</v>
      </c>
      <c r="L464" s="7"/>
      <c r="M464" s="7"/>
      <c r="N464" s="7"/>
      <c r="O464" s="84" t="str" cm="1">
        <f t="array" ref="O464">_xlfn.XLOOKUP(1,(A464=Geotech!$A$4:$A$10094)*(Data_Discontinuities[[#This Row],[Depth (m)]]&gt;=Geotech!$C$4:$C$10094)*(Data_Discontinuities[[#This Row],[Depth (m)]]&lt;Geotech!$D$4:$D$10094),Geotech!$M$4:$M$10094)</f>
        <v>Basalt</v>
      </c>
      <c r="P464" s="84"/>
      <c r="Q464" s="84"/>
      <c r="R464" s="84"/>
      <c r="S46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6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4" s="71">
        <f>IFERROR(Data_Discontinuities[[#This Row],[Joint roughness]]/Data_Discontinuities[[#This Row],[Joint alteration]],"")</f>
        <v>0.75</v>
      </c>
      <c r="V46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64" s="87"/>
    </row>
    <row r="465" spans="1:23" ht="15" customHeight="1" x14ac:dyDescent="0.25">
      <c r="A465" s="150" t="s">
        <v>36</v>
      </c>
      <c r="B465" s="17" t="str">
        <f>VLOOKUP(Data_Discontinuities[[#This Row],[Hole ID]],Data_Log[],2,FALSE)</f>
        <v>CGF-05</v>
      </c>
      <c r="C465" s="8">
        <v>62.24</v>
      </c>
      <c r="D465" s="8">
        <v>1</v>
      </c>
      <c r="E465" s="7" t="s">
        <v>445</v>
      </c>
      <c r="F465" s="7"/>
      <c r="G465" s="7"/>
      <c r="H465" s="118"/>
      <c r="I465" s="7" t="s">
        <v>286</v>
      </c>
      <c r="J465" s="7" t="s">
        <v>320</v>
      </c>
      <c r="K465" s="7" t="s">
        <v>354</v>
      </c>
      <c r="L465" s="7"/>
      <c r="M465" s="7"/>
      <c r="N465" s="7"/>
      <c r="O465" s="84" t="str" cm="1">
        <f t="array" ref="O465">_xlfn.XLOOKUP(1,(A465=Geotech!$A$4:$A$10094)*(Data_Discontinuities[[#This Row],[Depth (m)]]&gt;=Geotech!$C$4:$C$10094)*(Data_Discontinuities[[#This Row],[Depth (m)]]&lt;Geotech!$D$4:$D$10094),Geotech!$M$4:$M$10094)</f>
        <v>Basalt</v>
      </c>
      <c r="P465" s="84"/>
      <c r="Q465" s="84"/>
      <c r="R465" s="84"/>
      <c r="S4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5" s="71">
        <f>IFERROR(Data_Discontinuities[[#This Row],[Joint roughness]]/Data_Discontinuities[[#This Row],[Joint alteration]],"")</f>
        <v>1</v>
      </c>
      <c r="V4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65" s="87"/>
    </row>
    <row r="466" spans="1:23" ht="15" customHeight="1" x14ac:dyDescent="0.25">
      <c r="A466" s="150" t="s">
        <v>36</v>
      </c>
      <c r="B466" s="17" t="str">
        <f>VLOOKUP(Data_Discontinuities[[#This Row],[Hole ID]],Data_Log[],2,FALSE)</f>
        <v>CGF-05</v>
      </c>
      <c r="C466" s="8">
        <v>62.32</v>
      </c>
      <c r="D466" s="8">
        <v>1</v>
      </c>
      <c r="E466" s="7" t="s">
        <v>445</v>
      </c>
      <c r="F466" s="7"/>
      <c r="G466" s="7"/>
      <c r="H466" s="118"/>
      <c r="I466" s="7" t="s">
        <v>286</v>
      </c>
      <c r="J466" s="7" t="s">
        <v>320</v>
      </c>
      <c r="K466" s="7" t="s">
        <v>354</v>
      </c>
      <c r="L466" s="7"/>
      <c r="M466" s="7"/>
      <c r="N466" s="7"/>
      <c r="O466" s="84" t="str" cm="1">
        <f t="array" ref="O466">_xlfn.XLOOKUP(1,(A466=Geotech!$A$4:$A$10094)*(Data_Discontinuities[[#This Row],[Depth (m)]]&gt;=Geotech!$C$4:$C$10094)*(Data_Discontinuities[[#This Row],[Depth (m)]]&lt;Geotech!$D$4:$D$10094),Geotech!$M$4:$M$10094)</f>
        <v>Basalt</v>
      </c>
      <c r="P466" s="84"/>
      <c r="Q466" s="84"/>
      <c r="R466" s="84"/>
      <c r="S4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6" s="71">
        <f>IFERROR(Data_Discontinuities[[#This Row],[Joint roughness]]/Data_Discontinuities[[#This Row],[Joint alteration]],"")</f>
        <v>1</v>
      </c>
      <c r="V4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66" s="87"/>
    </row>
    <row r="467" spans="1:23" ht="15" customHeight="1" x14ac:dyDescent="0.25">
      <c r="A467" s="150" t="s">
        <v>36</v>
      </c>
      <c r="B467" s="17" t="str">
        <f>VLOOKUP(Data_Discontinuities[[#This Row],[Hole ID]],Data_Log[],2,FALSE)</f>
        <v>CGF-05</v>
      </c>
      <c r="C467" s="8">
        <v>62.47</v>
      </c>
      <c r="D467" s="8">
        <v>1</v>
      </c>
      <c r="E467" s="7" t="s">
        <v>445</v>
      </c>
      <c r="F467" s="7"/>
      <c r="G467" s="7"/>
      <c r="H467" s="118"/>
      <c r="I467" s="7" t="s">
        <v>286</v>
      </c>
      <c r="J467" s="7" t="s">
        <v>352</v>
      </c>
      <c r="K467" s="7" t="s">
        <v>354</v>
      </c>
      <c r="L467" s="7"/>
      <c r="M467" s="7"/>
      <c r="N467" s="7"/>
      <c r="O467" s="84" t="str" cm="1">
        <f t="array" ref="O467">_xlfn.XLOOKUP(1,(A467=Geotech!$A$4:$A$10094)*(Data_Discontinuities[[#This Row],[Depth (m)]]&gt;=Geotech!$C$4:$C$10094)*(Data_Discontinuities[[#This Row],[Depth (m)]]&lt;Geotech!$D$4:$D$10094),Geotech!$M$4:$M$10094)</f>
        <v>Basalt</v>
      </c>
      <c r="P467" s="84"/>
      <c r="Q467" s="84"/>
      <c r="R467" s="84"/>
      <c r="S4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7" s="71">
        <f>IFERROR(Data_Discontinuities[[#This Row],[Joint roughness]]/Data_Discontinuities[[#This Row],[Joint alteration]],"")</f>
        <v>1.5</v>
      </c>
      <c r="V4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67" s="87"/>
    </row>
    <row r="468" spans="1:23" ht="15" customHeight="1" x14ac:dyDescent="0.25">
      <c r="A468" s="150" t="s">
        <v>36</v>
      </c>
      <c r="B468" s="17" t="str">
        <f>VLOOKUP(Data_Discontinuities[[#This Row],[Hole ID]],Data_Log[],2,FALSE)</f>
        <v>CGF-05</v>
      </c>
      <c r="C468" s="8">
        <v>62.94</v>
      </c>
      <c r="D468" s="8">
        <v>1</v>
      </c>
      <c r="E468" s="7" t="s">
        <v>248</v>
      </c>
      <c r="F468" s="7"/>
      <c r="G468" s="7"/>
      <c r="H468" s="118"/>
      <c r="I468" s="7"/>
      <c r="J468" s="7"/>
      <c r="K468" s="7"/>
      <c r="L468" s="7"/>
      <c r="M468" s="7"/>
      <c r="N468" s="7">
        <v>0.1</v>
      </c>
      <c r="O468" s="84" t="str" cm="1">
        <f t="array" ref="O468">_xlfn.XLOOKUP(1,(A468=Geotech!$A$4:$A$10094)*(Data_Discontinuities[[#This Row],[Depth (m)]]&gt;=Geotech!$C$4:$C$10094)*(Data_Discontinuities[[#This Row],[Depth (m)]]&lt;Geotech!$D$4:$D$10094),Geotech!$M$4:$M$10094)</f>
        <v>Basalt</v>
      </c>
      <c r="P468" s="84"/>
      <c r="Q468" s="84"/>
      <c r="R468" s="84"/>
      <c r="S4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68" s="71" t="str">
        <f>IFERROR(Data_Discontinuities[[#This Row],[Joint roughness]]/Data_Discontinuities[[#This Row],[Joint alteration]],"")</f>
        <v/>
      </c>
      <c r="V4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68" s="87"/>
    </row>
    <row r="469" spans="1:23" ht="15" customHeight="1" x14ac:dyDescent="0.25">
      <c r="A469" s="150" t="s">
        <v>36</v>
      </c>
      <c r="B469" s="17" t="str">
        <f>VLOOKUP(Data_Discontinuities[[#This Row],[Hole ID]],Data_Log[],2,FALSE)</f>
        <v>CGF-05</v>
      </c>
      <c r="C469" s="8">
        <v>63.15</v>
      </c>
      <c r="D469" s="8">
        <v>1</v>
      </c>
      <c r="E469" s="7" t="s">
        <v>445</v>
      </c>
      <c r="F469" s="7"/>
      <c r="G469" s="7"/>
      <c r="H469" s="118"/>
      <c r="I469" s="7" t="s">
        <v>318</v>
      </c>
      <c r="J469" s="7" t="s">
        <v>288</v>
      </c>
      <c r="K469" s="7" t="s">
        <v>354</v>
      </c>
      <c r="L469" s="7"/>
      <c r="M469" s="7"/>
      <c r="N469" s="7"/>
      <c r="O469" s="84" t="str" cm="1">
        <f t="array" ref="O469">_xlfn.XLOOKUP(1,(A469=Geotech!$A$4:$A$10094)*(Data_Discontinuities[[#This Row],[Depth (m)]]&gt;=Geotech!$C$4:$C$10094)*(Data_Discontinuities[[#This Row],[Depth (m)]]&lt;Geotech!$D$4:$D$10094),Geotech!$M$4:$M$10094)</f>
        <v>Basalt</v>
      </c>
      <c r="P469" s="84"/>
      <c r="Q469" s="84"/>
      <c r="R469" s="84"/>
      <c r="S4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69" s="71">
        <f>IFERROR(Data_Discontinuities[[#This Row],[Joint roughness]]/Data_Discontinuities[[#This Row],[Joint alteration]],"")</f>
        <v>0.75</v>
      </c>
      <c r="V4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69" s="87"/>
    </row>
    <row r="470" spans="1:23" ht="15" customHeight="1" x14ac:dyDescent="0.25">
      <c r="A470" s="150" t="s">
        <v>36</v>
      </c>
      <c r="B470" s="17" t="str">
        <f>VLOOKUP(Data_Discontinuities[[#This Row],[Hole ID]],Data_Log[],2,FALSE)</f>
        <v>CGF-05</v>
      </c>
      <c r="C470" s="8">
        <v>64.540000000000006</v>
      </c>
      <c r="D470" s="8">
        <v>1</v>
      </c>
      <c r="E470" s="7" t="s">
        <v>402</v>
      </c>
      <c r="F470" s="7"/>
      <c r="G470" s="7"/>
      <c r="H470" s="118"/>
      <c r="I470" s="7"/>
      <c r="J470" s="7"/>
      <c r="K470" s="7"/>
      <c r="L470" s="7"/>
      <c r="M470" s="7"/>
      <c r="N470" s="7">
        <v>0.05</v>
      </c>
      <c r="O470" s="84" t="str" cm="1">
        <f t="array" ref="O470">_xlfn.XLOOKUP(1,(A470=Geotech!$A$4:$A$10094)*(Data_Discontinuities[[#This Row],[Depth (m)]]&gt;=Geotech!$C$4:$C$10094)*(Data_Discontinuities[[#This Row],[Depth (m)]]&lt;Geotech!$D$4:$D$10094),Geotech!$M$4:$M$10094)</f>
        <v>Basalt</v>
      </c>
      <c r="P470" s="84"/>
      <c r="Q470" s="84"/>
      <c r="R470" s="84"/>
      <c r="S4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70" s="71" t="str">
        <f>IFERROR(Data_Discontinuities[[#This Row],[Joint roughness]]/Data_Discontinuities[[#This Row],[Joint alteration]],"")</f>
        <v/>
      </c>
      <c r="V4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70" s="87"/>
    </row>
    <row r="471" spans="1:23" ht="15" customHeight="1" x14ac:dyDescent="0.25">
      <c r="A471" s="150" t="s">
        <v>36</v>
      </c>
      <c r="B471" s="17" t="str">
        <f>VLOOKUP(Data_Discontinuities[[#This Row],[Hole ID]],Data_Log[],2,FALSE)</f>
        <v>CGF-05</v>
      </c>
      <c r="C471" s="8">
        <v>64.63</v>
      </c>
      <c r="D471" s="8">
        <v>1</v>
      </c>
      <c r="E471" s="7" t="s">
        <v>420</v>
      </c>
      <c r="F471" s="7"/>
      <c r="G471" s="7"/>
      <c r="H471" s="118"/>
      <c r="I471" s="7" t="s">
        <v>286</v>
      </c>
      <c r="J471" s="7" t="s">
        <v>320</v>
      </c>
      <c r="K471" s="7" t="s">
        <v>322</v>
      </c>
      <c r="L471" s="7"/>
      <c r="M471" s="7"/>
      <c r="N471" s="7"/>
      <c r="O471" s="84" t="str" cm="1">
        <f t="array" ref="O471">_xlfn.XLOOKUP(1,(A471=Geotech!$A$4:$A$10094)*(Data_Discontinuities[[#This Row],[Depth (m)]]&gt;=Geotech!$C$4:$C$10094)*(Data_Discontinuities[[#This Row],[Depth (m)]]&lt;Geotech!$D$4:$D$10094),Geotech!$M$4:$M$10094)</f>
        <v>Basalt</v>
      </c>
      <c r="P471" s="84"/>
      <c r="Q471" s="84"/>
      <c r="R471" s="84"/>
      <c r="S47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71" s="71">
        <f>IFERROR(Data_Discontinuities[[#This Row],[Joint roughness]]/Data_Discontinuities[[#This Row],[Joint alteration]],"")</f>
        <v>2</v>
      </c>
      <c r="V47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71" s="87"/>
    </row>
    <row r="472" spans="1:23" ht="15" customHeight="1" x14ac:dyDescent="0.25">
      <c r="A472" s="150" t="s">
        <v>36</v>
      </c>
      <c r="B472" s="17" t="str">
        <f>VLOOKUP(Data_Discontinuities[[#This Row],[Hole ID]],Data_Log[],2,FALSE)</f>
        <v>CGF-05</v>
      </c>
      <c r="C472" s="8">
        <v>64.84</v>
      </c>
      <c r="D472" s="8">
        <v>1</v>
      </c>
      <c r="E472" s="7" t="s">
        <v>445</v>
      </c>
      <c r="F472" s="7"/>
      <c r="G472" s="7"/>
      <c r="H472" s="118"/>
      <c r="I472" s="7" t="s">
        <v>286</v>
      </c>
      <c r="J472" s="7" t="s">
        <v>320</v>
      </c>
      <c r="K472" s="7" t="s">
        <v>354</v>
      </c>
      <c r="L472" s="7"/>
      <c r="M472" s="7"/>
      <c r="N472" s="7"/>
      <c r="O472" s="84" t="str" cm="1">
        <f t="array" ref="O472">_xlfn.XLOOKUP(1,(A472=Geotech!$A$4:$A$10094)*(Data_Discontinuities[[#This Row],[Depth (m)]]&gt;=Geotech!$C$4:$C$10094)*(Data_Discontinuities[[#This Row],[Depth (m)]]&lt;Geotech!$D$4:$D$10094),Geotech!$M$4:$M$10094)</f>
        <v>Basalt</v>
      </c>
      <c r="P472" s="84"/>
      <c r="Q472" s="84"/>
      <c r="R472" s="84"/>
      <c r="S4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72" s="71">
        <f>IFERROR(Data_Discontinuities[[#This Row],[Joint roughness]]/Data_Discontinuities[[#This Row],[Joint alteration]],"")</f>
        <v>1</v>
      </c>
      <c r="V4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72" s="87"/>
    </row>
    <row r="473" spans="1:23" ht="15" customHeight="1" x14ac:dyDescent="0.25">
      <c r="A473" s="150" t="s">
        <v>36</v>
      </c>
      <c r="B473" s="17" t="str">
        <f>VLOOKUP(Data_Discontinuities[[#This Row],[Hole ID]],Data_Log[],2,FALSE)</f>
        <v>CGF-05</v>
      </c>
      <c r="C473" s="8">
        <v>65.319999999999993</v>
      </c>
      <c r="D473" s="8">
        <v>1</v>
      </c>
      <c r="E473" s="7" t="s">
        <v>445</v>
      </c>
      <c r="F473" s="7"/>
      <c r="G473" s="7"/>
      <c r="H473" s="118"/>
      <c r="I473" s="7" t="s">
        <v>251</v>
      </c>
      <c r="J473" s="7" t="s">
        <v>352</v>
      </c>
      <c r="K473" s="7" t="s">
        <v>322</v>
      </c>
      <c r="L473" s="7"/>
      <c r="M473" s="7"/>
      <c r="N473" s="7"/>
      <c r="O473" s="84" t="str" cm="1">
        <f t="array" ref="O473">_xlfn.XLOOKUP(1,(A473=Geotech!$A$4:$A$10094)*(Data_Discontinuities[[#This Row],[Depth (m)]]&gt;=Geotech!$C$4:$C$10094)*(Data_Discontinuities[[#This Row],[Depth (m)]]&lt;Geotech!$D$4:$D$10094),Geotech!$M$4:$M$10094)</f>
        <v>Basalt</v>
      </c>
      <c r="P473" s="84"/>
      <c r="Q473" s="84"/>
      <c r="R473" s="84"/>
      <c r="S47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7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73" s="71">
        <f>IFERROR(Data_Discontinuities[[#This Row],[Joint roughness]]/Data_Discontinuities[[#This Row],[Joint alteration]],"")</f>
        <v>1.5</v>
      </c>
      <c r="V47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73" s="87"/>
    </row>
    <row r="474" spans="1:23" ht="15" customHeight="1" x14ac:dyDescent="0.25">
      <c r="A474" s="150" t="s">
        <v>36</v>
      </c>
      <c r="B474" s="17" t="str">
        <f>VLOOKUP(Data_Discontinuities[[#This Row],[Hole ID]],Data_Log[],2,FALSE)</f>
        <v>CGF-05</v>
      </c>
      <c r="C474" s="8">
        <v>65.78</v>
      </c>
      <c r="D474" s="8">
        <v>1</v>
      </c>
      <c r="E474" s="7" t="s">
        <v>420</v>
      </c>
      <c r="F474" s="7"/>
      <c r="G474" s="7"/>
      <c r="H474" s="118"/>
      <c r="I474" s="7" t="s">
        <v>286</v>
      </c>
      <c r="J474" s="7" t="s">
        <v>320</v>
      </c>
      <c r="K474" s="7" t="s">
        <v>382</v>
      </c>
      <c r="L474" s="7" t="s">
        <v>437</v>
      </c>
      <c r="M474" s="7"/>
      <c r="N474" s="7"/>
      <c r="O474" s="84" t="str" cm="1">
        <f t="array" ref="O474">_xlfn.XLOOKUP(1,(A474=Geotech!$A$4:$A$10094)*(Data_Discontinuities[[#This Row],[Depth (m)]]&gt;=Geotech!$C$4:$C$10094)*(Data_Discontinuities[[#This Row],[Depth (m)]]&lt;Geotech!$D$4:$D$10094),Geotech!$M$4:$M$10094)</f>
        <v>Basalt</v>
      </c>
      <c r="P474" s="84"/>
      <c r="Q474" s="84"/>
      <c r="R474" s="84"/>
      <c r="S47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74" s="71">
        <f>IFERROR(Data_Discontinuities[[#This Row],[Joint roughness]]/Data_Discontinuities[[#This Row],[Joint alteration]],"")</f>
        <v>0.5</v>
      </c>
      <c r="V47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74" s="87"/>
    </row>
    <row r="475" spans="1:23" ht="15" customHeight="1" x14ac:dyDescent="0.25">
      <c r="A475" s="150" t="s">
        <v>36</v>
      </c>
      <c r="B475" s="17" t="str">
        <f>VLOOKUP(Data_Discontinuities[[#This Row],[Hole ID]],Data_Log[],2,FALSE)</f>
        <v>CGF-05</v>
      </c>
      <c r="C475" s="8">
        <v>65.86</v>
      </c>
      <c r="D475" s="8">
        <v>1</v>
      </c>
      <c r="E475" s="7" t="s">
        <v>420</v>
      </c>
      <c r="F475" s="7"/>
      <c r="G475" s="7"/>
      <c r="H475" s="118"/>
      <c r="I475" s="7" t="s">
        <v>286</v>
      </c>
      <c r="J475" s="7" t="s">
        <v>320</v>
      </c>
      <c r="K475" s="7" t="s">
        <v>354</v>
      </c>
      <c r="L475" s="7"/>
      <c r="M475" s="7"/>
      <c r="N475" s="7"/>
      <c r="O475" s="84" t="str" cm="1">
        <f t="array" ref="O475">_xlfn.XLOOKUP(1,(A475=Geotech!$A$4:$A$10094)*(Data_Discontinuities[[#This Row],[Depth (m)]]&gt;=Geotech!$C$4:$C$10094)*(Data_Discontinuities[[#This Row],[Depth (m)]]&lt;Geotech!$D$4:$D$10094),Geotech!$M$4:$M$10094)</f>
        <v>Basalt</v>
      </c>
      <c r="P475" s="84"/>
      <c r="Q475" s="84"/>
      <c r="R475" s="84"/>
      <c r="S47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75" s="71">
        <f>IFERROR(Data_Discontinuities[[#This Row],[Joint roughness]]/Data_Discontinuities[[#This Row],[Joint alteration]],"")</f>
        <v>1</v>
      </c>
      <c r="V47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75" s="87"/>
    </row>
    <row r="476" spans="1:23" ht="15" customHeight="1" x14ac:dyDescent="0.25">
      <c r="A476" s="150" t="s">
        <v>36</v>
      </c>
      <c r="B476" s="17" t="str">
        <f>VLOOKUP(Data_Discontinuities[[#This Row],[Hole ID]],Data_Log[],2,FALSE)</f>
        <v>CGF-05</v>
      </c>
      <c r="C476" s="8">
        <v>66.180000000000007</v>
      </c>
      <c r="D476" s="8">
        <v>1</v>
      </c>
      <c r="E476" s="7" t="s">
        <v>445</v>
      </c>
      <c r="F476" s="7"/>
      <c r="G476" s="7"/>
      <c r="H476" s="118"/>
      <c r="I476" s="7" t="s">
        <v>286</v>
      </c>
      <c r="J476" s="7" t="s">
        <v>320</v>
      </c>
      <c r="K476" s="7" t="s">
        <v>382</v>
      </c>
      <c r="L476" s="7" t="s">
        <v>437</v>
      </c>
      <c r="M476" s="7" t="s">
        <v>447</v>
      </c>
      <c r="N476" s="7"/>
      <c r="O476" s="84" t="str" cm="1">
        <f t="array" ref="O476">_xlfn.XLOOKUP(1,(A476=Geotech!$A$4:$A$10094)*(Data_Discontinuities[[#This Row],[Depth (m)]]&gt;=Geotech!$C$4:$C$10094)*(Data_Discontinuities[[#This Row],[Depth (m)]]&lt;Geotech!$D$4:$D$10094),Geotech!$M$4:$M$10094)</f>
        <v>Basalt</v>
      </c>
      <c r="P476" s="84"/>
      <c r="Q476" s="84"/>
      <c r="R476" s="84"/>
      <c r="S4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76" s="71">
        <f>IFERROR(Data_Discontinuities[[#This Row],[Joint roughness]]/Data_Discontinuities[[#This Row],[Joint alteration]],"")</f>
        <v>0.5</v>
      </c>
      <c r="V4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76" s="87"/>
    </row>
    <row r="477" spans="1:23" ht="15" customHeight="1" x14ac:dyDescent="0.25">
      <c r="A477" s="150" t="s">
        <v>36</v>
      </c>
      <c r="B477" s="17" t="str">
        <f>VLOOKUP(Data_Discontinuities[[#This Row],[Hole ID]],Data_Log[],2,FALSE)</f>
        <v>CGF-05</v>
      </c>
      <c r="C477" s="8">
        <v>67.400000000000006</v>
      </c>
      <c r="D477" s="8">
        <v>1</v>
      </c>
      <c r="E477" s="7" t="s">
        <v>445</v>
      </c>
      <c r="F477" s="7"/>
      <c r="G477" s="7"/>
      <c r="H477" s="118"/>
      <c r="I477" s="7" t="s">
        <v>286</v>
      </c>
      <c r="J477" s="7" t="s">
        <v>320</v>
      </c>
      <c r="K477" s="7" t="s">
        <v>406</v>
      </c>
      <c r="L477" s="7" t="s">
        <v>447</v>
      </c>
      <c r="M477" s="7"/>
      <c r="N477" s="7"/>
      <c r="O477" s="84" t="str" cm="1">
        <f t="array" ref="O477">_xlfn.XLOOKUP(1,(A477=Geotech!$A$4:$A$10094)*(Data_Discontinuities[[#This Row],[Depth (m)]]&gt;=Geotech!$C$4:$C$10094)*(Data_Discontinuities[[#This Row],[Depth (m)]]&lt;Geotech!$D$4:$D$10094),Geotech!$M$4:$M$10094)</f>
        <v>Basalt</v>
      </c>
      <c r="P477" s="84"/>
      <c r="Q477" s="84"/>
      <c r="R477" s="84"/>
      <c r="S4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77" s="71">
        <f>IFERROR(Data_Discontinuities[[#This Row],[Joint roughness]]/Data_Discontinuities[[#This Row],[Joint alteration]],"")</f>
        <v>0.66666666666666663</v>
      </c>
      <c r="V4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77" s="87"/>
    </row>
    <row r="478" spans="1:23" ht="15" customHeight="1" x14ac:dyDescent="0.25">
      <c r="A478" s="150" t="s">
        <v>36</v>
      </c>
      <c r="B478" s="17" t="str">
        <f>VLOOKUP(Data_Discontinuities[[#This Row],[Hole ID]],Data_Log[],2,FALSE)</f>
        <v>CGF-05</v>
      </c>
      <c r="C478" s="8">
        <v>68.02</v>
      </c>
      <c r="D478" s="8">
        <v>1</v>
      </c>
      <c r="E478" s="7" t="s">
        <v>481</v>
      </c>
      <c r="F478" s="7"/>
      <c r="G478" s="7"/>
      <c r="H478" s="118"/>
      <c r="I478" s="7" t="s">
        <v>251</v>
      </c>
      <c r="J478" s="7" t="s">
        <v>380</v>
      </c>
      <c r="K478" s="7" t="s">
        <v>406</v>
      </c>
      <c r="L478" s="7" t="s">
        <v>447</v>
      </c>
      <c r="M478" s="7"/>
      <c r="N478" s="7"/>
      <c r="O478" s="84" t="str" cm="1">
        <f t="array" ref="O478">_xlfn.XLOOKUP(1,(A478=Geotech!$A$4:$A$10094)*(Data_Discontinuities[[#This Row],[Depth (m)]]&gt;=Geotech!$C$4:$C$10094)*(Data_Discontinuities[[#This Row],[Depth (m)]]&lt;Geotech!$D$4:$D$10094),Geotech!$M$4:$M$10094)</f>
        <v>Basalt</v>
      </c>
      <c r="P478" s="84"/>
      <c r="Q478" s="84"/>
      <c r="R478" s="84"/>
      <c r="S4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78" s="71">
        <f>IFERROR(Data_Discontinuities[[#This Row],[Joint roughness]]/Data_Discontinuities[[#This Row],[Joint alteration]],"")</f>
        <v>0.5</v>
      </c>
      <c r="V4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78" s="87"/>
    </row>
    <row r="479" spans="1:23" ht="15" customHeight="1" x14ac:dyDescent="0.25">
      <c r="A479" s="150" t="s">
        <v>36</v>
      </c>
      <c r="B479" s="17" t="str">
        <f>VLOOKUP(Data_Discontinuities[[#This Row],[Hole ID]],Data_Log[],2,FALSE)</f>
        <v>CGF-05</v>
      </c>
      <c r="C479" s="8">
        <v>69.900000000000006</v>
      </c>
      <c r="D479" s="8">
        <v>1</v>
      </c>
      <c r="E479" s="7" t="s">
        <v>445</v>
      </c>
      <c r="F479" s="7"/>
      <c r="G479" s="7"/>
      <c r="H479" s="118"/>
      <c r="I479" s="7" t="s">
        <v>286</v>
      </c>
      <c r="J479" s="7" t="s">
        <v>380</v>
      </c>
      <c r="K479" s="7" t="s">
        <v>290</v>
      </c>
      <c r="L479" s="7"/>
      <c r="M479" s="7"/>
      <c r="N479" s="7"/>
      <c r="O479" s="84" t="str" cm="1">
        <f t="array" ref="O479">_xlfn.XLOOKUP(1,(A479=Geotech!$A$4:$A$10094)*(Data_Discontinuities[[#This Row],[Depth (m)]]&gt;=Geotech!$C$4:$C$10094)*(Data_Discontinuities[[#This Row],[Depth (m)]]&lt;Geotech!$D$4:$D$10094),Geotech!$M$4:$M$10094)</f>
        <v>Basalt</v>
      </c>
      <c r="P479" s="84"/>
      <c r="Q479" s="84"/>
      <c r="R479" s="84"/>
      <c r="S4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79" s="71">
        <f>IFERROR(Data_Discontinuities[[#This Row],[Joint roughness]]/Data_Discontinuities[[#This Row],[Joint alteration]],"")</f>
        <v>1.5</v>
      </c>
      <c r="V4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79" s="87"/>
    </row>
    <row r="480" spans="1:23" ht="15" customHeight="1" x14ac:dyDescent="0.25">
      <c r="A480" s="150" t="s">
        <v>36</v>
      </c>
      <c r="B480" s="17" t="str">
        <f>VLOOKUP(Data_Discontinuities[[#This Row],[Hole ID]],Data_Log[],2,FALSE)</f>
        <v>CGF-05</v>
      </c>
      <c r="C480" s="8">
        <v>71.319999999999993</v>
      </c>
      <c r="D480" s="8">
        <v>1</v>
      </c>
      <c r="E480" s="7" t="s">
        <v>445</v>
      </c>
      <c r="F480" s="7"/>
      <c r="G480" s="7"/>
      <c r="H480" s="118"/>
      <c r="I480" s="7" t="s">
        <v>286</v>
      </c>
      <c r="J480" s="7" t="s">
        <v>352</v>
      </c>
      <c r="K480" s="7" t="s">
        <v>322</v>
      </c>
      <c r="L480" s="7"/>
      <c r="M480" s="7"/>
      <c r="N480" s="7"/>
      <c r="O480" s="84" t="str" cm="1">
        <f t="array" ref="O480">_xlfn.XLOOKUP(1,(A480=Geotech!$A$4:$A$10094)*(Data_Discontinuities[[#This Row],[Depth (m)]]&gt;=Geotech!$C$4:$C$10094)*(Data_Discontinuities[[#This Row],[Depth (m)]]&lt;Geotech!$D$4:$D$10094),Geotech!$M$4:$M$10094)</f>
        <v>Basalt</v>
      </c>
      <c r="P480" s="84"/>
      <c r="Q480" s="84"/>
      <c r="R480" s="84"/>
      <c r="S4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80" s="71">
        <f>IFERROR(Data_Discontinuities[[#This Row],[Joint roughness]]/Data_Discontinuities[[#This Row],[Joint alteration]],"")</f>
        <v>3</v>
      </c>
      <c r="V4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80" s="87"/>
    </row>
    <row r="481" spans="1:23" ht="15" customHeight="1" x14ac:dyDescent="0.25">
      <c r="A481" s="150" t="s">
        <v>36</v>
      </c>
      <c r="B481" s="17" t="str">
        <f>VLOOKUP(Data_Discontinuities[[#This Row],[Hole ID]],Data_Log[],2,FALSE)</f>
        <v>CGF-05</v>
      </c>
      <c r="C481" s="8">
        <v>71.849999999999994</v>
      </c>
      <c r="D481" s="8">
        <v>1</v>
      </c>
      <c r="E481" s="7" t="s">
        <v>420</v>
      </c>
      <c r="F481" s="7"/>
      <c r="G481" s="7"/>
      <c r="H481" s="118"/>
      <c r="I481" s="7" t="s">
        <v>318</v>
      </c>
      <c r="J481" s="7" t="s">
        <v>320</v>
      </c>
      <c r="K481" s="7" t="s">
        <v>382</v>
      </c>
      <c r="L481" s="7" t="s">
        <v>437</v>
      </c>
      <c r="M481" s="7"/>
      <c r="N481" s="7"/>
      <c r="O481" s="84" t="str" cm="1">
        <f t="array" ref="O481">_xlfn.XLOOKUP(1,(A481=Geotech!$A$4:$A$10094)*(Data_Discontinuities[[#This Row],[Depth (m)]]&gt;=Geotech!$C$4:$C$10094)*(Data_Discontinuities[[#This Row],[Depth (m)]]&lt;Geotech!$D$4:$D$10094),Geotech!$M$4:$M$10094)</f>
        <v>Basalt</v>
      </c>
      <c r="P481" s="84"/>
      <c r="Q481" s="84"/>
      <c r="R481" s="84"/>
      <c r="S48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8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81" s="71">
        <f>IFERROR(Data_Discontinuities[[#This Row],[Joint roughness]]/Data_Discontinuities[[#This Row],[Joint alteration]],"")</f>
        <v>0.5</v>
      </c>
      <c r="V48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81" s="87"/>
    </row>
    <row r="482" spans="1:23" ht="15" customHeight="1" x14ac:dyDescent="0.25">
      <c r="A482" s="150" t="s">
        <v>36</v>
      </c>
      <c r="B482" s="17" t="str">
        <f>VLOOKUP(Data_Discontinuities[[#This Row],[Hole ID]],Data_Log[],2,FALSE)</f>
        <v>CGF-05</v>
      </c>
      <c r="C482" s="8">
        <v>72.69</v>
      </c>
      <c r="D482" s="8">
        <v>1</v>
      </c>
      <c r="E482" s="7" t="s">
        <v>445</v>
      </c>
      <c r="F482" s="7"/>
      <c r="G482" s="7"/>
      <c r="H482" s="118"/>
      <c r="I482" s="7" t="s">
        <v>286</v>
      </c>
      <c r="J482" s="7" t="s">
        <v>352</v>
      </c>
      <c r="K482" s="7" t="s">
        <v>322</v>
      </c>
      <c r="L482" s="7"/>
      <c r="M482" s="7"/>
      <c r="N482" s="7"/>
      <c r="O482" s="84" t="str" cm="1">
        <f t="array" ref="O482">_xlfn.XLOOKUP(1,(A482=Geotech!$A$4:$A$10094)*(Data_Discontinuities[[#This Row],[Depth (m)]]&gt;=Geotech!$C$4:$C$10094)*(Data_Discontinuities[[#This Row],[Depth (m)]]&lt;Geotech!$D$4:$D$10094),Geotech!$M$4:$M$10094)</f>
        <v>Basalt</v>
      </c>
      <c r="P482" s="84"/>
      <c r="Q482" s="84"/>
      <c r="R482" s="84"/>
      <c r="S4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82" s="71">
        <f>IFERROR(Data_Discontinuities[[#This Row],[Joint roughness]]/Data_Discontinuities[[#This Row],[Joint alteration]],"")</f>
        <v>3</v>
      </c>
      <c r="V4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82" s="87"/>
    </row>
    <row r="483" spans="1:23" ht="15" customHeight="1" x14ac:dyDescent="0.25">
      <c r="A483" s="150" t="s">
        <v>36</v>
      </c>
      <c r="B483" s="17" t="str">
        <f>VLOOKUP(Data_Discontinuities[[#This Row],[Hole ID]],Data_Log[],2,FALSE)</f>
        <v>CGF-05</v>
      </c>
      <c r="C483" s="8">
        <v>75.05</v>
      </c>
      <c r="D483" s="8">
        <v>1</v>
      </c>
      <c r="E483" s="7" t="s">
        <v>420</v>
      </c>
      <c r="F483" s="7"/>
      <c r="G483" s="7"/>
      <c r="H483" s="118"/>
      <c r="I483" s="7" t="s">
        <v>286</v>
      </c>
      <c r="J483" s="7" t="s">
        <v>288</v>
      </c>
      <c r="K483" s="7" t="s">
        <v>382</v>
      </c>
      <c r="L483" s="7" t="s">
        <v>437</v>
      </c>
      <c r="M483" s="7"/>
      <c r="N483" s="7"/>
      <c r="O483" s="84" t="str" cm="1">
        <f t="array" ref="O483">_xlfn.XLOOKUP(1,(A483=Geotech!$A$4:$A$10094)*(Data_Discontinuities[[#This Row],[Depth (m)]]&gt;=Geotech!$C$4:$C$10094)*(Data_Discontinuities[[#This Row],[Depth (m)]]&lt;Geotech!$D$4:$D$10094),Geotech!$M$4:$M$10094)</f>
        <v>Basalt</v>
      </c>
      <c r="P483" s="84"/>
      <c r="Q483" s="84"/>
      <c r="R483" s="84"/>
      <c r="S4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4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83" s="71">
        <f>IFERROR(Data_Discontinuities[[#This Row],[Joint roughness]]/Data_Discontinuities[[#This Row],[Joint alteration]],"")</f>
        <v>0.375</v>
      </c>
      <c r="V4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483" s="87"/>
    </row>
    <row r="484" spans="1:23" ht="15" customHeight="1" x14ac:dyDescent="0.25">
      <c r="A484" s="150" t="s">
        <v>36</v>
      </c>
      <c r="B484" s="17" t="str">
        <f>VLOOKUP(Data_Discontinuities[[#This Row],[Hole ID]],Data_Log[],2,FALSE)</f>
        <v>CGF-05</v>
      </c>
      <c r="C484" s="8">
        <v>75.12</v>
      </c>
      <c r="D484" s="8">
        <v>1</v>
      </c>
      <c r="E484" s="7" t="s">
        <v>420</v>
      </c>
      <c r="F484" s="7"/>
      <c r="G484" s="7"/>
      <c r="H484" s="118"/>
      <c r="I484" s="7" t="s">
        <v>286</v>
      </c>
      <c r="J484" s="7" t="s">
        <v>352</v>
      </c>
      <c r="K484" s="7" t="s">
        <v>406</v>
      </c>
      <c r="L484" s="7" t="s">
        <v>437</v>
      </c>
      <c r="M484" s="7" t="s">
        <v>447</v>
      </c>
      <c r="N484" s="7"/>
      <c r="O484" s="84" t="str" cm="1">
        <f t="array" ref="O484">_xlfn.XLOOKUP(1,(A484=Geotech!$A$4:$A$10094)*(Data_Discontinuities[[#This Row],[Depth (m)]]&gt;=Geotech!$C$4:$C$10094)*(Data_Discontinuities[[#This Row],[Depth (m)]]&lt;Geotech!$D$4:$D$10094),Geotech!$M$4:$M$10094)</f>
        <v>Basalt</v>
      </c>
      <c r="P484" s="84"/>
      <c r="Q484" s="84"/>
      <c r="R484" s="84"/>
      <c r="S48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8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84" s="71">
        <f>IFERROR(Data_Discontinuities[[#This Row],[Joint roughness]]/Data_Discontinuities[[#This Row],[Joint alteration]],"")</f>
        <v>0.75</v>
      </c>
      <c r="V48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84" s="87"/>
    </row>
    <row r="485" spans="1:23" ht="15" customHeight="1" x14ac:dyDescent="0.25">
      <c r="A485" s="150" t="s">
        <v>36</v>
      </c>
      <c r="B485" s="17" t="str">
        <f>VLOOKUP(Data_Discontinuities[[#This Row],[Hole ID]],Data_Log[],2,FALSE)</f>
        <v>CGF-05</v>
      </c>
      <c r="C485" s="8">
        <v>75.459999999999994</v>
      </c>
      <c r="D485" s="8">
        <v>1</v>
      </c>
      <c r="E485" s="7" t="s">
        <v>420</v>
      </c>
      <c r="F485" s="7"/>
      <c r="G485" s="7"/>
      <c r="H485" s="118"/>
      <c r="I485" s="7" t="s">
        <v>286</v>
      </c>
      <c r="J485" s="7" t="s">
        <v>320</v>
      </c>
      <c r="K485" s="7" t="s">
        <v>406</v>
      </c>
      <c r="L485" s="7" t="s">
        <v>437</v>
      </c>
      <c r="M485" s="7" t="s">
        <v>447</v>
      </c>
      <c r="N485" s="7"/>
      <c r="O485" s="84" t="str" cm="1">
        <f t="array" ref="O485">_xlfn.XLOOKUP(1,(A485=Geotech!$A$4:$A$10094)*(Data_Discontinuities[[#This Row],[Depth (m)]]&gt;=Geotech!$C$4:$C$10094)*(Data_Discontinuities[[#This Row],[Depth (m)]]&lt;Geotech!$D$4:$D$10094),Geotech!$M$4:$M$10094)</f>
        <v>Basalt</v>
      </c>
      <c r="P485" s="84"/>
      <c r="Q485" s="84"/>
      <c r="R485" s="84"/>
      <c r="S4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85" s="71">
        <f>IFERROR(Data_Discontinuities[[#This Row],[Joint roughness]]/Data_Discontinuities[[#This Row],[Joint alteration]],"")</f>
        <v>0.5</v>
      </c>
      <c r="V4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85" s="87"/>
    </row>
    <row r="486" spans="1:23" ht="15" customHeight="1" x14ac:dyDescent="0.25">
      <c r="A486" s="150" t="s">
        <v>36</v>
      </c>
      <c r="B486" s="17" t="str">
        <f>VLOOKUP(Data_Discontinuities[[#This Row],[Hole ID]],Data_Log[],2,FALSE)</f>
        <v>CGF-05</v>
      </c>
      <c r="C486" s="8">
        <v>75.760000000000005</v>
      </c>
      <c r="D486" s="8">
        <v>1</v>
      </c>
      <c r="E486" s="7" t="s">
        <v>420</v>
      </c>
      <c r="F486" s="7"/>
      <c r="G486" s="7"/>
      <c r="H486" s="118"/>
      <c r="I486" s="7" t="s">
        <v>318</v>
      </c>
      <c r="J486" s="7" t="s">
        <v>320</v>
      </c>
      <c r="K486" s="7" t="s">
        <v>406</v>
      </c>
      <c r="L486" s="7" t="s">
        <v>437</v>
      </c>
      <c r="M486" s="7" t="s">
        <v>447</v>
      </c>
      <c r="N486" s="7"/>
      <c r="O486" s="84" t="str" cm="1">
        <f t="array" ref="O486">_xlfn.XLOOKUP(1,(A486=Geotech!$A$4:$A$10094)*(Data_Discontinuities[[#This Row],[Depth (m)]]&gt;=Geotech!$C$4:$C$10094)*(Data_Discontinuities[[#This Row],[Depth (m)]]&lt;Geotech!$D$4:$D$10094),Geotech!$M$4:$M$10094)</f>
        <v>Basalt</v>
      </c>
      <c r="P486" s="84"/>
      <c r="Q486" s="84"/>
      <c r="R486" s="84"/>
      <c r="S4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86" s="71">
        <f>IFERROR(Data_Discontinuities[[#This Row],[Joint roughness]]/Data_Discontinuities[[#This Row],[Joint alteration]],"")</f>
        <v>0.5</v>
      </c>
      <c r="V4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486" s="87"/>
    </row>
    <row r="487" spans="1:23" ht="15" customHeight="1" x14ac:dyDescent="0.25">
      <c r="A487" s="150" t="s">
        <v>36</v>
      </c>
      <c r="B487" s="17" t="str">
        <f>VLOOKUP(Data_Discontinuities[[#This Row],[Hole ID]],Data_Log[],2,FALSE)</f>
        <v>CGF-05</v>
      </c>
      <c r="C487" s="8">
        <v>75.84</v>
      </c>
      <c r="D487" s="8">
        <v>1</v>
      </c>
      <c r="E487" s="7" t="s">
        <v>420</v>
      </c>
      <c r="F487" s="7"/>
      <c r="G487" s="7"/>
      <c r="H487" s="118"/>
      <c r="I487" s="7" t="s">
        <v>286</v>
      </c>
      <c r="J487" s="7" t="s">
        <v>320</v>
      </c>
      <c r="K487" s="7" t="s">
        <v>354</v>
      </c>
      <c r="L487" s="7"/>
      <c r="M487" s="7"/>
      <c r="N487" s="7"/>
      <c r="O487" s="84" t="str" cm="1">
        <f t="array" ref="O487">_xlfn.XLOOKUP(1,(A487=Geotech!$A$4:$A$10094)*(Data_Discontinuities[[#This Row],[Depth (m)]]&gt;=Geotech!$C$4:$C$10094)*(Data_Discontinuities[[#This Row],[Depth (m)]]&lt;Geotech!$D$4:$D$10094),Geotech!$M$4:$M$10094)</f>
        <v>Basalt</v>
      </c>
      <c r="P487" s="84"/>
      <c r="Q487" s="84"/>
      <c r="R487" s="84"/>
      <c r="S4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87" s="71">
        <f>IFERROR(Data_Discontinuities[[#This Row],[Joint roughness]]/Data_Discontinuities[[#This Row],[Joint alteration]],"")</f>
        <v>1</v>
      </c>
      <c r="V4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87" s="87"/>
    </row>
    <row r="488" spans="1:23" ht="15" customHeight="1" x14ac:dyDescent="0.25">
      <c r="A488" s="150" t="s">
        <v>36</v>
      </c>
      <c r="B488" s="17" t="str">
        <f>VLOOKUP(Data_Discontinuities[[#This Row],[Hole ID]],Data_Log[],2,FALSE)</f>
        <v>CGF-05</v>
      </c>
      <c r="C488" s="8">
        <v>75.88</v>
      </c>
      <c r="D488" s="8">
        <v>1</v>
      </c>
      <c r="E488" s="7" t="s">
        <v>420</v>
      </c>
      <c r="F488" s="7"/>
      <c r="G488" s="7"/>
      <c r="H488" s="118"/>
      <c r="I488" s="7" t="s">
        <v>318</v>
      </c>
      <c r="J488" s="7" t="s">
        <v>320</v>
      </c>
      <c r="K488" s="7" t="s">
        <v>354</v>
      </c>
      <c r="L488" s="7"/>
      <c r="M488" s="7"/>
      <c r="N488" s="7"/>
      <c r="O488" s="84" t="str" cm="1">
        <f t="array" ref="O488">_xlfn.XLOOKUP(1,(A488=Geotech!$A$4:$A$10094)*(Data_Discontinuities[[#This Row],[Depth (m)]]&gt;=Geotech!$C$4:$C$10094)*(Data_Discontinuities[[#This Row],[Depth (m)]]&lt;Geotech!$D$4:$D$10094),Geotech!$M$4:$M$10094)</f>
        <v>Basalt</v>
      </c>
      <c r="P488" s="84"/>
      <c r="Q488" s="84"/>
      <c r="R488" s="84"/>
      <c r="S48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8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88" s="71">
        <f>IFERROR(Data_Discontinuities[[#This Row],[Joint roughness]]/Data_Discontinuities[[#This Row],[Joint alteration]],"")</f>
        <v>1</v>
      </c>
      <c r="V48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88" s="87"/>
    </row>
    <row r="489" spans="1:23" ht="15" customHeight="1" x14ac:dyDescent="0.25">
      <c r="A489" s="150" t="s">
        <v>36</v>
      </c>
      <c r="B489" s="17" t="str">
        <f>VLOOKUP(Data_Discontinuities[[#This Row],[Hole ID]],Data_Log[],2,FALSE)</f>
        <v>CGF-05</v>
      </c>
      <c r="C489" s="8">
        <v>76.239999999999995</v>
      </c>
      <c r="D489" s="8">
        <v>1</v>
      </c>
      <c r="E489" s="7" t="s">
        <v>248</v>
      </c>
      <c r="F489" s="7"/>
      <c r="G489" s="7"/>
      <c r="H489" s="118"/>
      <c r="I489" s="7"/>
      <c r="J489" s="7"/>
      <c r="K489" s="7"/>
      <c r="L489" s="7"/>
      <c r="M489" s="7"/>
      <c r="N489" s="7">
        <v>0.1</v>
      </c>
      <c r="O489" s="84" t="str" cm="1">
        <f t="array" ref="O489">_xlfn.XLOOKUP(1,(A489=Geotech!$A$4:$A$10094)*(Data_Discontinuities[[#This Row],[Depth (m)]]&gt;=Geotech!$C$4:$C$10094)*(Data_Discontinuities[[#This Row],[Depth (m)]]&lt;Geotech!$D$4:$D$10094),Geotech!$M$4:$M$10094)</f>
        <v>TBP Agglomerate</v>
      </c>
      <c r="P489" s="84"/>
      <c r="Q489" s="84"/>
      <c r="R489" s="84"/>
      <c r="S4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89" s="71" t="str">
        <f>IFERROR(Data_Discontinuities[[#This Row],[Joint roughness]]/Data_Discontinuities[[#This Row],[Joint alteration]],"")</f>
        <v/>
      </c>
      <c r="V4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89" s="87"/>
    </row>
    <row r="490" spans="1:23" ht="15" customHeight="1" x14ac:dyDescent="0.25">
      <c r="A490" s="150" t="s">
        <v>36</v>
      </c>
      <c r="B490" s="17" t="str">
        <f>VLOOKUP(Data_Discontinuities[[#This Row],[Hole ID]],Data_Log[],2,FALSE)</f>
        <v>CGF-05</v>
      </c>
      <c r="C490" s="8">
        <v>76.48</v>
      </c>
      <c r="D490" s="8">
        <v>1</v>
      </c>
      <c r="E490" s="7" t="s">
        <v>420</v>
      </c>
      <c r="F490" s="7"/>
      <c r="G490" s="7"/>
      <c r="H490" s="118"/>
      <c r="I490" s="7" t="s">
        <v>318</v>
      </c>
      <c r="J490" s="7" t="s">
        <v>352</v>
      </c>
      <c r="K490" s="7" t="s">
        <v>406</v>
      </c>
      <c r="L490" s="7" t="s">
        <v>546</v>
      </c>
      <c r="M490" s="7"/>
      <c r="N490" s="7"/>
      <c r="O490" s="84" t="str" cm="1">
        <f t="array" ref="O490">_xlfn.XLOOKUP(1,(A490=Geotech!$A$4:$A$10094)*(Data_Discontinuities[[#This Row],[Depth (m)]]&gt;=Geotech!$C$4:$C$10094)*(Data_Discontinuities[[#This Row],[Depth (m)]]&lt;Geotech!$D$4:$D$10094),Geotech!$M$4:$M$10094)</f>
        <v>TBP Agglomerate</v>
      </c>
      <c r="P490" s="84"/>
      <c r="Q490" s="84"/>
      <c r="R490" s="84"/>
      <c r="S4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90" s="71">
        <f>IFERROR(Data_Discontinuities[[#This Row],[Joint roughness]]/Data_Discontinuities[[#This Row],[Joint alteration]],"")</f>
        <v>0.75</v>
      </c>
      <c r="V4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0" s="87"/>
    </row>
    <row r="491" spans="1:23" ht="15" customHeight="1" x14ac:dyDescent="0.25">
      <c r="A491" s="150" t="s">
        <v>36</v>
      </c>
      <c r="B491" s="17" t="str">
        <f>VLOOKUP(Data_Discontinuities[[#This Row],[Hole ID]],Data_Log[],2,FALSE)</f>
        <v>CGF-05</v>
      </c>
      <c r="C491" s="177">
        <v>76.8</v>
      </c>
      <c r="D491" s="177">
        <v>1</v>
      </c>
      <c r="E491" s="178" t="s">
        <v>420</v>
      </c>
      <c r="F491" s="178"/>
      <c r="G491" s="178"/>
      <c r="H491" s="179"/>
      <c r="I491" s="178" t="s">
        <v>318</v>
      </c>
      <c r="J491" s="178" t="s">
        <v>352</v>
      </c>
      <c r="K491" s="178" t="s">
        <v>406</v>
      </c>
      <c r="L491" s="178" t="s">
        <v>546</v>
      </c>
      <c r="M491" s="7"/>
      <c r="N491" s="7"/>
      <c r="O491" s="84" t="str" cm="1">
        <f t="array" ref="O491">_xlfn.XLOOKUP(1,(A491=Geotech!$A$4:$A$10094)*(Data_Discontinuities[[#This Row],[Depth (m)]]&gt;=Geotech!$C$4:$C$10094)*(Data_Discontinuities[[#This Row],[Depth (m)]]&lt;Geotech!$D$4:$D$10094),Geotech!$M$4:$M$10094)</f>
        <v>TBP Agglomerate</v>
      </c>
      <c r="P491" s="84"/>
      <c r="Q491" s="84"/>
      <c r="R491" s="84"/>
      <c r="S4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91" s="71">
        <f>IFERROR(Data_Discontinuities[[#This Row],[Joint roughness]]/Data_Discontinuities[[#This Row],[Joint alteration]],"")</f>
        <v>0.75</v>
      </c>
      <c r="V4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1" s="87"/>
    </row>
    <row r="492" spans="1:23" ht="15" customHeight="1" x14ac:dyDescent="0.25">
      <c r="A492" s="150" t="s">
        <v>36</v>
      </c>
      <c r="B492" s="17" t="str">
        <f>VLOOKUP(Data_Discontinuities[[#This Row],[Hole ID]],Data_Log[],2,FALSE)</f>
        <v>CGF-05</v>
      </c>
      <c r="C492" s="8">
        <v>76.959999999999994</v>
      </c>
      <c r="D492" s="8">
        <v>1</v>
      </c>
      <c r="E492" s="7" t="s">
        <v>248</v>
      </c>
      <c r="F492" s="7"/>
      <c r="G492" s="7"/>
      <c r="H492" s="118"/>
      <c r="I492" s="7"/>
      <c r="J492" s="7"/>
      <c r="K492" s="7"/>
      <c r="L492" s="7"/>
      <c r="M492" s="7"/>
      <c r="N492" s="7">
        <v>0.13</v>
      </c>
      <c r="O492" s="84" t="str" cm="1">
        <f t="array" ref="O492">_xlfn.XLOOKUP(1,(A492=Geotech!$A$4:$A$10094)*(Data_Discontinuities[[#This Row],[Depth (m)]]&gt;=Geotech!$C$4:$C$10094)*(Data_Discontinuities[[#This Row],[Depth (m)]]&lt;Geotech!$D$4:$D$10094),Geotech!$M$4:$M$10094)</f>
        <v>TBP Agglomerate</v>
      </c>
      <c r="P492" s="84"/>
      <c r="Q492" s="84"/>
      <c r="R492" s="84"/>
      <c r="S4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4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492" s="71" t="str">
        <f>IFERROR(Data_Discontinuities[[#This Row],[Joint roughness]]/Data_Discontinuities[[#This Row],[Joint alteration]],"")</f>
        <v/>
      </c>
      <c r="V4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492" s="87"/>
    </row>
    <row r="493" spans="1:23" ht="15" customHeight="1" x14ac:dyDescent="0.25">
      <c r="A493" s="150" t="s">
        <v>36</v>
      </c>
      <c r="B493" s="17" t="str">
        <f>VLOOKUP(Data_Discontinuities[[#This Row],[Hole ID]],Data_Log[],2,FALSE)</f>
        <v>CGF-05</v>
      </c>
      <c r="C493" s="8">
        <v>77.569999999999993</v>
      </c>
      <c r="D493" s="8">
        <v>1</v>
      </c>
      <c r="E493" s="7" t="s">
        <v>420</v>
      </c>
      <c r="F493" s="7"/>
      <c r="G493" s="7"/>
      <c r="H493" s="118"/>
      <c r="I493" s="7" t="s">
        <v>318</v>
      </c>
      <c r="J493" s="7" t="s">
        <v>380</v>
      </c>
      <c r="K493" s="7" t="s">
        <v>406</v>
      </c>
      <c r="L493" s="7" t="s">
        <v>546</v>
      </c>
      <c r="M493" s="7" t="s">
        <v>447</v>
      </c>
      <c r="N493" s="7"/>
      <c r="O493" s="84" t="str" cm="1">
        <f t="array" ref="O493">_xlfn.XLOOKUP(1,(A493=Geotech!$A$4:$A$10094)*(Data_Discontinuities[[#This Row],[Depth (m)]]&gt;=Geotech!$C$4:$C$10094)*(Data_Discontinuities[[#This Row],[Depth (m)]]&lt;Geotech!$D$4:$D$10094),Geotech!$M$4:$M$10094)</f>
        <v>TBP Agglomerate</v>
      </c>
      <c r="P493" s="84"/>
      <c r="Q493" s="84"/>
      <c r="R493" s="84"/>
      <c r="S4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93" s="71">
        <f>IFERROR(Data_Discontinuities[[#This Row],[Joint roughness]]/Data_Discontinuities[[#This Row],[Joint alteration]],"")</f>
        <v>0.75</v>
      </c>
      <c r="V4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3" s="87"/>
    </row>
    <row r="494" spans="1:23" ht="15" customHeight="1" x14ac:dyDescent="0.25">
      <c r="A494" s="150" t="s">
        <v>36</v>
      </c>
      <c r="B494" s="17" t="str">
        <f>VLOOKUP(Data_Discontinuities[[#This Row],[Hole ID]],Data_Log[],2,FALSE)</f>
        <v>CGF-05</v>
      </c>
      <c r="C494" s="8">
        <v>78.12</v>
      </c>
      <c r="D494" s="8">
        <v>1</v>
      </c>
      <c r="E494" s="7" t="s">
        <v>420</v>
      </c>
      <c r="F494" s="7"/>
      <c r="G494" s="7"/>
      <c r="H494" s="118"/>
      <c r="I494" s="7" t="s">
        <v>286</v>
      </c>
      <c r="J494" s="7" t="s">
        <v>352</v>
      </c>
      <c r="K494" s="7" t="s">
        <v>406</v>
      </c>
      <c r="L494" s="7" t="s">
        <v>447</v>
      </c>
      <c r="M494" s="7"/>
      <c r="N494" s="7"/>
      <c r="O494" s="84" t="str" cm="1">
        <f t="array" ref="O494">_xlfn.XLOOKUP(1,(A494=Geotech!$A$4:$A$10094)*(Data_Discontinuities[[#This Row],[Depth (m)]]&gt;=Geotech!$C$4:$C$10094)*(Data_Discontinuities[[#This Row],[Depth (m)]]&lt;Geotech!$D$4:$D$10094),Geotech!$M$4:$M$10094)</f>
        <v>TBP Agglomerate</v>
      </c>
      <c r="P494" s="84"/>
      <c r="Q494" s="84"/>
      <c r="R494" s="84"/>
      <c r="S4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94" s="71">
        <f>IFERROR(Data_Discontinuities[[#This Row],[Joint roughness]]/Data_Discontinuities[[#This Row],[Joint alteration]],"")</f>
        <v>1</v>
      </c>
      <c r="V4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4" s="87"/>
    </row>
    <row r="495" spans="1:23" ht="15" customHeight="1" x14ac:dyDescent="0.25">
      <c r="A495" s="150" t="s">
        <v>36</v>
      </c>
      <c r="B495" s="17" t="str">
        <f>VLOOKUP(Data_Discontinuities[[#This Row],[Hole ID]],Data_Log[],2,FALSE)</f>
        <v>CGF-05</v>
      </c>
      <c r="C495" s="8">
        <v>78.180000000000007</v>
      </c>
      <c r="D495" s="8">
        <v>1</v>
      </c>
      <c r="E495" s="7" t="s">
        <v>420</v>
      </c>
      <c r="F495" s="7"/>
      <c r="G495" s="7"/>
      <c r="H495" s="118"/>
      <c r="I495" s="7" t="s">
        <v>286</v>
      </c>
      <c r="J495" s="7" t="s">
        <v>320</v>
      </c>
      <c r="K495" s="7" t="s">
        <v>322</v>
      </c>
      <c r="L495" s="7"/>
      <c r="M495" s="7"/>
      <c r="N495" s="7"/>
      <c r="O495" s="84" t="str" cm="1">
        <f t="array" ref="O495">_xlfn.XLOOKUP(1,(A495=Geotech!$A$4:$A$10094)*(Data_Discontinuities[[#This Row],[Depth (m)]]&gt;=Geotech!$C$4:$C$10094)*(Data_Discontinuities[[#This Row],[Depth (m)]]&lt;Geotech!$D$4:$D$10094),Geotech!$M$4:$M$10094)</f>
        <v>TBP Agglomerate</v>
      </c>
      <c r="P495" s="84"/>
      <c r="Q495" s="84"/>
      <c r="R495" s="84"/>
      <c r="S4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95" s="71">
        <f>IFERROR(Data_Discontinuities[[#This Row],[Joint roughness]]/Data_Discontinuities[[#This Row],[Joint alteration]],"")</f>
        <v>2</v>
      </c>
      <c r="V4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5" s="87"/>
    </row>
    <row r="496" spans="1:23" ht="15" customHeight="1" x14ac:dyDescent="0.25">
      <c r="A496" s="150" t="s">
        <v>36</v>
      </c>
      <c r="B496" s="17" t="str">
        <f>VLOOKUP(Data_Discontinuities[[#This Row],[Hole ID]],Data_Log[],2,FALSE)</f>
        <v>CGF-05</v>
      </c>
      <c r="C496" s="8">
        <v>79.12</v>
      </c>
      <c r="D496" s="8">
        <v>1</v>
      </c>
      <c r="E496" s="7" t="s">
        <v>445</v>
      </c>
      <c r="F496" s="7"/>
      <c r="G496" s="7"/>
      <c r="H496" s="118"/>
      <c r="I496" s="7" t="s">
        <v>378</v>
      </c>
      <c r="J496" s="7" t="s">
        <v>380</v>
      </c>
      <c r="K496" s="7" t="s">
        <v>382</v>
      </c>
      <c r="L496" s="7" t="s">
        <v>447</v>
      </c>
      <c r="M496" s="7"/>
      <c r="N496" s="7"/>
      <c r="O496" s="84" t="str" cm="1">
        <f t="array" ref="O496">_xlfn.XLOOKUP(1,(A496=Geotech!$A$4:$A$10094)*(Data_Discontinuities[[#This Row],[Depth (m)]]&gt;=Geotech!$C$4:$C$10094)*(Data_Discontinuities[[#This Row],[Depth (m)]]&lt;Geotech!$D$4:$D$10094),Geotech!$M$4:$M$10094)</f>
        <v>TBP Agglomerate</v>
      </c>
      <c r="P496" s="84"/>
      <c r="Q496" s="84"/>
      <c r="R496" s="84"/>
      <c r="S4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496" s="71">
        <f>IFERROR(Data_Discontinuities[[#This Row],[Joint roughness]]/Data_Discontinuities[[#This Row],[Joint alteration]],"")</f>
        <v>1</v>
      </c>
      <c r="V4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6" s="87"/>
    </row>
    <row r="497" spans="1:23" ht="15" customHeight="1" x14ac:dyDescent="0.25">
      <c r="A497" s="150" t="s">
        <v>36</v>
      </c>
      <c r="B497" s="17" t="str">
        <f>VLOOKUP(Data_Discontinuities[[#This Row],[Hole ID]],Data_Log[],2,FALSE)</f>
        <v>CGF-05</v>
      </c>
      <c r="C497" s="8">
        <v>80.540000000000006</v>
      </c>
      <c r="D497" s="8">
        <v>1</v>
      </c>
      <c r="E497" s="7" t="s">
        <v>445</v>
      </c>
      <c r="F497" s="7"/>
      <c r="G497" s="7"/>
      <c r="H497" s="118"/>
      <c r="I497" s="7" t="s">
        <v>286</v>
      </c>
      <c r="J497" s="7" t="s">
        <v>380</v>
      </c>
      <c r="K497" s="7" t="s">
        <v>382</v>
      </c>
      <c r="L497" s="7" t="s">
        <v>57</v>
      </c>
      <c r="M497" s="7"/>
      <c r="N497" s="7"/>
      <c r="O497" s="84" t="str" cm="1">
        <f t="array" ref="O497">_xlfn.XLOOKUP(1,(A497=Geotech!$A$4:$A$10094)*(Data_Discontinuities[[#This Row],[Depth (m)]]&gt;=Geotech!$C$4:$C$10094)*(Data_Discontinuities[[#This Row],[Depth (m)]]&lt;Geotech!$D$4:$D$10094),Geotech!$M$4:$M$10094)</f>
        <v>TBP Agglomerate</v>
      </c>
      <c r="P497" s="84"/>
      <c r="Q497" s="84"/>
      <c r="R497" s="84"/>
      <c r="S4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497" s="71">
        <f>IFERROR(Data_Discontinuities[[#This Row],[Joint roughness]]/Data_Discontinuities[[#This Row],[Joint alteration]],"")</f>
        <v>0.75</v>
      </c>
      <c r="V4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7" s="87"/>
    </row>
    <row r="498" spans="1:23" ht="15" customHeight="1" x14ac:dyDescent="0.25">
      <c r="A498" s="150" t="s">
        <v>36</v>
      </c>
      <c r="B498" s="17" t="str">
        <f>VLOOKUP(Data_Discontinuities[[#This Row],[Hole ID]],Data_Log[],2,FALSE)</f>
        <v>CGF-05</v>
      </c>
      <c r="C498" s="8">
        <v>80.94</v>
      </c>
      <c r="D498" s="8">
        <v>1</v>
      </c>
      <c r="E498" s="7" t="s">
        <v>445</v>
      </c>
      <c r="F498" s="7"/>
      <c r="G498" s="7"/>
      <c r="H498" s="118"/>
      <c r="I498" s="7" t="s">
        <v>378</v>
      </c>
      <c r="J498" s="7" t="s">
        <v>380</v>
      </c>
      <c r="K498" s="7" t="s">
        <v>290</v>
      </c>
      <c r="L498" s="7"/>
      <c r="M498" s="7"/>
      <c r="N498" s="7"/>
      <c r="O498" s="84" t="str" cm="1">
        <f t="array" ref="O498">_xlfn.XLOOKUP(1,(A498=Geotech!$A$4:$A$10094)*(Data_Discontinuities[[#This Row],[Depth (m)]]&gt;=Geotech!$C$4:$C$10094)*(Data_Discontinuities[[#This Row],[Depth (m)]]&lt;Geotech!$D$4:$D$10094),Geotech!$M$4:$M$10094)</f>
        <v>TBP Agglomerate</v>
      </c>
      <c r="P498" s="84"/>
      <c r="Q498" s="84"/>
      <c r="R498" s="84"/>
      <c r="S4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4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498" s="71">
        <f>IFERROR(Data_Discontinuities[[#This Row],[Joint roughness]]/Data_Discontinuities[[#This Row],[Joint alteration]],"")</f>
        <v>1.5</v>
      </c>
      <c r="V4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498" s="87"/>
    </row>
    <row r="499" spans="1:23" ht="15" customHeight="1" x14ac:dyDescent="0.25">
      <c r="A499" s="150" t="s">
        <v>36</v>
      </c>
      <c r="B499" s="17" t="str">
        <f>VLOOKUP(Data_Discontinuities[[#This Row],[Hole ID]],Data_Log[],2,FALSE)</f>
        <v>CGF-05</v>
      </c>
      <c r="C499" s="8">
        <v>81.239999999999995</v>
      </c>
      <c r="D499" s="8">
        <v>1</v>
      </c>
      <c r="E499" s="7" t="s">
        <v>445</v>
      </c>
      <c r="F499" s="7"/>
      <c r="G499" s="7"/>
      <c r="H499" s="118"/>
      <c r="I499" s="7" t="s">
        <v>318</v>
      </c>
      <c r="J499" s="7" t="s">
        <v>320</v>
      </c>
      <c r="K499" s="7" t="s">
        <v>322</v>
      </c>
      <c r="L499" s="7"/>
      <c r="M499" s="7"/>
      <c r="N499" s="7"/>
      <c r="O499" s="84" t="str" cm="1">
        <f t="array" ref="O499">_xlfn.XLOOKUP(1,(A499=Geotech!$A$4:$A$10094)*(Data_Discontinuities[[#This Row],[Depth (m)]]&gt;=Geotech!$C$4:$C$10094)*(Data_Discontinuities[[#This Row],[Depth (m)]]&lt;Geotech!$D$4:$D$10094),Geotech!$M$4:$M$10094)</f>
        <v>TBP Agglomerate</v>
      </c>
      <c r="P499" s="84"/>
      <c r="Q499" s="84"/>
      <c r="R499" s="84"/>
      <c r="S4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4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499" s="71">
        <f>IFERROR(Data_Discontinuities[[#This Row],[Joint roughness]]/Data_Discontinuities[[#This Row],[Joint alteration]],"")</f>
        <v>2</v>
      </c>
      <c r="V4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499" s="87"/>
    </row>
    <row r="500" spans="1:23" ht="15" customHeight="1" x14ac:dyDescent="0.25">
      <c r="A500" s="150" t="s">
        <v>36</v>
      </c>
      <c r="B500" s="17" t="str">
        <f>VLOOKUP(Data_Discontinuities[[#This Row],[Hole ID]],Data_Log[],2,FALSE)</f>
        <v>CGF-05</v>
      </c>
      <c r="C500" s="8">
        <v>83.23</v>
      </c>
      <c r="D500" s="8">
        <v>1</v>
      </c>
      <c r="E500" s="7" t="s">
        <v>445</v>
      </c>
      <c r="F500" s="7"/>
      <c r="G500" s="7"/>
      <c r="H500" s="118"/>
      <c r="I500" s="7" t="s">
        <v>318</v>
      </c>
      <c r="J500" s="7" t="s">
        <v>320</v>
      </c>
      <c r="K500" s="7" t="s">
        <v>382</v>
      </c>
      <c r="L500" s="7" t="s">
        <v>464</v>
      </c>
      <c r="M500" s="7"/>
      <c r="N500" s="7"/>
      <c r="O500" s="84" t="str" cm="1">
        <f t="array" ref="O500">_xlfn.XLOOKUP(1,(A500=Geotech!$A$4:$A$10094)*(Data_Discontinuities[[#This Row],[Depth (m)]]&gt;=Geotech!$C$4:$C$10094)*(Data_Discontinuities[[#This Row],[Depth (m)]]&lt;Geotech!$D$4:$D$10094),Geotech!$M$4:$M$10094)</f>
        <v>Felsic Dyke MAS</v>
      </c>
      <c r="P500" s="84"/>
      <c r="Q500" s="84"/>
      <c r="R500" s="84"/>
      <c r="S5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00" s="71">
        <f>IFERROR(Data_Discontinuities[[#This Row],[Joint roughness]]/Data_Discontinuities[[#This Row],[Joint alteration]],"")</f>
        <v>0.5</v>
      </c>
      <c r="V5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00" s="87"/>
    </row>
    <row r="501" spans="1:23" ht="15" customHeight="1" x14ac:dyDescent="0.25">
      <c r="A501" s="150" t="s">
        <v>36</v>
      </c>
      <c r="B501" s="17" t="str">
        <f>VLOOKUP(Data_Discontinuities[[#This Row],[Hole ID]],Data_Log[],2,FALSE)</f>
        <v>CGF-05</v>
      </c>
      <c r="C501" s="8">
        <v>83.23</v>
      </c>
      <c r="D501" s="8">
        <v>1</v>
      </c>
      <c r="E501" s="7" t="s">
        <v>445</v>
      </c>
      <c r="F501" s="7"/>
      <c r="G501" s="7"/>
      <c r="H501" s="118"/>
      <c r="I501" s="7" t="s">
        <v>318</v>
      </c>
      <c r="J501" s="7" t="s">
        <v>320</v>
      </c>
      <c r="K501" s="7" t="s">
        <v>354</v>
      </c>
      <c r="L501" s="7"/>
      <c r="M501" s="7"/>
      <c r="N501" s="7"/>
      <c r="O501" s="84" t="str" cm="1">
        <f t="array" ref="O501">_xlfn.XLOOKUP(1,(A501=Geotech!$A$4:$A$10094)*(Data_Discontinuities[[#This Row],[Depth (m)]]&gt;=Geotech!$C$4:$C$10094)*(Data_Discontinuities[[#This Row],[Depth (m)]]&lt;Geotech!$D$4:$D$10094),Geotech!$M$4:$M$10094)</f>
        <v>Felsic Dyke MAS</v>
      </c>
      <c r="P501" s="84"/>
      <c r="Q501" s="84"/>
      <c r="R501" s="84"/>
      <c r="S5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01" s="71">
        <f>IFERROR(Data_Discontinuities[[#This Row],[Joint roughness]]/Data_Discontinuities[[#This Row],[Joint alteration]],"")</f>
        <v>1</v>
      </c>
      <c r="V5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01" s="87"/>
    </row>
    <row r="502" spans="1:23" ht="15" customHeight="1" x14ac:dyDescent="0.25">
      <c r="A502" s="150" t="s">
        <v>36</v>
      </c>
      <c r="B502" s="17" t="str">
        <f>VLOOKUP(Data_Discontinuities[[#This Row],[Hole ID]],Data_Log[],2,FALSE)</f>
        <v>CGF-05</v>
      </c>
      <c r="C502" s="8">
        <v>83.23</v>
      </c>
      <c r="D502" s="8">
        <v>1</v>
      </c>
      <c r="E502" s="7" t="s">
        <v>248</v>
      </c>
      <c r="F502" s="7"/>
      <c r="G502" s="7"/>
      <c r="H502" s="118"/>
      <c r="I502" s="7"/>
      <c r="J502" s="7"/>
      <c r="K502" s="7"/>
      <c r="L502" s="7"/>
      <c r="M502" s="7"/>
      <c r="N502" s="7">
        <v>0.13</v>
      </c>
      <c r="O502" s="84" t="str" cm="1">
        <f t="array" ref="O502">_xlfn.XLOOKUP(1,(A502=Geotech!$A$4:$A$10094)*(Data_Discontinuities[[#This Row],[Depth (m)]]&gt;=Geotech!$C$4:$C$10094)*(Data_Discontinuities[[#This Row],[Depth (m)]]&lt;Geotech!$D$4:$D$10094),Geotech!$M$4:$M$10094)</f>
        <v>Felsic Dyke MAS</v>
      </c>
      <c r="P502" s="84"/>
      <c r="Q502" s="84"/>
      <c r="R502" s="84"/>
      <c r="S5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02" s="71" t="str">
        <f>IFERROR(Data_Discontinuities[[#This Row],[Joint roughness]]/Data_Discontinuities[[#This Row],[Joint alteration]],"")</f>
        <v/>
      </c>
      <c r="V5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02" s="87"/>
    </row>
    <row r="503" spans="1:23" ht="15" customHeight="1" x14ac:dyDescent="0.25">
      <c r="A503" s="150" t="s">
        <v>36</v>
      </c>
      <c r="B503" s="17" t="str">
        <f>VLOOKUP(Data_Discontinuities[[#This Row],[Hole ID]],Data_Log[],2,FALSE)</f>
        <v>CGF-05</v>
      </c>
      <c r="C503" s="8">
        <v>84</v>
      </c>
      <c r="D503" s="8">
        <v>1</v>
      </c>
      <c r="E503" s="7" t="s">
        <v>445</v>
      </c>
      <c r="F503" s="7"/>
      <c r="G503" s="7"/>
      <c r="H503" s="118"/>
      <c r="I503" s="7" t="s">
        <v>286</v>
      </c>
      <c r="J503" s="7" t="s">
        <v>320</v>
      </c>
      <c r="K503" s="7" t="s">
        <v>322</v>
      </c>
      <c r="L503" s="7"/>
      <c r="M503" s="7"/>
      <c r="N503" s="7"/>
      <c r="O503" s="84" t="str" cm="1">
        <f t="array" ref="O503">_xlfn.XLOOKUP(1,(A503=Geotech!$A$4:$A$10094)*(Data_Discontinuities[[#This Row],[Depth (m)]]&gt;=Geotech!$C$4:$C$10094)*(Data_Discontinuities[[#This Row],[Depth (m)]]&lt;Geotech!$D$4:$D$10094),Geotech!$M$4:$M$10094)</f>
        <v>TBP Agglomerate</v>
      </c>
      <c r="P503" s="84"/>
      <c r="Q503" s="84"/>
      <c r="R503" s="84"/>
      <c r="S5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03" s="71">
        <f>IFERROR(Data_Discontinuities[[#This Row],[Joint roughness]]/Data_Discontinuities[[#This Row],[Joint alteration]],"")</f>
        <v>2</v>
      </c>
      <c r="V5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03" s="87"/>
    </row>
    <row r="504" spans="1:23" ht="15" customHeight="1" x14ac:dyDescent="0.25">
      <c r="A504" s="150" t="s">
        <v>36</v>
      </c>
      <c r="B504" s="17" t="str">
        <f>VLOOKUP(Data_Discontinuities[[#This Row],[Hole ID]],Data_Log[],2,FALSE)</f>
        <v>CGF-05</v>
      </c>
      <c r="C504" s="8">
        <v>84.2</v>
      </c>
      <c r="D504" s="8">
        <v>1</v>
      </c>
      <c r="E504" s="7" t="s">
        <v>248</v>
      </c>
      <c r="F504" s="7"/>
      <c r="G504" s="7"/>
      <c r="H504" s="118"/>
      <c r="I504" s="7"/>
      <c r="J504" s="7"/>
      <c r="K504" s="7"/>
      <c r="L504" s="7"/>
      <c r="M504" s="7"/>
      <c r="N504" s="7">
        <v>0.25</v>
      </c>
      <c r="O504" s="84" t="str" cm="1">
        <f t="array" ref="O504">_xlfn.XLOOKUP(1,(A504=Geotech!$A$4:$A$10094)*(Data_Discontinuities[[#This Row],[Depth (m)]]&gt;=Geotech!$C$4:$C$10094)*(Data_Discontinuities[[#This Row],[Depth (m)]]&lt;Geotech!$D$4:$D$10094),Geotech!$M$4:$M$10094)</f>
        <v>TBP Agglomerate</v>
      </c>
      <c r="P504" s="84"/>
      <c r="Q504" s="84"/>
      <c r="R504" s="84"/>
      <c r="S5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04" s="71" t="str">
        <f>IFERROR(Data_Discontinuities[[#This Row],[Joint roughness]]/Data_Discontinuities[[#This Row],[Joint alteration]],"")</f>
        <v/>
      </c>
      <c r="V5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04" s="87"/>
    </row>
    <row r="505" spans="1:23" ht="15" customHeight="1" x14ac:dyDescent="0.25">
      <c r="A505" s="150" t="s">
        <v>36</v>
      </c>
      <c r="B505" s="17" t="str">
        <f>VLOOKUP(Data_Discontinuities[[#This Row],[Hole ID]],Data_Log[],2,FALSE)</f>
        <v>CGF-05</v>
      </c>
      <c r="C505" s="8">
        <v>85.82</v>
      </c>
      <c r="D505" s="8">
        <v>1</v>
      </c>
      <c r="E505" s="7" t="s">
        <v>445</v>
      </c>
      <c r="F505" s="7"/>
      <c r="G505" s="7"/>
      <c r="H505" s="118"/>
      <c r="I505" s="7" t="s">
        <v>378</v>
      </c>
      <c r="J505" s="7" t="s">
        <v>352</v>
      </c>
      <c r="K505" s="7" t="s">
        <v>290</v>
      </c>
      <c r="L505" s="7"/>
      <c r="M505" s="7"/>
      <c r="N505" s="7"/>
      <c r="O505" s="84" t="str" cm="1">
        <f t="array" ref="O505">_xlfn.XLOOKUP(1,(A505=Geotech!$A$4:$A$10094)*(Data_Discontinuities[[#This Row],[Depth (m)]]&gt;=Geotech!$C$4:$C$10094)*(Data_Discontinuities[[#This Row],[Depth (m)]]&lt;Geotech!$D$4:$D$10094),Geotech!$M$4:$M$10094)</f>
        <v>TBP Agglomerate</v>
      </c>
      <c r="P505" s="84"/>
      <c r="Q505" s="84"/>
      <c r="R505" s="84"/>
      <c r="S5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05" s="71">
        <f>IFERROR(Data_Discontinuities[[#This Row],[Joint roughness]]/Data_Discontinuities[[#This Row],[Joint alteration]],"")</f>
        <v>1.5</v>
      </c>
      <c r="V5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05" s="87"/>
    </row>
    <row r="506" spans="1:23" ht="15" customHeight="1" x14ac:dyDescent="0.25">
      <c r="A506" s="150" t="s">
        <v>36</v>
      </c>
      <c r="B506" s="17" t="str">
        <f>VLOOKUP(Data_Discontinuities[[#This Row],[Hole ID]],Data_Log[],2,FALSE)</f>
        <v>CGF-05</v>
      </c>
      <c r="C506" s="8">
        <v>86.53</v>
      </c>
      <c r="D506" s="8">
        <v>1</v>
      </c>
      <c r="E506" s="7" t="s">
        <v>445</v>
      </c>
      <c r="F506" s="7"/>
      <c r="G506" s="7"/>
      <c r="H506" s="118"/>
      <c r="I506" s="7" t="s">
        <v>318</v>
      </c>
      <c r="J506" s="7" t="s">
        <v>320</v>
      </c>
      <c r="K506" s="7" t="s">
        <v>290</v>
      </c>
      <c r="L506" s="7"/>
      <c r="M506" s="7"/>
      <c r="N506" s="7"/>
      <c r="O506" s="84" t="str" cm="1">
        <f t="array" ref="O506">_xlfn.XLOOKUP(1,(A506=Geotech!$A$4:$A$10094)*(Data_Discontinuities[[#This Row],[Depth (m)]]&gt;=Geotech!$C$4:$C$10094)*(Data_Discontinuities[[#This Row],[Depth (m)]]&lt;Geotech!$D$4:$D$10094),Geotech!$M$4:$M$10094)</f>
        <v>TBP Agglomerate</v>
      </c>
      <c r="P506" s="84"/>
      <c r="Q506" s="84"/>
      <c r="R506" s="84"/>
      <c r="S5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06" s="71">
        <f>IFERROR(Data_Discontinuities[[#This Row],[Joint roughness]]/Data_Discontinuities[[#This Row],[Joint alteration]],"")</f>
        <v>1</v>
      </c>
      <c r="V5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06" s="87"/>
    </row>
    <row r="507" spans="1:23" ht="15" customHeight="1" x14ac:dyDescent="0.25">
      <c r="A507" s="150" t="s">
        <v>36</v>
      </c>
      <c r="B507" s="17" t="str">
        <f>VLOOKUP(Data_Discontinuities[[#This Row],[Hole ID]],Data_Log[],2,FALSE)</f>
        <v>CGF-05</v>
      </c>
      <c r="C507" s="8">
        <v>87.1</v>
      </c>
      <c r="D507" s="8">
        <v>1</v>
      </c>
      <c r="E507" s="7" t="s">
        <v>445</v>
      </c>
      <c r="F507" s="7"/>
      <c r="G507" s="7"/>
      <c r="H507" s="118"/>
      <c r="I507" s="7" t="s">
        <v>286</v>
      </c>
      <c r="J507" s="7" t="s">
        <v>352</v>
      </c>
      <c r="K507" s="7" t="s">
        <v>290</v>
      </c>
      <c r="L507" s="7"/>
      <c r="M507" s="7"/>
      <c r="N507" s="7"/>
      <c r="O507" s="84" t="str" cm="1">
        <f t="array" ref="O507">_xlfn.XLOOKUP(1,(A507=Geotech!$A$4:$A$10094)*(Data_Discontinuities[[#This Row],[Depth (m)]]&gt;=Geotech!$C$4:$C$10094)*(Data_Discontinuities[[#This Row],[Depth (m)]]&lt;Geotech!$D$4:$D$10094),Geotech!$M$4:$M$10094)</f>
        <v>TBP Agglomerate</v>
      </c>
      <c r="P507" s="84"/>
      <c r="Q507" s="84"/>
      <c r="R507" s="84"/>
      <c r="S5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07" s="71">
        <f>IFERROR(Data_Discontinuities[[#This Row],[Joint roughness]]/Data_Discontinuities[[#This Row],[Joint alteration]],"")</f>
        <v>1.5</v>
      </c>
      <c r="V5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07" s="87"/>
    </row>
    <row r="508" spans="1:23" ht="15" customHeight="1" x14ac:dyDescent="0.25">
      <c r="A508" s="150" t="s">
        <v>36</v>
      </c>
      <c r="B508" s="17" t="str">
        <f>VLOOKUP(Data_Discontinuities[[#This Row],[Hole ID]],Data_Log[],2,FALSE)</f>
        <v>CGF-05</v>
      </c>
      <c r="C508" s="8">
        <v>87.94</v>
      </c>
      <c r="D508" s="8">
        <v>1</v>
      </c>
      <c r="E508" s="7" t="s">
        <v>481</v>
      </c>
      <c r="F508" s="7"/>
      <c r="G508" s="7"/>
      <c r="H508" s="118"/>
      <c r="I508" s="7" t="s">
        <v>286</v>
      </c>
      <c r="J508" s="7" t="s">
        <v>352</v>
      </c>
      <c r="K508" s="7" t="s">
        <v>406</v>
      </c>
      <c r="L508" s="7" t="s">
        <v>57</v>
      </c>
      <c r="M508" s="7"/>
      <c r="N508" s="7"/>
      <c r="O508" s="84" t="str" cm="1">
        <f t="array" ref="O508">_xlfn.XLOOKUP(1,(A508=Geotech!$A$4:$A$10094)*(Data_Discontinuities[[#This Row],[Depth (m)]]&gt;=Geotech!$C$4:$C$10094)*(Data_Discontinuities[[#This Row],[Depth (m)]]&lt;Geotech!$D$4:$D$10094),Geotech!$M$4:$M$10094)</f>
        <v>TBP Agglomerate</v>
      </c>
      <c r="P508" s="84"/>
      <c r="Q508" s="84"/>
      <c r="R508" s="84"/>
      <c r="S5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08" s="71">
        <f>IFERROR(Data_Discontinuities[[#This Row],[Joint roughness]]/Data_Discontinuities[[#This Row],[Joint alteration]],"")</f>
        <v>0.75</v>
      </c>
      <c r="V5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08" s="87"/>
    </row>
    <row r="509" spans="1:23" ht="15" customHeight="1" x14ac:dyDescent="0.25">
      <c r="A509" s="150" t="s">
        <v>36</v>
      </c>
      <c r="B509" s="17" t="str">
        <f>VLOOKUP(Data_Discontinuities[[#This Row],[Hole ID]],Data_Log[],2,FALSE)</f>
        <v>CGF-05</v>
      </c>
      <c r="C509" s="8">
        <v>88.85</v>
      </c>
      <c r="D509" s="8">
        <v>1</v>
      </c>
      <c r="E509" s="7" t="s">
        <v>445</v>
      </c>
      <c r="F509" s="7"/>
      <c r="G509" s="7"/>
      <c r="H509" s="118"/>
      <c r="I509" s="7" t="s">
        <v>286</v>
      </c>
      <c r="J509" s="7" t="s">
        <v>320</v>
      </c>
      <c r="K509" s="7" t="s">
        <v>322</v>
      </c>
      <c r="L509" s="7"/>
      <c r="M509" s="7"/>
      <c r="N509" s="7"/>
      <c r="O509" s="84" t="str" cm="1">
        <f t="array" ref="O509">_xlfn.XLOOKUP(1,(A509=Geotech!$A$4:$A$10094)*(Data_Discontinuities[[#This Row],[Depth (m)]]&gt;=Geotech!$C$4:$C$10094)*(Data_Discontinuities[[#This Row],[Depth (m)]]&lt;Geotech!$D$4:$D$10094),Geotech!$M$4:$M$10094)</f>
        <v>TBP Agglomerate</v>
      </c>
      <c r="P509" s="84"/>
      <c r="Q509" s="84"/>
      <c r="R509" s="84"/>
      <c r="S5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09" s="71">
        <f>IFERROR(Data_Discontinuities[[#This Row],[Joint roughness]]/Data_Discontinuities[[#This Row],[Joint alteration]],"")</f>
        <v>2</v>
      </c>
      <c r="V5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09" s="87"/>
    </row>
    <row r="510" spans="1:23" ht="15" customHeight="1" x14ac:dyDescent="0.25">
      <c r="A510" s="150" t="s">
        <v>36</v>
      </c>
      <c r="B510" s="17" t="str">
        <f>VLOOKUP(Data_Discontinuities[[#This Row],[Hole ID]],Data_Log[],2,FALSE)</f>
        <v>CGF-05</v>
      </c>
      <c r="C510" s="8">
        <v>88.98</v>
      </c>
      <c r="D510" s="8">
        <v>1</v>
      </c>
      <c r="E510" s="7" t="s">
        <v>445</v>
      </c>
      <c r="F510" s="7"/>
      <c r="G510" s="7"/>
      <c r="H510" s="118"/>
      <c r="I510" s="7" t="s">
        <v>378</v>
      </c>
      <c r="J510" s="7" t="s">
        <v>352</v>
      </c>
      <c r="K510" s="7" t="s">
        <v>354</v>
      </c>
      <c r="L510" s="7"/>
      <c r="M510" s="7"/>
      <c r="N510" s="7"/>
      <c r="O510" s="84" t="str" cm="1">
        <f t="array" ref="O510">_xlfn.XLOOKUP(1,(A510=Geotech!$A$4:$A$10094)*(Data_Discontinuities[[#This Row],[Depth (m)]]&gt;=Geotech!$C$4:$C$10094)*(Data_Discontinuities[[#This Row],[Depth (m)]]&lt;Geotech!$D$4:$D$10094),Geotech!$M$4:$M$10094)</f>
        <v>TBP Agglomerate</v>
      </c>
      <c r="P510" s="84"/>
      <c r="Q510" s="84"/>
      <c r="R510" s="84"/>
      <c r="S5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0" s="71">
        <f>IFERROR(Data_Discontinuities[[#This Row],[Joint roughness]]/Data_Discontinuities[[#This Row],[Joint alteration]],"")</f>
        <v>1.5</v>
      </c>
      <c r="V5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10" s="87"/>
    </row>
    <row r="511" spans="1:23" ht="15" customHeight="1" x14ac:dyDescent="0.25">
      <c r="A511" s="150" t="s">
        <v>36</v>
      </c>
      <c r="B511" s="17" t="str">
        <f>VLOOKUP(Data_Discontinuities[[#This Row],[Hole ID]],Data_Log[],2,FALSE)</f>
        <v>CGF-05</v>
      </c>
      <c r="C511" s="8">
        <v>89.14</v>
      </c>
      <c r="D511" s="8">
        <v>1</v>
      </c>
      <c r="E511" s="7" t="s">
        <v>445</v>
      </c>
      <c r="F511" s="7"/>
      <c r="G511" s="7"/>
      <c r="H511" s="118"/>
      <c r="I511" s="7" t="s">
        <v>286</v>
      </c>
      <c r="J511" s="7" t="s">
        <v>320</v>
      </c>
      <c r="K511" s="7" t="s">
        <v>354</v>
      </c>
      <c r="L511" s="7"/>
      <c r="M511" s="7"/>
      <c r="N511" s="7"/>
      <c r="O511" s="84" t="str" cm="1">
        <f t="array" ref="O511">_xlfn.XLOOKUP(1,(A511=Geotech!$A$4:$A$10094)*(Data_Discontinuities[[#This Row],[Depth (m)]]&gt;=Geotech!$C$4:$C$10094)*(Data_Discontinuities[[#This Row],[Depth (m)]]&lt;Geotech!$D$4:$D$10094),Geotech!$M$4:$M$10094)</f>
        <v>TBP Agglomerate</v>
      </c>
      <c r="P511" s="84"/>
      <c r="Q511" s="84"/>
      <c r="R511" s="84"/>
      <c r="S5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1" s="71">
        <f>IFERROR(Data_Discontinuities[[#This Row],[Joint roughness]]/Data_Discontinuities[[#This Row],[Joint alteration]],"")</f>
        <v>1</v>
      </c>
      <c r="V5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1" s="87"/>
    </row>
    <row r="512" spans="1:23" ht="15" customHeight="1" x14ac:dyDescent="0.25">
      <c r="A512" s="150" t="s">
        <v>36</v>
      </c>
      <c r="B512" s="17" t="str">
        <f>VLOOKUP(Data_Discontinuities[[#This Row],[Hole ID]],Data_Log[],2,FALSE)</f>
        <v>CGF-05</v>
      </c>
      <c r="C512" s="8">
        <v>89.46</v>
      </c>
      <c r="D512" s="8">
        <v>1</v>
      </c>
      <c r="E512" s="7" t="s">
        <v>445</v>
      </c>
      <c r="F512" s="7"/>
      <c r="G512" s="7"/>
      <c r="H512" s="118"/>
      <c r="I512" s="7" t="s">
        <v>251</v>
      </c>
      <c r="J512" s="7" t="s">
        <v>352</v>
      </c>
      <c r="K512" s="7" t="s">
        <v>322</v>
      </c>
      <c r="L512" s="7"/>
      <c r="M512" s="7"/>
      <c r="N512" s="7"/>
      <c r="O512" s="84" t="str" cm="1">
        <f t="array" ref="O512">_xlfn.XLOOKUP(1,(A512=Geotech!$A$4:$A$10094)*(Data_Discontinuities[[#This Row],[Depth (m)]]&gt;=Geotech!$C$4:$C$10094)*(Data_Discontinuities[[#This Row],[Depth (m)]]&lt;Geotech!$D$4:$D$10094),Geotech!$M$4:$M$10094)</f>
        <v>TBP Agglomerate</v>
      </c>
      <c r="P512" s="84"/>
      <c r="Q512" s="84"/>
      <c r="R512" s="84"/>
      <c r="S5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12" s="71">
        <f>IFERROR(Data_Discontinuities[[#This Row],[Joint roughness]]/Data_Discontinuities[[#This Row],[Joint alteration]],"")</f>
        <v>1.5</v>
      </c>
      <c r="V5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2" s="87"/>
    </row>
    <row r="513" spans="1:23" ht="15" customHeight="1" x14ac:dyDescent="0.25">
      <c r="A513" s="150" t="s">
        <v>36</v>
      </c>
      <c r="B513" s="17" t="str">
        <f>VLOOKUP(Data_Discontinuities[[#This Row],[Hole ID]],Data_Log[],2,FALSE)</f>
        <v>CGF-05</v>
      </c>
      <c r="C513" s="8">
        <v>89.91</v>
      </c>
      <c r="D513" s="8">
        <v>1</v>
      </c>
      <c r="E513" s="7" t="s">
        <v>445</v>
      </c>
      <c r="F513" s="7"/>
      <c r="G513" s="7"/>
      <c r="H513" s="118"/>
      <c r="I513" s="7" t="s">
        <v>251</v>
      </c>
      <c r="J513" s="7" t="s">
        <v>320</v>
      </c>
      <c r="K513" s="7" t="s">
        <v>322</v>
      </c>
      <c r="L513" s="7"/>
      <c r="M513" s="7"/>
      <c r="N513" s="7"/>
      <c r="O513" s="84" t="str" cm="1">
        <f t="array" ref="O513">_xlfn.XLOOKUP(1,(A513=Geotech!$A$4:$A$10094)*(Data_Discontinuities[[#This Row],[Depth (m)]]&gt;=Geotech!$C$4:$C$10094)*(Data_Discontinuities[[#This Row],[Depth (m)]]&lt;Geotech!$D$4:$D$10094),Geotech!$M$4:$M$10094)</f>
        <v>TBP Agglomerate</v>
      </c>
      <c r="P513" s="84"/>
      <c r="Q513" s="84"/>
      <c r="R513" s="84"/>
      <c r="S5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13" s="71">
        <f>IFERROR(Data_Discontinuities[[#This Row],[Joint roughness]]/Data_Discontinuities[[#This Row],[Joint alteration]],"")</f>
        <v>1</v>
      </c>
      <c r="V5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13" s="87"/>
    </row>
    <row r="514" spans="1:23" ht="15" customHeight="1" x14ac:dyDescent="0.25">
      <c r="A514" s="150" t="s">
        <v>36</v>
      </c>
      <c r="B514" s="17" t="str">
        <f>VLOOKUP(Data_Discontinuities[[#This Row],[Hole ID]],Data_Log[],2,FALSE)</f>
        <v>CGF-05</v>
      </c>
      <c r="C514" s="8">
        <v>90</v>
      </c>
      <c r="D514" s="8">
        <v>1</v>
      </c>
      <c r="E514" s="7" t="s">
        <v>445</v>
      </c>
      <c r="F514" s="7"/>
      <c r="G514" s="7"/>
      <c r="H514" s="118"/>
      <c r="I514" s="7" t="s">
        <v>251</v>
      </c>
      <c r="J514" s="7" t="s">
        <v>352</v>
      </c>
      <c r="K514" s="7" t="s">
        <v>354</v>
      </c>
      <c r="L514" s="7"/>
      <c r="M514" s="7"/>
      <c r="N514" s="7"/>
      <c r="O514" s="84" t="str" cm="1">
        <f t="array" ref="O514">_xlfn.XLOOKUP(1,(A514=Geotech!$A$4:$A$10094)*(Data_Discontinuities[[#This Row],[Depth (m)]]&gt;=Geotech!$C$4:$C$10094)*(Data_Discontinuities[[#This Row],[Depth (m)]]&lt;Geotech!$D$4:$D$10094),Geotech!$M$4:$M$10094)</f>
        <v>TBP Agglomerate</v>
      </c>
      <c r="P514" s="84"/>
      <c r="Q514" s="84"/>
      <c r="R514" s="84"/>
      <c r="S5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4" s="71">
        <f>IFERROR(Data_Discontinuities[[#This Row],[Joint roughness]]/Data_Discontinuities[[#This Row],[Joint alteration]],"")</f>
        <v>0.75</v>
      </c>
      <c r="V5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4" s="87"/>
    </row>
    <row r="515" spans="1:23" ht="15" customHeight="1" x14ac:dyDescent="0.25">
      <c r="A515" s="150" t="s">
        <v>36</v>
      </c>
      <c r="B515" s="17" t="str">
        <f>VLOOKUP(Data_Discontinuities[[#This Row],[Hole ID]],Data_Log[],2,FALSE)</f>
        <v>CGF-05</v>
      </c>
      <c r="C515" s="8">
        <v>91.52</v>
      </c>
      <c r="D515" s="8">
        <v>1</v>
      </c>
      <c r="E515" s="7" t="s">
        <v>481</v>
      </c>
      <c r="F515" s="7"/>
      <c r="G515" s="7"/>
      <c r="H515" s="118"/>
      <c r="I515" s="7" t="s">
        <v>251</v>
      </c>
      <c r="J515" s="7" t="s">
        <v>352</v>
      </c>
      <c r="K515" s="7" t="s">
        <v>406</v>
      </c>
      <c r="L515" s="7" t="s">
        <v>447</v>
      </c>
      <c r="M515" s="7"/>
      <c r="N515" s="7"/>
      <c r="O515" s="84" t="str" cm="1">
        <f t="array" ref="O515">_xlfn.XLOOKUP(1,(A515=Geotech!$A$4:$A$10094)*(Data_Discontinuities[[#This Row],[Depth (m)]]&gt;=Geotech!$C$4:$C$10094)*(Data_Discontinuities[[#This Row],[Depth (m)]]&lt;Geotech!$D$4:$D$10094),Geotech!$M$4:$M$10094)</f>
        <v>Diorite</v>
      </c>
      <c r="P515" s="84"/>
      <c r="Q515" s="84"/>
      <c r="R515" s="84"/>
      <c r="S5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15" s="71">
        <f>IFERROR(Data_Discontinuities[[#This Row],[Joint roughness]]/Data_Discontinuities[[#This Row],[Joint alteration]],"")</f>
        <v>0.5</v>
      </c>
      <c r="V5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15" s="87"/>
    </row>
    <row r="516" spans="1:23" ht="15" customHeight="1" x14ac:dyDescent="0.25">
      <c r="A516" s="150" t="s">
        <v>36</v>
      </c>
      <c r="B516" s="17" t="str">
        <f>VLOOKUP(Data_Discontinuities[[#This Row],[Hole ID]],Data_Log[],2,FALSE)</f>
        <v>CGF-05</v>
      </c>
      <c r="C516" s="8">
        <v>92.75</v>
      </c>
      <c r="D516" s="8">
        <v>1</v>
      </c>
      <c r="E516" s="7" t="s">
        <v>481</v>
      </c>
      <c r="F516" s="7"/>
      <c r="G516" s="7"/>
      <c r="H516" s="118"/>
      <c r="I516" s="7" t="s">
        <v>251</v>
      </c>
      <c r="J516" s="7" t="s">
        <v>352</v>
      </c>
      <c r="K516" s="7" t="s">
        <v>406</v>
      </c>
      <c r="L516" s="7" t="s">
        <v>57</v>
      </c>
      <c r="M516" s="7"/>
      <c r="N516" s="7"/>
      <c r="O516" s="84" t="str" cm="1">
        <f t="array" ref="O516">_xlfn.XLOOKUP(1,(A516=Geotech!$A$4:$A$10094)*(Data_Discontinuities[[#This Row],[Depth (m)]]&gt;=Geotech!$C$4:$C$10094)*(Data_Discontinuities[[#This Row],[Depth (m)]]&lt;Geotech!$D$4:$D$10094),Geotech!$M$4:$M$10094)</f>
        <v>Diorite</v>
      </c>
      <c r="P516" s="84"/>
      <c r="Q516" s="84"/>
      <c r="R516" s="84"/>
      <c r="S5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16" s="71">
        <f>IFERROR(Data_Discontinuities[[#This Row],[Joint roughness]]/Data_Discontinuities[[#This Row],[Joint alteration]],"")</f>
        <v>0.375</v>
      </c>
      <c r="V5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16" s="87"/>
    </row>
    <row r="517" spans="1:23" ht="15" customHeight="1" x14ac:dyDescent="0.25">
      <c r="A517" s="150" t="s">
        <v>36</v>
      </c>
      <c r="B517" s="17" t="str">
        <f>VLOOKUP(Data_Discontinuities[[#This Row],[Hole ID]],Data_Log[],2,FALSE)</f>
        <v>CGF-05</v>
      </c>
      <c r="C517" s="8">
        <v>93.86</v>
      </c>
      <c r="D517" s="8">
        <v>1</v>
      </c>
      <c r="E517" s="7" t="s">
        <v>445</v>
      </c>
      <c r="F517" s="7"/>
      <c r="G517" s="7"/>
      <c r="H517" s="118"/>
      <c r="I517" s="7" t="s">
        <v>286</v>
      </c>
      <c r="J517" s="7" t="s">
        <v>320</v>
      </c>
      <c r="K517" s="7" t="s">
        <v>354</v>
      </c>
      <c r="L517" s="7"/>
      <c r="M517" s="7"/>
      <c r="N517" s="7"/>
      <c r="O517" s="84" t="str" cm="1">
        <f t="array" ref="O517">_xlfn.XLOOKUP(1,(A517=Geotech!$A$4:$A$10094)*(Data_Discontinuities[[#This Row],[Depth (m)]]&gt;=Geotech!$C$4:$C$10094)*(Data_Discontinuities[[#This Row],[Depth (m)]]&lt;Geotech!$D$4:$D$10094),Geotech!$M$4:$M$10094)</f>
        <v>Diorite</v>
      </c>
      <c r="P517" s="84"/>
      <c r="Q517" s="84"/>
      <c r="R517" s="84"/>
      <c r="S5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7" s="71">
        <f>IFERROR(Data_Discontinuities[[#This Row],[Joint roughness]]/Data_Discontinuities[[#This Row],[Joint alteration]],"")</f>
        <v>1</v>
      </c>
      <c r="V5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7" s="87"/>
    </row>
    <row r="518" spans="1:23" ht="15" customHeight="1" x14ac:dyDescent="0.25">
      <c r="A518" s="150" t="s">
        <v>36</v>
      </c>
      <c r="B518" s="17" t="str">
        <f>VLOOKUP(Data_Discontinuities[[#This Row],[Hole ID]],Data_Log[],2,FALSE)</f>
        <v>CGF-05</v>
      </c>
      <c r="C518" s="8">
        <v>94.2</v>
      </c>
      <c r="D518" s="8">
        <v>1</v>
      </c>
      <c r="E518" s="7" t="s">
        <v>445</v>
      </c>
      <c r="F518" s="7"/>
      <c r="G518" s="7"/>
      <c r="H518" s="118"/>
      <c r="I518" s="7" t="s">
        <v>286</v>
      </c>
      <c r="J518" s="7" t="s">
        <v>320</v>
      </c>
      <c r="K518" s="7" t="s">
        <v>354</v>
      </c>
      <c r="L518" s="7"/>
      <c r="M518" s="7"/>
      <c r="N518" s="7"/>
      <c r="O518" s="84" t="str" cm="1">
        <f t="array" ref="O518">_xlfn.XLOOKUP(1,(A518=Geotech!$A$4:$A$10094)*(Data_Discontinuities[[#This Row],[Depth (m)]]&gt;=Geotech!$C$4:$C$10094)*(Data_Discontinuities[[#This Row],[Depth (m)]]&lt;Geotech!$D$4:$D$10094),Geotech!$M$4:$M$10094)</f>
        <v>Diorite</v>
      </c>
      <c r="P518" s="84"/>
      <c r="Q518" s="84"/>
      <c r="R518" s="84"/>
      <c r="S5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18" s="71">
        <f>IFERROR(Data_Discontinuities[[#This Row],[Joint roughness]]/Data_Discontinuities[[#This Row],[Joint alteration]],"")</f>
        <v>1</v>
      </c>
      <c r="V5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8" s="87"/>
    </row>
    <row r="519" spans="1:23" ht="15" customHeight="1" x14ac:dyDescent="0.25">
      <c r="A519" s="150" t="s">
        <v>36</v>
      </c>
      <c r="B519" s="17" t="str">
        <f>VLOOKUP(Data_Discontinuities[[#This Row],[Hole ID]],Data_Log[],2,FALSE)</f>
        <v>CGF-05</v>
      </c>
      <c r="C519" s="8">
        <v>95.05</v>
      </c>
      <c r="D519" s="8">
        <v>1</v>
      </c>
      <c r="E519" s="7" t="s">
        <v>481</v>
      </c>
      <c r="F519" s="7"/>
      <c r="G519" s="7"/>
      <c r="H519" s="118"/>
      <c r="I519" s="7" t="s">
        <v>318</v>
      </c>
      <c r="J519" s="7" t="s">
        <v>352</v>
      </c>
      <c r="K519" s="7" t="s">
        <v>406</v>
      </c>
      <c r="L519" s="7" t="s">
        <v>57</v>
      </c>
      <c r="M519" s="7"/>
      <c r="N519" s="7"/>
      <c r="O519" s="84" t="str" cm="1">
        <f t="array" ref="O519">_xlfn.XLOOKUP(1,(A519=Geotech!$A$4:$A$10094)*(Data_Discontinuities[[#This Row],[Depth (m)]]&gt;=Geotech!$C$4:$C$10094)*(Data_Discontinuities[[#This Row],[Depth (m)]]&lt;Geotech!$D$4:$D$10094),Geotech!$M$4:$M$10094)</f>
        <v>Diorite</v>
      </c>
      <c r="P519" s="84"/>
      <c r="Q519" s="84"/>
      <c r="R519" s="84"/>
      <c r="S5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19" s="71">
        <f>IFERROR(Data_Discontinuities[[#This Row],[Joint roughness]]/Data_Discontinuities[[#This Row],[Joint alteration]],"")</f>
        <v>0.75</v>
      </c>
      <c r="V5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19" s="87"/>
    </row>
    <row r="520" spans="1:23" ht="15" customHeight="1" x14ac:dyDescent="0.25">
      <c r="A520" s="150" t="s">
        <v>36</v>
      </c>
      <c r="B520" s="17" t="str">
        <f>VLOOKUP(Data_Discontinuities[[#This Row],[Hole ID]],Data_Log[],2,FALSE)</f>
        <v>CGF-05</v>
      </c>
      <c r="C520" s="8">
        <v>96.95</v>
      </c>
      <c r="D520" s="8">
        <v>1</v>
      </c>
      <c r="E520" s="7" t="s">
        <v>445</v>
      </c>
      <c r="F520" s="7"/>
      <c r="G520" s="7"/>
      <c r="H520" s="118"/>
      <c r="I520" s="7" t="s">
        <v>251</v>
      </c>
      <c r="J520" s="7" t="s">
        <v>320</v>
      </c>
      <c r="K520" s="7" t="s">
        <v>290</v>
      </c>
      <c r="L520" s="7"/>
      <c r="M520" s="7"/>
      <c r="N520" s="7"/>
      <c r="O520" s="84" t="str" cm="1">
        <f t="array" ref="O520">_xlfn.XLOOKUP(1,(A520=Geotech!$A$4:$A$10094)*(Data_Discontinuities[[#This Row],[Depth (m)]]&gt;=Geotech!$C$4:$C$10094)*(Data_Discontinuities[[#This Row],[Depth (m)]]&lt;Geotech!$D$4:$D$10094),Geotech!$M$4:$M$10094)</f>
        <v>Diorite</v>
      </c>
      <c r="P520" s="84"/>
      <c r="Q520" s="84"/>
      <c r="R520" s="84"/>
      <c r="S5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0" s="71">
        <f>IFERROR(Data_Discontinuities[[#This Row],[Joint roughness]]/Data_Discontinuities[[#This Row],[Joint alteration]],"")</f>
        <v>0.5</v>
      </c>
      <c r="V5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20" s="87"/>
    </row>
    <row r="521" spans="1:23" ht="15" customHeight="1" x14ac:dyDescent="0.25">
      <c r="A521" s="150" t="s">
        <v>36</v>
      </c>
      <c r="B521" s="17" t="str">
        <f>VLOOKUP(Data_Discontinuities[[#This Row],[Hole ID]],Data_Log[],2,FALSE)</f>
        <v>CGF-05</v>
      </c>
      <c r="C521" s="8">
        <v>97.2</v>
      </c>
      <c r="D521" s="8">
        <v>1</v>
      </c>
      <c r="E521" s="7" t="s">
        <v>445</v>
      </c>
      <c r="F521" s="7"/>
      <c r="G521" s="7"/>
      <c r="H521" s="118"/>
      <c r="I521" s="7" t="s">
        <v>251</v>
      </c>
      <c r="J521" s="7" t="s">
        <v>352</v>
      </c>
      <c r="K521" s="7" t="s">
        <v>322</v>
      </c>
      <c r="L521" s="7"/>
      <c r="M521" s="7"/>
      <c r="N521" s="7"/>
      <c r="O521" s="84" t="str" cm="1">
        <f t="array" ref="O521">_xlfn.XLOOKUP(1,(A521=Geotech!$A$4:$A$10094)*(Data_Discontinuities[[#This Row],[Depth (m)]]&gt;=Geotech!$C$4:$C$10094)*(Data_Discontinuities[[#This Row],[Depth (m)]]&lt;Geotech!$D$4:$D$10094),Geotech!$M$4:$M$10094)</f>
        <v>Diorite</v>
      </c>
      <c r="P521" s="84"/>
      <c r="Q521" s="84"/>
      <c r="R521" s="84"/>
      <c r="S52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2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21" s="71">
        <f>IFERROR(Data_Discontinuities[[#This Row],[Joint roughness]]/Data_Discontinuities[[#This Row],[Joint alteration]],"")</f>
        <v>1.5</v>
      </c>
      <c r="V52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1" s="87"/>
    </row>
    <row r="522" spans="1:23" ht="15" customHeight="1" x14ac:dyDescent="0.25">
      <c r="A522" s="150" t="s">
        <v>36</v>
      </c>
      <c r="B522" s="17" t="str">
        <f>VLOOKUP(Data_Discontinuities[[#This Row],[Hole ID]],Data_Log[],2,FALSE)</f>
        <v>CGF-05</v>
      </c>
      <c r="C522" s="8">
        <v>97.5</v>
      </c>
      <c r="D522" s="8">
        <v>1</v>
      </c>
      <c r="E522" s="7" t="s">
        <v>445</v>
      </c>
      <c r="F522" s="7"/>
      <c r="G522" s="7"/>
      <c r="H522" s="118"/>
      <c r="I522" s="7" t="s">
        <v>318</v>
      </c>
      <c r="J522" s="7" t="s">
        <v>320</v>
      </c>
      <c r="K522" s="7" t="s">
        <v>354</v>
      </c>
      <c r="L522" s="7"/>
      <c r="M522" s="7"/>
      <c r="N522" s="7"/>
      <c r="O522" s="84" t="str" cm="1">
        <f t="array" ref="O522">_xlfn.XLOOKUP(1,(A522=Geotech!$A$4:$A$10094)*(Data_Discontinuities[[#This Row],[Depth (m)]]&gt;=Geotech!$C$4:$C$10094)*(Data_Discontinuities[[#This Row],[Depth (m)]]&lt;Geotech!$D$4:$D$10094),Geotech!$M$4:$M$10094)</f>
        <v>Diorite</v>
      </c>
      <c r="P522" s="84"/>
      <c r="Q522" s="84"/>
      <c r="R522" s="84"/>
      <c r="S5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2" s="71">
        <f>IFERROR(Data_Discontinuities[[#This Row],[Joint roughness]]/Data_Discontinuities[[#This Row],[Joint alteration]],"")</f>
        <v>1</v>
      </c>
      <c r="V5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2" s="87"/>
    </row>
    <row r="523" spans="1:23" ht="15" customHeight="1" x14ac:dyDescent="0.25">
      <c r="A523" s="150" t="s">
        <v>36</v>
      </c>
      <c r="B523" s="17" t="str">
        <f>VLOOKUP(Data_Discontinuities[[#This Row],[Hole ID]],Data_Log[],2,FALSE)</f>
        <v>CGF-05</v>
      </c>
      <c r="C523" s="8">
        <v>98.33</v>
      </c>
      <c r="D523" s="8">
        <v>1</v>
      </c>
      <c r="E523" s="7" t="s">
        <v>445</v>
      </c>
      <c r="F523" s="7"/>
      <c r="G523" s="7"/>
      <c r="H523" s="118"/>
      <c r="I523" s="7" t="s">
        <v>286</v>
      </c>
      <c r="J523" s="7" t="s">
        <v>320</v>
      </c>
      <c r="K523" s="7" t="s">
        <v>354</v>
      </c>
      <c r="L523" s="7"/>
      <c r="M523" s="7"/>
      <c r="N523" s="7"/>
      <c r="O523" s="84" t="str" cm="1">
        <f t="array" ref="O523">_xlfn.XLOOKUP(1,(A523=Geotech!$A$4:$A$10094)*(Data_Discontinuities[[#This Row],[Depth (m)]]&gt;=Geotech!$C$4:$C$10094)*(Data_Discontinuities[[#This Row],[Depth (m)]]&lt;Geotech!$D$4:$D$10094),Geotech!$M$4:$M$10094)</f>
        <v>TBP Agglomerate</v>
      </c>
      <c r="P523" s="84"/>
      <c r="Q523" s="84"/>
      <c r="R523" s="84"/>
      <c r="S5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3" s="71">
        <f>IFERROR(Data_Discontinuities[[#This Row],[Joint roughness]]/Data_Discontinuities[[#This Row],[Joint alteration]],"")</f>
        <v>1</v>
      </c>
      <c r="V5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3" s="87"/>
    </row>
    <row r="524" spans="1:23" ht="15" customHeight="1" x14ac:dyDescent="0.25">
      <c r="A524" s="150" t="s">
        <v>36</v>
      </c>
      <c r="B524" s="17" t="str">
        <f>VLOOKUP(Data_Discontinuities[[#This Row],[Hole ID]],Data_Log[],2,FALSE)</f>
        <v>CGF-05</v>
      </c>
      <c r="C524" s="8">
        <v>98.43</v>
      </c>
      <c r="D524" s="8">
        <v>1</v>
      </c>
      <c r="E524" s="7" t="s">
        <v>445</v>
      </c>
      <c r="F524" s="7"/>
      <c r="G524" s="7"/>
      <c r="H524" s="118"/>
      <c r="I524" s="7" t="s">
        <v>318</v>
      </c>
      <c r="J524" s="7" t="s">
        <v>320</v>
      </c>
      <c r="K524" s="7" t="s">
        <v>354</v>
      </c>
      <c r="L524" s="7"/>
      <c r="M524" s="7"/>
      <c r="N524" s="7"/>
      <c r="O524" s="84" t="str" cm="1">
        <f t="array" ref="O524">_xlfn.XLOOKUP(1,(A524=Geotech!$A$4:$A$10094)*(Data_Discontinuities[[#This Row],[Depth (m)]]&gt;=Geotech!$C$4:$C$10094)*(Data_Discontinuities[[#This Row],[Depth (m)]]&lt;Geotech!$D$4:$D$10094),Geotech!$M$4:$M$10094)</f>
        <v>TBP Agglomerate</v>
      </c>
      <c r="P524" s="84"/>
      <c r="Q524" s="84"/>
      <c r="R524" s="84"/>
      <c r="S5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4" s="71">
        <f>IFERROR(Data_Discontinuities[[#This Row],[Joint roughness]]/Data_Discontinuities[[#This Row],[Joint alteration]],"")</f>
        <v>1</v>
      </c>
      <c r="V5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4" s="87"/>
    </row>
    <row r="525" spans="1:23" ht="15" customHeight="1" x14ac:dyDescent="0.25">
      <c r="A525" s="150" t="s">
        <v>36</v>
      </c>
      <c r="B525" s="17" t="str">
        <f>VLOOKUP(Data_Discontinuities[[#This Row],[Hole ID]],Data_Log[],2,FALSE)</f>
        <v>CGF-05</v>
      </c>
      <c r="C525" s="8">
        <v>98.6</v>
      </c>
      <c r="D525" s="8">
        <v>1</v>
      </c>
      <c r="E525" s="7" t="s">
        <v>445</v>
      </c>
      <c r="F525" s="7"/>
      <c r="G525" s="7"/>
      <c r="H525" s="118"/>
      <c r="I525" s="7" t="s">
        <v>318</v>
      </c>
      <c r="J525" s="7" t="s">
        <v>352</v>
      </c>
      <c r="K525" s="7" t="s">
        <v>382</v>
      </c>
      <c r="L525" s="7" t="s">
        <v>447</v>
      </c>
      <c r="M525" s="7"/>
      <c r="N525" s="7"/>
      <c r="O525" s="84" t="str" cm="1">
        <f t="array" ref="O525">_xlfn.XLOOKUP(1,(A525=Geotech!$A$4:$A$10094)*(Data_Discontinuities[[#This Row],[Depth (m)]]&gt;=Geotech!$C$4:$C$10094)*(Data_Discontinuities[[#This Row],[Depth (m)]]&lt;Geotech!$D$4:$D$10094),Geotech!$M$4:$M$10094)</f>
        <v>TBP Agglomerate</v>
      </c>
      <c r="P525" s="84"/>
      <c r="Q525" s="84"/>
      <c r="R525" s="84"/>
      <c r="S5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25" s="71">
        <f>IFERROR(Data_Discontinuities[[#This Row],[Joint roughness]]/Data_Discontinuities[[#This Row],[Joint alteration]],"")</f>
        <v>1</v>
      </c>
      <c r="V5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5" s="87"/>
    </row>
    <row r="526" spans="1:23" ht="15" customHeight="1" x14ac:dyDescent="0.25">
      <c r="A526" s="150" t="s">
        <v>36</v>
      </c>
      <c r="B526" s="17" t="str">
        <f>VLOOKUP(Data_Discontinuities[[#This Row],[Hole ID]],Data_Log[],2,FALSE)</f>
        <v>CGF-05</v>
      </c>
      <c r="C526" s="8">
        <v>98.86</v>
      </c>
      <c r="D526" s="8">
        <v>1</v>
      </c>
      <c r="E526" s="7" t="s">
        <v>445</v>
      </c>
      <c r="F526" s="7"/>
      <c r="G526" s="7"/>
      <c r="H526" s="118"/>
      <c r="I526" s="7" t="s">
        <v>251</v>
      </c>
      <c r="J526" s="7" t="s">
        <v>352</v>
      </c>
      <c r="K526" s="7" t="s">
        <v>290</v>
      </c>
      <c r="L526" s="7"/>
      <c r="M526" s="7"/>
      <c r="N526" s="7"/>
      <c r="O526" s="84" t="str" cm="1">
        <f t="array" ref="O526">_xlfn.XLOOKUP(1,(A526=Geotech!$A$4:$A$10094)*(Data_Discontinuities[[#This Row],[Depth (m)]]&gt;=Geotech!$C$4:$C$10094)*(Data_Discontinuities[[#This Row],[Depth (m)]]&lt;Geotech!$D$4:$D$10094),Geotech!$M$4:$M$10094)</f>
        <v>TBP Agglomerate</v>
      </c>
      <c r="P526" s="84"/>
      <c r="Q526" s="84"/>
      <c r="R526" s="84"/>
      <c r="S5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26" s="71">
        <f>IFERROR(Data_Discontinuities[[#This Row],[Joint roughness]]/Data_Discontinuities[[#This Row],[Joint alteration]],"")</f>
        <v>0.75</v>
      </c>
      <c r="V5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26" s="87"/>
    </row>
    <row r="527" spans="1:23" ht="15" customHeight="1" x14ac:dyDescent="0.25">
      <c r="A527" s="150" t="s">
        <v>36</v>
      </c>
      <c r="B527" s="17" t="str">
        <f>VLOOKUP(Data_Discontinuities[[#This Row],[Hole ID]],Data_Log[],2,FALSE)</f>
        <v>CGF-05</v>
      </c>
      <c r="C527" s="8">
        <v>99.21</v>
      </c>
      <c r="D527" s="8">
        <v>1</v>
      </c>
      <c r="E527" s="7" t="s">
        <v>445</v>
      </c>
      <c r="F527" s="7"/>
      <c r="G527" s="7"/>
      <c r="H527" s="118"/>
      <c r="I527" s="7" t="s">
        <v>251</v>
      </c>
      <c r="J527" s="7" t="s">
        <v>320</v>
      </c>
      <c r="K527" s="7" t="s">
        <v>322</v>
      </c>
      <c r="L527" s="7"/>
      <c r="M527" s="7"/>
      <c r="N527" s="7"/>
      <c r="O527" s="84" t="str" cm="1">
        <f t="array" ref="O527">_xlfn.XLOOKUP(1,(A527=Geotech!$A$4:$A$10094)*(Data_Discontinuities[[#This Row],[Depth (m)]]&gt;=Geotech!$C$4:$C$10094)*(Data_Discontinuities[[#This Row],[Depth (m)]]&lt;Geotech!$D$4:$D$10094),Geotech!$M$4:$M$10094)</f>
        <v>TBP Agglomerate</v>
      </c>
      <c r="P527" s="84"/>
      <c r="Q527" s="84"/>
      <c r="R527" s="84"/>
      <c r="S5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27" s="71">
        <f>IFERROR(Data_Discontinuities[[#This Row],[Joint roughness]]/Data_Discontinuities[[#This Row],[Joint alteration]],"")</f>
        <v>1</v>
      </c>
      <c r="V5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27" s="87"/>
    </row>
    <row r="528" spans="1:23" ht="15" customHeight="1" x14ac:dyDescent="0.25">
      <c r="A528" s="150" t="s">
        <v>36</v>
      </c>
      <c r="B528" s="17" t="str">
        <f>VLOOKUP(Data_Discontinuities[[#This Row],[Hole ID]],Data_Log[],2,FALSE)</f>
        <v>CGF-05</v>
      </c>
      <c r="C528" s="8">
        <v>99.38</v>
      </c>
      <c r="D528" s="8">
        <v>1</v>
      </c>
      <c r="E528" s="7" t="s">
        <v>445</v>
      </c>
      <c r="F528" s="7"/>
      <c r="G528" s="7"/>
      <c r="H528" s="118"/>
      <c r="I528" s="7" t="s">
        <v>318</v>
      </c>
      <c r="J528" s="7" t="s">
        <v>320</v>
      </c>
      <c r="K528" s="7" t="s">
        <v>382</v>
      </c>
      <c r="L528" s="7" t="s">
        <v>447</v>
      </c>
      <c r="M528" s="7"/>
      <c r="N528" s="7"/>
      <c r="O528" s="84" t="str" cm="1">
        <f t="array" ref="O528">_xlfn.XLOOKUP(1,(A528=Geotech!$A$4:$A$10094)*(Data_Discontinuities[[#This Row],[Depth (m)]]&gt;=Geotech!$C$4:$C$10094)*(Data_Discontinuities[[#This Row],[Depth (m)]]&lt;Geotech!$D$4:$D$10094),Geotech!$M$4:$M$10094)</f>
        <v>TBP Agglomerate</v>
      </c>
      <c r="P528" s="84"/>
      <c r="Q528" s="84"/>
      <c r="R528" s="84"/>
      <c r="S5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28" s="71">
        <f>IFERROR(Data_Discontinuities[[#This Row],[Joint roughness]]/Data_Discontinuities[[#This Row],[Joint alteration]],"")</f>
        <v>0.66666666666666663</v>
      </c>
      <c r="V5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28" s="87"/>
    </row>
    <row r="529" spans="1:23" ht="15" customHeight="1" x14ac:dyDescent="0.25">
      <c r="A529" s="150" t="s">
        <v>36</v>
      </c>
      <c r="B529" s="17" t="str">
        <f>VLOOKUP(Data_Discontinuities[[#This Row],[Hole ID]],Data_Log[],2,FALSE)</f>
        <v>CGF-05</v>
      </c>
      <c r="C529" s="8">
        <v>99.55</v>
      </c>
      <c r="D529" s="8">
        <v>1</v>
      </c>
      <c r="E529" s="7" t="s">
        <v>445</v>
      </c>
      <c r="F529" s="7"/>
      <c r="G529" s="7"/>
      <c r="H529" s="118"/>
      <c r="I529" s="7" t="s">
        <v>251</v>
      </c>
      <c r="J529" s="7" t="s">
        <v>320</v>
      </c>
      <c r="K529" s="7" t="s">
        <v>382</v>
      </c>
      <c r="L529" s="7" t="s">
        <v>447</v>
      </c>
      <c r="M529" s="7"/>
      <c r="N529" s="7"/>
      <c r="O529" s="84" t="str" cm="1">
        <f t="array" ref="O529">_xlfn.XLOOKUP(1,(A529=Geotech!$A$4:$A$10094)*(Data_Discontinuities[[#This Row],[Depth (m)]]&gt;=Geotech!$C$4:$C$10094)*(Data_Discontinuities[[#This Row],[Depth (m)]]&lt;Geotech!$D$4:$D$10094),Geotech!$M$4:$M$10094)</f>
        <v>TBP Agglomerate</v>
      </c>
      <c r="P529" s="84"/>
      <c r="Q529" s="84"/>
      <c r="R529" s="84"/>
      <c r="S5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29" s="71">
        <f>IFERROR(Data_Discontinuities[[#This Row],[Joint roughness]]/Data_Discontinuities[[#This Row],[Joint alteration]],"")</f>
        <v>0.33333333333333331</v>
      </c>
      <c r="V5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29" s="87"/>
    </row>
    <row r="530" spans="1:23" ht="15" customHeight="1" x14ac:dyDescent="0.25">
      <c r="A530" s="150" t="s">
        <v>36</v>
      </c>
      <c r="B530" s="17" t="str">
        <f>VLOOKUP(Data_Discontinuities[[#This Row],[Hole ID]],Data_Log[],2,FALSE)</f>
        <v>CGF-05</v>
      </c>
      <c r="C530" s="8">
        <v>99.97</v>
      </c>
      <c r="D530" s="8">
        <v>1</v>
      </c>
      <c r="E530" s="7" t="s">
        <v>481</v>
      </c>
      <c r="F530" s="7"/>
      <c r="G530" s="7"/>
      <c r="H530" s="118"/>
      <c r="I530" s="7" t="s">
        <v>286</v>
      </c>
      <c r="J530" s="7" t="s">
        <v>380</v>
      </c>
      <c r="K530" s="7" t="s">
        <v>406</v>
      </c>
      <c r="L530" s="7" t="s">
        <v>57</v>
      </c>
      <c r="M530" s="7" t="s">
        <v>447</v>
      </c>
      <c r="N530" s="7"/>
      <c r="O530" s="84" t="str" cm="1">
        <f t="array" ref="O530">_xlfn.XLOOKUP(1,(A530=Geotech!$A$4:$A$10094)*(Data_Discontinuities[[#This Row],[Depth (m)]]&gt;=Geotech!$C$4:$C$10094)*(Data_Discontinuities[[#This Row],[Depth (m)]]&lt;Geotech!$D$4:$D$10094),Geotech!$M$4:$M$10094)</f>
        <v>TBP Agglomerate</v>
      </c>
      <c r="P530" s="84"/>
      <c r="Q530" s="84"/>
      <c r="R530" s="84"/>
      <c r="S5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30" s="71">
        <f>IFERROR(Data_Discontinuities[[#This Row],[Joint roughness]]/Data_Discontinuities[[#This Row],[Joint alteration]],"")</f>
        <v>0.75</v>
      </c>
      <c r="V5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30" s="87"/>
    </row>
    <row r="531" spans="1:23" ht="15" customHeight="1" x14ac:dyDescent="0.25">
      <c r="A531" s="150" t="s">
        <v>36</v>
      </c>
      <c r="B531" s="17" t="str">
        <f>VLOOKUP(Data_Discontinuities[[#This Row],[Hole ID]],Data_Log[],2,FALSE)</f>
        <v>CGF-05</v>
      </c>
      <c r="C531" s="8">
        <v>100.2</v>
      </c>
      <c r="D531" s="8">
        <v>1</v>
      </c>
      <c r="E531" s="7" t="s">
        <v>445</v>
      </c>
      <c r="F531" s="7"/>
      <c r="G531" s="7"/>
      <c r="H531" s="118"/>
      <c r="I531" s="7" t="s">
        <v>286</v>
      </c>
      <c r="J531" s="7" t="s">
        <v>352</v>
      </c>
      <c r="K531" s="7" t="s">
        <v>322</v>
      </c>
      <c r="L531" s="7"/>
      <c r="M531" s="7"/>
      <c r="N531" s="7"/>
      <c r="O531" s="84" t="str" cm="1">
        <f t="array" ref="O531">_xlfn.XLOOKUP(1,(A531=Geotech!$A$4:$A$10094)*(Data_Discontinuities[[#This Row],[Depth (m)]]&gt;=Geotech!$C$4:$C$10094)*(Data_Discontinuities[[#This Row],[Depth (m)]]&lt;Geotech!$D$4:$D$10094),Geotech!$M$4:$M$10094)</f>
        <v>TBP Agglomerate</v>
      </c>
      <c r="P531" s="84"/>
      <c r="Q531" s="84"/>
      <c r="R531" s="84"/>
      <c r="S5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31" s="71">
        <f>IFERROR(Data_Discontinuities[[#This Row],[Joint roughness]]/Data_Discontinuities[[#This Row],[Joint alteration]],"")</f>
        <v>3</v>
      </c>
      <c r="V5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31" s="87"/>
    </row>
    <row r="532" spans="1:23" ht="15" customHeight="1" x14ac:dyDescent="0.25">
      <c r="A532" s="150" t="s">
        <v>36</v>
      </c>
      <c r="B532" s="17" t="str">
        <f>VLOOKUP(Data_Discontinuities[[#This Row],[Hole ID]],Data_Log[],2,FALSE)</f>
        <v>CGF-05</v>
      </c>
      <c r="C532" s="8">
        <v>100.78</v>
      </c>
      <c r="D532" s="8">
        <v>1</v>
      </c>
      <c r="E532" s="7" t="s">
        <v>481</v>
      </c>
      <c r="F532" s="7"/>
      <c r="G532" s="7"/>
      <c r="H532" s="118"/>
      <c r="I532" s="7" t="s">
        <v>251</v>
      </c>
      <c r="J532" s="7" t="s">
        <v>352</v>
      </c>
      <c r="K532" s="7" t="s">
        <v>406</v>
      </c>
      <c r="L532" s="7" t="s">
        <v>447</v>
      </c>
      <c r="M532" s="7"/>
      <c r="N532" s="7"/>
      <c r="O532" s="84" t="str" cm="1">
        <f t="array" ref="O532">_xlfn.XLOOKUP(1,(A532=Geotech!$A$4:$A$10094)*(Data_Discontinuities[[#This Row],[Depth (m)]]&gt;=Geotech!$C$4:$C$10094)*(Data_Discontinuities[[#This Row],[Depth (m)]]&lt;Geotech!$D$4:$D$10094),Geotech!$M$4:$M$10094)</f>
        <v>TBP Agglomerate</v>
      </c>
      <c r="P532" s="84"/>
      <c r="Q532" s="84"/>
      <c r="R532" s="84"/>
      <c r="S5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32" s="71">
        <f>IFERROR(Data_Discontinuities[[#This Row],[Joint roughness]]/Data_Discontinuities[[#This Row],[Joint alteration]],"")</f>
        <v>0.5</v>
      </c>
      <c r="V5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32" s="87"/>
    </row>
    <row r="533" spans="1:23" ht="15" customHeight="1" x14ac:dyDescent="0.25">
      <c r="A533" s="150" t="s">
        <v>36</v>
      </c>
      <c r="B533" s="17" t="str">
        <f>VLOOKUP(Data_Discontinuities[[#This Row],[Hole ID]],Data_Log[],2,FALSE)</f>
        <v>CGF-05</v>
      </c>
      <c r="C533" s="8">
        <v>101.15</v>
      </c>
      <c r="D533" s="8">
        <v>1</v>
      </c>
      <c r="E533" s="7" t="s">
        <v>445</v>
      </c>
      <c r="F533" s="7"/>
      <c r="G533" s="7"/>
      <c r="H533" s="118"/>
      <c r="I533" s="7" t="s">
        <v>251</v>
      </c>
      <c r="J533" s="7" t="s">
        <v>352</v>
      </c>
      <c r="K533" s="7" t="s">
        <v>290</v>
      </c>
      <c r="L533" s="7"/>
      <c r="M533" s="7"/>
      <c r="N533" s="7"/>
      <c r="O533" s="84" t="str" cm="1">
        <f t="array" ref="O533">_xlfn.XLOOKUP(1,(A533=Geotech!$A$4:$A$10094)*(Data_Discontinuities[[#This Row],[Depth (m)]]&gt;=Geotech!$C$4:$C$10094)*(Data_Discontinuities[[#This Row],[Depth (m)]]&lt;Geotech!$D$4:$D$10094),Geotech!$M$4:$M$10094)</f>
        <v>TBP Agglomerate</v>
      </c>
      <c r="P533" s="84"/>
      <c r="Q533" s="84"/>
      <c r="R533" s="84"/>
      <c r="S5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33" s="71">
        <f>IFERROR(Data_Discontinuities[[#This Row],[Joint roughness]]/Data_Discontinuities[[#This Row],[Joint alteration]],"")</f>
        <v>0.75</v>
      </c>
      <c r="V5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33" s="87"/>
    </row>
    <row r="534" spans="1:23" ht="15" customHeight="1" x14ac:dyDescent="0.25">
      <c r="A534" s="150" t="s">
        <v>36</v>
      </c>
      <c r="B534" s="17" t="str">
        <f>VLOOKUP(Data_Discontinuities[[#This Row],[Hole ID]],Data_Log[],2,FALSE)</f>
        <v>CGF-05</v>
      </c>
      <c r="C534" s="8">
        <v>101.73</v>
      </c>
      <c r="D534" s="8">
        <v>1</v>
      </c>
      <c r="E534" s="7" t="s">
        <v>445</v>
      </c>
      <c r="F534" s="7"/>
      <c r="G534" s="7"/>
      <c r="H534" s="118"/>
      <c r="I534" s="7" t="s">
        <v>251</v>
      </c>
      <c r="J534" s="7" t="s">
        <v>352</v>
      </c>
      <c r="K534" s="7" t="s">
        <v>354</v>
      </c>
      <c r="L534" s="7"/>
      <c r="M534" s="7"/>
      <c r="N534" s="7"/>
      <c r="O534" s="84" t="str" cm="1">
        <f t="array" ref="O534">_xlfn.XLOOKUP(1,(A534=Geotech!$A$4:$A$10094)*(Data_Discontinuities[[#This Row],[Depth (m)]]&gt;=Geotech!$C$4:$C$10094)*(Data_Discontinuities[[#This Row],[Depth (m)]]&lt;Geotech!$D$4:$D$10094),Geotech!$M$4:$M$10094)</f>
        <v>TBP Agglomerate</v>
      </c>
      <c r="P534" s="84"/>
      <c r="Q534" s="84"/>
      <c r="R534" s="84"/>
      <c r="S5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34" s="71">
        <f>IFERROR(Data_Discontinuities[[#This Row],[Joint roughness]]/Data_Discontinuities[[#This Row],[Joint alteration]],"")</f>
        <v>0.75</v>
      </c>
      <c r="V5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34" s="87"/>
    </row>
    <row r="535" spans="1:23" ht="15" customHeight="1" x14ac:dyDescent="0.25">
      <c r="A535" s="150" t="s">
        <v>36</v>
      </c>
      <c r="B535" s="17" t="str">
        <f>VLOOKUP(Data_Discontinuities[[#This Row],[Hole ID]],Data_Log[],2,FALSE)</f>
        <v>CGF-05</v>
      </c>
      <c r="C535" s="8">
        <v>101.89</v>
      </c>
      <c r="D535" s="8">
        <v>1</v>
      </c>
      <c r="E535" s="7" t="s">
        <v>445</v>
      </c>
      <c r="F535" s="7"/>
      <c r="G535" s="7"/>
      <c r="H535" s="118"/>
      <c r="I535" s="7" t="s">
        <v>251</v>
      </c>
      <c r="J535" s="7" t="s">
        <v>352</v>
      </c>
      <c r="K535" s="7" t="s">
        <v>322</v>
      </c>
      <c r="L535" s="7"/>
      <c r="M535" s="7"/>
      <c r="N535" s="7"/>
      <c r="O535" s="84" t="str" cm="1">
        <f t="array" ref="O535">_xlfn.XLOOKUP(1,(A535=Geotech!$A$4:$A$10094)*(Data_Discontinuities[[#This Row],[Depth (m)]]&gt;=Geotech!$C$4:$C$10094)*(Data_Discontinuities[[#This Row],[Depth (m)]]&lt;Geotech!$D$4:$D$10094),Geotech!$M$4:$M$10094)</f>
        <v>TBP Agglomerate</v>
      </c>
      <c r="P535" s="84"/>
      <c r="Q535" s="84"/>
      <c r="R535" s="84"/>
      <c r="S53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35" s="71">
        <f>IFERROR(Data_Discontinuities[[#This Row],[Joint roughness]]/Data_Discontinuities[[#This Row],[Joint alteration]],"")</f>
        <v>1.5</v>
      </c>
      <c r="V53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35" s="87"/>
    </row>
    <row r="536" spans="1:23" ht="15" customHeight="1" x14ac:dyDescent="0.25">
      <c r="A536" s="150" t="s">
        <v>36</v>
      </c>
      <c r="B536" s="17" t="str">
        <f>VLOOKUP(Data_Discontinuities[[#This Row],[Hole ID]],Data_Log[],2,FALSE)</f>
        <v>CGF-05</v>
      </c>
      <c r="C536" s="8">
        <v>102.79</v>
      </c>
      <c r="D536" s="8">
        <v>1</v>
      </c>
      <c r="E536" s="7" t="s">
        <v>445</v>
      </c>
      <c r="F536" s="7"/>
      <c r="G536" s="7"/>
      <c r="H536" s="118"/>
      <c r="I536" s="7" t="s">
        <v>251</v>
      </c>
      <c r="J536" s="7" t="s">
        <v>320</v>
      </c>
      <c r="K536" s="7" t="s">
        <v>322</v>
      </c>
      <c r="L536" s="7"/>
      <c r="M536" s="7"/>
      <c r="N536" s="7"/>
      <c r="O536" s="84" t="str" cm="1">
        <f t="array" ref="O536">_xlfn.XLOOKUP(1,(A536=Geotech!$A$4:$A$10094)*(Data_Discontinuities[[#This Row],[Depth (m)]]&gt;=Geotech!$C$4:$C$10094)*(Data_Discontinuities[[#This Row],[Depth (m)]]&lt;Geotech!$D$4:$D$10094),Geotech!$M$4:$M$10094)</f>
        <v>TBP Agglomerate</v>
      </c>
      <c r="P536" s="84"/>
      <c r="Q536" s="84"/>
      <c r="R536" s="84"/>
      <c r="S5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36" s="71">
        <f>IFERROR(Data_Discontinuities[[#This Row],[Joint roughness]]/Data_Discontinuities[[#This Row],[Joint alteration]],"")</f>
        <v>1</v>
      </c>
      <c r="V5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36" s="87"/>
    </row>
    <row r="537" spans="1:23" ht="15" customHeight="1" x14ac:dyDescent="0.25">
      <c r="A537" s="150" t="s">
        <v>36</v>
      </c>
      <c r="B537" s="17" t="str">
        <f>VLOOKUP(Data_Discontinuities[[#This Row],[Hole ID]],Data_Log[],2,FALSE)</f>
        <v>CGF-05</v>
      </c>
      <c r="C537" s="8">
        <v>103.48</v>
      </c>
      <c r="D537" s="8">
        <v>1</v>
      </c>
      <c r="E537" s="7" t="s">
        <v>445</v>
      </c>
      <c r="F537" s="7"/>
      <c r="G537" s="7"/>
      <c r="H537" s="118"/>
      <c r="I537" s="7" t="s">
        <v>251</v>
      </c>
      <c r="J537" s="7" t="s">
        <v>352</v>
      </c>
      <c r="K537" s="7" t="s">
        <v>290</v>
      </c>
      <c r="L537" s="7"/>
      <c r="M537" s="7"/>
      <c r="N537" s="7"/>
      <c r="O537" s="84" t="str" cm="1">
        <f t="array" ref="O537">_xlfn.XLOOKUP(1,(A537=Geotech!$A$4:$A$10094)*(Data_Discontinuities[[#This Row],[Depth (m)]]&gt;=Geotech!$C$4:$C$10094)*(Data_Discontinuities[[#This Row],[Depth (m)]]&lt;Geotech!$D$4:$D$10094),Geotech!$M$4:$M$10094)</f>
        <v>TBP Agglomerate</v>
      </c>
      <c r="P537" s="84"/>
      <c r="Q537" s="84"/>
      <c r="R537" s="84"/>
      <c r="S5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37" s="71">
        <f>IFERROR(Data_Discontinuities[[#This Row],[Joint roughness]]/Data_Discontinuities[[#This Row],[Joint alteration]],"")</f>
        <v>0.75</v>
      </c>
      <c r="V5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37" s="87"/>
    </row>
    <row r="538" spans="1:23" ht="15" customHeight="1" x14ac:dyDescent="0.25">
      <c r="A538" s="150" t="s">
        <v>36</v>
      </c>
      <c r="B538" s="17" t="str">
        <f>VLOOKUP(Data_Discontinuities[[#This Row],[Hole ID]],Data_Log[],2,FALSE)</f>
        <v>CGF-05</v>
      </c>
      <c r="C538" s="8">
        <v>103.73</v>
      </c>
      <c r="D538" s="8">
        <v>1</v>
      </c>
      <c r="E538" s="7" t="s">
        <v>445</v>
      </c>
      <c r="F538" s="7"/>
      <c r="G538" s="7"/>
      <c r="H538" s="118"/>
      <c r="I538" s="7" t="s">
        <v>286</v>
      </c>
      <c r="J538" s="7" t="s">
        <v>288</v>
      </c>
      <c r="K538" s="7" t="s">
        <v>382</v>
      </c>
      <c r="L538" s="7" t="s">
        <v>447</v>
      </c>
      <c r="M538" s="7" t="s">
        <v>437</v>
      </c>
      <c r="N538" s="7"/>
      <c r="O538" s="84" t="str" cm="1">
        <f t="array" ref="O538">_xlfn.XLOOKUP(1,(A538=Geotech!$A$4:$A$10094)*(Data_Discontinuities[[#This Row],[Depth (m)]]&gt;=Geotech!$C$4:$C$10094)*(Data_Discontinuities[[#This Row],[Depth (m)]]&lt;Geotech!$D$4:$D$10094),Geotech!$M$4:$M$10094)</f>
        <v>TBP Agglomerate</v>
      </c>
      <c r="P538" s="84"/>
      <c r="Q538" s="84"/>
      <c r="R538" s="84"/>
      <c r="S5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38" s="71">
        <f>IFERROR(Data_Discontinuities[[#This Row],[Joint roughness]]/Data_Discontinuities[[#This Row],[Joint alteration]],"")</f>
        <v>0.5</v>
      </c>
      <c r="V5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38" s="87"/>
    </row>
    <row r="539" spans="1:23" ht="15" customHeight="1" x14ac:dyDescent="0.25">
      <c r="A539" s="150" t="s">
        <v>36</v>
      </c>
      <c r="B539" s="17" t="str">
        <f>VLOOKUP(Data_Discontinuities[[#This Row],[Hole ID]],Data_Log[],2,FALSE)</f>
        <v>CGF-05</v>
      </c>
      <c r="C539" s="8">
        <v>104.52</v>
      </c>
      <c r="D539" s="8">
        <v>1</v>
      </c>
      <c r="E539" s="7" t="s">
        <v>445</v>
      </c>
      <c r="F539" s="7"/>
      <c r="G539" s="7"/>
      <c r="H539" s="118"/>
      <c r="I539" s="7" t="s">
        <v>286</v>
      </c>
      <c r="J539" s="7" t="s">
        <v>352</v>
      </c>
      <c r="K539" s="7" t="s">
        <v>354</v>
      </c>
      <c r="L539" s="7"/>
      <c r="M539" s="7"/>
      <c r="N539" s="7"/>
      <c r="O539" s="84" t="str" cm="1">
        <f t="array" ref="O539">_xlfn.XLOOKUP(1,(A539=Geotech!$A$4:$A$10094)*(Data_Discontinuities[[#This Row],[Depth (m)]]&gt;=Geotech!$C$4:$C$10094)*(Data_Discontinuities[[#This Row],[Depth (m)]]&lt;Geotech!$D$4:$D$10094),Geotech!$M$4:$M$10094)</f>
        <v>TBP Agglomerate</v>
      </c>
      <c r="P539" s="84"/>
      <c r="Q539" s="84"/>
      <c r="R539" s="84"/>
      <c r="S5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39" s="71">
        <f>IFERROR(Data_Discontinuities[[#This Row],[Joint roughness]]/Data_Discontinuities[[#This Row],[Joint alteration]],"")</f>
        <v>1.5</v>
      </c>
      <c r="V5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39" s="87"/>
    </row>
    <row r="540" spans="1:23" ht="15" customHeight="1" x14ac:dyDescent="0.25">
      <c r="A540" s="150" t="s">
        <v>36</v>
      </c>
      <c r="B540" s="17" t="str">
        <f>VLOOKUP(Data_Discontinuities[[#This Row],[Hole ID]],Data_Log[],2,FALSE)</f>
        <v>CGF-05</v>
      </c>
      <c r="C540" s="8">
        <v>106.64</v>
      </c>
      <c r="D540" s="8">
        <v>1</v>
      </c>
      <c r="E540" s="7" t="s">
        <v>481</v>
      </c>
      <c r="F540" s="7"/>
      <c r="G540" s="7"/>
      <c r="H540" s="118"/>
      <c r="I540" s="7" t="s">
        <v>251</v>
      </c>
      <c r="J540" s="7" t="s">
        <v>320</v>
      </c>
      <c r="K540" s="7" t="s">
        <v>422</v>
      </c>
      <c r="L540" s="7" t="s">
        <v>437</v>
      </c>
      <c r="M540" s="7"/>
      <c r="N540" s="7">
        <v>40</v>
      </c>
      <c r="O540" s="84" t="str" cm="1">
        <f t="array" ref="O540">_xlfn.XLOOKUP(1,(A540=Geotech!$A$4:$A$10094)*(Data_Discontinuities[[#This Row],[Depth (m)]]&gt;=Geotech!$C$4:$C$10094)*(Data_Discontinuities[[#This Row],[Depth (m)]]&lt;Geotech!$D$4:$D$10094),Geotech!$M$4:$M$10094)</f>
        <v>TBP Agglomerate</v>
      </c>
      <c r="P540" s="84"/>
      <c r="Q540" s="84"/>
      <c r="R540" s="84"/>
      <c r="S5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10</v>
      </c>
      <c r="U540" s="71">
        <f>IFERROR(Data_Discontinuities[[#This Row],[Joint roughness]]/Data_Discontinuities[[#This Row],[Joint alteration]],"")</f>
        <v>0.1</v>
      </c>
      <c r="V5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0</v>
      </c>
      <c r="W540" s="87"/>
    </row>
    <row r="541" spans="1:23" ht="15" customHeight="1" x14ac:dyDescent="0.25">
      <c r="A541" s="150" t="s">
        <v>36</v>
      </c>
      <c r="B541" s="17" t="str">
        <f>VLOOKUP(Data_Discontinuities[[#This Row],[Hole ID]],Data_Log[],2,FALSE)</f>
        <v>CGF-05</v>
      </c>
      <c r="C541" s="8">
        <v>107.18</v>
      </c>
      <c r="D541" s="8">
        <v>1</v>
      </c>
      <c r="E541" s="7" t="s">
        <v>445</v>
      </c>
      <c r="F541" s="7"/>
      <c r="G541" s="7"/>
      <c r="H541" s="118"/>
      <c r="I541" s="7" t="s">
        <v>286</v>
      </c>
      <c r="J541" s="7" t="s">
        <v>352</v>
      </c>
      <c r="K541" s="7" t="s">
        <v>322</v>
      </c>
      <c r="L541" s="7"/>
      <c r="M541" s="7"/>
      <c r="N541" s="7"/>
      <c r="O541" s="84" t="str" cm="1">
        <f t="array" ref="O541">_xlfn.XLOOKUP(1,(A541=Geotech!$A$4:$A$10094)*(Data_Discontinuities[[#This Row],[Depth (m)]]&gt;=Geotech!$C$4:$C$10094)*(Data_Discontinuities[[#This Row],[Depth (m)]]&lt;Geotech!$D$4:$D$10094),Geotech!$M$4:$M$10094)</f>
        <v>TBP Agglomerate</v>
      </c>
      <c r="P541" s="84"/>
      <c r="Q541" s="84"/>
      <c r="R541" s="84"/>
      <c r="S5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41" s="71">
        <f>IFERROR(Data_Discontinuities[[#This Row],[Joint roughness]]/Data_Discontinuities[[#This Row],[Joint alteration]],"")</f>
        <v>3</v>
      </c>
      <c r="V5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41" s="87"/>
    </row>
    <row r="542" spans="1:23" ht="15" customHeight="1" x14ac:dyDescent="0.25">
      <c r="A542" s="150" t="s">
        <v>36</v>
      </c>
      <c r="B542" s="17" t="str">
        <f>VLOOKUP(Data_Discontinuities[[#This Row],[Hole ID]],Data_Log[],2,FALSE)</f>
        <v>CGF-05</v>
      </c>
      <c r="C542" s="8">
        <v>107.65</v>
      </c>
      <c r="D542" s="8">
        <v>1</v>
      </c>
      <c r="E542" s="7" t="s">
        <v>445</v>
      </c>
      <c r="F542" s="7"/>
      <c r="G542" s="7"/>
      <c r="H542" s="118"/>
      <c r="I542" s="7" t="s">
        <v>286</v>
      </c>
      <c r="J542" s="7" t="s">
        <v>320</v>
      </c>
      <c r="K542" s="7" t="s">
        <v>354</v>
      </c>
      <c r="L542" s="7"/>
      <c r="M542" s="7"/>
      <c r="N542" s="7"/>
      <c r="O542" s="84" t="str" cm="1">
        <f t="array" ref="O542">_xlfn.XLOOKUP(1,(A542=Geotech!$A$4:$A$10094)*(Data_Discontinuities[[#This Row],[Depth (m)]]&gt;=Geotech!$C$4:$C$10094)*(Data_Discontinuities[[#This Row],[Depth (m)]]&lt;Geotech!$D$4:$D$10094),Geotech!$M$4:$M$10094)</f>
        <v>TBP Agglomerate</v>
      </c>
      <c r="P542" s="84"/>
      <c r="Q542" s="84"/>
      <c r="R542" s="84"/>
      <c r="S54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4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42" s="71">
        <f>IFERROR(Data_Discontinuities[[#This Row],[Joint roughness]]/Data_Discontinuities[[#This Row],[Joint alteration]],"")</f>
        <v>1</v>
      </c>
      <c r="V54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42" s="87"/>
    </row>
    <row r="543" spans="1:23" ht="15" customHeight="1" x14ac:dyDescent="0.25">
      <c r="A543" s="150" t="s">
        <v>36</v>
      </c>
      <c r="B543" s="17" t="str">
        <f>VLOOKUP(Data_Discontinuities[[#This Row],[Hole ID]],Data_Log[],2,FALSE)</f>
        <v>CGF-05</v>
      </c>
      <c r="C543" s="8">
        <v>108.96</v>
      </c>
      <c r="D543" s="8">
        <v>1</v>
      </c>
      <c r="E543" s="7" t="s">
        <v>445</v>
      </c>
      <c r="F543" s="7"/>
      <c r="G543" s="7"/>
      <c r="H543" s="118"/>
      <c r="I543" s="7" t="s">
        <v>318</v>
      </c>
      <c r="J543" s="7" t="s">
        <v>320</v>
      </c>
      <c r="K543" s="7" t="s">
        <v>290</v>
      </c>
      <c r="L543" s="7"/>
      <c r="M543" s="7"/>
      <c r="N543" s="7"/>
      <c r="O543" s="84" t="str" cm="1">
        <f t="array" ref="O543">_xlfn.XLOOKUP(1,(A543=Geotech!$A$4:$A$10094)*(Data_Discontinuities[[#This Row],[Depth (m)]]&gt;=Geotech!$C$4:$C$10094)*(Data_Discontinuities[[#This Row],[Depth (m)]]&lt;Geotech!$D$4:$D$10094),Geotech!$M$4:$M$10094)</f>
        <v>TBP Agglomerate</v>
      </c>
      <c r="P543" s="84"/>
      <c r="Q543" s="84"/>
      <c r="R543" s="84"/>
      <c r="S54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4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43" s="71">
        <f>IFERROR(Data_Discontinuities[[#This Row],[Joint roughness]]/Data_Discontinuities[[#This Row],[Joint alteration]],"")</f>
        <v>1</v>
      </c>
      <c r="V54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43" s="87"/>
    </row>
    <row r="544" spans="1:23" ht="15" customHeight="1" x14ac:dyDescent="0.25">
      <c r="A544" s="150" t="s">
        <v>36</v>
      </c>
      <c r="B544" s="17" t="str">
        <f>VLOOKUP(Data_Discontinuities[[#This Row],[Hole ID]],Data_Log[],2,FALSE)</f>
        <v>CGF-05</v>
      </c>
      <c r="C544" s="8">
        <v>109.32</v>
      </c>
      <c r="D544" s="8">
        <v>1</v>
      </c>
      <c r="E544" s="7" t="s">
        <v>445</v>
      </c>
      <c r="F544" s="7"/>
      <c r="G544" s="7"/>
      <c r="H544" s="118"/>
      <c r="I544" s="7" t="s">
        <v>286</v>
      </c>
      <c r="J544" s="7" t="s">
        <v>288</v>
      </c>
      <c r="K544" s="7" t="s">
        <v>406</v>
      </c>
      <c r="L544" s="7" t="s">
        <v>546</v>
      </c>
      <c r="M544" s="7"/>
      <c r="N544" s="7"/>
      <c r="O544" s="84" t="str" cm="1">
        <f t="array" ref="O544">_xlfn.XLOOKUP(1,(A544=Geotech!$A$4:$A$10094)*(Data_Discontinuities[[#This Row],[Depth (m)]]&gt;=Geotech!$C$4:$C$10094)*(Data_Discontinuities[[#This Row],[Depth (m)]]&lt;Geotech!$D$4:$D$10094),Geotech!$M$4:$M$10094)</f>
        <v>TBP Agglomerate</v>
      </c>
      <c r="P544" s="84"/>
      <c r="Q544" s="84"/>
      <c r="R544" s="84"/>
      <c r="S5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44" s="71">
        <f>IFERROR(Data_Discontinuities[[#This Row],[Joint roughness]]/Data_Discontinuities[[#This Row],[Joint alteration]],"")</f>
        <v>0.375</v>
      </c>
      <c r="V5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44" s="87"/>
    </row>
    <row r="545" spans="1:23" ht="15" customHeight="1" x14ac:dyDescent="0.25">
      <c r="A545" s="150" t="s">
        <v>36</v>
      </c>
      <c r="B545" s="17" t="str">
        <f>VLOOKUP(Data_Discontinuities[[#This Row],[Hole ID]],Data_Log[],2,FALSE)</f>
        <v>CGF-05</v>
      </c>
      <c r="C545" s="8">
        <v>109.44</v>
      </c>
      <c r="D545" s="8">
        <v>1</v>
      </c>
      <c r="E545" s="7" t="s">
        <v>445</v>
      </c>
      <c r="F545" s="7"/>
      <c r="G545" s="7"/>
      <c r="H545" s="118"/>
      <c r="I545" s="7" t="s">
        <v>318</v>
      </c>
      <c r="J545" s="7" t="s">
        <v>320</v>
      </c>
      <c r="K545" s="7" t="s">
        <v>406</v>
      </c>
      <c r="L545" s="7" t="s">
        <v>437</v>
      </c>
      <c r="M545" s="7"/>
      <c r="N545" s="7"/>
      <c r="O545" s="84" t="str" cm="1">
        <f t="array" ref="O545">_xlfn.XLOOKUP(1,(A545=Geotech!$A$4:$A$10094)*(Data_Discontinuities[[#This Row],[Depth (m)]]&gt;=Geotech!$C$4:$C$10094)*(Data_Discontinuities[[#This Row],[Depth (m)]]&lt;Geotech!$D$4:$D$10094),Geotech!$M$4:$M$10094)</f>
        <v>TBP Agglomerate</v>
      </c>
      <c r="P545" s="84"/>
      <c r="Q545" s="84"/>
      <c r="R545" s="84"/>
      <c r="S5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45" s="71">
        <f>IFERROR(Data_Discontinuities[[#This Row],[Joint roughness]]/Data_Discontinuities[[#This Row],[Joint alteration]],"")</f>
        <v>0.5</v>
      </c>
      <c r="V5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45" s="87"/>
    </row>
    <row r="546" spans="1:23" ht="15" customHeight="1" x14ac:dyDescent="0.25">
      <c r="A546" s="150" t="s">
        <v>36</v>
      </c>
      <c r="B546" s="17" t="str">
        <f>VLOOKUP(Data_Discontinuities[[#This Row],[Hole ID]],Data_Log[],2,FALSE)</f>
        <v>CGF-05</v>
      </c>
      <c r="C546" s="8">
        <v>110</v>
      </c>
      <c r="D546" s="8">
        <v>1</v>
      </c>
      <c r="E546" s="7" t="s">
        <v>445</v>
      </c>
      <c r="F546" s="7"/>
      <c r="G546" s="7"/>
      <c r="H546" s="118"/>
      <c r="I546" s="7" t="s">
        <v>286</v>
      </c>
      <c r="J546" s="7" t="s">
        <v>288</v>
      </c>
      <c r="K546" s="7" t="s">
        <v>382</v>
      </c>
      <c r="L546" s="7" t="s">
        <v>437</v>
      </c>
      <c r="M546" s="7"/>
      <c r="N546" s="7"/>
      <c r="O546" s="84" t="str" cm="1">
        <f t="array" ref="O546">_xlfn.XLOOKUP(1,(A546=Geotech!$A$4:$A$10094)*(Data_Discontinuities[[#This Row],[Depth (m)]]&gt;=Geotech!$C$4:$C$10094)*(Data_Discontinuities[[#This Row],[Depth (m)]]&lt;Geotech!$D$4:$D$10094),Geotech!$M$4:$M$10094)</f>
        <v>TBP Agglomerate</v>
      </c>
      <c r="P546" s="84"/>
      <c r="Q546" s="84"/>
      <c r="R546" s="84"/>
      <c r="S5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46" s="71">
        <f>IFERROR(Data_Discontinuities[[#This Row],[Joint roughness]]/Data_Discontinuities[[#This Row],[Joint alteration]],"")</f>
        <v>0.375</v>
      </c>
      <c r="V5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46" s="87"/>
    </row>
    <row r="547" spans="1:23" ht="15" customHeight="1" x14ac:dyDescent="0.25">
      <c r="A547" s="150" t="s">
        <v>36</v>
      </c>
      <c r="B547" s="17" t="str">
        <f>VLOOKUP(Data_Discontinuities[[#This Row],[Hole ID]],Data_Log[],2,FALSE)</f>
        <v>CGF-05</v>
      </c>
      <c r="C547" s="8">
        <v>111.17</v>
      </c>
      <c r="D547" s="8">
        <v>1</v>
      </c>
      <c r="E547" s="7" t="s">
        <v>445</v>
      </c>
      <c r="F547" s="7"/>
      <c r="G547" s="7"/>
      <c r="H547" s="118"/>
      <c r="I547" s="7" t="s">
        <v>251</v>
      </c>
      <c r="J547" s="7" t="s">
        <v>288</v>
      </c>
      <c r="K547" s="7" t="s">
        <v>322</v>
      </c>
      <c r="L547" s="7"/>
      <c r="M547" s="7"/>
      <c r="N547" s="7"/>
      <c r="O547" s="84" t="str" cm="1">
        <f t="array" ref="O547">_xlfn.XLOOKUP(1,(A547=Geotech!$A$4:$A$10094)*(Data_Discontinuities[[#This Row],[Depth (m)]]&gt;=Geotech!$C$4:$C$10094)*(Data_Discontinuities[[#This Row],[Depth (m)]]&lt;Geotech!$D$4:$D$10094),Geotech!$M$4:$M$10094)</f>
        <v>TBP Agglomerate</v>
      </c>
      <c r="P547" s="84"/>
      <c r="Q547" s="84"/>
      <c r="R547" s="84"/>
      <c r="S5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5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47" s="71">
        <f>IFERROR(Data_Discontinuities[[#This Row],[Joint roughness]]/Data_Discontinuities[[#This Row],[Joint alteration]],"")</f>
        <v>0.5</v>
      </c>
      <c r="V5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47" s="87"/>
    </row>
    <row r="548" spans="1:23" ht="15" customHeight="1" x14ac:dyDescent="0.25">
      <c r="A548" s="150" t="s">
        <v>36</v>
      </c>
      <c r="B548" s="17" t="str">
        <f>VLOOKUP(Data_Discontinuities[[#This Row],[Hole ID]],Data_Log[],2,FALSE)</f>
        <v>CGF-05</v>
      </c>
      <c r="C548" s="8">
        <v>111.42</v>
      </c>
      <c r="D548" s="8">
        <v>1</v>
      </c>
      <c r="E548" s="7" t="s">
        <v>445</v>
      </c>
      <c r="F548" s="7"/>
      <c r="G548" s="7"/>
      <c r="H548" s="118"/>
      <c r="I548" s="7" t="s">
        <v>286</v>
      </c>
      <c r="J548" s="7" t="s">
        <v>320</v>
      </c>
      <c r="K548" s="7" t="s">
        <v>382</v>
      </c>
      <c r="L548" s="7" t="s">
        <v>546</v>
      </c>
      <c r="M548" s="7" t="s">
        <v>437</v>
      </c>
      <c r="N548" s="7"/>
      <c r="O548" s="84" t="str" cm="1">
        <f t="array" ref="O548">_xlfn.XLOOKUP(1,(A548=Geotech!$A$4:$A$10094)*(Data_Discontinuities[[#This Row],[Depth (m)]]&gt;=Geotech!$C$4:$C$10094)*(Data_Discontinuities[[#This Row],[Depth (m)]]&lt;Geotech!$D$4:$D$10094),Geotech!$M$4:$M$10094)</f>
        <v>TBP Agglomerate</v>
      </c>
      <c r="P548" s="84"/>
      <c r="Q548" s="84"/>
      <c r="R548" s="84"/>
      <c r="S5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48" s="71">
        <f>IFERROR(Data_Discontinuities[[#This Row],[Joint roughness]]/Data_Discontinuities[[#This Row],[Joint alteration]],"")</f>
        <v>0.5</v>
      </c>
      <c r="V5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48" s="87"/>
    </row>
    <row r="549" spans="1:23" ht="15" customHeight="1" x14ac:dyDescent="0.25">
      <c r="A549" s="150" t="s">
        <v>36</v>
      </c>
      <c r="B549" s="17" t="str">
        <f>VLOOKUP(Data_Discontinuities[[#This Row],[Hole ID]],Data_Log[],2,FALSE)</f>
        <v>CGF-05</v>
      </c>
      <c r="C549" s="8">
        <v>111.79</v>
      </c>
      <c r="D549" s="8">
        <v>1</v>
      </c>
      <c r="E549" s="7" t="s">
        <v>445</v>
      </c>
      <c r="F549" s="7"/>
      <c r="G549" s="7"/>
      <c r="H549" s="118"/>
      <c r="I549" s="7" t="s">
        <v>286</v>
      </c>
      <c r="J549" s="7" t="s">
        <v>352</v>
      </c>
      <c r="K549" s="7" t="s">
        <v>354</v>
      </c>
      <c r="L549" s="7"/>
      <c r="M549" s="7"/>
      <c r="N549" s="7"/>
      <c r="O549" s="84" t="str" cm="1">
        <f t="array" ref="O549">_xlfn.XLOOKUP(1,(A549=Geotech!$A$4:$A$10094)*(Data_Discontinuities[[#This Row],[Depth (m)]]&gt;=Geotech!$C$4:$C$10094)*(Data_Discontinuities[[#This Row],[Depth (m)]]&lt;Geotech!$D$4:$D$10094),Geotech!$M$4:$M$10094)</f>
        <v>TBP Agglomerate</v>
      </c>
      <c r="P549" s="84"/>
      <c r="Q549" s="84"/>
      <c r="R549" s="84"/>
      <c r="S5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49" s="71">
        <f>IFERROR(Data_Discontinuities[[#This Row],[Joint roughness]]/Data_Discontinuities[[#This Row],[Joint alteration]],"")</f>
        <v>1.5</v>
      </c>
      <c r="V5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49" s="87"/>
    </row>
    <row r="550" spans="1:23" ht="15" customHeight="1" x14ac:dyDescent="0.25">
      <c r="A550" s="150" t="s">
        <v>36</v>
      </c>
      <c r="B550" s="17" t="str">
        <f>VLOOKUP(Data_Discontinuities[[#This Row],[Hole ID]],Data_Log[],2,FALSE)</f>
        <v>CGF-05</v>
      </c>
      <c r="C550" s="8">
        <v>111.95</v>
      </c>
      <c r="D550" s="8">
        <v>1</v>
      </c>
      <c r="E550" s="7" t="s">
        <v>445</v>
      </c>
      <c r="F550" s="7"/>
      <c r="G550" s="7"/>
      <c r="H550" s="118"/>
      <c r="I550" s="7" t="s">
        <v>286</v>
      </c>
      <c r="J550" s="7" t="s">
        <v>352</v>
      </c>
      <c r="K550" s="7" t="s">
        <v>382</v>
      </c>
      <c r="L550" s="7" t="s">
        <v>447</v>
      </c>
      <c r="M550" s="7"/>
      <c r="N550" s="7"/>
      <c r="O550" s="84" t="str" cm="1">
        <f t="array" ref="O550">_xlfn.XLOOKUP(1,(A550=Geotech!$A$4:$A$10094)*(Data_Discontinuities[[#This Row],[Depth (m)]]&gt;=Geotech!$C$4:$C$10094)*(Data_Discontinuities[[#This Row],[Depth (m)]]&lt;Geotech!$D$4:$D$10094),Geotech!$M$4:$M$10094)</f>
        <v>TBP Agglomerate</v>
      </c>
      <c r="P550" s="84"/>
      <c r="Q550" s="84"/>
      <c r="R550" s="84"/>
      <c r="S5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50" s="71">
        <f>IFERROR(Data_Discontinuities[[#This Row],[Joint roughness]]/Data_Discontinuities[[#This Row],[Joint alteration]],"")</f>
        <v>1</v>
      </c>
      <c r="V5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50" s="87"/>
    </row>
    <row r="551" spans="1:23" ht="15" customHeight="1" x14ac:dyDescent="0.25">
      <c r="A551" s="150" t="s">
        <v>36</v>
      </c>
      <c r="B551" s="17" t="str">
        <f>VLOOKUP(Data_Discontinuities[[#This Row],[Hole ID]],Data_Log[],2,FALSE)</f>
        <v>CGF-05</v>
      </c>
      <c r="C551" s="8">
        <v>112.35</v>
      </c>
      <c r="D551" s="8">
        <v>1</v>
      </c>
      <c r="E551" s="7" t="s">
        <v>248</v>
      </c>
      <c r="F551" s="7"/>
      <c r="G551" s="7"/>
      <c r="H551" s="118"/>
      <c r="I551" s="7"/>
      <c r="J551" s="7"/>
      <c r="K551" s="7"/>
      <c r="L551" s="7"/>
      <c r="M551" s="7"/>
      <c r="N551" s="7">
        <v>0.2</v>
      </c>
      <c r="O551" s="84" t="str" cm="1">
        <f t="array" ref="O551">_xlfn.XLOOKUP(1,(A551=Geotech!$A$4:$A$10094)*(Data_Discontinuities[[#This Row],[Depth (m)]]&gt;=Geotech!$C$4:$C$10094)*(Data_Discontinuities[[#This Row],[Depth (m)]]&lt;Geotech!$D$4:$D$10094),Geotech!$M$4:$M$10094)</f>
        <v>TBP Agglomerate</v>
      </c>
      <c r="P551" s="84"/>
      <c r="Q551" s="84"/>
      <c r="R551" s="84"/>
      <c r="S5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51" s="71" t="str">
        <f>IFERROR(Data_Discontinuities[[#This Row],[Joint roughness]]/Data_Discontinuities[[#This Row],[Joint alteration]],"")</f>
        <v/>
      </c>
      <c r="V5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51" s="87"/>
    </row>
    <row r="552" spans="1:23" ht="15" customHeight="1" x14ac:dyDescent="0.25">
      <c r="A552" s="150" t="s">
        <v>36</v>
      </c>
      <c r="B552" s="17" t="str">
        <f>VLOOKUP(Data_Discontinuities[[#This Row],[Hole ID]],Data_Log[],2,FALSE)</f>
        <v>CGF-05</v>
      </c>
      <c r="C552" s="8">
        <v>112.54</v>
      </c>
      <c r="D552" s="8">
        <v>1</v>
      </c>
      <c r="E552" s="7" t="s">
        <v>445</v>
      </c>
      <c r="F552" s="7"/>
      <c r="G552" s="7"/>
      <c r="H552" s="118"/>
      <c r="I552" s="7" t="s">
        <v>286</v>
      </c>
      <c r="J552" s="7" t="s">
        <v>352</v>
      </c>
      <c r="K552" s="7" t="s">
        <v>406</v>
      </c>
      <c r="L552" s="7" t="s">
        <v>447</v>
      </c>
      <c r="M552" s="7"/>
      <c r="N552" s="7"/>
      <c r="O552" s="84" t="str" cm="1">
        <f t="array" ref="O552">_xlfn.XLOOKUP(1,(A552=Geotech!$A$4:$A$10094)*(Data_Discontinuities[[#This Row],[Depth (m)]]&gt;=Geotech!$C$4:$C$10094)*(Data_Discontinuities[[#This Row],[Depth (m)]]&lt;Geotech!$D$4:$D$10094),Geotech!$M$4:$M$10094)</f>
        <v>TBP Agglomerate</v>
      </c>
      <c r="P552" s="84"/>
      <c r="Q552" s="84"/>
      <c r="R552" s="84"/>
      <c r="S5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52" s="71">
        <f>IFERROR(Data_Discontinuities[[#This Row],[Joint roughness]]/Data_Discontinuities[[#This Row],[Joint alteration]],"")</f>
        <v>1</v>
      </c>
      <c r="V5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52" s="87"/>
    </row>
    <row r="553" spans="1:23" ht="15" customHeight="1" x14ac:dyDescent="0.25">
      <c r="A553" s="150" t="s">
        <v>36</v>
      </c>
      <c r="B553" s="17" t="str">
        <f>VLOOKUP(Data_Discontinuities[[#This Row],[Hole ID]],Data_Log[],2,FALSE)</f>
        <v>CGF-05</v>
      </c>
      <c r="C553" s="8">
        <v>113.43</v>
      </c>
      <c r="D553" s="8">
        <v>1</v>
      </c>
      <c r="E553" s="7" t="s">
        <v>445</v>
      </c>
      <c r="F553" s="7"/>
      <c r="G553" s="7"/>
      <c r="H553" s="118"/>
      <c r="I553" s="7" t="s">
        <v>318</v>
      </c>
      <c r="J553" s="7" t="s">
        <v>352</v>
      </c>
      <c r="K553" s="7" t="s">
        <v>382</v>
      </c>
      <c r="L553" s="7" t="s">
        <v>437</v>
      </c>
      <c r="M553" s="7"/>
      <c r="N553" s="7"/>
      <c r="O553" s="84" t="str" cm="1">
        <f t="array" ref="O553">_xlfn.XLOOKUP(1,(A553=Geotech!$A$4:$A$10094)*(Data_Discontinuities[[#This Row],[Depth (m)]]&gt;=Geotech!$C$4:$C$10094)*(Data_Discontinuities[[#This Row],[Depth (m)]]&lt;Geotech!$D$4:$D$10094),Geotech!$M$4:$M$10094)</f>
        <v>TBP Agglomerate</v>
      </c>
      <c r="P553" s="84"/>
      <c r="Q553" s="84"/>
      <c r="R553" s="84"/>
      <c r="S55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53" s="71">
        <f>IFERROR(Data_Discontinuities[[#This Row],[Joint roughness]]/Data_Discontinuities[[#This Row],[Joint alteration]],"")</f>
        <v>0.75</v>
      </c>
      <c r="V55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53" s="87"/>
    </row>
    <row r="554" spans="1:23" ht="15" customHeight="1" x14ac:dyDescent="0.25">
      <c r="A554" s="150" t="s">
        <v>36</v>
      </c>
      <c r="B554" s="17" t="str">
        <f>VLOOKUP(Data_Discontinuities[[#This Row],[Hole ID]],Data_Log[],2,FALSE)</f>
        <v>CGF-05</v>
      </c>
      <c r="C554" s="8">
        <v>113.55</v>
      </c>
      <c r="D554" s="8">
        <v>1</v>
      </c>
      <c r="E554" s="7" t="s">
        <v>445</v>
      </c>
      <c r="F554" s="7"/>
      <c r="G554" s="7"/>
      <c r="H554" s="118"/>
      <c r="I554" s="7" t="s">
        <v>286</v>
      </c>
      <c r="J554" s="7" t="s">
        <v>352</v>
      </c>
      <c r="K554" s="7" t="s">
        <v>354</v>
      </c>
      <c r="L554" s="7"/>
      <c r="M554" s="7"/>
      <c r="N554" s="7"/>
      <c r="O554" s="84" t="str" cm="1">
        <f t="array" ref="O554">_xlfn.XLOOKUP(1,(A554=Geotech!$A$4:$A$10094)*(Data_Discontinuities[[#This Row],[Depth (m)]]&gt;=Geotech!$C$4:$C$10094)*(Data_Discontinuities[[#This Row],[Depth (m)]]&lt;Geotech!$D$4:$D$10094),Geotech!$M$4:$M$10094)</f>
        <v>TBP Agglomerate</v>
      </c>
      <c r="P554" s="84"/>
      <c r="Q554" s="84"/>
      <c r="R554" s="84"/>
      <c r="S55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54" s="71">
        <f>IFERROR(Data_Discontinuities[[#This Row],[Joint roughness]]/Data_Discontinuities[[#This Row],[Joint alteration]],"")</f>
        <v>1.5</v>
      </c>
      <c r="V55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54" s="87"/>
    </row>
    <row r="555" spans="1:23" ht="15" customHeight="1" x14ac:dyDescent="0.25">
      <c r="A555" s="150" t="s">
        <v>36</v>
      </c>
      <c r="B555" s="17" t="str">
        <f>VLOOKUP(Data_Discontinuities[[#This Row],[Hole ID]],Data_Log[],2,FALSE)</f>
        <v>CGF-05</v>
      </c>
      <c r="C555" s="8">
        <v>113.88</v>
      </c>
      <c r="D555" s="8">
        <v>1</v>
      </c>
      <c r="E555" s="7" t="s">
        <v>445</v>
      </c>
      <c r="F555" s="7"/>
      <c r="G555" s="7"/>
      <c r="H555" s="118"/>
      <c r="I555" s="7" t="s">
        <v>318</v>
      </c>
      <c r="J555" s="7" t="s">
        <v>352</v>
      </c>
      <c r="K555" s="7" t="s">
        <v>354</v>
      </c>
      <c r="L555" s="7"/>
      <c r="M555" s="7"/>
      <c r="N555" s="7"/>
      <c r="O555" s="84" t="str" cm="1">
        <f t="array" ref="O555">_xlfn.XLOOKUP(1,(A555=Geotech!$A$4:$A$10094)*(Data_Discontinuities[[#This Row],[Depth (m)]]&gt;=Geotech!$C$4:$C$10094)*(Data_Discontinuities[[#This Row],[Depth (m)]]&lt;Geotech!$D$4:$D$10094),Geotech!$M$4:$M$10094)</f>
        <v>TBP Agglomerate</v>
      </c>
      <c r="P555" s="84"/>
      <c r="Q555" s="84"/>
      <c r="R555" s="84"/>
      <c r="S55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5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55" s="71">
        <f>IFERROR(Data_Discontinuities[[#This Row],[Joint roughness]]/Data_Discontinuities[[#This Row],[Joint alteration]],"")</f>
        <v>1.5</v>
      </c>
      <c r="V55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55" s="87"/>
    </row>
    <row r="556" spans="1:23" ht="15" customHeight="1" x14ac:dyDescent="0.25">
      <c r="A556" s="150" t="s">
        <v>36</v>
      </c>
      <c r="B556" s="17" t="str">
        <f>VLOOKUP(Data_Discontinuities[[#This Row],[Hole ID]],Data_Log[],2,FALSE)</f>
        <v>CGF-05</v>
      </c>
      <c r="C556" s="8">
        <v>114.57</v>
      </c>
      <c r="D556" s="8">
        <v>1</v>
      </c>
      <c r="E556" s="7" t="s">
        <v>420</v>
      </c>
      <c r="F556" s="7"/>
      <c r="G556" s="7"/>
      <c r="H556" s="118"/>
      <c r="I556" s="7" t="s">
        <v>251</v>
      </c>
      <c r="J556" s="7" t="s">
        <v>320</v>
      </c>
      <c r="K556" s="7" t="s">
        <v>290</v>
      </c>
      <c r="L556" s="7"/>
      <c r="M556" s="7"/>
      <c r="N556" s="7"/>
      <c r="O556" s="84" t="str" cm="1">
        <f t="array" ref="O556">_xlfn.XLOOKUP(1,(A556=Geotech!$A$4:$A$10094)*(Data_Discontinuities[[#This Row],[Depth (m)]]&gt;=Geotech!$C$4:$C$10094)*(Data_Discontinuities[[#This Row],[Depth (m)]]&lt;Geotech!$D$4:$D$10094),Geotech!$M$4:$M$10094)</f>
        <v>TBP Agglomerate</v>
      </c>
      <c r="P556" s="84"/>
      <c r="Q556" s="84"/>
      <c r="R556" s="84"/>
      <c r="S55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5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56" s="71">
        <f>IFERROR(Data_Discontinuities[[#This Row],[Joint roughness]]/Data_Discontinuities[[#This Row],[Joint alteration]],"")</f>
        <v>0.5</v>
      </c>
      <c r="V55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56" s="87"/>
    </row>
    <row r="557" spans="1:23" ht="15" customHeight="1" x14ac:dyDescent="0.25">
      <c r="A557" s="150" t="s">
        <v>36</v>
      </c>
      <c r="B557" s="17" t="str">
        <f>VLOOKUP(Data_Discontinuities[[#This Row],[Hole ID]],Data_Log[],2,FALSE)</f>
        <v>CGF-05</v>
      </c>
      <c r="C557" s="8">
        <v>115.25</v>
      </c>
      <c r="D557" s="8">
        <v>1</v>
      </c>
      <c r="E557" s="7" t="s">
        <v>248</v>
      </c>
      <c r="F557" s="7"/>
      <c r="G557" s="7"/>
      <c r="H557" s="118"/>
      <c r="I557" s="7"/>
      <c r="J557" s="7"/>
      <c r="K557" s="7"/>
      <c r="L557" s="7"/>
      <c r="M557" s="7"/>
      <c r="N557" s="7">
        <v>0.06</v>
      </c>
      <c r="O557" s="84" t="str" cm="1">
        <f t="array" ref="O557">_xlfn.XLOOKUP(1,(A557=Geotech!$A$4:$A$10094)*(Data_Discontinuities[[#This Row],[Depth (m)]]&gt;=Geotech!$C$4:$C$10094)*(Data_Discontinuities[[#This Row],[Depth (m)]]&lt;Geotech!$D$4:$D$10094),Geotech!$M$4:$M$10094)</f>
        <v>TBP Agglomerate</v>
      </c>
      <c r="P557" s="84"/>
      <c r="Q557" s="84"/>
      <c r="R557" s="84"/>
      <c r="S5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57" s="71" t="str">
        <f>IFERROR(Data_Discontinuities[[#This Row],[Joint roughness]]/Data_Discontinuities[[#This Row],[Joint alteration]],"")</f>
        <v/>
      </c>
      <c r="V5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57" s="87"/>
    </row>
    <row r="558" spans="1:23" ht="15" customHeight="1" x14ac:dyDescent="0.25">
      <c r="A558" s="150" t="s">
        <v>36</v>
      </c>
      <c r="B558" s="17" t="str">
        <f>VLOOKUP(Data_Discontinuities[[#This Row],[Hole ID]],Data_Log[],2,FALSE)</f>
        <v>CGF-05</v>
      </c>
      <c r="C558" s="8">
        <v>115.7</v>
      </c>
      <c r="D558" s="8">
        <v>1</v>
      </c>
      <c r="E558" s="7" t="s">
        <v>445</v>
      </c>
      <c r="F558" s="7"/>
      <c r="G558" s="7"/>
      <c r="H558" s="118"/>
      <c r="I558" s="7" t="s">
        <v>318</v>
      </c>
      <c r="J558" s="7" t="s">
        <v>288</v>
      </c>
      <c r="K558" s="7" t="s">
        <v>382</v>
      </c>
      <c r="L558" s="7" t="s">
        <v>546</v>
      </c>
      <c r="M558" s="7"/>
      <c r="N558" s="7"/>
      <c r="O558" s="84" t="str" cm="1">
        <f t="array" ref="O558">_xlfn.XLOOKUP(1,(A558=Geotech!$A$4:$A$10094)*(Data_Discontinuities[[#This Row],[Depth (m)]]&gt;=Geotech!$C$4:$C$10094)*(Data_Discontinuities[[#This Row],[Depth (m)]]&lt;Geotech!$D$4:$D$10094),Geotech!$M$4:$M$10094)</f>
        <v>TBP Agglomerate</v>
      </c>
      <c r="P558" s="84"/>
      <c r="Q558" s="84"/>
      <c r="R558" s="84"/>
      <c r="S55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5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58" s="71">
        <f>IFERROR(Data_Discontinuities[[#This Row],[Joint roughness]]/Data_Discontinuities[[#This Row],[Joint alteration]],"")</f>
        <v>0.375</v>
      </c>
      <c r="V55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58" s="87"/>
    </row>
    <row r="559" spans="1:23" ht="15" customHeight="1" x14ac:dyDescent="0.25">
      <c r="A559" s="150" t="s">
        <v>36</v>
      </c>
      <c r="B559" s="17" t="str">
        <f>VLOOKUP(Data_Discontinuities[[#This Row],[Hole ID]],Data_Log[],2,FALSE)</f>
        <v>CGF-05</v>
      </c>
      <c r="C559" s="8">
        <v>115.88</v>
      </c>
      <c r="D559" s="8">
        <v>1</v>
      </c>
      <c r="E559" s="7" t="s">
        <v>445</v>
      </c>
      <c r="F559" s="7"/>
      <c r="G559" s="7"/>
      <c r="H559" s="118"/>
      <c r="I559" s="7" t="s">
        <v>286</v>
      </c>
      <c r="J559" s="7" t="s">
        <v>288</v>
      </c>
      <c r="K559" s="7" t="s">
        <v>354</v>
      </c>
      <c r="L559" s="7"/>
      <c r="M559" s="7"/>
      <c r="N559" s="7"/>
      <c r="O559" s="84" t="str" cm="1">
        <f t="array" ref="O559">_xlfn.XLOOKUP(1,(A559=Geotech!$A$4:$A$10094)*(Data_Discontinuities[[#This Row],[Depth (m)]]&gt;=Geotech!$C$4:$C$10094)*(Data_Discontinuities[[#This Row],[Depth (m)]]&lt;Geotech!$D$4:$D$10094),Geotech!$M$4:$M$10094)</f>
        <v>TBP Agglomerate</v>
      </c>
      <c r="P559" s="84"/>
      <c r="Q559" s="84"/>
      <c r="R559" s="84"/>
      <c r="S55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5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59" s="71">
        <f>IFERROR(Data_Discontinuities[[#This Row],[Joint roughness]]/Data_Discontinuities[[#This Row],[Joint alteration]],"")</f>
        <v>0.75</v>
      </c>
      <c r="V55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59" s="87"/>
    </row>
    <row r="560" spans="1:23" ht="15" customHeight="1" x14ac:dyDescent="0.25">
      <c r="A560" s="150" t="s">
        <v>36</v>
      </c>
      <c r="B560" s="17" t="str">
        <f>VLOOKUP(Data_Discontinuities[[#This Row],[Hole ID]],Data_Log[],2,FALSE)</f>
        <v>CGF-05</v>
      </c>
      <c r="C560" s="8">
        <v>116.2</v>
      </c>
      <c r="D560" s="8">
        <v>1</v>
      </c>
      <c r="E560" s="7" t="s">
        <v>445</v>
      </c>
      <c r="F560" s="7"/>
      <c r="G560" s="7"/>
      <c r="H560" s="118"/>
      <c r="I560" s="7" t="s">
        <v>251</v>
      </c>
      <c r="J560" s="7" t="s">
        <v>320</v>
      </c>
      <c r="K560" s="7" t="s">
        <v>322</v>
      </c>
      <c r="L560" s="7"/>
      <c r="M560" s="7"/>
      <c r="N560" s="7"/>
      <c r="O560" s="84" t="str" cm="1">
        <f t="array" ref="O560">_xlfn.XLOOKUP(1,(A560=Geotech!$A$4:$A$10094)*(Data_Discontinuities[[#This Row],[Depth (m)]]&gt;=Geotech!$C$4:$C$10094)*(Data_Discontinuities[[#This Row],[Depth (m)]]&lt;Geotech!$D$4:$D$10094),Geotech!$M$4:$M$10094)</f>
        <v>TBP Agglomerate</v>
      </c>
      <c r="P560" s="84"/>
      <c r="Q560" s="84"/>
      <c r="R560" s="84"/>
      <c r="S56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6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60" s="71">
        <f>IFERROR(Data_Discontinuities[[#This Row],[Joint roughness]]/Data_Discontinuities[[#This Row],[Joint alteration]],"")</f>
        <v>1</v>
      </c>
      <c r="V56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60" s="87"/>
    </row>
    <row r="561" spans="1:23" ht="15" customHeight="1" x14ac:dyDescent="0.25">
      <c r="A561" s="150" t="s">
        <v>36</v>
      </c>
      <c r="B561" s="17" t="str">
        <f>VLOOKUP(Data_Discontinuities[[#This Row],[Hole ID]],Data_Log[],2,FALSE)</f>
        <v>CGF-05</v>
      </c>
      <c r="C561" s="8">
        <v>116.3</v>
      </c>
      <c r="D561" s="8">
        <v>1</v>
      </c>
      <c r="E561" s="7" t="s">
        <v>445</v>
      </c>
      <c r="F561" s="7"/>
      <c r="G561" s="7"/>
      <c r="H561" s="118"/>
      <c r="I561" s="7" t="s">
        <v>251</v>
      </c>
      <c r="J561" s="7" t="s">
        <v>352</v>
      </c>
      <c r="K561" s="7" t="s">
        <v>290</v>
      </c>
      <c r="L561" s="7"/>
      <c r="M561" s="7"/>
      <c r="N561" s="7"/>
      <c r="O561" s="84" t="str" cm="1">
        <f t="array" ref="O561">_xlfn.XLOOKUP(1,(A561=Geotech!$A$4:$A$10094)*(Data_Discontinuities[[#This Row],[Depth (m)]]&gt;=Geotech!$C$4:$C$10094)*(Data_Discontinuities[[#This Row],[Depth (m)]]&lt;Geotech!$D$4:$D$10094),Geotech!$M$4:$M$10094)</f>
        <v>TBP Agglomerate</v>
      </c>
      <c r="P561" s="84"/>
      <c r="Q561" s="84"/>
      <c r="R561" s="84"/>
      <c r="S56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6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1" s="71">
        <f>IFERROR(Data_Discontinuities[[#This Row],[Joint roughness]]/Data_Discontinuities[[#This Row],[Joint alteration]],"")</f>
        <v>0.75</v>
      </c>
      <c r="V56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61" s="87"/>
    </row>
    <row r="562" spans="1:23" ht="15" customHeight="1" x14ac:dyDescent="0.25">
      <c r="A562" s="150" t="s">
        <v>36</v>
      </c>
      <c r="B562" s="17" t="str">
        <f>VLOOKUP(Data_Discontinuities[[#This Row],[Hole ID]],Data_Log[],2,FALSE)</f>
        <v>CGF-05</v>
      </c>
      <c r="C562" s="8">
        <v>116.44</v>
      </c>
      <c r="D562" s="8">
        <v>1</v>
      </c>
      <c r="E562" s="7" t="s">
        <v>445</v>
      </c>
      <c r="F562" s="7"/>
      <c r="G562" s="7"/>
      <c r="H562" s="118"/>
      <c r="I562" s="7" t="s">
        <v>286</v>
      </c>
      <c r="J562" s="7" t="s">
        <v>352</v>
      </c>
      <c r="K562" s="7" t="s">
        <v>354</v>
      </c>
      <c r="L562" s="7"/>
      <c r="M562" s="7"/>
      <c r="N562" s="7"/>
      <c r="O562" s="84" t="str" cm="1">
        <f t="array" ref="O562">_xlfn.XLOOKUP(1,(A562=Geotech!$A$4:$A$10094)*(Data_Discontinuities[[#This Row],[Depth (m)]]&gt;=Geotech!$C$4:$C$10094)*(Data_Discontinuities[[#This Row],[Depth (m)]]&lt;Geotech!$D$4:$D$10094),Geotech!$M$4:$M$10094)</f>
        <v>TBP Agglomerate</v>
      </c>
      <c r="P562" s="84"/>
      <c r="Q562" s="84"/>
      <c r="R562" s="84"/>
      <c r="S56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6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2" s="71">
        <f>IFERROR(Data_Discontinuities[[#This Row],[Joint roughness]]/Data_Discontinuities[[#This Row],[Joint alteration]],"")</f>
        <v>1.5</v>
      </c>
      <c r="V56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62" s="87"/>
    </row>
    <row r="563" spans="1:23" ht="15" customHeight="1" x14ac:dyDescent="0.25">
      <c r="A563" s="150" t="s">
        <v>36</v>
      </c>
      <c r="B563" s="17" t="str">
        <f>VLOOKUP(Data_Discontinuities[[#This Row],[Hole ID]],Data_Log[],2,FALSE)</f>
        <v>CGF-05</v>
      </c>
      <c r="C563" s="8">
        <v>116.7</v>
      </c>
      <c r="D563" s="8">
        <v>1</v>
      </c>
      <c r="E563" s="7" t="s">
        <v>445</v>
      </c>
      <c r="F563" s="7"/>
      <c r="G563" s="7"/>
      <c r="H563" s="118"/>
      <c r="I563" s="7" t="s">
        <v>251</v>
      </c>
      <c r="J563" s="7" t="s">
        <v>288</v>
      </c>
      <c r="K563" s="7" t="s">
        <v>406</v>
      </c>
      <c r="L563" s="7" t="s">
        <v>546</v>
      </c>
      <c r="M563" s="7"/>
      <c r="N563" s="7"/>
      <c r="O563" s="84" t="str" cm="1">
        <f t="array" ref="O563">_xlfn.XLOOKUP(1,(A563=Geotech!$A$4:$A$10094)*(Data_Discontinuities[[#This Row],[Depth (m)]]&gt;=Geotech!$C$4:$C$10094)*(Data_Discontinuities[[#This Row],[Depth (m)]]&lt;Geotech!$D$4:$D$10094),Geotech!$M$4:$M$10094)</f>
        <v>TBP Agglomerate</v>
      </c>
      <c r="P563" s="84"/>
      <c r="Q563" s="84"/>
      <c r="R563" s="84"/>
      <c r="S56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0.5</v>
      </c>
      <c r="T56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63" s="71">
        <f>IFERROR(Data_Discontinuities[[#This Row],[Joint roughness]]/Data_Discontinuities[[#This Row],[Joint alteration]],"")</f>
        <v>0.125</v>
      </c>
      <c r="V56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63" s="87"/>
    </row>
    <row r="564" spans="1:23" ht="15" customHeight="1" x14ac:dyDescent="0.25">
      <c r="B564" s="17" t="e">
        <f>VLOOKUP(Data_Discontinuities[[#This Row],[Hole ID]],Data_Log[],2,FALSE)</f>
        <v>#N/A</v>
      </c>
      <c r="C564" s="8"/>
      <c r="D564" s="8"/>
      <c r="E564" s="7"/>
      <c r="F564" s="7"/>
      <c r="G564" s="7"/>
      <c r="H564" s="118"/>
      <c r="I564" s="7"/>
      <c r="J564" s="7"/>
      <c r="K564" s="7"/>
      <c r="L564" s="7"/>
      <c r="M564" s="7"/>
      <c r="N564" s="7"/>
      <c r="O564" s="84" t="e" cm="1">
        <f t="array" ref="O564">_xlfn.XLOOKUP(1,(A564=Geotech!$A$4:$A$10094)*(Data_Discontinuities[[#This Row],[Depth (m)]]&gt;=Geotech!$C$4:$C$10094)*(Data_Discontinuities[[#This Row],[Depth (m)]]&lt;Geotech!$D$4:$D$10094),Geotech!$M$4:$M$10094)</f>
        <v>#N/A</v>
      </c>
      <c r="P564" s="84"/>
      <c r="Q564" s="84"/>
      <c r="R564" s="84"/>
      <c r="S5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5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564" s="71" t="str">
        <f>IFERROR(Data_Discontinuities[[#This Row],[Joint roughness]]/Data_Discontinuities[[#This Row],[Joint alteration]],"")</f>
        <v/>
      </c>
      <c r="V5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564" s="87"/>
    </row>
    <row r="565" spans="1:23" ht="15" customHeight="1" x14ac:dyDescent="0.25">
      <c r="A565" s="14" t="s">
        <v>34</v>
      </c>
      <c r="B565" s="17" t="str">
        <f>VLOOKUP(Data_Discontinuities[[#This Row],[Hole ID]],Data_Log[],2,FALSE)</f>
        <v>CGF-04</v>
      </c>
      <c r="C565" s="8">
        <v>20.149999999999999</v>
      </c>
      <c r="D565" s="8">
        <v>1</v>
      </c>
      <c r="E565" s="7" t="s">
        <v>420</v>
      </c>
      <c r="F565" s="7"/>
      <c r="G565" s="7"/>
      <c r="H565" s="118"/>
      <c r="I565" s="7" t="s">
        <v>286</v>
      </c>
      <c r="J565" s="7" t="s">
        <v>352</v>
      </c>
      <c r="K565" s="7" t="s">
        <v>354</v>
      </c>
      <c r="L565" s="7"/>
      <c r="M565" s="7"/>
      <c r="N565" s="7"/>
      <c r="O565" s="84" t="str" cm="1">
        <f t="array" ref="O565">_xlfn.XLOOKUP(1,(A565=Geotech!$A$4:$A$10094)*(Data_Discontinuities[[#This Row],[Depth (m)]]&gt;=Geotech!$C$4:$C$10094)*(Data_Discontinuities[[#This Row],[Depth (m)]]&lt;Geotech!$D$4:$D$10094),Geotech!$M$4:$M$10094)</f>
        <v>Boulamarque granodiorite</v>
      </c>
      <c r="P565" s="84"/>
      <c r="Q565" s="84"/>
      <c r="R565" s="84"/>
      <c r="S56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6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5" s="71">
        <f>IFERROR(Data_Discontinuities[[#This Row],[Joint roughness]]/Data_Discontinuities[[#This Row],[Joint alteration]],"")</f>
        <v>1.5</v>
      </c>
      <c r="V56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65" s="87"/>
    </row>
    <row r="566" spans="1:23" ht="15" customHeight="1" x14ac:dyDescent="0.25">
      <c r="A566" s="14" t="s">
        <v>34</v>
      </c>
      <c r="B566" s="17" t="str">
        <f>VLOOKUP(Data_Discontinuities[[#This Row],[Hole ID]],Data_Log[],2,FALSE)</f>
        <v>CGF-04</v>
      </c>
      <c r="C566" s="8">
        <v>20.41</v>
      </c>
      <c r="D566" s="8">
        <v>1</v>
      </c>
      <c r="E566" s="7" t="s">
        <v>420</v>
      </c>
      <c r="F566" s="7"/>
      <c r="G566" s="7"/>
      <c r="H566" s="118"/>
      <c r="I566" s="7" t="s">
        <v>286</v>
      </c>
      <c r="J566" s="7" t="s">
        <v>352</v>
      </c>
      <c r="K566" s="7" t="s">
        <v>354</v>
      </c>
      <c r="L566" s="7"/>
      <c r="M566" s="7"/>
      <c r="N566" s="7"/>
      <c r="O566" s="84" t="str" cm="1">
        <f t="array" ref="O566">_xlfn.XLOOKUP(1,(A566=Geotech!$A$4:$A$10094)*(Data_Discontinuities[[#This Row],[Depth (m)]]&gt;=Geotech!$C$4:$C$10094)*(Data_Discontinuities[[#This Row],[Depth (m)]]&lt;Geotech!$D$4:$D$10094),Geotech!$M$4:$M$10094)</f>
        <v>Boulamarque granodiorite</v>
      </c>
      <c r="P566" s="84"/>
      <c r="Q566" s="84"/>
      <c r="R566" s="84"/>
      <c r="S56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6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6" s="71">
        <f>IFERROR(Data_Discontinuities[[#This Row],[Joint roughness]]/Data_Discontinuities[[#This Row],[Joint alteration]],"")</f>
        <v>1.5</v>
      </c>
      <c r="V56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66" s="87"/>
    </row>
    <row r="567" spans="1:23" ht="15" customHeight="1" x14ac:dyDescent="0.25">
      <c r="A567" s="14" t="s">
        <v>34</v>
      </c>
      <c r="B567" s="17" t="str">
        <f>VLOOKUP(Data_Discontinuities[[#This Row],[Hole ID]],Data_Log[],2,FALSE)</f>
        <v>CGF-04</v>
      </c>
      <c r="C567" s="8">
        <v>21.37</v>
      </c>
      <c r="D567" s="8">
        <v>1</v>
      </c>
      <c r="E567" s="7" t="s">
        <v>445</v>
      </c>
      <c r="F567" s="7"/>
      <c r="G567" s="7"/>
      <c r="H567" s="118"/>
      <c r="I567" s="7" t="s">
        <v>251</v>
      </c>
      <c r="J567" s="7" t="s">
        <v>320</v>
      </c>
      <c r="K567" s="7" t="s">
        <v>354</v>
      </c>
      <c r="L567" s="7"/>
      <c r="M567" s="7"/>
      <c r="N567" s="7"/>
      <c r="O567" s="84" t="str" cm="1">
        <f t="array" ref="O567">_xlfn.XLOOKUP(1,(A567=Geotech!$A$4:$A$10094)*(Data_Discontinuities[[#This Row],[Depth (m)]]&gt;=Geotech!$C$4:$C$10094)*(Data_Discontinuities[[#This Row],[Depth (m)]]&lt;Geotech!$D$4:$D$10094),Geotech!$M$4:$M$10094)</f>
        <v>Boulamarque granodiorite</v>
      </c>
      <c r="P567" s="84"/>
      <c r="Q567" s="84"/>
      <c r="R567" s="84"/>
      <c r="S56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6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67" s="71">
        <f>IFERROR(Data_Discontinuities[[#This Row],[Joint roughness]]/Data_Discontinuities[[#This Row],[Joint alteration]],"")</f>
        <v>0.5</v>
      </c>
      <c r="V56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67" s="87"/>
    </row>
    <row r="568" spans="1:23" ht="15" customHeight="1" x14ac:dyDescent="0.25">
      <c r="A568" s="14" t="s">
        <v>34</v>
      </c>
      <c r="B568" s="17" t="str">
        <f>VLOOKUP(Data_Discontinuities[[#This Row],[Hole ID]],Data_Log[],2,FALSE)</f>
        <v>CGF-04</v>
      </c>
      <c r="C568" s="8">
        <v>21.75</v>
      </c>
      <c r="D568" s="8">
        <v>1</v>
      </c>
      <c r="E568" s="7" t="s">
        <v>445</v>
      </c>
      <c r="F568" s="7"/>
      <c r="G568" s="7"/>
      <c r="H568" s="118"/>
      <c r="I568" s="7" t="s">
        <v>251</v>
      </c>
      <c r="J568" s="7" t="s">
        <v>352</v>
      </c>
      <c r="K568" s="7" t="s">
        <v>322</v>
      </c>
      <c r="L568" s="7"/>
      <c r="M568" s="7"/>
      <c r="N568" s="7"/>
      <c r="O568" s="84" t="str" cm="1">
        <f t="array" ref="O568">_xlfn.XLOOKUP(1,(A568=Geotech!$A$4:$A$10094)*(Data_Discontinuities[[#This Row],[Depth (m)]]&gt;=Geotech!$C$4:$C$10094)*(Data_Discontinuities[[#This Row],[Depth (m)]]&lt;Geotech!$D$4:$D$10094),Geotech!$M$4:$M$10094)</f>
        <v>Boulamarque granodiorite</v>
      </c>
      <c r="P568" s="84"/>
      <c r="Q568" s="84"/>
      <c r="R568" s="84"/>
      <c r="S56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6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68" s="71">
        <f>IFERROR(Data_Discontinuities[[#This Row],[Joint roughness]]/Data_Discontinuities[[#This Row],[Joint alteration]],"")</f>
        <v>1.5</v>
      </c>
      <c r="V56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68" s="87"/>
    </row>
    <row r="569" spans="1:23" ht="15" customHeight="1" x14ac:dyDescent="0.25">
      <c r="A569" s="14" t="s">
        <v>34</v>
      </c>
      <c r="B569" s="17" t="str">
        <f>VLOOKUP(Data_Discontinuities[[#This Row],[Hole ID]],Data_Log[],2,FALSE)</f>
        <v>CGF-04</v>
      </c>
      <c r="C569" s="8">
        <v>22.55</v>
      </c>
      <c r="D569" s="8">
        <v>1</v>
      </c>
      <c r="E569" s="7" t="s">
        <v>445</v>
      </c>
      <c r="F569" s="7"/>
      <c r="G569" s="7"/>
      <c r="H569" s="118"/>
      <c r="I569" s="7" t="s">
        <v>318</v>
      </c>
      <c r="J569" s="7" t="s">
        <v>352</v>
      </c>
      <c r="K569" s="7" t="s">
        <v>382</v>
      </c>
      <c r="L569" s="7" t="s">
        <v>447</v>
      </c>
      <c r="M569" s="7" t="s">
        <v>472</v>
      </c>
      <c r="N569" s="7"/>
      <c r="O569" s="84" t="str" cm="1">
        <f t="array" ref="O569">_xlfn.XLOOKUP(1,(A569=Geotech!$A$4:$A$10094)*(Data_Discontinuities[[#This Row],[Depth (m)]]&gt;=Geotech!$C$4:$C$10094)*(Data_Discontinuities[[#This Row],[Depth (m)]]&lt;Geotech!$D$4:$D$10094),Geotech!$M$4:$M$10094)</f>
        <v>Boulamarque granodiorite</v>
      </c>
      <c r="P569" s="84"/>
      <c r="Q569" s="84"/>
      <c r="R569" s="84"/>
      <c r="S56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6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69" s="71">
        <f>IFERROR(Data_Discontinuities[[#This Row],[Joint roughness]]/Data_Discontinuities[[#This Row],[Joint alteration]],"")</f>
        <v>1</v>
      </c>
      <c r="V56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69" s="87"/>
    </row>
    <row r="570" spans="1:23" ht="15" customHeight="1" x14ac:dyDescent="0.25">
      <c r="A570" s="14" t="s">
        <v>34</v>
      </c>
      <c r="B570" s="17" t="str">
        <f>VLOOKUP(Data_Discontinuities[[#This Row],[Hole ID]],Data_Log[],2,FALSE)</f>
        <v>CGF-04</v>
      </c>
      <c r="C570" s="8">
        <v>22.88</v>
      </c>
      <c r="D570" s="8">
        <v>1</v>
      </c>
      <c r="E570" s="7" t="s">
        <v>445</v>
      </c>
      <c r="F570" s="7"/>
      <c r="G570" s="7"/>
      <c r="H570" s="118"/>
      <c r="I570" s="7" t="s">
        <v>251</v>
      </c>
      <c r="J570" s="7" t="s">
        <v>380</v>
      </c>
      <c r="K570" s="7" t="s">
        <v>322</v>
      </c>
      <c r="L570" s="7"/>
      <c r="M570" s="7"/>
      <c r="N570" s="7"/>
      <c r="O570" s="84" t="str" cm="1">
        <f t="array" ref="O570">_xlfn.XLOOKUP(1,(A570=Geotech!$A$4:$A$10094)*(Data_Discontinuities[[#This Row],[Depth (m)]]&gt;=Geotech!$C$4:$C$10094)*(Data_Discontinuities[[#This Row],[Depth (m)]]&lt;Geotech!$D$4:$D$10094),Geotech!$M$4:$M$10094)</f>
        <v>Boulamarque granodiorite</v>
      </c>
      <c r="P570" s="84"/>
      <c r="Q570" s="84"/>
      <c r="R570" s="84"/>
      <c r="S57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7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70" s="71">
        <f>IFERROR(Data_Discontinuities[[#This Row],[Joint roughness]]/Data_Discontinuities[[#This Row],[Joint alteration]],"")</f>
        <v>1.5</v>
      </c>
      <c r="V57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0" s="87"/>
    </row>
    <row r="571" spans="1:23" ht="15" customHeight="1" x14ac:dyDescent="0.25">
      <c r="A571" s="14" t="s">
        <v>34</v>
      </c>
      <c r="B571" s="17" t="str">
        <f>VLOOKUP(Data_Discontinuities[[#This Row],[Hole ID]],Data_Log[],2,FALSE)</f>
        <v>CGF-04</v>
      </c>
      <c r="C571" s="8">
        <v>24.58</v>
      </c>
      <c r="D571" s="8">
        <v>1</v>
      </c>
      <c r="E571" s="7" t="s">
        <v>420</v>
      </c>
      <c r="F571" s="7"/>
      <c r="G571" s="7"/>
      <c r="H571" s="118"/>
      <c r="I571" s="7" t="s">
        <v>251</v>
      </c>
      <c r="J571" s="7" t="s">
        <v>352</v>
      </c>
      <c r="K571" s="7" t="s">
        <v>354</v>
      </c>
      <c r="L571" s="7"/>
      <c r="M571" s="7"/>
      <c r="N571" s="7"/>
      <c r="O571" s="84" t="str" cm="1">
        <f t="array" ref="O571">_xlfn.XLOOKUP(1,(A571=Geotech!$A$4:$A$10094)*(Data_Discontinuities[[#This Row],[Depth (m)]]&gt;=Geotech!$C$4:$C$10094)*(Data_Discontinuities[[#This Row],[Depth (m)]]&lt;Geotech!$D$4:$D$10094),Geotech!$M$4:$M$10094)</f>
        <v>Boulamarque granodiorite</v>
      </c>
      <c r="P571" s="84"/>
      <c r="Q571" s="84"/>
      <c r="R571" s="84"/>
      <c r="S57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7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71" s="71">
        <f>IFERROR(Data_Discontinuities[[#This Row],[Joint roughness]]/Data_Discontinuities[[#This Row],[Joint alteration]],"")</f>
        <v>0.75</v>
      </c>
      <c r="V57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1" s="87"/>
    </row>
    <row r="572" spans="1:23" ht="15" customHeight="1" x14ac:dyDescent="0.25">
      <c r="A572" s="14" t="s">
        <v>34</v>
      </c>
      <c r="B572" s="17" t="str">
        <f>VLOOKUP(Data_Discontinuities[[#This Row],[Hole ID]],Data_Log[],2,FALSE)</f>
        <v>CGF-04</v>
      </c>
      <c r="C572" s="8">
        <v>25.64</v>
      </c>
      <c r="D572" s="8">
        <v>1</v>
      </c>
      <c r="E572" s="7" t="s">
        <v>420</v>
      </c>
      <c r="F572" s="7"/>
      <c r="G572" s="7"/>
      <c r="H572" s="118"/>
      <c r="I572" s="7" t="s">
        <v>286</v>
      </c>
      <c r="J572" s="7" t="s">
        <v>352</v>
      </c>
      <c r="K572" s="7" t="s">
        <v>322</v>
      </c>
      <c r="L572" s="7"/>
      <c r="M572" s="7"/>
      <c r="N572" s="7"/>
      <c r="O572" s="84" t="str" cm="1">
        <f t="array" ref="O572">_xlfn.XLOOKUP(1,(A572=Geotech!$A$4:$A$10094)*(Data_Discontinuities[[#This Row],[Depth (m)]]&gt;=Geotech!$C$4:$C$10094)*(Data_Discontinuities[[#This Row],[Depth (m)]]&lt;Geotech!$D$4:$D$10094),Geotech!$M$4:$M$10094)</f>
        <v>Boulamarque granodiorite</v>
      </c>
      <c r="P572" s="84"/>
      <c r="Q572" s="84"/>
      <c r="R572" s="84"/>
      <c r="S57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7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72" s="71">
        <f>IFERROR(Data_Discontinuities[[#This Row],[Joint roughness]]/Data_Discontinuities[[#This Row],[Joint alteration]],"")</f>
        <v>3</v>
      </c>
      <c r="V57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72" s="87"/>
    </row>
    <row r="573" spans="1:23" ht="15" customHeight="1" x14ac:dyDescent="0.25">
      <c r="A573" s="14" t="s">
        <v>34</v>
      </c>
      <c r="B573" s="17" t="str">
        <f>VLOOKUP(Data_Discontinuities[[#This Row],[Hole ID]],Data_Log[],2,FALSE)</f>
        <v>CGF-04</v>
      </c>
      <c r="C573" s="8">
        <v>26.4</v>
      </c>
      <c r="D573" s="8">
        <v>1</v>
      </c>
      <c r="E573" s="7" t="s">
        <v>420</v>
      </c>
      <c r="F573" s="7"/>
      <c r="G573" s="7"/>
      <c r="H573" s="118"/>
      <c r="I573" s="7" t="s">
        <v>286</v>
      </c>
      <c r="J573" s="7" t="s">
        <v>352</v>
      </c>
      <c r="K573" s="7" t="s">
        <v>382</v>
      </c>
      <c r="L573" s="7" t="s">
        <v>437</v>
      </c>
      <c r="M573" s="7" t="s">
        <v>447</v>
      </c>
      <c r="N573" s="7"/>
      <c r="O573" s="84" t="str" cm="1">
        <f t="array" ref="O573">_xlfn.XLOOKUP(1,(A573=Geotech!$A$4:$A$10094)*(Data_Discontinuities[[#This Row],[Depth (m)]]&gt;=Geotech!$C$4:$C$10094)*(Data_Discontinuities[[#This Row],[Depth (m)]]&lt;Geotech!$D$4:$D$10094),Geotech!$M$4:$M$10094)</f>
        <v>Boulamarque granodiorite</v>
      </c>
      <c r="P573" s="84"/>
      <c r="Q573" s="84"/>
      <c r="R573" s="84"/>
      <c r="S57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7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73" s="71">
        <f>IFERROR(Data_Discontinuities[[#This Row],[Joint roughness]]/Data_Discontinuities[[#This Row],[Joint alteration]],"")</f>
        <v>0.75</v>
      </c>
      <c r="V57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3" s="87"/>
    </row>
    <row r="574" spans="1:23" ht="15" customHeight="1" x14ac:dyDescent="0.25">
      <c r="A574" s="14" t="s">
        <v>34</v>
      </c>
      <c r="B574" s="17" t="str">
        <f>VLOOKUP(Data_Discontinuities[[#This Row],[Hole ID]],Data_Log[],2,FALSE)</f>
        <v>CGF-04</v>
      </c>
      <c r="C574" s="8">
        <v>27.62</v>
      </c>
      <c r="D574" s="8">
        <v>1</v>
      </c>
      <c r="E574" s="7" t="s">
        <v>420</v>
      </c>
      <c r="F574" s="7"/>
      <c r="G574" s="7"/>
      <c r="H574" s="118"/>
      <c r="I574" s="7" t="s">
        <v>286</v>
      </c>
      <c r="J574" s="7" t="s">
        <v>320</v>
      </c>
      <c r="K574" s="7" t="s">
        <v>382</v>
      </c>
      <c r="L574" s="7" t="s">
        <v>437</v>
      </c>
      <c r="M574" s="7" t="s">
        <v>447</v>
      </c>
      <c r="N574" s="7"/>
      <c r="O574" s="84" t="str" cm="1">
        <f t="array" ref="O574">_xlfn.XLOOKUP(1,(A574=Geotech!$A$4:$A$10094)*(Data_Discontinuities[[#This Row],[Depth (m)]]&gt;=Geotech!$C$4:$C$10094)*(Data_Discontinuities[[#This Row],[Depth (m)]]&lt;Geotech!$D$4:$D$10094),Geotech!$M$4:$M$10094)</f>
        <v>Boulamarque granodiorite</v>
      </c>
      <c r="P574" s="84"/>
      <c r="Q574" s="84"/>
      <c r="R574" s="84"/>
      <c r="S57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7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74" s="71">
        <f>IFERROR(Data_Discontinuities[[#This Row],[Joint roughness]]/Data_Discontinuities[[#This Row],[Joint alteration]],"")</f>
        <v>0.5</v>
      </c>
      <c r="V57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74" s="87"/>
    </row>
    <row r="575" spans="1:23" ht="15" customHeight="1" x14ac:dyDescent="0.25">
      <c r="A575" s="14" t="s">
        <v>34</v>
      </c>
      <c r="B575" s="17" t="str">
        <f>VLOOKUP(Data_Discontinuities[[#This Row],[Hole ID]],Data_Log[],2,FALSE)</f>
        <v>CGF-04</v>
      </c>
      <c r="C575" s="8">
        <v>28.7</v>
      </c>
      <c r="D575" s="8">
        <v>1</v>
      </c>
      <c r="E575" s="7" t="s">
        <v>420</v>
      </c>
      <c r="F575" s="7"/>
      <c r="G575" s="7"/>
      <c r="H575" s="118"/>
      <c r="I575" s="7" t="s">
        <v>286</v>
      </c>
      <c r="J575" s="7" t="s">
        <v>352</v>
      </c>
      <c r="K575" s="7" t="s">
        <v>354</v>
      </c>
      <c r="L575" s="7"/>
      <c r="M575" s="7"/>
      <c r="N575" s="7"/>
      <c r="O575" s="84" t="str" cm="1">
        <f t="array" ref="O575">_xlfn.XLOOKUP(1,(A575=Geotech!$A$4:$A$10094)*(Data_Discontinuities[[#This Row],[Depth (m)]]&gt;=Geotech!$C$4:$C$10094)*(Data_Discontinuities[[#This Row],[Depth (m)]]&lt;Geotech!$D$4:$D$10094),Geotech!$M$4:$M$10094)</f>
        <v>Boulamarque granodiorite</v>
      </c>
      <c r="P575" s="84"/>
      <c r="Q575" s="84"/>
      <c r="R575" s="84"/>
      <c r="S57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7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75" s="71">
        <f>IFERROR(Data_Discontinuities[[#This Row],[Joint roughness]]/Data_Discontinuities[[#This Row],[Joint alteration]],"")</f>
        <v>1.5</v>
      </c>
      <c r="V57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75" s="87"/>
    </row>
    <row r="576" spans="1:23" ht="15" customHeight="1" x14ac:dyDescent="0.25">
      <c r="A576" s="14" t="s">
        <v>34</v>
      </c>
      <c r="B576" s="17" t="str">
        <f>VLOOKUP(Data_Discontinuities[[#This Row],[Hole ID]],Data_Log[],2,FALSE)</f>
        <v>CGF-04</v>
      </c>
      <c r="C576" s="8">
        <v>29.14</v>
      </c>
      <c r="D576" s="8">
        <v>1</v>
      </c>
      <c r="E576" s="7" t="s">
        <v>420</v>
      </c>
      <c r="F576" s="7"/>
      <c r="G576" s="7"/>
      <c r="H576" s="118"/>
      <c r="I576" s="7" t="s">
        <v>286</v>
      </c>
      <c r="J576" s="7" t="s">
        <v>320</v>
      </c>
      <c r="K576" s="7" t="s">
        <v>354</v>
      </c>
      <c r="L576" s="7"/>
      <c r="M576" s="7"/>
      <c r="N576" s="7"/>
      <c r="O576" s="84" t="str" cm="1">
        <f t="array" ref="O576">_xlfn.XLOOKUP(1,(A576=Geotech!$A$4:$A$10094)*(Data_Discontinuities[[#This Row],[Depth (m)]]&gt;=Geotech!$C$4:$C$10094)*(Data_Discontinuities[[#This Row],[Depth (m)]]&lt;Geotech!$D$4:$D$10094),Geotech!$M$4:$M$10094)</f>
        <v>Boulamarque granodiorite</v>
      </c>
      <c r="P576" s="84"/>
      <c r="Q576" s="84"/>
      <c r="R576" s="84"/>
      <c r="S57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7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76" s="71">
        <f>IFERROR(Data_Discontinuities[[#This Row],[Joint roughness]]/Data_Discontinuities[[#This Row],[Joint alteration]],"")</f>
        <v>1</v>
      </c>
      <c r="V57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6" s="87"/>
    </row>
    <row r="577" spans="1:23" ht="15" customHeight="1" x14ac:dyDescent="0.25">
      <c r="A577" s="14" t="s">
        <v>34</v>
      </c>
      <c r="B577" s="17" t="str">
        <f>VLOOKUP(Data_Discontinuities[[#This Row],[Hole ID]],Data_Log[],2,FALSE)</f>
        <v>CGF-04</v>
      </c>
      <c r="C577" s="8">
        <v>31.26</v>
      </c>
      <c r="D577" s="8">
        <v>1</v>
      </c>
      <c r="E577" s="7" t="s">
        <v>420</v>
      </c>
      <c r="F577" s="7"/>
      <c r="G577" s="7"/>
      <c r="H577" s="118"/>
      <c r="I577" s="7" t="s">
        <v>286</v>
      </c>
      <c r="J577" s="7" t="s">
        <v>320</v>
      </c>
      <c r="K577" s="7" t="s">
        <v>290</v>
      </c>
      <c r="L577" s="7"/>
      <c r="M577" s="7"/>
      <c r="N577" s="7"/>
      <c r="O577" s="84" t="str" cm="1">
        <f t="array" ref="O577">_xlfn.XLOOKUP(1,(A577=Geotech!$A$4:$A$10094)*(Data_Discontinuities[[#This Row],[Depth (m)]]&gt;=Geotech!$C$4:$C$10094)*(Data_Discontinuities[[#This Row],[Depth (m)]]&lt;Geotech!$D$4:$D$10094),Geotech!$M$4:$M$10094)</f>
        <v>Boulamarque granodiorite</v>
      </c>
      <c r="P577" s="84"/>
      <c r="Q577" s="84"/>
      <c r="R577" s="84"/>
      <c r="S57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7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77" s="71">
        <f>IFERROR(Data_Discontinuities[[#This Row],[Joint roughness]]/Data_Discontinuities[[#This Row],[Joint alteration]],"")</f>
        <v>1</v>
      </c>
      <c r="V57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7" s="87"/>
    </row>
    <row r="578" spans="1:23" ht="15" customHeight="1" x14ac:dyDescent="0.25">
      <c r="A578" s="14" t="s">
        <v>34</v>
      </c>
      <c r="B578" s="17" t="str">
        <f>VLOOKUP(Data_Discontinuities[[#This Row],[Hole ID]],Data_Log[],2,FALSE)</f>
        <v>CGF-04</v>
      </c>
      <c r="C578" s="8">
        <v>31.4</v>
      </c>
      <c r="D578" s="8">
        <v>1</v>
      </c>
      <c r="E578" s="7" t="s">
        <v>420</v>
      </c>
      <c r="F578" s="7"/>
      <c r="G578" s="7"/>
      <c r="H578" s="118"/>
      <c r="I578" s="7" t="s">
        <v>286</v>
      </c>
      <c r="J578" s="7" t="s">
        <v>320</v>
      </c>
      <c r="K578" s="7" t="s">
        <v>322</v>
      </c>
      <c r="L578" s="7"/>
      <c r="M578" s="7"/>
      <c r="N578" s="7"/>
      <c r="O578" s="84" t="str" cm="1">
        <f t="array" ref="O578">_xlfn.XLOOKUP(1,(A578=Geotech!$A$4:$A$10094)*(Data_Discontinuities[[#This Row],[Depth (m)]]&gt;=Geotech!$C$4:$C$10094)*(Data_Discontinuities[[#This Row],[Depth (m)]]&lt;Geotech!$D$4:$D$10094),Geotech!$M$4:$M$10094)</f>
        <v>Boulamarque granodiorite</v>
      </c>
      <c r="P578" s="84"/>
      <c r="Q578" s="84"/>
      <c r="R578" s="84"/>
      <c r="S57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7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78" s="71">
        <f>IFERROR(Data_Discontinuities[[#This Row],[Joint roughness]]/Data_Discontinuities[[#This Row],[Joint alteration]],"")</f>
        <v>2</v>
      </c>
      <c r="V57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78" s="87"/>
    </row>
    <row r="579" spans="1:23" ht="15" customHeight="1" x14ac:dyDescent="0.25">
      <c r="A579" s="14" t="s">
        <v>34</v>
      </c>
      <c r="B579" s="17" t="str">
        <f>VLOOKUP(Data_Discontinuities[[#This Row],[Hole ID]],Data_Log[],2,FALSE)</f>
        <v>CGF-04</v>
      </c>
      <c r="C579" s="8">
        <v>31.9</v>
      </c>
      <c r="D579" s="8">
        <v>1</v>
      </c>
      <c r="E579" s="7" t="s">
        <v>420</v>
      </c>
      <c r="F579" s="7"/>
      <c r="G579" s="7"/>
      <c r="H579" s="118"/>
      <c r="I579" s="7" t="s">
        <v>286</v>
      </c>
      <c r="J579" s="7" t="s">
        <v>352</v>
      </c>
      <c r="K579" s="7" t="s">
        <v>322</v>
      </c>
      <c r="L579" s="7"/>
      <c r="M579" s="7"/>
      <c r="N579" s="7"/>
      <c r="O579" s="84" t="str" cm="1">
        <f t="array" ref="O579">_xlfn.XLOOKUP(1,(A579=Geotech!$A$4:$A$10094)*(Data_Discontinuities[[#This Row],[Depth (m)]]&gt;=Geotech!$C$4:$C$10094)*(Data_Discontinuities[[#This Row],[Depth (m)]]&lt;Geotech!$D$4:$D$10094),Geotech!$M$4:$M$10094)</f>
        <v>Boulamarque granodiorite</v>
      </c>
      <c r="P579" s="84"/>
      <c r="Q579" s="84"/>
      <c r="R579" s="84"/>
      <c r="S57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7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79" s="71">
        <f>IFERROR(Data_Discontinuities[[#This Row],[Joint roughness]]/Data_Discontinuities[[#This Row],[Joint alteration]],"")</f>
        <v>3</v>
      </c>
      <c r="V57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79" s="87"/>
    </row>
    <row r="580" spans="1:23" ht="15" customHeight="1" x14ac:dyDescent="0.25">
      <c r="A580" s="14" t="s">
        <v>34</v>
      </c>
      <c r="B580" s="17" t="str">
        <f>VLOOKUP(Data_Discontinuities[[#This Row],[Hole ID]],Data_Log[],2,FALSE)</f>
        <v>CGF-04</v>
      </c>
      <c r="C580" s="8">
        <v>32.85</v>
      </c>
      <c r="D580" s="8">
        <v>1</v>
      </c>
      <c r="E580" s="7" t="s">
        <v>420</v>
      </c>
      <c r="F580" s="7"/>
      <c r="G580" s="7"/>
      <c r="H580" s="118"/>
      <c r="I580" s="7" t="s">
        <v>286</v>
      </c>
      <c r="J580" s="7" t="s">
        <v>352</v>
      </c>
      <c r="K580" s="7" t="s">
        <v>354</v>
      </c>
      <c r="L580" s="7"/>
      <c r="M580" s="7"/>
      <c r="N580" s="7"/>
      <c r="O580" s="84" t="str" cm="1">
        <f t="array" ref="O580">_xlfn.XLOOKUP(1,(A580=Geotech!$A$4:$A$10094)*(Data_Discontinuities[[#This Row],[Depth (m)]]&gt;=Geotech!$C$4:$C$10094)*(Data_Discontinuities[[#This Row],[Depth (m)]]&lt;Geotech!$D$4:$D$10094),Geotech!$M$4:$M$10094)</f>
        <v>Boulamarque granodiorite</v>
      </c>
      <c r="P580" s="84"/>
      <c r="Q580" s="84"/>
      <c r="R580" s="84"/>
      <c r="S58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8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0" s="71">
        <f>IFERROR(Data_Discontinuities[[#This Row],[Joint roughness]]/Data_Discontinuities[[#This Row],[Joint alteration]],"")</f>
        <v>1.5</v>
      </c>
      <c r="V58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580" s="87"/>
    </row>
    <row r="581" spans="1:23" ht="15" customHeight="1" x14ac:dyDescent="0.25">
      <c r="A581" s="14" t="s">
        <v>34</v>
      </c>
      <c r="B581" s="17" t="str">
        <f>VLOOKUP(Data_Discontinuities[[#This Row],[Hole ID]],Data_Log[],2,FALSE)</f>
        <v>CGF-04</v>
      </c>
      <c r="C581" s="8">
        <v>32.869999999999997</v>
      </c>
      <c r="D581" s="8">
        <v>1</v>
      </c>
      <c r="E581" s="7" t="s">
        <v>420</v>
      </c>
      <c r="F581" s="7"/>
      <c r="G581" s="7"/>
      <c r="H581" s="118"/>
      <c r="I581" s="7" t="s">
        <v>251</v>
      </c>
      <c r="J581" s="7" t="s">
        <v>320</v>
      </c>
      <c r="K581" s="7" t="s">
        <v>354</v>
      </c>
      <c r="L581" s="7"/>
      <c r="M581" s="7"/>
      <c r="N581" s="7"/>
      <c r="O581" s="84" t="str" cm="1">
        <f t="array" ref="O581">_xlfn.XLOOKUP(1,(A581=Geotech!$A$4:$A$10094)*(Data_Discontinuities[[#This Row],[Depth (m)]]&gt;=Geotech!$C$4:$C$10094)*(Data_Discontinuities[[#This Row],[Depth (m)]]&lt;Geotech!$D$4:$D$10094),Geotech!$M$4:$M$10094)</f>
        <v>Boulamarque granodiorite</v>
      </c>
      <c r="P581" s="84"/>
      <c r="Q581" s="84"/>
      <c r="R581" s="84"/>
      <c r="S58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8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1" s="71">
        <f>IFERROR(Data_Discontinuities[[#This Row],[Joint roughness]]/Data_Discontinuities[[#This Row],[Joint alteration]],"")</f>
        <v>0.5</v>
      </c>
      <c r="V58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81" s="87"/>
    </row>
    <row r="582" spans="1:23" ht="15" customHeight="1" x14ac:dyDescent="0.25">
      <c r="A582" s="14" t="s">
        <v>34</v>
      </c>
      <c r="B582" s="17" t="str">
        <f>VLOOKUP(Data_Discontinuities[[#This Row],[Hole ID]],Data_Log[],2,FALSE)</f>
        <v>CGF-04</v>
      </c>
      <c r="C582" s="8">
        <v>33.18</v>
      </c>
      <c r="D582" s="8">
        <v>1</v>
      </c>
      <c r="E582" s="7" t="s">
        <v>420</v>
      </c>
      <c r="F582" s="7"/>
      <c r="G582" s="7"/>
      <c r="H582" s="118"/>
      <c r="I582" s="7" t="s">
        <v>251</v>
      </c>
      <c r="J582" s="7" t="s">
        <v>352</v>
      </c>
      <c r="K582" s="7" t="s">
        <v>406</v>
      </c>
      <c r="L582" s="7" t="s">
        <v>437</v>
      </c>
      <c r="M582" s="7" t="s">
        <v>447</v>
      </c>
      <c r="N582" s="7"/>
      <c r="O582" s="84" t="str" cm="1">
        <f t="array" ref="O582">_xlfn.XLOOKUP(1,(A582=Geotech!$A$4:$A$10094)*(Data_Discontinuities[[#This Row],[Depth (m)]]&gt;=Geotech!$C$4:$C$10094)*(Data_Discontinuities[[#This Row],[Depth (m)]]&lt;Geotech!$D$4:$D$10094),Geotech!$M$4:$M$10094)</f>
        <v>Basalt</v>
      </c>
      <c r="P582" s="84"/>
      <c r="Q582" s="84"/>
      <c r="R582" s="84"/>
      <c r="S58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8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82" s="71">
        <f>IFERROR(Data_Discontinuities[[#This Row],[Joint roughness]]/Data_Discontinuities[[#This Row],[Joint alteration]],"")</f>
        <v>0.375</v>
      </c>
      <c r="V58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82" s="87"/>
    </row>
    <row r="583" spans="1:23" ht="15" customHeight="1" x14ac:dyDescent="0.25">
      <c r="A583" s="14" t="s">
        <v>34</v>
      </c>
      <c r="B583" s="17" t="str">
        <f>VLOOKUP(Data_Discontinuities[[#This Row],[Hole ID]],Data_Log[],2,FALSE)</f>
        <v>CGF-04</v>
      </c>
      <c r="C583" s="8">
        <v>34.75</v>
      </c>
      <c r="D583" s="8">
        <v>1</v>
      </c>
      <c r="E583" s="7" t="s">
        <v>445</v>
      </c>
      <c r="F583" s="7"/>
      <c r="G583" s="7"/>
      <c r="H583" s="118"/>
      <c r="I583" s="7" t="s">
        <v>286</v>
      </c>
      <c r="J583" s="7" t="s">
        <v>320</v>
      </c>
      <c r="K583" s="7" t="s">
        <v>290</v>
      </c>
      <c r="L583" s="7"/>
      <c r="M583" s="7"/>
      <c r="N583" s="7"/>
      <c r="O583" s="84" t="str" cm="1">
        <f t="array" ref="O583">_xlfn.XLOOKUP(1,(A583=Geotech!$A$4:$A$10094)*(Data_Discontinuities[[#This Row],[Depth (m)]]&gt;=Geotech!$C$4:$C$10094)*(Data_Discontinuities[[#This Row],[Depth (m)]]&lt;Geotech!$D$4:$D$10094),Geotech!$M$4:$M$10094)</f>
        <v>Basalt</v>
      </c>
      <c r="P583" s="84"/>
      <c r="Q583" s="84"/>
      <c r="R583" s="84"/>
      <c r="S58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3" s="71">
        <f>IFERROR(Data_Discontinuities[[#This Row],[Joint roughness]]/Data_Discontinuities[[#This Row],[Joint alteration]],"")</f>
        <v>1</v>
      </c>
      <c r="V58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83" s="87"/>
    </row>
    <row r="584" spans="1:23" ht="15" customHeight="1" x14ac:dyDescent="0.25">
      <c r="A584" s="14" t="s">
        <v>34</v>
      </c>
      <c r="B584" s="17" t="str">
        <f>VLOOKUP(Data_Discontinuities[[#This Row],[Hole ID]],Data_Log[],2,FALSE)</f>
        <v>CGF-04</v>
      </c>
      <c r="C584" s="8">
        <v>34.92</v>
      </c>
      <c r="D584" s="8">
        <v>1</v>
      </c>
      <c r="E584" s="7" t="s">
        <v>445</v>
      </c>
      <c r="F584" s="7"/>
      <c r="G584" s="7"/>
      <c r="H584" s="118"/>
      <c r="I584" s="7" t="s">
        <v>286</v>
      </c>
      <c r="J584" s="7" t="s">
        <v>320</v>
      </c>
      <c r="K584" s="7" t="s">
        <v>322</v>
      </c>
      <c r="L584" s="7"/>
      <c r="M584" s="7"/>
      <c r="N584" s="7"/>
      <c r="O584" s="84" t="str" cm="1">
        <f t="array" ref="O584">_xlfn.XLOOKUP(1,(A584=Geotech!$A$4:$A$10094)*(Data_Discontinuities[[#This Row],[Depth (m)]]&gt;=Geotech!$C$4:$C$10094)*(Data_Discontinuities[[#This Row],[Depth (m)]]&lt;Geotech!$D$4:$D$10094),Geotech!$M$4:$M$10094)</f>
        <v>Basalt</v>
      </c>
      <c r="P584" s="84"/>
      <c r="Q584" s="84"/>
      <c r="R584" s="84"/>
      <c r="S58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84" s="71">
        <f>IFERROR(Data_Discontinuities[[#This Row],[Joint roughness]]/Data_Discontinuities[[#This Row],[Joint alteration]],"")</f>
        <v>2</v>
      </c>
      <c r="V58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84" s="87"/>
    </row>
    <row r="585" spans="1:23" ht="15" customHeight="1" x14ac:dyDescent="0.25">
      <c r="A585" s="14" t="s">
        <v>34</v>
      </c>
      <c r="B585" s="17" t="str">
        <f>VLOOKUP(Data_Discontinuities[[#This Row],[Hole ID]],Data_Log[],2,FALSE)</f>
        <v>CGF-04</v>
      </c>
      <c r="C585" s="8">
        <v>35.799999999999997</v>
      </c>
      <c r="D585" s="8">
        <v>1</v>
      </c>
      <c r="E585" s="7" t="s">
        <v>445</v>
      </c>
      <c r="F585" s="7"/>
      <c r="G585" s="7"/>
      <c r="H585" s="118"/>
      <c r="I585" s="7" t="s">
        <v>286</v>
      </c>
      <c r="J585" s="7" t="s">
        <v>320</v>
      </c>
      <c r="K585" s="7" t="s">
        <v>382</v>
      </c>
      <c r="L585" s="7" t="s">
        <v>447</v>
      </c>
      <c r="M585" s="7" t="s">
        <v>437</v>
      </c>
      <c r="N585" s="7"/>
      <c r="O585" s="84" t="str" cm="1">
        <f t="array" ref="O585">_xlfn.XLOOKUP(1,(A585=Geotech!$A$4:$A$10094)*(Data_Discontinuities[[#This Row],[Depth (m)]]&gt;=Geotech!$C$4:$C$10094)*(Data_Discontinuities[[#This Row],[Depth (m)]]&lt;Geotech!$D$4:$D$10094),Geotech!$M$4:$M$10094)</f>
        <v>Basalt</v>
      </c>
      <c r="P585" s="84"/>
      <c r="Q585" s="84"/>
      <c r="R585" s="84"/>
      <c r="S58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85" s="71">
        <f>IFERROR(Data_Discontinuities[[#This Row],[Joint roughness]]/Data_Discontinuities[[#This Row],[Joint alteration]],"")</f>
        <v>0.66666666666666663</v>
      </c>
      <c r="V58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85" s="87"/>
    </row>
    <row r="586" spans="1:23" ht="15" customHeight="1" x14ac:dyDescent="0.25">
      <c r="A586" s="14" t="s">
        <v>34</v>
      </c>
      <c r="B586" s="17" t="str">
        <f>VLOOKUP(Data_Discontinuities[[#This Row],[Hole ID]],Data_Log[],2,FALSE)</f>
        <v>CGF-04</v>
      </c>
      <c r="C586" s="8">
        <v>37.4</v>
      </c>
      <c r="D586" s="8">
        <v>1</v>
      </c>
      <c r="E586" s="7" t="s">
        <v>420</v>
      </c>
      <c r="F586" s="7"/>
      <c r="G586" s="7"/>
      <c r="H586" s="118"/>
      <c r="I586" s="7" t="s">
        <v>251</v>
      </c>
      <c r="J586" s="7" t="s">
        <v>320</v>
      </c>
      <c r="K586" s="7" t="s">
        <v>382</v>
      </c>
      <c r="L586" s="7" t="s">
        <v>447</v>
      </c>
      <c r="M586" s="7"/>
      <c r="N586" s="7"/>
      <c r="O586" s="84" t="str" cm="1">
        <f t="array" ref="O586">_xlfn.XLOOKUP(1,(A586=Geotech!$A$4:$A$10094)*(Data_Discontinuities[[#This Row],[Depth (m)]]&gt;=Geotech!$C$4:$C$10094)*(Data_Discontinuities[[#This Row],[Depth (m)]]&lt;Geotech!$D$4:$D$10094),Geotech!$M$4:$M$10094)</f>
        <v>Basalt</v>
      </c>
      <c r="P586" s="84"/>
      <c r="Q586" s="84"/>
      <c r="R586" s="84"/>
      <c r="S58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8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586" s="71">
        <f>IFERROR(Data_Discontinuities[[#This Row],[Joint roughness]]/Data_Discontinuities[[#This Row],[Joint alteration]],"")</f>
        <v>0.33333333333333331</v>
      </c>
      <c r="V58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86" s="87"/>
    </row>
    <row r="587" spans="1:23" ht="15" customHeight="1" x14ac:dyDescent="0.25">
      <c r="A587" s="14" t="s">
        <v>34</v>
      </c>
      <c r="B587" s="17" t="str">
        <f>VLOOKUP(Data_Discontinuities[[#This Row],[Hole ID]],Data_Log[],2,FALSE)</f>
        <v>CGF-04</v>
      </c>
      <c r="C587" s="8">
        <v>37.590000000000003</v>
      </c>
      <c r="D587" s="8">
        <v>1</v>
      </c>
      <c r="E587" s="7" t="s">
        <v>420</v>
      </c>
      <c r="F587" s="7"/>
      <c r="G587" s="7"/>
      <c r="H587" s="118"/>
      <c r="I587" s="7" t="s">
        <v>286</v>
      </c>
      <c r="J587" s="7" t="s">
        <v>320</v>
      </c>
      <c r="K587" s="7" t="s">
        <v>354</v>
      </c>
      <c r="L587" s="7"/>
      <c r="M587" s="7"/>
      <c r="N587" s="7"/>
      <c r="O587" s="84" t="str" cm="1">
        <f t="array" ref="O587">_xlfn.XLOOKUP(1,(A587=Geotech!$A$4:$A$10094)*(Data_Discontinuities[[#This Row],[Depth (m)]]&gt;=Geotech!$C$4:$C$10094)*(Data_Discontinuities[[#This Row],[Depth (m)]]&lt;Geotech!$D$4:$D$10094),Geotech!$M$4:$M$10094)</f>
        <v>Basalt</v>
      </c>
      <c r="P587" s="84"/>
      <c r="Q587" s="84"/>
      <c r="R587" s="84"/>
      <c r="S58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7" s="71">
        <f>IFERROR(Data_Discontinuities[[#This Row],[Joint roughness]]/Data_Discontinuities[[#This Row],[Joint alteration]],"")</f>
        <v>1</v>
      </c>
      <c r="V58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87" s="87"/>
    </row>
    <row r="588" spans="1:23" ht="15" customHeight="1" x14ac:dyDescent="0.25">
      <c r="A588" s="14" t="s">
        <v>34</v>
      </c>
      <c r="B588" s="17" t="str">
        <f>VLOOKUP(Data_Discontinuities[[#This Row],[Hole ID]],Data_Log[],2,FALSE)</f>
        <v>CGF-04</v>
      </c>
      <c r="C588" s="8">
        <v>37.840000000000003</v>
      </c>
      <c r="D588" s="8">
        <v>1</v>
      </c>
      <c r="E588" s="7" t="s">
        <v>420</v>
      </c>
      <c r="F588" s="7"/>
      <c r="G588" s="7"/>
      <c r="H588" s="118"/>
      <c r="I588" s="7" t="s">
        <v>286</v>
      </c>
      <c r="J588" s="7" t="s">
        <v>320</v>
      </c>
      <c r="K588" s="7" t="s">
        <v>322</v>
      </c>
      <c r="L588" s="7"/>
      <c r="M588" s="7"/>
      <c r="N588" s="7"/>
      <c r="O588" s="84" t="str" cm="1">
        <f t="array" ref="O588">_xlfn.XLOOKUP(1,(A588=Geotech!$A$4:$A$10094)*(Data_Discontinuities[[#This Row],[Depth (m)]]&gt;=Geotech!$C$4:$C$10094)*(Data_Discontinuities[[#This Row],[Depth (m)]]&lt;Geotech!$D$4:$D$10094),Geotech!$M$4:$M$10094)</f>
        <v>Basalt</v>
      </c>
      <c r="P588" s="84"/>
      <c r="Q588" s="84"/>
      <c r="R588" s="84"/>
      <c r="S58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88" s="71">
        <f>IFERROR(Data_Discontinuities[[#This Row],[Joint roughness]]/Data_Discontinuities[[#This Row],[Joint alteration]],"")</f>
        <v>2</v>
      </c>
      <c r="V58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88" s="87"/>
    </row>
    <row r="589" spans="1:23" ht="15" customHeight="1" x14ac:dyDescent="0.25">
      <c r="A589" s="14" t="s">
        <v>34</v>
      </c>
      <c r="B589" s="17" t="str">
        <f>VLOOKUP(Data_Discontinuities[[#This Row],[Hole ID]],Data_Log[],2,FALSE)</f>
        <v>CGF-04</v>
      </c>
      <c r="C589" s="8">
        <v>38.659999999999997</v>
      </c>
      <c r="D589" s="8">
        <v>1</v>
      </c>
      <c r="E589" s="7" t="s">
        <v>420</v>
      </c>
      <c r="F589" s="7"/>
      <c r="G589" s="7"/>
      <c r="H589" s="118"/>
      <c r="I589" s="7" t="s">
        <v>286</v>
      </c>
      <c r="J589" s="7" t="s">
        <v>320</v>
      </c>
      <c r="K589" s="7" t="s">
        <v>354</v>
      </c>
      <c r="L589" s="7"/>
      <c r="M589" s="7"/>
      <c r="N589" s="7"/>
      <c r="O589" s="84" t="str" cm="1">
        <f t="array" ref="O589">_xlfn.XLOOKUP(1,(A589=Geotech!$A$4:$A$10094)*(Data_Discontinuities[[#This Row],[Depth (m)]]&gt;=Geotech!$C$4:$C$10094)*(Data_Discontinuities[[#This Row],[Depth (m)]]&lt;Geotech!$D$4:$D$10094),Geotech!$M$4:$M$10094)</f>
        <v>Basalt</v>
      </c>
      <c r="P589" s="84"/>
      <c r="Q589" s="84"/>
      <c r="R589" s="84"/>
      <c r="S58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8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89" s="71">
        <f>IFERROR(Data_Discontinuities[[#This Row],[Joint roughness]]/Data_Discontinuities[[#This Row],[Joint alteration]],"")</f>
        <v>1</v>
      </c>
      <c r="V58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89" s="87"/>
    </row>
    <row r="590" spans="1:23" ht="15" customHeight="1" x14ac:dyDescent="0.25">
      <c r="A590" s="14" t="s">
        <v>34</v>
      </c>
      <c r="B590" s="17" t="str">
        <f>VLOOKUP(Data_Discontinuities[[#This Row],[Hole ID]],Data_Log[],2,FALSE)</f>
        <v>CGF-04</v>
      </c>
      <c r="C590" s="8">
        <v>39.54</v>
      </c>
      <c r="D590" s="8">
        <v>1</v>
      </c>
      <c r="E590" s="7" t="s">
        <v>420</v>
      </c>
      <c r="F590" s="7"/>
      <c r="G590" s="7"/>
      <c r="H590" s="118"/>
      <c r="I590" s="7" t="s">
        <v>286</v>
      </c>
      <c r="J590" s="7" t="s">
        <v>288</v>
      </c>
      <c r="K590" s="7" t="s">
        <v>406</v>
      </c>
      <c r="L590" s="7" t="s">
        <v>546</v>
      </c>
      <c r="M590" s="7"/>
      <c r="N590" s="7"/>
      <c r="O590" s="84" t="str" cm="1">
        <f t="array" ref="O590">_xlfn.XLOOKUP(1,(A590=Geotech!$A$4:$A$10094)*(Data_Discontinuities[[#This Row],[Depth (m)]]&gt;=Geotech!$C$4:$C$10094)*(Data_Discontinuities[[#This Row],[Depth (m)]]&lt;Geotech!$D$4:$D$10094),Geotech!$M$4:$M$10094)</f>
        <v>Basalt</v>
      </c>
      <c r="P590" s="84"/>
      <c r="Q590" s="84"/>
      <c r="R590" s="84"/>
      <c r="S59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90" s="71">
        <f>IFERROR(Data_Discontinuities[[#This Row],[Joint roughness]]/Data_Discontinuities[[#This Row],[Joint alteration]],"")</f>
        <v>0.375</v>
      </c>
      <c r="V59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90" s="87"/>
    </row>
    <row r="591" spans="1:23" ht="15" customHeight="1" x14ac:dyDescent="0.25">
      <c r="A591" s="14" t="s">
        <v>34</v>
      </c>
      <c r="B591" s="17" t="str">
        <f>VLOOKUP(Data_Discontinuities[[#This Row],[Hole ID]],Data_Log[],2,FALSE)</f>
        <v>CGF-04</v>
      </c>
      <c r="C591" s="8">
        <v>39.590000000000003</v>
      </c>
      <c r="D591" s="8">
        <v>1</v>
      </c>
      <c r="E591" s="7" t="s">
        <v>445</v>
      </c>
      <c r="F591" s="7"/>
      <c r="G591" s="7"/>
      <c r="H591" s="118"/>
      <c r="I591" s="7" t="s">
        <v>251</v>
      </c>
      <c r="J591" s="7" t="s">
        <v>352</v>
      </c>
      <c r="K591" s="7" t="s">
        <v>406</v>
      </c>
      <c r="L591" s="7" t="s">
        <v>546</v>
      </c>
      <c r="M591" s="7"/>
      <c r="N591" s="7"/>
      <c r="O591" s="84" t="str" cm="1">
        <f t="array" ref="O591">_xlfn.XLOOKUP(1,(A591=Geotech!$A$4:$A$10094)*(Data_Discontinuities[[#This Row],[Depth (m)]]&gt;=Geotech!$C$4:$C$10094)*(Data_Discontinuities[[#This Row],[Depth (m)]]&lt;Geotech!$D$4:$D$10094),Geotech!$M$4:$M$10094)</f>
        <v>Basalt</v>
      </c>
      <c r="P591" s="84"/>
      <c r="Q591" s="84"/>
      <c r="R591" s="84"/>
      <c r="S59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91" s="71">
        <f>IFERROR(Data_Discontinuities[[#This Row],[Joint roughness]]/Data_Discontinuities[[#This Row],[Joint alteration]],"")</f>
        <v>0.375</v>
      </c>
      <c r="V59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91" s="87"/>
    </row>
    <row r="592" spans="1:23" ht="15" customHeight="1" x14ac:dyDescent="0.25">
      <c r="A592" s="14" t="s">
        <v>34</v>
      </c>
      <c r="B592" s="17" t="str">
        <f>VLOOKUP(Data_Discontinuities[[#This Row],[Hole ID]],Data_Log[],2,FALSE)</f>
        <v>CGF-04</v>
      </c>
      <c r="C592" s="8">
        <v>41.37</v>
      </c>
      <c r="D592" s="8">
        <v>1</v>
      </c>
      <c r="E592" s="7" t="s">
        <v>481</v>
      </c>
      <c r="F592" s="7"/>
      <c r="G592" s="7"/>
      <c r="H592" s="118"/>
      <c r="I592" s="7" t="s">
        <v>286</v>
      </c>
      <c r="J592" s="7" t="s">
        <v>404</v>
      </c>
      <c r="K592" s="7" t="s">
        <v>422</v>
      </c>
      <c r="L592" s="7" t="s">
        <v>447</v>
      </c>
      <c r="M592" s="7"/>
      <c r="N592" s="7">
        <v>3</v>
      </c>
      <c r="O592" s="84" t="str" cm="1">
        <f t="array" ref="O592">_xlfn.XLOOKUP(1,(A592=Geotech!$A$4:$A$10094)*(Data_Discontinuities[[#This Row],[Depth (m)]]&gt;=Geotech!$C$4:$C$10094)*(Data_Discontinuities[[#This Row],[Depth (m)]]&lt;Geotech!$D$4:$D$10094),Geotech!$M$4:$M$10094)</f>
        <v>Diorite</v>
      </c>
      <c r="P592" s="84"/>
      <c r="Q592" s="84"/>
      <c r="R592" s="84"/>
      <c r="S59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9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6</v>
      </c>
      <c r="U592" s="71">
        <f>IFERROR(Data_Discontinuities[[#This Row],[Joint roughness]]/Data_Discontinuities[[#This Row],[Joint alteration]],"")</f>
        <v>0.16666666666666666</v>
      </c>
      <c r="V59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92" s="87"/>
    </row>
    <row r="593" spans="1:23" ht="15" customHeight="1" x14ac:dyDescent="0.25">
      <c r="A593" s="14" t="s">
        <v>34</v>
      </c>
      <c r="B593" s="17" t="str">
        <f>VLOOKUP(Data_Discontinuities[[#This Row],[Hole ID]],Data_Log[],2,FALSE)</f>
        <v>CGF-04</v>
      </c>
      <c r="C593" s="8">
        <v>44.39</v>
      </c>
      <c r="D593" s="8">
        <v>1</v>
      </c>
      <c r="E593" s="7" t="s">
        <v>445</v>
      </c>
      <c r="F593" s="7"/>
      <c r="G593" s="7"/>
      <c r="H593" s="118"/>
      <c r="I593" s="7" t="s">
        <v>251</v>
      </c>
      <c r="J593" s="7" t="s">
        <v>352</v>
      </c>
      <c r="K593" s="7" t="s">
        <v>354</v>
      </c>
      <c r="L593" s="7"/>
      <c r="M593" s="7"/>
      <c r="N593" s="7"/>
      <c r="O593" s="84" t="str" cm="1">
        <f t="array" ref="O593">_xlfn.XLOOKUP(1,(A593=Geotech!$A$4:$A$10094)*(Data_Discontinuities[[#This Row],[Depth (m)]]&gt;=Geotech!$C$4:$C$10094)*(Data_Discontinuities[[#This Row],[Depth (m)]]&lt;Geotech!$D$4:$D$10094),Geotech!$M$4:$M$10094)</f>
        <v>Boulamarque granodiorite</v>
      </c>
      <c r="P593" s="84"/>
      <c r="Q593" s="84"/>
      <c r="R593" s="84"/>
      <c r="S59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93" s="71">
        <f>IFERROR(Data_Discontinuities[[#This Row],[Joint roughness]]/Data_Discontinuities[[#This Row],[Joint alteration]],"")</f>
        <v>0.75</v>
      </c>
      <c r="V59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93" s="87"/>
    </row>
    <row r="594" spans="1:23" ht="15" customHeight="1" x14ac:dyDescent="0.25">
      <c r="A594" s="14" t="s">
        <v>34</v>
      </c>
      <c r="B594" s="17" t="str">
        <f>VLOOKUP(Data_Discontinuities[[#This Row],[Hole ID]],Data_Log[],2,FALSE)</f>
        <v>CGF-04</v>
      </c>
      <c r="C594" s="8">
        <v>44.71</v>
      </c>
      <c r="D594" s="8">
        <v>1</v>
      </c>
      <c r="E594" s="7" t="s">
        <v>420</v>
      </c>
      <c r="F594" s="7"/>
      <c r="G594" s="7"/>
      <c r="H594" s="118"/>
      <c r="I594" s="7" t="s">
        <v>251</v>
      </c>
      <c r="J594" s="7" t="s">
        <v>352</v>
      </c>
      <c r="K594" s="7" t="s">
        <v>322</v>
      </c>
      <c r="L594" s="7"/>
      <c r="M594" s="7"/>
      <c r="N594" s="7"/>
      <c r="O594" s="84" t="str" cm="1">
        <f t="array" ref="O594">_xlfn.XLOOKUP(1,(A594=Geotech!$A$4:$A$10094)*(Data_Discontinuities[[#This Row],[Depth (m)]]&gt;=Geotech!$C$4:$C$10094)*(Data_Discontinuities[[#This Row],[Depth (m)]]&lt;Geotech!$D$4:$D$10094),Geotech!$M$4:$M$10094)</f>
        <v>Boulamarque granodiorite</v>
      </c>
      <c r="P594" s="84"/>
      <c r="Q594" s="84"/>
      <c r="R594" s="84"/>
      <c r="S59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594" s="71">
        <f>IFERROR(Data_Discontinuities[[#This Row],[Joint roughness]]/Data_Discontinuities[[#This Row],[Joint alteration]],"")</f>
        <v>1.5</v>
      </c>
      <c r="V59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94" s="87"/>
    </row>
    <row r="595" spans="1:23" ht="15" customHeight="1" x14ac:dyDescent="0.25">
      <c r="A595" s="14" t="s">
        <v>34</v>
      </c>
      <c r="B595" s="17" t="str">
        <f>VLOOKUP(Data_Discontinuities[[#This Row],[Hole ID]],Data_Log[],2,FALSE)</f>
        <v>CGF-04</v>
      </c>
      <c r="C595" s="8">
        <v>44.75</v>
      </c>
      <c r="D595" s="8">
        <v>1</v>
      </c>
      <c r="E595" s="7" t="s">
        <v>420</v>
      </c>
      <c r="F595" s="7"/>
      <c r="G595" s="7"/>
      <c r="H595" s="118"/>
      <c r="I595" s="7" t="s">
        <v>251</v>
      </c>
      <c r="J595" s="7" t="s">
        <v>320</v>
      </c>
      <c r="K595" s="7" t="s">
        <v>382</v>
      </c>
      <c r="L595" s="7" t="s">
        <v>437</v>
      </c>
      <c r="M595" s="7"/>
      <c r="N595" s="7"/>
      <c r="O595" s="84" t="str" cm="1">
        <f t="array" ref="O595">_xlfn.XLOOKUP(1,(A595=Geotech!$A$4:$A$10094)*(Data_Discontinuities[[#This Row],[Depth (m)]]&gt;=Geotech!$C$4:$C$10094)*(Data_Discontinuities[[#This Row],[Depth (m)]]&lt;Geotech!$D$4:$D$10094),Geotech!$M$4:$M$10094)</f>
        <v>Boulamarque granodiorite</v>
      </c>
      <c r="P595" s="84"/>
      <c r="Q595" s="84"/>
      <c r="R595" s="84"/>
      <c r="S59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59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95" s="71">
        <f>IFERROR(Data_Discontinuities[[#This Row],[Joint roughness]]/Data_Discontinuities[[#This Row],[Joint alteration]],"")</f>
        <v>0.25</v>
      </c>
      <c r="V59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595" s="87"/>
    </row>
    <row r="596" spans="1:23" ht="15" customHeight="1" x14ac:dyDescent="0.25">
      <c r="A596" s="14" t="s">
        <v>34</v>
      </c>
      <c r="B596" s="17" t="str">
        <f>VLOOKUP(Data_Discontinuities[[#This Row],[Hole ID]],Data_Log[],2,FALSE)</f>
        <v>CGF-04</v>
      </c>
      <c r="C596" s="8">
        <v>45.43</v>
      </c>
      <c r="D596" s="8">
        <v>1</v>
      </c>
      <c r="E596" s="7" t="s">
        <v>420</v>
      </c>
      <c r="F596" s="7"/>
      <c r="G596" s="7"/>
      <c r="H596" s="118"/>
      <c r="I596" s="7" t="s">
        <v>286</v>
      </c>
      <c r="J596" s="7" t="s">
        <v>320</v>
      </c>
      <c r="K596" s="7" t="s">
        <v>290</v>
      </c>
      <c r="L596" s="7"/>
      <c r="M596" s="7"/>
      <c r="N596" s="7"/>
      <c r="O596" s="84" t="str" cm="1">
        <f t="array" ref="O596">_xlfn.XLOOKUP(1,(A596=Geotech!$A$4:$A$10094)*(Data_Discontinuities[[#This Row],[Depth (m)]]&gt;=Geotech!$C$4:$C$10094)*(Data_Discontinuities[[#This Row],[Depth (m)]]&lt;Geotech!$D$4:$D$10094),Geotech!$M$4:$M$10094)</f>
        <v>Boulamarque granodiorite</v>
      </c>
      <c r="P596" s="84"/>
      <c r="Q596" s="84"/>
      <c r="R596" s="84"/>
      <c r="S59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59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96" s="71">
        <f>IFERROR(Data_Discontinuities[[#This Row],[Joint roughness]]/Data_Discontinuities[[#This Row],[Joint alteration]],"")</f>
        <v>1</v>
      </c>
      <c r="V59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96" s="87"/>
    </row>
    <row r="597" spans="1:23" ht="15" customHeight="1" x14ac:dyDescent="0.25">
      <c r="A597" s="14" t="s">
        <v>34</v>
      </c>
      <c r="B597" s="17" t="str">
        <f>VLOOKUP(Data_Discontinuities[[#This Row],[Hole ID]],Data_Log[],2,FALSE)</f>
        <v>CGF-04</v>
      </c>
      <c r="C597" s="8">
        <v>45.55</v>
      </c>
      <c r="D597" s="8">
        <v>1</v>
      </c>
      <c r="E597" s="7" t="s">
        <v>481</v>
      </c>
      <c r="F597" s="7"/>
      <c r="G597" s="7"/>
      <c r="H597" s="118"/>
      <c r="I597" s="7" t="s">
        <v>378</v>
      </c>
      <c r="J597" s="7" t="s">
        <v>352</v>
      </c>
      <c r="K597" s="7" t="s">
        <v>406</v>
      </c>
      <c r="L597" s="7" t="s">
        <v>57</v>
      </c>
      <c r="M597" s="7"/>
      <c r="N597" s="7"/>
      <c r="O597" s="84" t="str" cm="1">
        <f t="array" ref="O597">_xlfn.XLOOKUP(1,(A597=Geotech!$A$4:$A$10094)*(Data_Discontinuities[[#This Row],[Depth (m)]]&gt;=Geotech!$C$4:$C$10094)*(Data_Discontinuities[[#This Row],[Depth (m)]]&lt;Geotech!$D$4:$D$10094),Geotech!$M$4:$M$10094)</f>
        <v>Boulamarque granodiorite</v>
      </c>
      <c r="P597" s="84"/>
      <c r="Q597" s="84"/>
      <c r="R597" s="84"/>
      <c r="S59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59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597" s="71">
        <f>IFERROR(Data_Discontinuities[[#This Row],[Joint roughness]]/Data_Discontinuities[[#This Row],[Joint alteration]],"")</f>
        <v>0.75</v>
      </c>
      <c r="V59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597" s="87"/>
    </row>
    <row r="598" spans="1:23" ht="15" customHeight="1" x14ac:dyDescent="0.25">
      <c r="A598" s="14" t="s">
        <v>34</v>
      </c>
      <c r="B598" s="17" t="str">
        <f>VLOOKUP(Data_Discontinuities[[#This Row],[Hole ID]],Data_Log[],2,FALSE)</f>
        <v>CGF-04</v>
      </c>
      <c r="C598" s="8">
        <v>46.2</v>
      </c>
      <c r="D598" s="8">
        <v>1</v>
      </c>
      <c r="E598" s="7" t="s">
        <v>420</v>
      </c>
      <c r="F598" s="7"/>
      <c r="G598" s="7"/>
      <c r="H598" s="118"/>
      <c r="I598" s="7" t="s">
        <v>286</v>
      </c>
      <c r="J598" s="7" t="s">
        <v>288</v>
      </c>
      <c r="K598" s="7" t="s">
        <v>354</v>
      </c>
      <c r="L598" s="7"/>
      <c r="M598" s="7"/>
      <c r="N598" s="7"/>
      <c r="O598" s="84" t="str" cm="1">
        <f t="array" ref="O598">_xlfn.XLOOKUP(1,(A598=Geotech!$A$4:$A$10094)*(Data_Discontinuities[[#This Row],[Depth (m)]]&gt;=Geotech!$C$4:$C$10094)*(Data_Discontinuities[[#This Row],[Depth (m)]]&lt;Geotech!$D$4:$D$10094),Geotech!$M$4:$M$10094)</f>
        <v>Boulamarque granodiorite</v>
      </c>
      <c r="P598" s="84"/>
      <c r="Q598" s="84"/>
      <c r="R598" s="84"/>
      <c r="S59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98" s="71">
        <f>IFERROR(Data_Discontinuities[[#This Row],[Joint roughness]]/Data_Discontinuities[[#This Row],[Joint alteration]],"")</f>
        <v>0.75</v>
      </c>
      <c r="V59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98" s="87"/>
    </row>
    <row r="599" spans="1:23" ht="15" customHeight="1" x14ac:dyDescent="0.25">
      <c r="A599" s="14" t="s">
        <v>34</v>
      </c>
      <c r="B599" s="17" t="str">
        <f>VLOOKUP(Data_Discontinuities[[#This Row],[Hole ID]],Data_Log[],2,FALSE)</f>
        <v>CGF-04</v>
      </c>
      <c r="C599" s="8">
        <v>46.56</v>
      </c>
      <c r="D599" s="8">
        <v>1</v>
      </c>
      <c r="E599" s="7" t="s">
        <v>420</v>
      </c>
      <c r="F599" s="7"/>
      <c r="G599" s="7"/>
      <c r="H599" s="118"/>
      <c r="I599" s="7" t="s">
        <v>286</v>
      </c>
      <c r="J599" s="7" t="s">
        <v>288</v>
      </c>
      <c r="K599" s="7" t="s">
        <v>290</v>
      </c>
      <c r="L599" s="7"/>
      <c r="M599" s="7"/>
      <c r="N599" s="7"/>
      <c r="O599" s="84" t="str" cm="1">
        <f t="array" ref="O599">_xlfn.XLOOKUP(1,(A599=Geotech!$A$4:$A$10094)*(Data_Discontinuities[[#This Row],[Depth (m)]]&gt;=Geotech!$C$4:$C$10094)*(Data_Discontinuities[[#This Row],[Depth (m)]]&lt;Geotech!$D$4:$D$10094),Geotech!$M$4:$M$10094)</f>
        <v>Boulamarque granodiorite</v>
      </c>
      <c r="P599" s="84"/>
      <c r="Q599" s="84"/>
      <c r="R599" s="84"/>
      <c r="S59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59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599" s="71">
        <f>IFERROR(Data_Discontinuities[[#This Row],[Joint roughness]]/Data_Discontinuities[[#This Row],[Joint alteration]],"")</f>
        <v>0.75</v>
      </c>
      <c r="V59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599" s="87"/>
    </row>
    <row r="600" spans="1:23" ht="15" customHeight="1" x14ac:dyDescent="0.25">
      <c r="A600" s="14" t="s">
        <v>34</v>
      </c>
      <c r="B600" s="17" t="str">
        <f>VLOOKUP(Data_Discontinuities[[#This Row],[Hole ID]],Data_Log[],2,FALSE)</f>
        <v>CGF-04</v>
      </c>
      <c r="C600" s="8">
        <v>46.96</v>
      </c>
      <c r="D600" s="8">
        <v>1</v>
      </c>
      <c r="E600" s="7" t="s">
        <v>420</v>
      </c>
      <c r="F600" s="7"/>
      <c r="G600" s="7"/>
      <c r="H600" s="118"/>
      <c r="I600" s="7" t="s">
        <v>318</v>
      </c>
      <c r="J600" s="7" t="s">
        <v>320</v>
      </c>
      <c r="K600" s="7" t="s">
        <v>322</v>
      </c>
      <c r="L600" s="7"/>
      <c r="M600" s="7"/>
      <c r="N600" s="7"/>
      <c r="O600" s="84" t="str" cm="1">
        <f t="array" ref="O600">_xlfn.XLOOKUP(1,(A600=Geotech!$A$4:$A$10094)*(Data_Discontinuities[[#This Row],[Depth (m)]]&gt;=Geotech!$C$4:$C$10094)*(Data_Discontinuities[[#This Row],[Depth (m)]]&lt;Geotech!$D$4:$D$10094),Geotech!$M$4:$M$10094)</f>
        <v>Boulamarque granodiorite</v>
      </c>
      <c r="P600" s="84"/>
      <c r="Q600" s="84"/>
      <c r="R600" s="84"/>
      <c r="S60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0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00" s="71">
        <f>IFERROR(Data_Discontinuities[[#This Row],[Joint roughness]]/Data_Discontinuities[[#This Row],[Joint alteration]],"")</f>
        <v>2</v>
      </c>
      <c r="V60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00" s="87"/>
    </row>
    <row r="601" spans="1:23" ht="15" customHeight="1" x14ac:dyDescent="0.25">
      <c r="A601" s="14" t="s">
        <v>34</v>
      </c>
      <c r="B601" s="17" t="str">
        <f>VLOOKUP(Data_Discontinuities[[#This Row],[Hole ID]],Data_Log[],2,FALSE)</f>
        <v>CGF-04</v>
      </c>
      <c r="C601" s="8">
        <v>47.84</v>
      </c>
      <c r="D601" s="8">
        <v>1</v>
      </c>
      <c r="E601" s="7" t="s">
        <v>420</v>
      </c>
      <c r="F601" s="7"/>
      <c r="G601" s="7"/>
      <c r="H601" s="118"/>
      <c r="I601" s="7" t="s">
        <v>251</v>
      </c>
      <c r="J601" s="7" t="s">
        <v>320</v>
      </c>
      <c r="K601" s="7" t="s">
        <v>290</v>
      </c>
      <c r="L601" s="7"/>
      <c r="M601" s="7"/>
      <c r="N601" s="7"/>
      <c r="O601" s="84" t="str" cm="1">
        <f t="array" ref="O601">_xlfn.XLOOKUP(1,(A601=Geotech!$A$4:$A$10094)*(Data_Discontinuities[[#This Row],[Depth (m)]]&gt;=Geotech!$C$4:$C$10094)*(Data_Discontinuities[[#This Row],[Depth (m)]]&lt;Geotech!$D$4:$D$10094),Geotech!$M$4:$M$10094)</f>
        <v>Boulamarque granodiorite</v>
      </c>
      <c r="P601" s="84"/>
      <c r="Q601" s="84"/>
      <c r="R601" s="84"/>
      <c r="S60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0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01" s="71">
        <f>IFERROR(Data_Discontinuities[[#This Row],[Joint roughness]]/Data_Discontinuities[[#This Row],[Joint alteration]],"")</f>
        <v>0.5</v>
      </c>
      <c r="V60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01" s="87"/>
    </row>
    <row r="602" spans="1:23" ht="15" customHeight="1" x14ac:dyDescent="0.25">
      <c r="A602" s="14" t="s">
        <v>34</v>
      </c>
      <c r="B602" s="17" t="str">
        <f>VLOOKUP(Data_Discontinuities[[#This Row],[Hole ID]],Data_Log[],2,FALSE)</f>
        <v>CGF-04</v>
      </c>
      <c r="C602" s="8">
        <v>48.44</v>
      </c>
      <c r="D602" s="8">
        <v>1</v>
      </c>
      <c r="E602" s="7" t="s">
        <v>420</v>
      </c>
      <c r="F602" s="7"/>
      <c r="G602" s="7"/>
      <c r="H602" s="118"/>
      <c r="I602" s="7" t="s">
        <v>318</v>
      </c>
      <c r="J602" s="7" t="s">
        <v>320</v>
      </c>
      <c r="K602" s="7" t="s">
        <v>382</v>
      </c>
      <c r="L602" s="7" t="s">
        <v>437</v>
      </c>
      <c r="M602" s="7" t="s">
        <v>472</v>
      </c>
      <c r="N602" s="7"/>
      <c r="O602" s="84" t="str" cm="1">
        <f t="array" ref="O602">_xlfn.XLOOKUP(1,(A602=Geotech!$A$4:$A$10094)*(Data_Discontinuities[[#This Row],[Depth (m)]]&gt;=Geotech!$C$4:$C$10094)*(Data_Discontinuities[[#This Row],[Depth (m)]]&lt;Geotech!$D$4:$D$10094),Geotech!$M$4:$M$10094)</f>
        <v>Boulamarque granodiorite</v>
      </c>
      <c r="P602" s="84"/>
      <c r="Q602" s="84"/>
      <c r="R602" s="84"/>
      <c r="S60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0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02" s="71">
        <f>IFERROR(Data_Discontinuities[[#This Row],[Joint roughness]]/Data_Discontinuities[[#This Row],[Joint alteration]],"")</f>
        <v>0.5</v>
      </c>
      <c r="V60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02" s="87"/>
    </row>
    <row r="603" spans="1:23" ht="15" customHeight="1" x14ac:dyDescent="0.25">
      <c r="A603" s="14" t="s">
        <v>34</v>
      </c>
      <c r="B603" s="17" t="str">
        <f>VLOOKUP(Data_Discontinuities[[#This Row],[Hole ID]],Data_Log[],2,FALSE)</f>
        <v>CGF-04</v>
      </c>
      <c r="C603" s="8">
        <v>49.17</v>
      </c>
      <c r="D603" s="8">
        <v>1</v>
      </c>
      <c r="E603" s="7" t="s">
        <v>420</v>
      </c>
      <c r="F603" s="7"/>
      <c r="G603" s="7"/>
      <c r="H603" s="118"/>
      <c r="I603" s="7" t="s">
        <v>251</v>
      </c>
      <c r="J603" s="7" t="s">
        <v>320</v>
      </c>
      <c r="K603" s="7" t="s">
        <v>322</v>
      </c>
      <c r="L603" s="7"/>
      <c r="M603" s="7"/>
      <c r="N603" s="7"/>
      <c r="O603" s="84" t="str" cm="1">
        <f t="array" ref="O603">_xlfn.XLOOKUP(1,(A603=Geotech!$A$4:$A$10094)*(Data_Discontinuities[[#This Row],[Depth (m)]]&gt;=Geotech!$C$4:$C$10094)*(Data_Discontinuities[[#This Row],[Depth (m)]]&lt;Geotech!$D$4:$D$10094),Geotech!$M$4:$M$10094)</f>
        <v>Boulamarque granodiorite</v>
      </c>
      <c r="P603" s="84"/>
      <c r="Q603" s="84"/>
      <c r="R603" s="84"/>
      <c r="S60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0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03" s="71">
        <f>IFERROR(Data_Discontinuities[[#This Row],[Joint roughness]]/Data_Discontinuities[[#This Row],[Joint alteration]],"")</f>
        <v>1</v>
      </c>
      <c r="V60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03" s="87"/>
    </row>
    <row r="604" spans="1:23" ht="15" customHeight="1" x14ac:dyDescent="0.25">
      <c r="A604" s="14" t="s">
        <v>34</v>
      </c>
      <c r="B604" s="17" t="str">
        <f>VLOOKUP(Data_Discontinuities[[#This Row],[Hole ID]],Data_Log[],2,FALSE)</f>
        <v>CGF-04</v>
      </c>
      <c r="C604" s="8">
        <v>49.23</v>
      </c>
      <c r="D604" s="8">
        <v>1</v>
      </c>
      <c r="E604" s="7" t="s">
        <v>420</v>
      </c>
      <c r="F604" s="7"/>
      <c r="G604" s="7"/>
      <c r="H604" s="118"/>
      <c r="I604" s="7" t="s">
        <v>251</v>
      </c>
      <c r="J604" s="7" t="s">
        <v>352</v>
      </c>
      <c r="K604" s="7" t="s">
        <v>322</v>
      </c>
      <c r="L604" s="7"/>
      <c r="M604" s="7"/>
      <c r="N604" s="7"/>
      <c r="O604" s="84" t="str" cm="1">
        <f t="array" ref="O604">_xlfn.XLOOKUP(1,(A604=Geotech!$A$4:$A$10094)*(Data_Discontinuities[[#This Row],[Depth (m)]]&gt;=Geotech!$C$4:$C$10094)*(Data_Discontinuities[[#This Row],[Depth (m)]]&lt;Geotech!$D$4:$D$10094),Geotech!$M$4:$M$10094)</f>
        <v>Boulamarque granodiorite</v>
      </c>
      <c r="P604" s="84"/>
      <c r="Q604" s="84"/>
      <c r="R604" s="84"/>
      <c r="S60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0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04" s="71">
        <f>IFERROR(Data_Discontinuities[[#This Row],[Joint roughness]]/Data_Discontinuities[[#This Row],[Joint alteration]],"")</f>
        <v>1.5</v>
      </c>
      <c r="V60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04" s="87"/>
    </row>
    <row r="605" spans="1:23" ht="15" customHeight="1" x14ac:dyDescent="0.25">
      <c r="A605" s="14" t="s">
        <v>34</v>
      </c>
      <c r="B605" s="17" t="str">
        <f>VLOOKUP(Data_Discontinuities[[#This Row],[Hole ID]],Data_Log[],2,FALSE)</f>
        <v>CGF-04</v>
      </c>
      <c r="C605" s="8">
        <v>51.22</v>
      </c>
      <c r="D605" s="8">
        <v>1</v>
      </c>
      <c r="E605" s="7" t="s">
        <v>481</v>
      </c>
      <c r="F605" s="7"/>
      <c r="G605" s="7"/>
      <c r="H605" s="118"/>
      <c r="I605" s="7" t="s">
        <v>286</v>
      </c>
      <c r="J605" s="7" t="s">
        <v>352</v>
      </c>
      <c r="K605" s="7" t="s">
        <v>406</v>
      </c>
      <c r="L605" s="7"/>
      <c r="M605" s="7"/>
      <c r="N605" s="7"/>
      <c r="O605" s="84" t="str" cm="1">
        <f t="array" ref="O605">_xlfn.XLOOKUP(1,(A605=Geotech!$A$4:$A$10094)*(Data_Discontinuities[[#This Row],[Depth (m)]]&gt;=Geotech!$C$4:$C$10094)*(Data_Discontinuities[[#This Row],[Depth (m)]]&lt;Geotech!$D$4:$D$10094),Geotech!$M$4:$M$10094)</f>
        <v>Boulamarque granodiorite</v>
      </c>
      <c r="P605" s="84"/>
      <c r="Q605" s="84"/>
      <c r="R605" s="84"/>
      <c r="S60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0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05" s="71">
        <f>IFERROR(Data_Discontinuities[[#This Row],[Joint roughness]]/Data_Discontinuities[[#This Row],[Joint alteration]],"")</f>
        <v>0.75</v>
      </c>
      <c r="V60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05" s="87" t="s">
        <v>603</v>
      </c>
    </row>
    <row r="606" spans="1:23" ht="15" customHeight="1" x14ac:dyDescent="0.25">
      <c r="A606" s="14" t="s">
        <v>34</v>
      </c>
      <c r="B606" s="17" t="str">
        <f>VLOOKUP(Data_Discontinuities[[#This Row],[Hole ID]],Data_Log[],2,FALSE)</f>
        <v>CGF-04</v>
      </c>
      <c r="C606" s="8">
        <v>51.73</v>
      </c>
      <c r="D606" s="8">
        <v>1</v>
      </c>
      <c r="E606" s="7" t="s">
        <v>481</v>
      </c>
      <c r="F606" s="7"/>
      <c r="G606" s="7"/>
      <c r="H606" s="118"/>
      <c r="I606" s="7" t="s">
        <v>251</v>
      </c>
      <c r="J606" s="7" t="s">
        <v>352</v>
      </c>
      <c r="K606" s="7" t="s">
        <v>406</v>
      </c>
      <c r="L606" s="7" t="s">
        <v>447</v>
      </c>
      <c r="M606" s="7"/>
      <c r="N606" s="7"/>
      <c r="O606" s="84" t="str" cm="1">
        <f t="array" ref="O606">_xlfn.XLOOKUP(1,(A606=Geotech!$A$4:$A$10094)*(Data_Discontinuities[[#This Row],[Depth (m)]]&gt;=Geotech!$C$4:$C$10094)*(Data_Discontinuities[[#This Row],[Depth (m)]]&lt;Geotech!$D$4:$D$10094),Geotech!$M$4:$M$10094)</f>
        <v>Boulamarque granodiorite</v>
      </c>
      <c r="P606" s="84"/>
      <c r="Q606" s="84"/>
      <c r="R606" s="84"/>
      <c r="S60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0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06" s="71">
        <f>IFERROR(Data_Discontinuities[[#This Row],[Joint roughness]]/Data_Discontinuities[[#This Row],[Joint alteration]],"")</f>
        <v>0.5</v>
      </c>
      <c r="V60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06" s="87"/>
    </row>
    <row r="607" spans="1:23" ht="15" customHeight="1" x14ac:dyDescent="0.25">
      <c r="A607" s="14" t="s">
        <v>34</v>
      </c>
      <c r="B607" s="17" t="str">
        <f>VLOOKUP(Data_Discontinuities[[#This Row],[Hole ID]],Data_Log[],2,FALSE)</f>
        <v>CGF-04</v>
      </c>
      <c r="C607" s="8">
        <v>53.13</v>
      </c>
      <c r="D607" s="8">
        <v>1</v>
      </c>
      <c r="E607" s="7" t="s">
        <v>420</v>
      </c>
      <c r="F607" s="7"/>
      <c r="G607" s="7"/>
      <c r="H607" s="118"/>
      <c r="I607" s="7" t="s">
        <v>251</v>
      </c>
      <c r="J607" s="7" t="s">
        <v>320</v>
      </c>
      <c r="K607" s="7" t="s">
        <v>290</v>
      </c>
      <c r="L607" s="7"/>
      <c r="M607" s="7"/>
      <c r="N607" s="7"/>
      <c r="O607" s="84" t="str" cm="1">
        <f t="array" ref="O607">_xlfn.XLOOKUP(1,(A607=Geotech!$A$4:$A$10094)*(Data_Discontinuities[[#This Row],[Depth (m)]]&gt;=Geotech!$C$4:$C$10094)*(Data_Discontinuities[[#This Row],[Depth (m)]]&lt;Geotech!$D$4:$D$10094),Geotech!$M$4:$M$10094)</f>
        <v>Boulamarque granodiorite</v>
      </c>
      <c r="P607" s="84"/>
      <c r="Q607" s="84"/>
      <c r="R607" s="84"/>
      <c r="S60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0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07" s="71">
        <f>IFERROR(Data_Discontinuities[[#This Row],[Joint roughness]]/Data_Discontinuities[[#This Row],[Joint alteration]],"")</f>
        <v>0.5</v>
      </c>
      <c r="V60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07" s="87"/>
    </row>
    <row r="608" spans="1:23" ht="15" customHeight="1" x14ac:dyDescent="0.25">
      <c r="A608" s="14" t="s">
        <v>34</v>
      </c>
      <c r="B608" s="17" t="str">
        <f>VLOOKUP(Data_Discontinuities[[#This Row],[Hole ID]],Data_Log[],2,FALSE)</f>
        <v>CGF-04</v>
      </c>
      <c r="C608" s="8">
        <v>54.2</v>
      </c>
      <c r="D608" s="8">
        <v>1</v>
      </c>
      <c r="E608" s="7" t="s">
        <v>420</v>
      </c>
      <c r="F608" s="7"/>
      <c r="G608" s="7"/>
      <c r="H608" s="118"/>
      <c r="I608" s="7" t="s">
        <v>286</v>
      </c>
      <c r="J608" s="7" t="s">
        <v>320</v>
      </c>
      <c r="K608" s="7" t="s">
        <v>354</v>
      </c>
      <c r="L608" s="7"/>
      <c r="M608" s="7"/>
      <c r="N608" s="7"/>
      <c r="O608" s="84" t="str" cm="1">
        <f t="array" ref="O608">_xlfn.XLOOKUP(1,(A608=Geotech!$A$4:$A$10094)*(Data_Discontinuities[[#This Row],[Depth (m)]]&gt;=Geotech!$C$4:$C$10094)*(Data_Discontinuities[[#This Row],[Depth (m)]]&lt;Geotech!$D$4:$D$10094),Geotech!$M$4:$M$10094)</f>
        <v>Boulamarque granodiorite</v>
      </c>
      <c r="P608" s="84"/>
      <c r="Q608" s="84"/>
      <c r="R608" s="84"/>
      <c r="S60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0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08" s="71">
        <f>IFERROR(Data_Discontinuities[[#This Row],[Joint roughness]]/Data_Discontinuities[[#This Row],[Joint alteration]],"")</f>
        <v>1</v>
      </c>
      <c r="V60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08" s="87"/>
    </row>
    <row r="609" spans="1:23" ht="15" customHeight="1" x14ac:dyDescent="0.25">
      <c r="A609" s="14" t="s">
        <v>34</v>
      </c>
      <c r="B609" s="17" t="str">
        <f>VLOOKUP(Data_Discontinuities[[#This Row],[Hole ID]],Data_Log[],2,FALSE)</f>
        <v>CGF-04</v>
      </c>
      <c r="C609" s="8">
        <v>55.82</v>
      </c>
      <c r="D609" s="8">
        <v>1</v>
      </c>
      <c r="E609" s="7" t="s">
        <v>420</v>
      </c>
      <c r="F609" s="7"/>
      <c r="G609" s="7"/>
      <c r="H609" s="118"/>
      <c r="I609" s="7" t="s">
        <v>318</v>
      </c>
      <c r="J609" s="7" t="s">
        <v>320</v>
      </c>
      <c r="K609" s="7" t="s">
        <v>322</v>
      </c>
      <c r="L609" s="7"/>
      <c r="M609" s="7"/>
      <c r="N609" s="7"/>
      <c r="O609" s="84" t="str" cm="1">
        <f t="array" ref="O609">_xlfn.XLOOKUP(1,(A609=Geotech!$A$4:$A$10094)*(Data_Discontinuities[[#This Row],[Depth (m)]]&gt;=Geotech!$C$4:$C$10094)*(Data_Discontinuities[[#This Row],[Depth (m)]]&lt;Geotech!$D$4:$D$10094),Geotech!$M$4:$M$10094)</f>
        <v>Boulamarque granodiorite</v>
      </c>
      <c r="P609" s="84"/>
      <c r="Q609" s="84"/>
      <c r="R609" s="84"/>
      <c r="S60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0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09" s="71">
        <f>IFERROR(Data_Discontinuities[[#This Row],[Joint roughness]]/Data_Discontinuities[[#This Row],[Joint alteration]],"")</f>
        <v>2</v>
      </c>
      <c r="V60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09" s="87"/>
    </row>
    <row r="610" spans="1:23" ht="15" customHeight="1" x14ac:dyDescent="0.25">
      <c r="A610" s="14" t="s">
        <v>34</v>
      </c>
      <c r="B610" s="17" t="str">
        <f>VLOOKUP(Data_Discontinuities[[#This Row],[Hole ID]],Data_Log[],2,FALSE)</f>
        <v>CGF-04</v>
      </c>
      <c r="C610" s="8">
        <v>56.5</v>
      </c>
      <c r="D610" s="8">
        <v>1</v>
      </c>
      <c r="E610" s="7" t="s">
        <v>420</v>
      </c>
      <c r="F610" s="7"/>
      <c r="G610" s="7"/>
      <c r="H610" s="118"/>
      <c r="I610" s="7" t="s">
        <v>286</v>
      </c>
      <c r="J610" s="7" t="s">
        <v>320</v>
      </c>
      <c r="K610" s="7" t="s">
        <v>354</v>
      </c>
      <c r="L610" s="7"/>
      <c r="M610" s="7"/>
      <c r="N610" s="7"/>
      <c r="O610" s="84" t="str" cm="1">
        <f t="array" ref="O610">_xlfn.XLOOKUP(1,(A610=Geotech!$A$4:$A$10094)*(Data_Discontinuities[[#This Row],[Depth (m)]]&gt;=Geotech!$C$4:$C$10094)*(Data_Discontinuities[[#This Row],[Depth (m)]]&lt;Geotech!$D$4:$D$10094),Geotech!$M$4:$M$10094)</f>
        <v>Boulamarque granodiorite</v>
      </c>
      <c r="P610" s="84"/>
      <c r="Q610" s="84"/>
      <c r="R610" s="84"/>
      <c r="S61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1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10" s="71">
        <f>IFERROR(Data_Discontinuities[[#This Row],[Joint roughness]]/Data_Discontinuities[[#This Row],[Joint alteration]],"")</f>
        <v>1</v>
      </c>
      <c r="V61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10" s="87"/>
    </row>
    <row r="611" spans="1:23" ht="15" customHeight="1" x14ac:dyDescent="0.25">
      <c r="A611" s="14" t="s">
        <v>34</v>
      </c>
      <c r="B611" s="17" t="str">
        <f>VLOOKUP(Data_Discontinuities[[#This Row],[Hole ID]],Data_Log[],2,FALSE)</f>
        <v>CGF-04</v>
      </c>
      <c r="C611" s="8">
        <v>57.24</v>
      </c>
      <c r="D611" s="8">
        <v>1</v>
      </c>
      <c r="E611" s="7" t="s">
        <v>420</v>
      </c>
      <c r="F611" s="7"/>
      <c r="G611" s="7"/>
      <c r="H611" s="118"/>
      <c r="I611" s="7" t="s">
        <v>286</v>
      </c>
      <c r="J611" s="7" t="s">
        <v>288</v>
      </c>
      <c r="K611" s="7" t="s">
        <v>322</v>
      </c>
      <c r="L611" s="7"/>
      <c r="M611" s="7"/>
      <c r="N611" s="7"/>
      <c r="O611" s="84" t="str" cm="1">
        <f t="array" ref="O611">_xlfn.XLOOKUP(1,(A611=Geotech!$A$4:$A$10094)*(Data_Discontinuities[[#This Row],[Depth (m)]]&gt;=Geotech!$C$4:$C$10094)*(Data_Discontinuities[[#This Row],[Depth (m)]]&lt;Geotech!$D$4:$D$10094),Geotech!$M$4:$M$10094)</f>
        <v>Boulamarque granodiorite</v>
      </c>
      <c r="P611" s="84"/>
      <c r="Q611" s="84"/>
      <c r="R611" s="84"/>
      <c r="S61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1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11" s="71">
        <f>IFERROR(Data_Discontinuities[[#This Row],[Joint roughness]]/Data_Discontinuities[[#This Row],[Joint alteration]],"")</f>
        <v>1.5</v>
      </c>
      <c r="V61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6</v>
      </c>
      <c r="W611" s="87"/>
    </row>
    <row r="612" spans="1:23" ht="15" customHeight="1" x14ac:dyDescent="0.25">
      <c r="A612" s="14" t="s">
        <v>34</v>
      </c>
      <c r="B612" s="17" t="str">
        <f>VLOOKUP(Data_Discontinuities[[#This Row],[Hole ID]],Data_Log[],2,FALSE)</f>
        <v>CGF-04</v>
      </c>
      <c r="C612" s="8">
        <v>57.82</v>
      </c>
      <c r="D612" s="8">
        <v>1</v>
      </c>
      <c r="E612" s="7" t="s">
        <v>420</v>
      </c>
      <c r="F612" s="7"/>
      <c r="G612" s="7"/>
      <c r="H612" s="118"/>
      <c r="I612" s="7" t="s">
        <v>251</v>
      </c>
      <c r="J612" s="7" t="s">
        <v>352</v>
      </c>
      <c r="K612" s="7" t="s">
        <v>354</v>
      </c>
      <c r="L612" s="7"/>
      <c r="M612" s="7"/>
      <c r="N612" s="7"/>
      <c r="O612" s="84" t="str" cm="1">
        <f t="array" ref="O612">_xlfn.XLOOKUP(1,(A612=Geotech!$A$4:$A$10094)*(Data_Discontinuities[[#This Row],[Depth (m)]]&gt;=Geotech!$C$4:$C$10094)*(Data_Discontinuities[[#This Row],[Depth (m)]]&lt;Geotech!$D$4:$D$10094),Geotech!$M$4:$M$10094)</f>
        <v>Boulamarque granodiorite</v>
      </c>
      <c r="P612" s="84"/>
      <c r="Q612" s="84"/>
      <c r="R612" s="84"/>
      <c r="S61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1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12" s="71">
        <f>IFERROR(Data_Discontinuities[[#This Row],[Joint roughness]]/Data_Discontinuities[[#This Row],[Joint alteration]],"")</f>
        <v>0.75</v>
      </c>
      <c r="V61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12" s="87"/>
    </row>
    <row r="613" spans="1:23" ht="15" customHeight="1" x14ac:dyDescent="0.25">
      <c r="A613" s="14" t="s">
        <v>34</v>
      </c>
      <c r="B613" s="17" t="str">
        <f>VLOOKUP(Data_Discontinuities[[#This Row],[Hole ID]],Data_Log[],2,FALSE)</f>
        <v>CGF-04</v>
      </c>
      <c r="C613" s="8">
        <v>59.23</v>
      </c>
      <c r="D613" s="8">
        <v>1</v>
      </c>
      <c r="E613" s="7" t="s">
        <v>420</v>
      </c>
      <c r="F613" s="7"/>
      <c r="G613" s="7"/>
      <c r="H613" s="118"/>
      <c r="I613" s="7" t="s">
        <v>286</v>
      </c>
      <c r="J613" s="7" t="s">
        <v>352</v>
      </c>
      <c r="K613" s="7" t="s">
        <v>322</v>
      </c>
      <c r="L613" s="7"/>
      <c r="M613" s="7"/>
      <c r="N613" s="7"/>
      <c r="O613" s="84" t="str" cm="1">
        <f t="array" ref="O613">_xlfn.XLOOKUP(1,(A613=Geotech!$A$4:$A$10094)*(Data_Discontinuities[[#This Row],[Depth (m)]]&gt;=Geotech!$C$4:$C$10094)*(Data_Discontinuities[[#This Row],[Depth (m)]]&lt;Geotech!$D$4:$D$10094),Geotech!$M$4:$M$10094)</f>
        <v>Boulamarque granodiorite</v>
      </c>
      <c r="P613" s="84"/>
      <c r="Q613" s="84"/>
      <c r="R613" s="84"/>
      <c r="S61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1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13" s="71">
        <f>IFERROR(Data_Discontinuities[[#This Row],[Joint roughness]]/Data_Discontinuities[[#This Row],[Joint alteration]],"")</f>
        <v>3</v>
      </c>
      <c r="V61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13" s="87"/>
    </row>
    <row r="614" spans="1:23" ht="15" customHeight="1" x14ac:dyDescent="0.25">
      <c r="A614" s="14" t="s">
        <v>34</v>
      </c>
      <c r="B614" s="17" t="str">
        <f>VLOOKUP(Data_Discontinuities[[#This Row],[Hole ID]],Data_Log[],2,FALSE)</f>
        <v>CGF-04</v>
      </c>
      <c r="C614" s="8">
        <v>60.88</v>
      </c>
      <c r="D614" s="8">
        <v>1</v>
      </c>
      <c r="E614" s="7" t="s">
        <v>420</v>
      </c>
      <c r="F614" s="7"/>
      <c r="G614" s="7"/>
      <c r="H614" s="118"/>
      <c r="I614" s="7" t="s">
        <v>251</v>
      </c>
      <c r="J614" s="7" t="s">
        <v>352</v>
      </c>
      <c r="K614" s="7" t="s">
        <v>322</v>
      </c>
      <c r="L614" s="7"/>
      <c r="M614" s="7"/>
      <c r="N614" s="7"/>
      <c r="O614" s="84" t="str" cm="1">
        <f t="array" ref="O614">_xlfn.XLOOKUP(1,(A614=Geotech!$A$4:$A$10094)*(Data_Discontinuities[[#This Row],[Depth (m)]]&gt;=Geotech!$C$4:$C$10094)*(Data_Discontinuities[[#This Row],[Depth (m)]]&lt;Geotech!$D$4:$D$10094),Geotech!$M$4:$M$10094)</f>
        <v>Boulamarque granodiorite</v>
      </c>
      <c r="P614" s="84"/>
      <c r="Q614" s="84"/>
      <c r="R614" s="84"/>
      <c r="S61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1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14" s="71">
        <f>IFERROR(Data_Discontinuities[[#This Row],[Joint roughness]]/Data_Discontinuities[[#This Row],[Joint alteration]],"")</f>
        <v>1.5</v>
      </c>
      <c r="V61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14" s="87"/>
    </row>
    <row r="615" spans="1:23" ht="15" customHeight="1" x14ac:dyDescent="0.25">
      <c r="A615" s="14" t="s">
        <v>34</v>
      </c>
      <c r="B615" s="17" t="str">
        <f>VLOOKUP(Data_Discontinuities[[#This Row],[Hole ID]],Data_Log[],2,FALSE)</f>
        <v>CGF-04</v>
      </c>
      <c r="C615" s="8">
        <v>61.12</v>
      </c>
      <c r="D615" s="8">
        <v>1</v>
      </c>
      <c r="E615" s="7" t="s">
        <v>420</v>
      </c>
      <c r="F615" s="7"/>
      <c r="G615" s="7"/>
      <c r="H615" s="118"/>
      <c r="I615" s="7" t="s">
        <v>286</v>
      </c>
      <c r="J615" s="7" t="s">
        <v>352</v>
      </c>
      <c r="K615" s="7" t="s">
        <v>382</v>
      </c>
      <c r="L615" s="7" t="s">
        <v>447</v>
      </c>
      <c r="M615" s="7"/>
      <c r="N615" s="7"/>
      <c r="O615" s="84" t="str" cm="1">
        <f t="array" ref="O615">_xlfn.XLOOKUP(1,(A615=Geotech!$A$4:$A$10094)*(Data_Discontinuities[[#This Row],[Depth (m)]]&gt;=Geotech!$C$4:$C$10094)*(Data_Discontinuities[[#This Row],[Depth (m)]]&lt;Geotech!$D$4:$D$10094),Geotech!$M$4:$M$10094)</f>
        <v>Boulamarque granodiorite</v>
      </c>
      <c r="P615" s="84"/>
      <c r="Q615" s="84"/>
      <c r="R615" s="84"/>
      <c r="S61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1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15" s="71">
        <f>IFERROR(Data_Discontinuities[[#This Row],[Joint roughness]]/Data_Discontinuities[[#This Row],[Joint alteration]],"")</f>
        <v>1</v>
      </c>
      <c r="V61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15" s="87"/>
    </row>
    <row r="616" spans="1:23" ht="15" customHeight="1" x14ac:dyDescent="0.25">
      <c r="A616" s="14" t="s">
        <v>34</v>
      </c>
      <c r="B616" s="17" t="str">
        <f>VLOOKUP(Data_Discontinuities[[#This Row],[Hole ID]],Data_Log[],2,FALSE)</f>
        <v>CGF-04</v>
      </c>
      <c r="C616" s="8">
        <v>63.48</v>
      </c>
      <c r="D616" s="8">
        <v>1</v>
      </c>
      <c r="E616" s="7" t="s">
        <v>481</v>
      </c>
      <c r="F616" s="7"/>
      <c r="G616" s="7"/>
      <c r="H616" s="118"/>
      <c r="I616" s="7" t="s">
        <v>378</v>
      </c>
      <c r="J616" s="7" t="s">
        <v>352</v>
      </c>
      <c r="K616" s="7" t="s">
        <v>322</v>
      </c>
      <c r="L616" s="7"/>
      <c r="M616" s="7"/>
      <c r="N616" s="7"/>
      <c r="O616" s="84" t="str" cm="1">
        <f t="array" ref="O616">_xlfn.XLOOKUP(1,(A616=Geotech!$A$4:$A$10094)*(Data_Discontinuities[[#This Row],[Depth (m)]]&gt;=Geotech!$C$4:$C$10094)*(Data_Discontinuities[[#This Row],[Depth (m)]]&lt;Geotech!$D$4:$D$10094),Geotech!$M$4:$M$10094)</f>
        <v>Boulamarque granodiorite</v>
      </c>
      <c r="P616" s="84"/>
      <c r="Q616" s="84"/>
      <c r="R616" s="84"/>
      <c r="S61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1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16" s="71">
        <f>IFERROR(Data_Discontinuities[[#This Row],[Joint roughness]]/Data_Discontinuities[[#This Row],[Joint alteration]],"")</f>
        <v>3</v>
      </c>
      <c r="V61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16" s="87"/>
    </row>
    <row r="617" spans="1:23" ht="15" customHeight="1" x14ac:dyDescent="0.25">
      <c r="A617" s="14" t="s">
        <v>34</v>
      </c>
      <c r="B617" s="17" t="str">
        <f>VLOOKUP(Data_Discontinuities[[#This Row],[Hole ID]],Data_Log[],2,FALSE)</f>
        <v>CGF-04</v>
      </c>
      <c r="C617" s="8">
        <v>64.45</v>
      </c>
      <c r="D617" s="8">
        <v>1</v>
      </c>
      <c r="E617" s="7" t="s">
        <v>445</v>
      </c>
      <c r="F617" s="7"/>
      <c r="G617" s="7"/>
      <c r="H617" s="118"/>
      <c r="I617" s="7" t="s">
        <v>251</v>
      </c>
      <c r="J617" s="7" t="s">
        <v>320</v>
      </c>
      <c r="K617" s="7" t="s">
        <v>382</v>
      </c>
      <c r="L617" s="7" t="s">
        <v>437</v>
      </c>
      <c r="M617" s="7"/>
      <c r="N617" s="7"/>
      <c r="O617" s="84" t="str" cm="1">
        <f t="array" ref="O617">_xlfn.XLOOKUP(1,(A617=Geotech!$A$4:$A$10094)*(Data_Discontinuities[[#This Row],[Depth (m)]]&gt;=Geotech!$C$4:$C$10094)*(Data_Discontinuities[[#This Row],[Depth (m)]]&lt;Geotech!$D$4:$D$10094),Geotech!$M$4:$M$10094)</f>
        <v>Boulamarque granodiorite</v>
      </c>
      <c r="P617" s="84"/>
      <c r="Q617" s="84"/>
      <c r="R617" s="84"/>
      <c r="S61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1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17" s="71">
        <f>IFERROR(Data_Discontinuities[[#This Row],[Joint roughness]]/Data_Discontinuities[[#This Row],[Joint alteration]],"")</f>
        <v>0.25</v>
      </c>
      <c r="V61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17" s="87"/>
    </row>
    <row r="618" spans="1:23" ht="15" customHeight="1" x14ac:dyDescent="0.25">
      <c r="A618" s="14" t="s">
        <v>34</v>
      </c>
      <c r="B618" s="17" t="str">
        <f>VLOOKUP(Data_Discontinuities[[#This Row],[Hole ID]],Data_Log[],2,FALSE)</f>
        <v>CGF-04</v>
      </c>
      <c r="C618" s="8">
        <v>65.209999999999994</v>
      </c>
      <c r="D618" s="8">
        <v>1</v>
      </c>
      <c r="E618" s="7" t="s">
        <v>420</v>
      </c>
      <c r="F618" s="7"/>
      <c r="G618" s="7"/>
      <c r="H618" s="118"/>
      <c r="I618" s="7" t="s">
        <v>251</v>
      </c>
      <c r="J618" s="7" t="s">
        <v>320</v>
      </c>
      <c r="K618" s="7" t="s">
        <v>354</v>
      </c>
      <c r="L618" s="7"/>
      <c r="M618" s="7"/>
      <c r="N618" s="7"/>
      <c r="O618" s="84" t="str" cm="1">
        <f t="array" ref="O618">_xlfn.XLOOKUP(1,(A618=Geotech!$A$4:$A$10094)*(Data_Discontinuities[[#This Row],[Depth (m)]]&gt;=Geotech!$C$4:$C$10094)*(Data_Discontinuities[[#This Row],[Depth (m)]]&lt;Geotech!$D$4:$D$10094),Geotech!$M$4:$M$10094)</f>
        <v>Boulamarque granodiorite</v>
      </c>
      <c r="P618" s="84"/>
      <c r="Q618" s="84"/>
      <c r="R618" s="84"/>
      <c r="S61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1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18" s="71">
        <f>IFERROR(Data_Discontinuities[[#This Row],[Joint roughness]]/Data_Discontinuities[[#This Row],[Joint alteration]],"")</f>
        <v>0.5</v>
      </c>
      <c r="V61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18" s="87"/>
    </row>
    <row r="619" spans="1:23" ht="15" customHeight="1" x14ac:dyDescent="0.25">
      <c r="A619" s="14" t="s">
        <v>34</v>
      </c>
      <c r="B619" s="17" t="str">
        <f>VLOOKUP(Data_Discontinuities[[#This Row],[Hole ID]],Data_Log[],2,FALSE)</f>
        <v>CGF-04</v>
      </c>
      <c r="C619" s="8">
        <v>66.2</v>
      </c>
      <c r="D619" s="8">
        <v>1</v>
      </c>
      <c r="E619" s="7" t="s">
        <v>445</v>
      </c>
      <c r="F619" s="7"/>
      <c r="G619" s="7"/>
      <c r="H619" s="118"/>
      <c r="I619" s="7" t="s">
        <v>286</v>
      </c>
      <c r="J619" s="7" t="s">
        <v>320</v>
      </c>
      <c r="K619" s="7" t="s">
        <v>354</v>
      </c>
      <c r="L619" s="7"/>
      <c r="M619" s="7"/>
      <c r="N619" s="7"/>
      <c r="O619" s="84" t="str" cm="1">
        <f t="array" ref="O619">_xlfn.XLOOKUP(1,(A619=Geotech!$A$4:$A$10094)*(Data_Discontinuities[[#This Row],[Depth (m)]]&gt;=Geotech!$C$4:$C$10094)*(Data_Discontinuities[[#This Row],[Depth (m)]]&lt;Geotech!$D$4:$D$10094),Geotech!$M$4:$M$10094)</f>
        <v>Boulamarque granodiorite</v>
      </c>
      <c r="P619" s="84"/>
      <c r="Q619" s="84"/>
      <c r="R619" s="84"/>
      <c r="S61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1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19" s="71">
        <f>IFERROR(Data_Discontinuities[[#This Row],[Joint roughness]]/Data_Discontinuities[[#This Row],[Joint alteration]],"")</f>
        <v>1</v>
      </c>
      <c r="V61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19" s="87"/>
    </row>
    <row r="620" spans="1:23" ht="15" customHeight="1" x14ac:dyDescent="0.25">
      <c r="A620" s="14" t="s">
        <v>34</v>
      </c>
      <c r="B620" s="17" t="str">
        <f>VLOOKUP(Data_Discontinuities[[#This Row],[Hole ID]],Data_Log[],2,FALSE)</f>
        <v>CGF-04</v>
      </c>
      <c r="C620" s="8">
        <v>67</v>
      </c>
      <c r="D620" s="8">
        <v>1</v>
      </c>
      <c r="E620" s="7" t="s">
        <v>445</v>
      </c>
      <c r="F620" s="7"/>
      <c r="G620" s="7"/>
      <c r="H620" s="118"/>
      <c r="I620" s="7" t="s">
        <v>378</v>
      </c>
      <c r="J620" s="7" t="s">
        <v>380</v>
      </c>
      <c r="K620" s="7" t="s">
        <v>382</v>
      </c>
      <c r="L620" s="7" t="s">
        <v>472</v>
      </c>
      <c r="M620" s="7" t="s">
        <v>437</v>
      </c>
      <c r="N620" s="7"/>
      <c r="O620" s="84" t="str" cm="1">
        <f t="array" ref="O620">_xlfn.XLOOKUP(1,(A620=Geotech!$A$4:$A$10094)*(Data_Discontinuities[[#This Row],[Depth (m)]]&gt;=Geotech!$C$4:$C$10094)*(Data_Discontinuities[[#This Row],[Depth (m)]]&lt;Geotech!$D$4:$D$10094),Geotech!$M$4:$M$10094)</f>
        <v>Boulamarque granodiorite</v>
      </c>
      <c r="P620" s="84"/>
      <c r="Q620" s="84"/>
      <c r="R620" s="84"/>
      <c r="S62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20" s="71">
        <f>IFERROR(Data_Discontinuities[[#This Row],[Joint roughness]]/Data_Discontinuities[[#This Row],[Joint alteration]],"")</f>
        <v>0.75</v>
      </c>
      <c r="V62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0" s="87"/>
    </row>
    <row r="621" spans="1:23" ht="15" customHeight="1" x14ac:dyDescent="0.25">
      <c r="A621" s="14" t="s">
        <v>34</v>
      </c>
      <c r="B621" s="17" t="str">
        <f>VLOOKUP(Data_Discontinuities[[#This Row],[Hole ID]],Data_Log[],2,FALSE)</f>
        <v>CGF-04</v>
      </c>
      <c r="C621" s="8">
        <v>67.3</v>
      </c>
      <c r="D621" s="8">
        <v>1</v>
      </c>
      <c r="E621" s="7" t="s">
        <v>420</v>
      </c>
      <c r="F621" s="7"/>
      <c r="G621" s="7"/>
      <c r="H621" s="118"/>
      <c r="I621" s="7" t="s">
        <v>286</v>
      </c>
      <c r="J621" s="7" t="s">
        <v>352</v>
      </c>
      <c r="K621" s="7" t="s">
        <v>290</v>
      </c>
      <c r="L621" s="7"/>
      <c r="M621" s="7"/>
      <c r="N621" s="7"/>
      <c r="O621" s="84" t="str" cm="1">
        <f t="array" ref="O621">_xlfn.XLOOKUP(1,(A621=Geotech!$A$4:$A$10094)*(Data_Discontinuities[[#This Row],[Depth (m)]]&gt;=Geotech!$C$4:$C$10094)*(Data_Discontinuities[[#This Row],[Depth (m)]]&lt;Geotech!$D$4:$D$10094),Geotech!$M$4:$M$10094)</f>
        <v>Boulamarque granodiorite</v>
      </c>
      <c r="P621" s="84"/>
      <c r="Q621" s="84"/>
      <c r="R621" s="84"/>
      <c r="S62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21" s="71">
        <f>IFERROR(Data_Discontinuities[[#This Row],[Joint roughness]]/Data_Discontinuities[[#This Row],[Joint alteration]],"")</f>
        <v>1.5</v>
      </c>
      <c r="V62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21" s="87"/>
    </row>
    <row r="622" spans="1:23" ht="15" customHeight="1" x14ac:dyDescent="0.25">
      <c r="A622" s="14" t="s">
        <v>34</v>
      </c>
      <c r="B622" s="17" t="str">
        <f>VLOOKUP(Data_Discontinuities[[#This Row],[Hole ID]],Data_Log[],2,FALSE)</f>
        <v>CGF-04</v>
      </c>
      <c r="C622" s="8">
        <v>69.38</v>
      </c>
      <c r="D622" s="8">
        <v>1</v>
      </c>
      <c r="E622" s="7" t="s">
        <v>445</v>
      </c>
      <c r="F622" s="7"/>
      <c r="G622" s="7"/>
      <c r="H622" s="118"/>
      <c r="I622" s="7" t="s">
        <v>286</v>
      </c>
      <c r="J622" s="7" t="s">
        <v>320</v>
      </c>
      <c r="K622" s="7" t="s">
        <v>382</v>
      </c>
      <c r="L622" s="7" t="s">
        <v>437</v>
      </c>
      <c r="M622" s="7" t="s">
        <v>447</v>
      </c>
      <c r="N622" s="7"/>
      <c r="O622" s="84" t="str" cm="1">
        <f t="array" ref="O622">_xlfn.XLOOKUP(1,(A622=Geotech!$A$4:$A$10094)*(Data_Discontinuities[[#This Row],[Depth (m)]]&gt;=Geotech!$C$4:$C$10094)*(Data_Discontinuities[[#This Row],[Depth (m)]]&lt;Geotech!$D$4:$D$10094),Geotech!$M$4:$M$10094)</f>
        <v>Boulamarque granodiorite</v>
      </c>
      <c r="P622" s="84"/>
      <c r="Q622" s="84"/>
      <c r="R622" s="84"/>
      <c r="S62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2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22" s="71">
        <f>IFERROR(Data_Discontinuities[[#This Row],[Joint roughness]]/Data_Discontinuities[[#This Row],[Joint alteration]],"")</f>
        <v>0.5</v>
      </c>
      <c r="V62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22" s="87"/>
    </row>
    <row r="623" spans="1:23" ht="15" customHeight="1" x14ac:dyDescent="0.25">
      <c r="A623" s="14" t="s">
        <v>34</v>
      </c>
      <c r="B623" s="17" t="str">
        <f>VLOOKUP(Data_Discontinuities[[#This Row],[Hole ID]],Data_Log[],2,FALSE)</f>
        <v>CGF-04</v>
      </c>
      <c r="C623" s="8">
        <v>69.45</v>
      </c>
      <c r="D623" s="8">
        <v>1</v>
      </c>
      <c r="E623" s="7" t="s">
        <v>481</v>
      </c>
      <c r="F623" s="7"/>
      <c r="G623" s="7"/>
      <c r="H623" s="118"/>
      <c r="I623" s="7" t="s">
        <v>378</v>
      </c>
      <c r="J623" s="7" t="s">
        <v>380</v>
      </c>
      <c r="K623" s="7" t="s">
        <v>382</v>
      </c>
      <c r="L623" s="7" t="s">
        <v>57</v>
      </c>
      <c r="M623" s="7"/>
      <c r="N623" s="7"/>
      <c r="O623" s="84" t="str" cm="1">
        <f t="array" ref="O623">_xlfn.XLOOKUP(1,(A623=Geotech!$A$4:$A$10094)*(Data_Discontinuities[[#This Row],[Depth (m)]]&gt;=Geotech!$C$4:$C$10094)*(Data_Discontinuities[[#This Row],[Depth (m)]]&lt;Geotech!$D$4:$D$10094),Geotech!$M$4:$M$10094)</f>
        <v>Boulamarque granodiorite</v>
      </c>
      <c r="P623" s="84"/>
      <c r="Q623" s="84"/>
      <c r="R623" s="84"/>
      <c r="S62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23" s="71">
        <f>IFERROR(Data_Discontinuities[[#This Row],[Joint roughness]]/Data_Discontinuities[[#This Row],[Joint alteration]],"")</f>
        <v>0.75</v>
      </c>
      <c r="V62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3" s="87"/>
    </row>
    <row r="624" spans="1:23" ht="15" customHeight="1" x14ac:dyDescent="0.25">
      <c r="A624" s="14" t="s">
        <v>34</v>
      </c>
      <c r="B624" s="17" t="str">
        <f>VLOOKUP(Data_Discontinuities[[#This Row],[Hole ID]],Data_Log[],2,FALSE)</f>
        <v>CGF-04</v>
      </c>
      <c r="C624" s="8">
        <v>70.55</v>
      </c>
      <c r="D624" s="8">
        <v>1</v>
      </c>
      <c r="E624" s="7" t="s">
        <v>445</v>
      </c>
      <c r="F624" s="7"/>
      <c r="G624" s="7"/>
      <c r="H624" s="118"/>
      <c r="I624" s="7" t="s">
        <v>286</v>
      </c>
      <c r="J624" s="7" t="s">
        <v>352</v>
      </c>
      <c r="K624" s="7" t="s">
        <v>382</v>
      </c>
      <c r="L624" s="7" t="s">
        <v>447</v>
      </c>
      <c r="M624" s="7"/>
      <c r="N624" s="7"/>
      <c r="O624" s="84" t="str" cm="1">
        <f t="array" ref="O624">_xlfn.XLOOKUP(1,(A624=Geotech!$A$4:$A$10094)*(Data_Discontinuities[[#This Row],[Depth (m)]]&gt;=Geotech!$C$4:$C$10094)*(Data_Discontinuities[[#This Row],[Depth (m)]]&lt;Geotech!$D$4:$D$10094),Geotech!$M$4:$M$10094)</f>
        <v>Boulamarque granodiorite</v>
      </c>
      <c r="P624" s="84"/>
      <c r="Q624" s="84"/>
      <c r="R624" s="84"/>
      <c r="S62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24" s="71">
        <f>IFERROR(Data_Discontinuities[[#This Row],[Joint roughness]]/Data_Discontinuities[[#This Row],[Joint alteration]],"")</f>
        <v>1</v>
      </c>
      <c r="V62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4" s="87"/>
    </row>
    <row r="625" spans="1:23" ht="15" customHeight="1" x14ac:dyDescent="0.25">
      <c r="A625" s="14" t="s">
        <v>34</v>
      </c>
      <c r="B625" s="17" t="str">
        <f>VLOOKUP(Data_Discontinuities[[#This Row],[Hole ID]],Data_Log[],2,FALSE)</f>
        <v>CGF-04</v>
      </c>
      <c r="C625" s="8">
        <v>70.62</v>
      </c>
      <c r="D625" s="8">
        <v>1</v>
      </c>
      <c r="E625" s="7" t="s">
        <v>481</v>
      </c>
      <c r="F625" s="7"/>
      <c r="G625" s="7"/>
      <c r="H625" s="118"/>
      <c r="I625" s="7" t="s">
        <v>318</v>
      </c>
      <c r="J625" s="7" t="s">
        <v>352</v>
      </c>
      <c r="K625" s="7" t="s">
        <v>406</v>
      </c>
      <c r="L625" s="7" t="s">
        <v>57</v>
      </c>
      <c r="M625" s="7"/>
      <c r="N625" s="7"/>
      <c r="O625" s="84" t="str" cm="1">
        <f t="array" ref="O625">_xlfn.XLOOKUP(1,(A625=Geotech!$A$4:$A$10094)*(Data_Discontinuities[[#This Row],[Depth (m)]]&gt;=Geotech!$C$4:$C$10094)*(Data_Discontinuities[[#This Row],[Depth (m)]]&lt;Geotech!$D$4:$D$10094),Geotech!$M$4:$M$10094)</f>
        <v>Boulamarque granodiorite</v>
      </c>
      <c r="P625" s="84"/>
      <c r="Q625" s="84"/>
      <c r="R625" s="84"/>
      <c r="S62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2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25" s="71">
        <f>IFERROR(Data_Discontinuities[[#This Row],[Joint roughness]]/Data_Discontinuities[[#This Row],[Joint alteration]],"")</f>
        <v>0.75</v>
      </c>
      <c r="V62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5" s="87"/>
    </row>
    <row r="626" spans="1:23" ht="15" customHeight="1" x14ac:dyDescent="0.25">
      <c r="A626" s="14" t="s">
        <v>34</v>
      </c>
      <c r="B626" s="17" t="str">
        <f>VLOOKUP(Data_Discontinuities[[#This Row],[Hole ID]],Data_Log[],2,FALSE)</f>
        <v>CGF-04</v>
      </c>
      <c r="C626" s="8">
        <v>75.34</v>
      </c>
      <c r="D626" s="8">
        <v>1</v>
      </c>
      <c r="E626" s="7" t="s">
        <v>445</v>
      </c>
      <c r="F626" s="7"/>
      <c r="G626" s="7"/>
      <c r="H626" s="118"/>
      <c r="I626" s="7" t="s">
        <v>251</v>
      </c>
      <c r="J626" s="7" t="s">
        <v>352</v>
      </c>
      <c r="K626" s="7" t="s">
        <v>382</v>
      </c>
      <c r="L626" s="7" t="s">
        <v>57</v>
      </c>
      <c r="M626" s="7" t="s">
        <v>472</v>
      </c>
      <c r="N626" s="7"/>
      <c r="O626" s="84" t="str" cm="1">
        <f t="array" ref="O626">_xlfn.XLOOKUP(1,(A626=Geotech!$A$4:$A$10094)*(Data_Discontinuities[[#This Row],[Depth (m)]]&gt;=Geotech!$C$4:$C$10094)*(Data_Discontinuities[[#This Row],[Depth (m)]]&lt;Geotech!$D$4:$D$10094),Geotech!$M$4:$M$10094)</f>
        <v>Boulamarque granodiorite</v>
      </c>
      <c r="P626" s="84"/>
      <c r="Q626" s="84"/>
      <c r="R626" s="84"/>
      <c r="S62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2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26" s="71">
        <f>IFERROR(Data_Discontinuities[[#This Row],[Joint roughness]]/Data_Discontinuities[[#This Row],[Joint alteration]],"")</f>
        <v>0.375</v>
      </c>
      <c r="V62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26" s="87"/>
    </row>
    <row r="627" spans="1:23" ht="15" customHeight="1" x14ac:dyDescent="0.25">
      <c r="A627" s="14" t="s">
        <v>34</v>
      </c>
      <c r="B627" s="17" t="str">
        <f>VLOOKUP(Data_Discontinuities[[#This Row],[Hole ID]],Data_Log[],2,FALSE)</f>
        <v>CGF-04</v>
      </c>
      <c r="C627" s="8">
        <v>75.37</v>
      </c>
      <c r="D627" s="8">
        <v>1</v>
      </c>
      <c r="E627" s="7" t="s">
        <v>420</v>
      </c>
      <c r="F627" s="7"/>
      <c r="G627" s="7"/>
      <c r="H627" s="118"/>
      <c r="I627" s="7" t="s">
        <v>318</v>
      </c>
      <c r="J627" s="7" t="s">
        <v>320</v>
      </c>
      <c r="K627" s="7" t="s">
        <v>354</v>
      </c>
      <c r="L627" s="7"/>
      <c r="M627" s="7"/>
      <c r="N627" s="7"/>
      <c r="O627" s="84" t="str" cm="1">
        <f t="array" ref="O627">_xlfn.XLOOKUP(1,(A627=Geotech!$A$4:$A$10094)*(Data_Discontinuities[[#This Row],[Depth (m)]]&gt;=Geotech!$C$4:$C$10094)*(Data_Discontinuities[[#This Row],[Depth (m)]]&lt;Geotech!$D$4:$D$10094),Geotech!$M$4:$M$10094)</f>
        <v>Boulamarque granodiorite</v>
      </c>
      <c r="P627" s="84"/>
      <c r="Q627" s="84"/>
      <c r="R627" s="84"/>
      <c r="S62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2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27" s="71">
        <f>IFERROR(Data_Discontinuities[[#This Row],[Joint roughness]]/Data_Discontinuities[[#This Row],[Joint alteration]],"")</f>
        <v>1</v>
      </c>
      <c r="V62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7" s="87"/>
    </row>
    <row r="628" spans="1:23" ht="15" customHeight="1" x14ac:dyDescent="0.25">
      <c r="A628" s="14" t="s">
        <v>34</v>
      </c>
      <c r="B628" s="17" t="str">
        <f>VLOOKUP(Data_Discontinuities[[#This Row],[Hole ID]],Data_Log[],2,FALSE)</f>
        <v>CGF-04</v>
      </c>
      <c r="C628" s="8">
        <v>80.52</v>
      </c>
      <c r="D628" s="8">
        <v>1</v>
      </c>
      <c r="E628" s="7" t="s">
        <v>420</v>
      </c>
      <c r="F628" s="7"/>
      <c r="G628" s="7"/>
      <c r="H628" s="118"/>
      <c r="I628" s="7" t="s">
        <v>251</v>
      </c>
      <c r="J628" s="7" t="s">
        <v>320</v>
      </c>
      <c r="K628" s="7" t="s">
        <v>382</v>
      </c>
      <c r="L628" s="7" t="s">
        <v>447</v>
      </c>
      <c r="M628" s="7"/>
      <c r="N628" s="7"/>
      <c r="O628" s="84" t="str" cm="1">
        <f t="array" ref="O628">_xlfn.XLOOKUP(1,(A628=Geotech!$A$4:$A$10094)*(Data_Discontinuities[[#This Row],[Depth (m)]]&gt;=Geotech!$C$4:$C$10094)*(Data_Discontinuities[[#This Row],[Depth (m)]]&lt;Geotech!$D$4:$D$10094),Geotech!$M$4:$M$10094)</f>
        <v>Boulamarque granodiorite</v>
      </c>
      <c r="P628" s="84"/>
      <c r="Q628" s="84"/>
      <c r="R628" s="84"/>
      <c r="S62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v>
      </c>
      <c r="T62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28" s="71">
        <f>IFERROR(Data_Discontinuities[[#This Row],[Joint roughness]]/Data_Discontinuities[[#This Row],[Joint alteration]],"")</f>
        <v>0.33333333333333331</v>
      </c>
      <c r="V62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28" s="87"/>
    </row>
    <row r="629" spans="1:23" ht="15" customHeight="1" x14ac:dyDescent="0.25">
      <c r="A629" s="14" t="s">
        <v>34</v>
      </c>
      <c r="B629" s="17" t="str">
        <f>VLOOKUP(Data_Discontinuities[[#This Row],[Hole ID]],Data_Log[],2,FALSE)</f>
        <v>CGF-04</v>
      </c>
      <c r="C629" s="8">
        <v>83.36</v>
      </c>
      <c r="D629" s="8">
        <v>1</v>
      </c>
      <c r="E629" s="7" t="s">
        <v>420</v>
      </c>
      <c r="F629" s="7"/>
      <c r="G629" s="7"/>
      <c r="H629" s="118"/>
      <c r="I629" s="7" t="s">
        <v>251</v>
      </c>
      <c r="J629" s="7" t="s">
        <v>352</v>
      </c>
      <c r="K629" s="7" t="s">
        <v>322</v>
      </c>
      <c r="L629" s="7"/>
      <c r="M629" s="7"/>
      <c r="N629" s="7"/>
      <c r="O629" s="84" t="str" cm="1">
        <f t="array" ref="O629">_xlfn.XLOOKUP(1,(A629=Geotech!$A$4:$A$10094)*(Data_Discontinuities[[#This Row],[Depth (m)]]&gt;=Geotech!$C$4:$C$10094)*(Data_Discontinuities[[#This Row],[Depth (m)]]&lt;Geotech!$D$4:$D$10094),Geotech!$M$4:$M$10094)</f>
        <v>Boulamarque granodiorite</v>
      </c>
      <c r="P629" s="84"/>
      <c r="Q629" s="84"/>
      <c r="R629" s="84"/>
      <c r="S62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2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29" s="71">
        <f>IFERROR(Data_Discontinuities[[#This Row],[Joint roughness]]/Data_Discontinuities[[#This Row],[Joint alteration]],"")</f>
        <v>1.5</v>
      </c>
      <c r="V62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29" s="87"/>
    </row>
    <row r="630" spans="1:23" ht="15" customHeight="1" x14ac:dyDescent="0.25">
      <c r="A630" s="14" t="s">
        <v>34</v>
      </c>
      <c r="B630" s="17" t="str">
        <f>VLOOKUP(Data_Discontinuities[[#This Row],[Hole ID]],Data_Log[],2,FALSE)</f>
        <v>CGF-04</v>
      </c>
      <c r="C630" s="8">
        <v>83.71</v>
      </c>
      <c r="D630" s="8">
        <v>1</v>
      </c>
      <c r="E630" s="7" t="s">
        <v>420</v>
      </c>
      <c r="F630" s="7"/>
      <c r="G630" s="7"/>
      <c r="H630" s="118"/>
      <c r="I630" s="7" t="s">
        <v>286</v>
      </c>
      <c r="J630" s="7" t="s">
        <v>380</v>
      </c>
      <c r="K630" s="7" t="s">
        <v>322</v>
      </c>
      <c r="L630" s="7"/>
      <c r="M630" s="7"/>
      <c r="N630" s="7"/>
      <c r="O630" s="84" t="str" cm="1">
        <f t="array" ref="O630">_xlfn.XLOOKUP(1,(A630=Geotech!$A$4:$A$10094)*(Data_Discontinuities[[#This Row],[Depth (m)]]&gt;=Geotech!$C$4:$C$10094)*(Data_Discontinuities[[#This Row],[Depth (m)]]&lt;Geotech!$D$4:$D$10094),Geotech!$M$4:$M$10094)</f>
        <v>Boulamarque granodiorite</v>
      </c>
      <c r="P630" s="84"/>
      <c r="Q630" s="84"/>
      <c r="R630" s="84"/>
      <c r="S63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30" s="71">
        <f>IFERROR(Data_Discontinuities[[#This Row],[Joint roughness]]/Data_Discontinuities[[#This Row],[Joint alteration]],"")</f>
        <v>3</v>
      </c>
      <c r="V63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30" s="87"/>
    </row>
    <row r="631" spans="1:23" ht="15" customHeight="1" x14ac:dyDescent="0.25">
      <c r="A631" s="14" t="s">
        <v>34</v>
      </c>
      <c r="B631" s="17" t="str">
        <f>VLOOKUP(Data_Discontinuities[[#This Row],[Hole ID]],Data_Log[],2,FALSE)</f>
        <v>CGF-04</v>
      </c>
      <c r="C631" s="8">
        <v>84.62</v>
      </c>
      <c r="D631" s="8">
        <v>1</v>
      </c>
      <c r="E631" s="7" t="s">
        <v>481</v>
      </c>
      <c r="F631" s="7"/>
      <c r="G631" s="7"/>
      <c r="H631" s="118"/>
      <c r="I631" s="7" t="s">
        <v>251</v>
      </c>
      <c r="J631" s="7" t="s">
        <v>380</v>
      </c>
      <c r="K631" s="7" t="s">
        <v>406</v>
      </c>
      <c r="L631" s="7" t="s">
        <v>57</v>
      </c>
      <c r="M631" s="7"/>
      <c r="N631" s="7"/>
      <c r="O631" s="84" t="str" cm="1">
        <f t="array" ref="O631">_xlfn.XLOOKUP(1,(A631=Geotech!$A$4:$A$10094)*(Data_Discontinuities[[#This Row],[Depth (m)]]&gt;=Geotech!$C$4:$C$10094)*(Data_Discontinuities[[#This Row],[Depth (m)]]&lt;Geotech!$D$4:$D$10094),Geotech!$M$4:$M$10094)</f>
        <v>Boulamarque granodiorite</v>
      </c>
      <c r="P631" s="84"/>
      <c r="Q631" s="84"/>
      <c r="R631" s="84"/>
      <c r="S63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3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31" s="71">
        <f>IFERROR(Data_Discontinuities[[#This Row],[Joint roughness]]/Data_Discontinuities[[#This Row],[Joint alteration]],"")</f>
        <v>0.375</v>
      </c>
      <c r="V63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31" s="87"/>
    </row>
    <row r="632" spans="1:23" ht="15" customHeight="1" x14ac:dyDescent="0.25">
      <c r="A632" s="14" t="s">
        <v>34</v>
      </c>
      <c r="B632" s="17" t="str">
        <f>VLOOKUP(Data_Discontinuities[[#This Row],[Hole ID]],Data_Log[],2,FALSE)</f>
        <v>CGF-04</v>
      </c>
      <c r="C632" s="8">
        <v>84.9</v>
      </c>
      <c r="D632" s="8">
        <v>1</v>
      </c>
      <c r="E632" s="7" t="s">
        <v>445</v>
      </c>
      <c r="F632" s="7"/>
      <c r="G632" s="7"/>
      <c r="H632" s="118"/>
      <c r="I632" s="7" t="s">
        <v>286</v>
      </c>
      <c r="J632" s="7" t="s">
        <v>352</v>
      </c>
      <c r="K632" s="7" t="s">
        <v>354</v>
      </c>
      <c r="L632" s="7"/>
      <c r="M632" s="7"/>
      <c r="N632" s="7"/>
      <c r="O632" s="84" t="str" cm="1">
        <f t="array" ref="O632">_xlfn.XLOOKUP(1,(A632=Geotech!$A$4:$A$10094)*(Data_Discontinuities[[#This Row],[Depth (m)]]&gt;=Geotech!$C$4:$C$10094)*(Data_Discontinuities[[#This Row],[Depth (m)]]&lt;Geotech!$D$4:$D$10094),Geotech!$M$4:$M$10094)</f>
        <v>Boulamarque granodiorite</v>
      </c>
      <c r="P632" s="84"/>
      <c r="Q632" s="84"/>
      <c r="R632" s="84"/>
      <c r="S63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32" s="71">
        <f>IFERROR(Data_Discontinuities[[#This Row],[Joint roughness]]/Data_Discontinuities[[#This Row],[Joint alteration]],"")</f>
        <v>1.5</v>
      </c>
      <c r="V63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32" s="87"/>
    </row>
    <row r="633" spans="1:23" ht="15" customHeight="1" x14ac:dyDescent="0.25">
      <c r="A633" s="14" t="s">
        <v>34</v>
      </c>
      <c r="B633" s="17" t="str">
        <f>VLOOKUP(Data_Discontinuities[[#This Row],[Hole ID]],Data_Log[],2,FALSE)</f>
        <v>CGF-04</v>
      </c>
      <c r="C633" s="8">
        <v>85.56</v>
      </c>
      <c r="D633" s="8">
        <v>1</v>
      </c>
      <c r="E633" s="7" t="s">
        <v>420</v>
      </c>
      <c r="F633" s="7"/>
      <c r="G633" s="7"/>
      <c r="H633" s="118"/>
      <c r="I633" s="7" t="s">
        <v>286</v>
      </c>
      <c r="J633" s="7" t="s">
        <v>380</v>
      </c>
      <c r="K633" s="7" t="s">
        <v>322</v>
      </c>
      <c r="L633" s="7"/>
      <c r="M633" s="7"/>
      <c r="N633" s="7"/>
      <c r="O633" s="84" t="str" cm="1">
        <f t="array" ref="O633">_xlfn.XLOOKUP(1,(A633=Geotech!$A$4:$A$10094)*(Data_Discontinuities[[#This Row],[Depth (m)]]&gt;=Geotech!$C$4:$C$10094)*(Data_Discontinuities[[#This Row],[Depth (m)]]&lt;Geotech!$D$4:$D$10094),Geotech!$M$4:$M$10094)</f>
        <v>Boulamarque granodiorite</v>
      </c>
      <c r="P633" s="84"/>
      <c r="Q633" s="84"/>
      <c r="R633" s="84"/>
      <c r="S633"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3"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33" s="71">
        <f>IFERROR(Data_Discontinuities[[#This Row],[Joint roughness]]/Data_Discontinuities[[#This Row],[Joint alteration]],"")</f>
        <v>3</v>
      </c>
      <c r="V633"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33" s="87"/>
    </row>
    <row r="634" spans="1:23" ht="15" customHeight="1" x14ac:dyDescent="0.25">
      <c r="A634" s="14" t="s">
        <v>34</v>
      </c>
      <c r="B634" s="17" t="str">
        <f>VLOOKUP(Data_Discontinuities[[#This Row],[Hole ID]],Data_Log[],2,FALSE)</f>
        <v>CGF-04</v>
      </c>
      <c r="C634" s="8">
        <v>86</v>
      </c>
      <c r="D634" s="8">
        <v>1</v>
      </c>
      <c r="E634" s="7" t="s">
        <v>481</v>
      </c>
      <c r="F634" s="7"/>
      <c r="G634" s="7"/>
      <c r="H634" s="118"/>
      <c r="I634" s="7" t="s">
        <v>286</v>
      </c>
      <c r="J634" s="7" t="s">
        <v>352</v>
      </c>
      <c r="K634" s="7" t="s">
        <v>382</v>
      </c>
      <c r="L634" s="7" t="s">
        <v>447</v>
      </c>
      <c r="M634" s="7" t="s">
        <v>437</v>
      </c>
      <c r="N634" s="7"/>
      <c r="O634" s="84" t="str" cm="1">
        <f t="array" ref="O634">_xlfn.XLOOKUP(1,(A634=Geotech!$A$4:$A$10094)*(Data_Discontinuities[[#This Row],[Depth (m)]]&gt;=Geotech!$C$4:$C$10094)*(Data_Discontinuities[[#This Row],[Depth (m)]]&lt;Geotech!$D$4:$D$10094),Geotech!$M$4:$M$10094)</f>
        <v>Boulamarque granodiorite</v>
      </c>
      <c r="P634" s="84"/>
      <c r="Q634" s="84"/>
      <c r="R634" s="84"/>
      <c r="S63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34" s="71">
        <f>IFERROR(Data_Discontinuities[[#This Row],[Joint roughness]]/Data_Discontinuities[[#This Row],[Joint alteration]],"")</f>
        <v>1</v>
      </c>
      <c r="V63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34" s="87"/>
    </row>
    <row r="635" spans="1:23" ht="15" customHeight="1" x14ac:dyDescent="0.25">
      <c r="A635" s="14" t="s">
        <v>34</v>
      </c>
      <c r="B635" s="17" t="str">
        <f>VLOOKUP(Data_Discontinuities[[#This Row],[Hole ID]],Data_Log[],2,FALSE)</f>
        <v>CGF-04</v>
      </c>
      <c r="C635" s="8">
        <v>86.98</v>
      </c>
      <c r="D635" s="8">
        <v>1</v>
      </c>
      <c r="E635" s="7" t="s">
        <v>420</v>
      </c>
      <c r="F635" s="7"/>
      <c r="G635" s="7"/>
      <c r="H635" s="118"/>
      <c r="I635" s="7" t="s">
        <v>286</v>
      </c>
      <c r="J635" s="7" t="s">
        <v>352</v>
      </c>
      <c r="K635" s="7" t="s">
        <v>322</v>
      </c>
      <c r="L635" s="7"/>
      <c r="M635" s="7"/>
      <c r="N635" s="7"/>
      <c r="O635" s="84" t="str" cm="1">
        <f t="array" ref="O635">_xlfn.XLOOKUP(1,(A635=Geotech!$A$4:$A$10094)*(Data_Discontinuities[[#This Row],[Depth (m)]]&gt;=Geotech!$C$4:$C$10094)*(Data_Discontinuities[[#This Row],[Depth (m)]]&lt;Geotech!$D$4:$D$10094),Geotech!$M$4:$M$10094)</f>
        <v>Boulamarque granodiorite</v>
      </c>
      <c r="P635" s="84"/>
      <c r="Q635" s="84"/>
      <c r="R635" s="84"/>
      <c r="S63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35" s="71">
        <f>IFERROR(Data_Discontinuities[[#This Row],[Joint roughness]]/Data_Discontinuities[[#This Row],[Joint alteration]],"")</f>
        <v>3</v>
      </c>
      <c r="V63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35" s="87"/>
    </row>
    <row r="636" spans="1:23" ht="15" customHeight="1" x14ac:dyDescent="0.25">
      <c r="A636" s="14" t="s">
        <v>34</v>
      </c>
      <c r="B636" s="17" t="str">
        <f>VLOOKUP(Data_Discontinuities[[#This Row],[Hole ID]],Data_Log[],2,FALSE)</f>
        <v>CGF-04</v>
      </c>
      <c r="C636" s="8">
        <v>88.27</v>
      </c>
      <c r="D636" s="8">
        <v>1</v>
      </c>
      <c r="E636" s="7" t="s">
        <v>481</v>
      </c>
      <c r="F636" s="7"/>
      <c r="G636" s="7"/>
      <c r="H636" s="118"/>
      <c r="I636" s="7" t="s">
        <v>378</v>
      </c>
      <c r="J636" s="7" t="s">
        <v>404</v>
      </c>
      <c r="K636" s="7" t="s">
        <v>382</v>
      </c>
      <c r="L636" s="7" t="s">
        <v>57</v>
      </c>
      <c r="M636" s="7" t="s">
        <v>472</v>
      </c>
      <c r="N636" s="7"/>
      <c r="O636" s="84" t="str" cm="1">
        <f t="array" ref="O636">_xlfn.XLOOKUP(1,(A636=Geotech!$A$4:$A$10094)*(Data_Discontinuities[[#This Row],[Depth (m)]]&gt;=Geotech!$C$4:$C$10094)*(Data_Discontinuities[[#This Row],[Depth (m)]]&lt;Geotech!$D$4:$D$10094),Geotech!$M$4:$M$10094)</f>
        <v>Boulamarque granodiorite</v>
      </c>
      <c r="P636" s="84"/>
      <c r="Q636" s="84"/>
      <c r="R636" s="84"/>
      <c r="S63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36" s="71">
        <f>IFERROR(Data_Discontinuities[[#This Row],[Joint roughness]]/Data_Discontinuities[[#This Row],[Joint alteration]],"")</f>
        <v>0.75</v>
      </c>
      <c r="V63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36" s="87"/>
    </row>
    <row r="637" spans="1:23" ht="15" customHeight="1" x14ac:dyDescent="0.25">
      <c r="A637" s="14" t="s">
        <v>34</v>
      </c>
      <c r="B637" s="17" t="str">
        <f>VLOOKUP(Data_Discontinuities[[#This Row],[Hole ID]],Data_Log[],2,FALSE)</f>
        <v>CGF-04</v>
      </c>
      <c r="C637" s="8">
        <v>91.53</v>
      </c>
      <c r="D637" s="8">
        <v>1</v>
      </c>
      <c r="E637" s="7" t="s">
        <v>420</v>
      </c>
      <c r="F637" s="7"/>
      <c r="G637" s="7"/>
      <c r="H637" s="118"/>
      <c r="I637" s="7" t="s">
        <v>251</v>
      </c>
      <c r="J637" s="7" t="s">
        <v>352</v>
      </c>
      <c r="K637" s="7" t="s">
        <v>354</v>
      </c>
      <c r="L637" s="7"/>
      <c r="M637" s="7"/>
      <c r="N637" s="7"/>
      <c r="O637" s="84" t="str" cm="1">
        <f t="array" ref="O637">_xlfn.XLOOKUP(1,(A637=Geotech!$A$4:$A$10094)*(Data_Discontinuities[[#This Row],[Depth (m)]]&gt;=Geotech!$C$4:$C$10094)*(Data_Discontinuities[[#This Row],[Depth (m)]]&lt;Geotech!$D$4:$D$10094),Geotech!$M$4:$M$10094)</f>
        <v>Boulamarque granodiorite</v>
      </c>
      <c r="P637" s="84"/>
      <c r="Q637" s="84"/>
      <c r="R637" s="84"/>
      <c r="S63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3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37" s="71">
        <f>IFERROR(Data_Discontinuities[[#This Row],[Joint roughness]]/Data_Discontinuities[[#This Row],[Joint alteration]],"")</f>
        <v>0.75</v>
      </c>
      <c r="V63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37" s="87"/>
    </row>
    <row r="638" spans="1:23" ht="15" customHeight="1" x14ac:dyDescent="0.25">
      <c r="A638" s="14" t="s">
        <v>34</v>
      </c>
      <c r="B638" s="17" t="str">
        <f>VLOOKUP(Data_Discontinuities[[#This Row],[Hole ID]],Data_Log[],2,FALSE)</f>
        <v>CGF-04</v>
      </c>
      <c r="C638" s="8">
        <v>92</v>
      </c>
      <c r="D638" s="8">
        <v>1</v>
      </c>
      <c r="E638" s="7" t="s">
        <v>445</v>
      </c>
      <c r="F638" s="7"/>
      <c r="G638" s="7"/>
      <c r="H638" s="118"/>
      <c r="I638" s="7" t="s">
        <v>286</v>
      </c>
      <c r="J638" s="7" t="s">
        <v>352</v>
      </c>
      <c r="K638" s="7" t="s">
        <v>382</v>
      </c>
      <c r="L638" s="7" t="s">
        <v>437</v>
      </c>
      <c r="M638" s="7"/>
      <c r="N638" s="7"/>
      <c r="O638" s="84" t="str" cm="1">
        <f t="array" ref="O638">_xlfn.XLOOKUP(1,(A638=Geotech!$A$4:$A$10094)*(Data_Discontinuities[[#This Row],[Depth (m)]]&gt;=Geotech!$C$4:$C$10094)*(Data_Discontinuities[[#This Row],[Depth (m)]]&lt;Geotech!$D$4:$D$10094),Geotech!$M$4:$M$10094)</f>
        <v>Boulamarque granodiorite</v>
      </c>
      <c r="P638" s="84"/>
      <c r="Q638" s="84"/>
      <c r="R638" s="84"/>
      <c r="S63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38" s="71">
        <f>IFERROR(Data_Discontinuities[[#This Row],[Joint roughness]]/Data_Discontinuities[[#This Row],[Joint alteration]],"")</f>
        <v>0.75</v>
      </c>
      <c r="V63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38" s="87"/>
    </row>
    <row r="639" spans="1:23" ht="15" customHeight="1" x14ac:dyDescent="0.25">
      <c r="A639" s="14" t="s">
        <v>34</v>
      </c>
      <c r="B639" s="17" t="str">
        <f>VLOOKUP(Data_Discontinuities[[#This Row],[Hole ID]],Data_Log[],2,FALSE)</f>
        <v>CGF-04</v>
      </c>
      <c r="C639" s="8">
        <v>93.05</v>
      </c>
      <c r="D639" s="8">
        <v>1</v>
      </c>
      <c r="E639" s="7" t="s">
        <v>445</v>
      </c>
      <c r="F639" s="7"/>
      <c r="G639" s="7"/>
      <c r="H639" s="118"/>
      <c r="I639" s="7" t="s">
        <v>318</v>
      </c>
      <c r="J639" s="7" t="s">
        <v>352</v>
      </c>
      <c r="K639" s="7" t="s">
        <v>406</v>
      </c>
      <c r="L639" s="7" t="s">
        <v>437</v>
      </c>
      <c r="M639" s="7"/>
      <c r="N639" s="7"/>
      <c r="O639" s="84" t="str" cm="1">
        <f t="array" ref="O639">_xlfn.XLOOKUP(1,(A639=Geotech!$A$4:$A$10094)*(Data_Discontinuities[[#This Row],[Depth (m)]]&gt;=Geotech!$C$4:$C$10094)*(Data_Discontinuities[[#This Row],[Depth (m)]]&lt;Geotech!$D$4:$D$10094),Geotech!$M$4:$M$10094)</f>
        <v>Boulamarque granodiorite</v>
      </c>
      <c r="P639" s="84"/>
      <c r="Q639" s="84"/>
      <c r="R639" s="84"/>
      <c r="S63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3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39" s="71">
        <f>IFERROR(Data_Discontinuities[[#This Row],[Joint roughness]]/Data_Discontinuities[[#This Row],[Joint alteration]],"")</f>
        <v>0.75</v>
      </c>
      <c r="V63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39" s="87"/>
    </row>
    <row r="640" spans="1:23" ht="15" customHeight="1" x14ac:dyDescent="0.25">
      <c r="A640" s="14" t="s">
        <v>34</v>
      </c>
      <c r="B640" s="17" t="str">
        <f>VLOOKUP(Data_Discontinuities[[#This Row],[Hole ID]],Data_Log[],2,FALSE)</f>
        <v>CGF-04</v>
      </c>
      <c r="C640" s="8">
        <v>93.24</v>
      </c>
      <c r="D640" s="8">
        <v>1</v>
      </c>
      <c r="E640" s="7" t="s">
        <v>420</v>
      </c>
      <c r="F640" s="7"/>
      <c r="G640" s="7"/>
      <c r="H640" s="118"/>
      <c r="I640" s="7" t="s">
        <v>318</v>
      </c>
      <c r="J640" s="7" t="s">
        <v>352</v>
      </c>
      <c r="K640" s="7" t="s">
        <v>406</v>
      </c>
      <c r="L640" s="7" t="s">
        <v>437</v>
      </c>
      <c r="M640" s="7"/>
      <c r="N640" s="7"/>
      <c r="O640" s="84" t="str" cm="1">
        <f t="array" ref="O640">_xlfn.XLOOKUP(1,(A640=Geotech!$A$4:$A$10094)*(Data_Discontinuities[[#This Row],[Depth (m)]]&gt;=Geotech!$C$4:$C$10094)*(Data_Discontinuities[[#This Row],[Depth (m)]]&lt;Geotech!$D$4:$D$10094),Geotech!$M$4:$M$10094)</f>
        <v>Boulamarque granodiorite</v>
      </c>
      <c r="P640" s="84"/>
      <c r="Q640" s="84"/>
      <c r="R640" s="84"/>
      <c r="S64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40" s="71">
        <f>IFERROR(Data_Discontinuities[[#This Row],[Joint roughness]]/Data_Discontinuities[[#This Row],[Joint alteration]],"")</f>
        <v>0.75</v>
      </c>
      <c r="V64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40" s="87"/>
    </row>
    <row r="641" spans="1:23" ht="15" customHeight="1" x14ac:dyDescent="0.25">
      <c r="A641" s="14" t="s">
        <v>34</v>
      </c>
      <c r="B641" s="17" t="str">
        <f>VLOOKUP(Data_Discontinuities[[#This Row],[Hole ID]],Data_Log[],2,FALSE)</f>
        <v>CGF-04</v>
      </c>
      <c r="C641" s="8">
        <v>93.76</v>
      </c>
      <c r="D641" s="8">
        <v>1</v>
      </c>
      <c r="E641" s="7" t="s">
        <v>445</v>
      </c>
      <c r="F641" s="7"/>
      <c r="G641" s="7"/>
      <c r="H641" s="118"/>
      <c r="I641" s="7" t="s">
        <v>286</v>
      </c>
      <c r="J641" s="7" t="s">
        <v>352</v>
      </c>
      <c r="K641" s="7" t="s">
        <v>406</v>
      </c>
      <c r="L641" s="7" t="s">
        <v>437</v>
      </c>
      <c r="M641" s="7"/>
      <c r="N641" s="7"/>
      <c r="O641" s="84" t="str" cm="1">
        <f t="array" ref="O641">_xlfn.XLOOKUP(1,(A641=Geotech!$A$4:$A$10094)*(Data_Discontinuities[[#This Row],[Depth (m)]]&gt;=Geotech!$C$4:$C$10094)*(Data_Discontinuities[[#This Row],[Depth (m)]]&lt;Geotech!$D$4:$D$10094),Geotech!$M$4:$M$10094)</f>
        <v>Boulamarque granodiorite</v>
      </c>
      <c r="P641" s="84"/>
      <c r="Q641" s="84"/>
      <c r="R641" s="84"/>
      <c r="S64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41" s="71">
        <f>IFERROR(Data_Discontinuities[[#This Row],[Joint roughness]]/Data_Discontinuities[[#This Row],[Joint alteration]],"")</f>
        <v>0.75</v>
      </c>
      <c r="V64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41" s="87"/>
    </row>
    <row r="642" spans="1:23" ht="15" customHeight="1" x14ac:dyDescent="0.25">
      <c r="A642" s="14" t="s">
        <v>34</v>
      </c>
      <c r="B642" s="17" t="str">
        <f>VLOOKUP(Data_Discontinuities[[#This Row],[Hole ID]],Data_Log[],2,FALSE)</f>
        <v>CGF-04</v>
      </c>
      <c r="C642" s="8">
        <v>92.96</v>
      </c>
      <c r="D642" s="8">
        <v>1</v>
      </c>
      <c r="E642" s="7" t="s">
        <v>248</v>
      </c>
      <c r="F642" s="7"/>
      <c r="G642" s="7"/>
      <c r="H642" s="118"/>
      <c r="I642" s="7"/>
      <c r="J642" s="7"/>
      <c r="K642" s="7"/>
      <c r="L642" s="7"/>
      <c r="M642" s="7"/>
      <c r="N642" s="7">
        <v>0.03</v>
      </c>
      <c r="O642" s="84" t="str" cm="1">
        <f t="array" ref="O642">_xlfn.XLOOKUP(1,(A642=Geotech!$A$4:$A$10094)*(Data_Discontinuities[[#This Row],[Depth (m)]]&gt;=Geotech!$C$4:$C$10094)*(Data_Discontinuities[[#This Row],[Depth (m)]]&lt;Geotech!$D$4:$D$10094),Geotech!$M$4:$M$10094)</f>
        <v>Boulamarque granodiorite</v>
      </c>
      <c r="P642" s="84"/>
      <c r="Q642" s="84"/>
      <c r="R642" s="84"/>
      <c r="S6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42" s="71" t="str">
        <f>IFERROR(Data_Discontinuities[[#This Row],[Joint roughness]]/Data_Discontinuities[[#This Row],[Joint alteration]],"")</f>
        <v/>
      </c>
      <c r="V6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42" s="87"/>
    </row>
    <row r="643" spans="1:23" ht="15" customHeight="1" x14ac:dyDescent="0.25">
      <c r="A643" s="14" t="s">
        <v>34</v>
      </c>
      <c r="B643" s="17" t="str">
        <f>VLOOKUP(Data_Discontinuities[[#This Row],[Hole ID]],Data_Log[],2,FALSE)</f>
        <v>CGF-04</v>
      </c>
      <c r="C643" s="8">
        <v>94.23</v>
      </c>
      <c r="D643" s="8">
        <v>1</v>
      </c>
      <c r="E643" s="7" t="s">
        <v>248</v>
      </c>
      <c r="F643" s="7"/>
      <c r="G643" s="7"/>
      <c r="H643" s="118"/>
      <c r="I643" s="7"/>
      <c r="J643" s="7"/>
      <c r="K643" s="7"/>
      <c r="L643" s="7"/>
      <c r="M643" s="7"/>
      <c r="N643" s="7">
        <v>0.2</v>
      </c>
      <c r="O643" s="84" t="str" cm="1">
        <f t="array" ref="O643">_xlfn.XLOOKUP(1,(A643=Geotech!$A$4:$A$10094)*(Data_Discontinuities[[#This Row],[Depth (m)]]&gt;=Geotech!$C$4:$C$10094)*(Data_Discontinuities[[#This Row],[Depth (m)]]&lt;Geotech!$D$4:$D$10094),Geotech!$M$4:$M$10094)</f>
        <v>Boulamarque granodiorite</v>
      </c>
      <c r="P643" s="84"/>
      <c r="Q643" s="84"/>
      <c r="R643" s="84"/>
      <c r="S6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43" s="71" t="str">
        <f>IFERROR(Data_Discontinuities[[#This Row],[Joint roughness]]/Data_Discontinuities[[#This Row],[Joint alteration]],"")</f>
        <v/>
      </c>
      <c r="V6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43" s="87"/>
    </row>
    <row r="644" spans="1:23" ht="15" customHeight="1" x14ac:dyDescent="0.25">
      <c r="A644" s="14" t="s">
        <v>34</v>
      </c>
      <c r="B644" s="17" t="str">
        <f>VLOOKUP(Data_Discontinuities[[#This Row],[Hole ID]],Data_Log[],2,FALSE)</f>
        <v>CGF-04</v>
      </c>
      <c r="C644" s="8">
        <v>94.64</v>
      </c>
      <c r="D644" s="8">
        <v>1</v>
      </c>
      <c r="E644" s="7" t="s">
        <v>445</v>
      </c>
      <c r="F644" s="7"/>
      <c r="G644" s="7"/>
      <c r="H644" s="118"/>
      <c r="I644" s="7" t="s">
        <v>286</v>
      </c>
      <c r="J644" s="7" t="s">
        <v>352</v>
      </c>
      <c r="K644" s="7" t="s">
        <v>354</v>
      </c>
      <c r="L644" s="7"/>
      <c r="M644" s="7"/>
      <c r="N644" s="7"/>
      <c r="O644" s="84" t="str" cm="1">
        <f t="array" ref="O644">_xlfn.XLOOKUP(1,(A644=Geotech!$A$4:$A$10094)*(Data_Discontinuities[[#This Row],[Depth (m)]]&gt;=Geotech!$C$4:$C$10094)*(Data_Discontinuities[[#This Row],[Depth (m)]]&lt;Geotech!$D$4:$D$10094),Geotech!$M$4:$M$10094)</f>
        <v>Boulamarque granodiorite</v>
      </c>
      <c r="P644" s="84"/>
      <c r="Q644" s="84"/>
      <c r="R644" s="84"/>
      <c r="S644"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4"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44" s="71">
        <f>IFERROR(Data_Discontinuities[[#This Row],[Joint roughness]]/Data_Discontinuities[[#This Row],[Joint alteration]],"")</f>
        <v>1.5</v>
      </c>
      <c r="V644"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44" s="87"/>
    </row>
    <row r="645" spans="1:23" ht="15" customHeight="1" x14ac:dyDescent="0.25">
      <c r="A645" s="14" t="s">
        <v>34</v>
      </c>
      <c r="B645" s="17" t="str">
        <f>VLOOKUP(Data_Discontinuities[[#This Row],[Hole ID]],Data_Log[],2,FALSE)</f>
        <v>CGF-04</v>
      </c>
      <c r="C645" s="8">
        <v>95.88</v>
      </c>
      <c r="D645" s="8">
        <v>1</v>
      </c>
      <c r="E645" s="7" t="s">
        <v>445</v>
      </c>
      <c r="F645" s="7"/>
      <c r="G645" s="7"/>
      <c r="H645" s="118"/>
      <c r="I645" s="7" t="s">
        <v>318</v>
      </c>
      <c r="J645" s="7" t="s">
        <v>352</v>
      </c>
      <c r="K645" s="7" t="s">
        <v>382</v>
      </c>
      <c r="L645" s="7" t="s">
        <v>437</v>
      </c>
      <c r="M645" s="7"/>
      <c r="N645" s="7"/>
      <c r="O645" s="84" t="str" cm="1">
        <f t="array" ref="O645">_xlfn.XLOOKUP(1,(A645=Geotech!$A$4:$A$10094)*(Data_Discontinuities[[#This Row],[Depth (m)]]&gt;=Geotech!$C$4:$C$10094)*(Data_Discontinuities[[#This Row],[Depth (m)]]&lt;Geotech!$D$4:$D$10094),Geotech!$M$4:$M$10094)</f>
        <v>Boulamarque granodiorite</v>
      </c>
      <c r="P645" s="84"/>
      <c r="Q645" s="84"/>
      <c r="R645" s="84"/>
      <c r="S645"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5"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4</v>
      </c>
      <c r="U645" s="71">
        <f>IFERROR(Data_Discontinuities[[#This Row],[Joint roughness]]/Data_Discontinuities[[#This Row],[Joint alteration]],"")</f>
        <v>0.75</v>
      </c>
      <c r="V645"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45" s="87"/>
    </row>
    <row r="646" spans="1:23" ht="15" customHeight="1" x14ac:dyDescent="0.25">
      <c r="A646" s="14" t="s">
        <v>34</v>
      </c>
      <c r="B646" s="17" t="str">
        <f>VLOOKUP(Data_Discontinuities[[#This Row],[Hole ID]],Data_Log[],2,FALSE)</f>
        <v>CGF-04</v>
      </c>
      <c r="C646" s="8">
        <v>96.68</v>
      </c>
      <c r="D646" s="8">
        <v>1</v>
      </c>
      <c r="E646" s="7" t="s">
        <v>420</v>
      </c>
      <c r="F646" s="7"/>
      <c r="G646" s="7"/>
      <c r="H646" s="118"/>
      <c r="I646" s="7" t="s">
        <v>286</v>
      </c>
      <c r="J646" s="7" t="s">
        <v>352</v>
      </c>
      <c r="K646" s="7" t="s">
        <v>322</v>
      </c>
      <c r="L646" s="7"/>
      <c r="M646" s="7"/>
      <c r="N646" s="7"/>
      <c r="O646" s="84" t="str" cm="1">
        <f t="array" ref="O646">_xlfn.XLOOKUP(1,(A646=Geotech!$A$4:$A$10094)*(Data_Discontinuities[[#This Row],[Depth (m)]]&gt;=Geotech!$C$4:$C$10094)*(Data_Discontinuities[[#This Row],[Depth (m)]]&lt;Geotech!$D$4:$D$10094),Geotech!$M$4:$M$10094)</f>
        <v>Boulamarque granodiorite</v>
      </c>
      <c r="P646" s="84"/>
      <c r="Q646" s="84"/>
      <c r="R646" s="84"/>
      <c r="S646"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6"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46" s="71">
        <f>IFERROR(Data_Discontinuities[[#This Row],[Joint roughness]]/Data_Discontinuities[[#This Row],[Joint alteration]],"")</f>
        <v>3</v>
      </c>
      <c r="V646"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46" s="87"/>
    </row>
    <row r="647" spans="1:23" ht="15" customHeight="1" x14ac:dyDescent="0.25">
      <c r="A647" s="14" t="s">
        <v>34</v>
      </c>
      <c r="B647" s="17" t="str">
        <f>VLOOKUP(Data_Discontinuities[[#This Row],[Hole ID]],Data_Log[],2,FALSE)</f>
        <v>CGF-04</v>
      </c>
      <c r="C647" s="8">
        <v>97.05</v>
      </c>
      <c r="D647" s="8">
        <v>1</v>
      </c>
      <c r="E647" s="7" t="s">
        <v>420</v>
      </c>
      <c r="F647" s="7"/>
      <c r="G647" s="7"/>
      <c r="H647" s="118"/>
      <c r="I647" s="7" t="s">
        <v>286</v>
      </c>
      <c r="J647" s="7" t="s">
        <v>352</v>
      </c>
      <c r="K647" s="7" t="s">
        <v>322</v>
      </c>
      <c r="L647" s="7"/>
      <c r="M647" s="7"/>
      <c r="N647" s="7"/>
      <c r="O647" s="84" t="str" cm="1">
        <f t="array" ref="O647">_xlfn.XLOOKUP(1,(A647=Geotech!$A$4:$A$10094)*(Data_Discontinuities[[#This Row],[Depth (m)]]&gt;=Geotech!$C$4:$C$10094)*(Data_Discontinuities[[#This Row],[Depth (m)]]&lt;Geotech!$D$4:$D$10094),Geotech!$M$4:$M$10094)</f>
        <v>Boulamarque granodiorite</v>
      </c>
      <c r="P647" s="84"/>
      <c r="Q647" s="84"/>
      <c r="R647" s="84"/>
      <c r="S647"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7"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47" s="71">
        <f>IFERROR(Data_Discontinuities[[#This Row],[Joint roughness]]/Data_Discontinuities[[#This Row],[Joint alteration]],"")</f>
        <v>3</v>
      </c>
      <c r="V647"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47" s="87"/>
    </row>
    <row r="648" spans="1:23" ht="15" customHeight="1" x14ac:dyDescent="0.25">
      <c r="A648" s="14" t="s">
        <v>34</v>
      </c>
      <c r="B648" s="17" t="str">
        <f>VLOOKUP(Data_Discontinuities[[#This Row],[Hole ID]],Data_Log[],2,FALSE)</f>
        <v>CGF-04</v>
      </c>
      <c r="C648" s="8">
        <v>97.11</v>
      </c>
      <c r="D648" s="8">
        <v>1</v>
      </c>
      <c r="E648" s="7" t="s">
        <v>420</v>
      </c>
      <c r="F648" s="7"/>
      <c r="G648" s="7"/>
      <c r="H648" s="118"/>
      <c r="I648" s="7" t="s">
        <v>286</v>
      </c>
      <c r="J648" s="7" t="s">
        <v>352</v>
      </c>
      <c r="K648" s="7" t="s">
        <v>354</v>
      </c>
      <c r="L648" s="7"/>
      <c r="M648" s="7"/>
      <c r="N648" s="7"/>
      <c r="O648" s="84" t="str" cm="1">
        <f t="array" ref="O648">_xlfn.XLOOKUP(1,(A648=Geotech!$A$4:$A$10094)*(Data_Discontinuities[[#This Row],[Depth (m)]]&gt;=Geotech!$C$4:$C$10094)*(Data_Discontinuities[[#This Row],[Depth (m)]]&lt;Geotech!$D$4:$D$10094),Geotech!$M$4:$M$10094)</f>
        <v>Boulamarque granodiorite</v>
      </c>
      <c r="P648" s="84"/>
      <c r="Q648" s="84"/>
      <c r="R648" s="84"/>
      <c r="S648"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3</v>
      </c>
      <c r="T648"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48" s="71">
        <f>IFERROR(Data_Discontinuities[[#This Row],[Joint roughness]]/Data_Discontinuities[[#This Row],[Joint alteration]],"")</f>
        <v>1.5</v>
      </c>
      <c r="V648"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25</v>
      </c>
      <c r="W648" s="87"/>
    </row>
    <row r="649" spans="1:23" ht="15" customHeight="1" x14ac:dyDescent="0.25">
      <c r="A649" s="14" t="s">
        <v>34</v>
      </c>
      <c r="B649" s="17" t="str">
        <f>VLOOKUP(Data_Discontinuities[[#This Row],[Hole ID]],Data_Log[],2,FALSE)</f>
        <v>CGF-04</v>
      </c>
      <c r="C649" s="8">
        <v>99.78</v>
      </c>
      <c r="D649" s="8">
        <v>1</v>
      </c>
      <c r="E649" s="7" t="s">
        <v>481</v>
      </c>
      <c r="F649" s="7"/>
      <c r="G649" s="7"/>
      <c r="H649" s="118"/>
      <c r="I649" s="7" t="s">
        <v>251</v>
      </c>
      <c r="J649" s="7" t="s">
        <v>352</v>
      </c>
      <c r="K649" s="7" t="s">
        <v>406</v>
      </c>
      <c r="L649" s="7" t="s">
        <v>447</v>
      </c>
      <c r="M649" s="7"/>
      <c r="N649" s="7"/>
      <c r="O649" s="84" t="str" cm="1">
        <f t="array" ref="O649">_xlfn.XLOOKUP(1,(A649=Geotech!$A$4:$A$10094)*(Data_Discontinuities[[#This Row],[Depth (m)]]&gt;=Geotech!$C$4:$C$10094)*(Data_Discontinuities[[#This Row],[Depth (m)]]&lt;Geotech!$D$4:$D$10094),Geotech!$M$4:$M$10094)</f>
        <v>Boulamarque granodiorite</v>
      </c>
      <c r="P649" s="84"/>
      <c r="Q649" s="84"/>
      <c r="R649" s="84"/>
      <c r="S649"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49"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3</v>
      </c>
      <c r="U649" s="71">
        <f>IFERROR(Data_Discontinuities[[#This Row],[Joint roughness]]/Data_Discontinuities[[#This Row],[Joint alteration]],"")</f>
        <v>0.5</v>
      </c>
      <c r="V649"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12</v>
      </c>
      <c r="W649" s="87"/>
    </row>
    <row r="650" spans="1:23" ht="15" customHeight="1" x14ac:dyDescent="0.25">
      <c r="A650" s="14" t="s">
        <v>34</v>
      </c>
      <c r="B650" s="17" t="str">
        <f>VLOOKUP(Data_Discontinuities[[#This Row],[Hole ID]],Data_Log[],2,FALSE)</f>
        <v>CGF-04</v>
      </c>
      <c r="C650" s="8">
        <v>99.8</v>
      </c>
      <c r="D650" s="8">
        <v>1</v>
      </c>
      <c r="E650" s="7" t="s">
        <v>445</v>
      </c>
      <c r="F650" s="7"/>
      <c r="G650" s="7"/>
      <c r="H650" s="118"/>
      <c r="I650" s="7" t="s">
        <v>251</v>
      </c>
      <c r="J650" s="7" t="s">
        <v>352</v>
      </c>
      <c r="K650" s="7" t="s">
        <v>322</v>
      </c>
      <c r="L650" s="7"/>
      <c r="M650" s="7"/>
      <c r="N650" s="7"/>
      <c r="O650" s="84" t="str" cm="1">
        <f t="array" ref="O650">_xlfn.XLOOKUP(1,(A650=Geotech!$A$4:$A$10094)*(Data_Discontinuities[[#This Row],[Depth (m)]]&gt;=Geotech!$C$4:$C$10094)*(Data_Discontinuities[[#This Row],[Depth (m)]]&lt;Geotech!$D$4:$D$10094),Geotech!$M$4:$M$10094)</f>
        <v>Boulamarque granodiorite</v>
      </c>
      <c r="P650" s="84"/>
      <c r="Q650" s="84"/>
      <c r="R650" s="84"/>
      <c r="S650"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1.5</v>
      </c>
      <c r="T650"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1</v>
      </c>
      <c r="U650" s="71">
        <f>IFERROR(Data_Discontinuities[[#This Row],[Joint roughness]]/Data_Discontinuities[[#This Row],[Joint alteration]],"")</f>
        <v>1.5</v>
      </c>
      <c r="V650"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50" s="87"/>
    </row>
    <row r="651" spans="1:23" ht="15" customHeight="1" x14ac:dyDescent="0.25">
      <c r="A651" s="14" t="s">
        <v>34</v>
      </c>
      <c r="B651" s="17" t="str">
        <f>VLOOKUP(Data_Discontinuities[[#This Row],[Hole ID]],Data_Log[],2,FALSE)</f>
        <v>CGF-04</v>
      </c>
      <c r="C651" s="8">
        <v>99.92</v>
      </c>
      <c r="D651" s="8">
        <v>1</v>
      </c>
      <c r="E651" s="7" t="s">
        <v>420</v>
      </c>
      <c r="F651" s="7"/>
      <c r="G651" s="7"/>
      <c r="H651" s="118"/>
      <c r="I651" s="7" t="s">
        <v>286</v>
      </c>
      <c r="J651" s="7" t="s">
        <v>320</v>
      </c>
      <c r="K651" s="7" t="s">
        <v>354</v>
      </c>
      <c r="L651" s="7"/>
      <c r="M651" s="7"/>
      <c r="N651" s="7"/>
      <c r="O651" s="84" t="str" cm="1">
        <f t="array" ref="O651">_xlfn.XLOOKUP(1,(A651=Geotech!$A$4:$A$10094)*(Data_Discontinuities[[#This Row],[Depth (m)]]&gt;=Geotech!$C$4:$C$10094)*(Data_Discontinuities[[#This Row],[Depth (m)]]&lt;Geotech!$D$4:$D$10094),Geotech!$M$4:$M$10094)</f>
        <v>Boulamarque granodiorite</v>
      </c>
      <c r="P651" s="84"/>
      <c r="Q651" s="84"/>
      <c r="R651" s="84"/>
      <c r="S651"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51"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51" s="71">
        <f>IFERROR(Data_Discontinuities[[#This Row],[Joint roughness]]/Data_Discontinuities[[#This Row],[Joint alteration]],"")</f>
        <v>1</v>
      </c>
      <c r="V651"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51" s="87"/>
    </row>
    <row r="652" spans="1:23" ht="15" customHeight="1" x14ac:dyDescent="0.25">
      <c r="A652" s="14" t="s">
        <v>34</v>
      </c>
      <c r="B652" s="17" t="str">
        <f>VLOOKUP(Data_Discontinuities[[#This Row],[Hole ID]],Data_Log[],2,FALSE)</f>
        <v>CGF-04</v>
      </c>
      <c r="C652" s="8">
        <v>100.4</v>
      </c>
      <c r="D652" s="8">
        <v>1</v>
      </c>
      <c r="E652" s="7" t="s">
        <v>445</v>
      </c>
      <c r="F652" s="7"/>
      <c r="G652" s="7"/>
      <c r="H652" s="118"/>
      <c r="I652" s="7" t="s">
        <v>286</v>
      </c>
      <c r="J652" s="7" t="s">
        <v>320</v>
      </c>
      <c r="K652" s="7" t="s">
        <v>354</v>
      </c>
      <c r="L652" s="7"/>
      <c r="M652" s="7"/>
      <c r="N652" s="7"/>
      <c r="O652" s="84" t="str" cm="1">
        <f t="array" ref="O652">_xlfn.XLOOKUP(1,(A652=Geotech!$A$4:$A$10094)*(Data_Discontinuities[[#This Row],[Depth (m)]]&gt;=Geotech!$C$4:$C$10094)*(Data_Discontinuities[[#This Row],[Depth (m)]]&lt;Geotech!$D$4:$D$10094),Geotech!$M$4:$M$10094)</f>
        <v>Boulamarque granodiorite</v>
      </c>
      <c r="P652" s="84"/>
      <c r="Q652" s="84"/>
      <c r="R652" s="84"/>
      <c r="S652" s="84">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2</v>
      </c>
      <c r="T652" s="84">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2</v>
      </c>
      <c r="U652" s="71">
        <f>IFERROR(Data_Discontinuities[[#This Row],[Joint roughness]]/Data_Discontinuities[[#This Row],[Joint alteration]],"")</f>
        <v>1</v>
      </c>
      <c r="V652" s="84">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20</v>
      </c>
      <c r="W652" s="87"/>
    </row>
    <row r="653" spans="1:23" ht="15" customHeight="1" x14ac:dyDescent="0.25">
      <c r="A653" s="14" t="s">
        <v>34</v>
      </c>
      <c r="B653" s="17" t="str">
        <f>VLOOKUP(Data_Discontinuities[[#This Row],[Hole ID]],Data_Log[],2,FALSE)</f>
        <v>CGF-04</v>
      </c>
      <c r="C653" s="8">
        <v>103.35</v>
      </c>
      <c r="D653" s="8">
        <v>1</v>
      </c>
      <c r="E653" s="7" t="s">
        <v>445</v>
      </c>
      <c r="F653" s="7"/>
      <c r="G653" s="7"/>
      <c r="H653" s="118"/>
      <c r="I653" s="7"/>
      <c r="J653" s="7"/>
      <c r="K653" s="7"/>
      <c r="L653" s="7"/>
      <c r="M653" s="7"/>
      <c r="N653" s="7"/>
      <c r="O653" s="84" t="str" cm="1">
        <f t="array" ref="O653">_xlfn.XLOOKUP(1,(A653=Geotech!$A$4:$A$10094)*(Data_Discontinuities[[#This Row],[Depth (m)]]&gt;=Geotech!$C$4:$C$10094)*(Data_Discontinuities[[#This Row],[Depth (m)]]&lt;Geotech!$D$4:$D$10094),Geotech!$M$4:$M$10094)</f>
        <v>Boulamarque granodiorite</v>
      </c>
      <c r="P653" s="84"/>
      <c r="Q653" s="84"/>
      <c r="R653" s="84"/>
      <c r="S6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3" s="71" t="str">
        <f>IFERROR(Data_Discontinuities[[#This Row],[Joint roughness]]/Data_Discontinuities[[#This Row],[Joint alteration]],"")</f>
        <v/>
      </c>
      <c r="V6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3" s="87"/>
    </row>
    <row r="654" spans="1:23" ht="15" customHeight="1" x14ac:dyDescent="0.25">
      <c r="A654" s="14" t="s">
        <v>34</v>
      </c>
      <c r="B654" s="17" t="str">
        <f>VLOOKUP(Data_Discontinuities[[#This Row],[Hole ID]],Data_Log[],2,FALSE)</f>
        <v>CGF-04</v>
      </c>
      <c r="C654" s="8">
        <v>103.56</v>
      </c>
      <c r="D654" s="8">
        <v>1</v>
      </c>
      <c r="E654" s="7" t="s">
        <v>445</v>
      </c>
      <c r="F654" s="7"/>
      <c r="G654" s="7"/>
      <c r="H654" s="118"/>
      <c r="I654" s="7"/>
      <c r="J654" s="7"/>
      <c r="K654" s="7"/>
      <c r="L654" s="7"/>
      <c r="M654" s="7"/>
      <c r="N654" s="7"/>
      <c r="O654" s="84" t="str" cm="1">
        <f t="array" ref="O654">_xlfn.XLOOKUP(1,(A654=Geotech!$A$4:$A$10094)*(Data_Discontinuities[[#This Row],[Depth (m)]]&gt;=Geotech!$C$4:$C$10094)*(Data_Discontinuities[[#This Row],[Depth (m)]]&lt;Geotech!$D$4:$D$10094),Geotech!$M$4:$M$10094)</f>
        <v>Boulamarque granodiorite</v>
      </c>
      <c r="P654" s="84"/>
      <c r="Q654" s="84"/>
      <c r="R654" s="84"/>
      <c r="S6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4" s="71" t="str">
        <f>IFERROR(Data_Discontinuities[[#This Row],[Joint roughness]]/Data_Discontinuities[[#This Row],[Joint alteration]],"")</f>
        <v/>
      </c>
      <c r="V6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4" s="87"/>
    </row>
    <row r="655" spans="1:23" ht="15" customHeight="1" x14ac:dyDescent="0.25">
      <c r="A655" s="14" t="s">
        <v>34</v>
      </c>
      <c r="B655" s="17" t="str">
        <f>VLOOKUP(Data_Discontinuities[[#This Row],[Hole ID]],Data_Log[],2,FALSE)</f>
        <v>CGF-04</v>
      </c>
      <c r="C655" s="8">
        <v>104.04</v>
      </c>
      <c r="D655" s="8">
        <v>1</v>
      </c>
      <c r="E655" s="7" t="s">
        <v>348</v>
      </c>
      <c r="F655" s="7"/>
      <c r="G655" s="7"/>
      <c r="H655" s="118"/>
      <c r="I655" s="7"/>
      <c r="J655" s="7"/>
      <c r="K655" s="7"/>
      <c r="L655" s="7"/>
      <c r="M655" s="7"/>
      <c r="N655" s="7"/>
      <c r="O655" s="84" t="str" cm="1">
        <f t="array" ref="O655">_xlfn.XLOOKUP(1,(A655=Geotech!$A$4:$A$10094)*(Data_Discontinuities[[#This Row],[Depth (m)]]&gt;=Geotech!$C$4:$C$10094)*(Data_Discontinuities[[#This Row],[Depth (m)]]&lt;Geotech!$D$4:$D$10094),Geotech!$M$4:$M$10094)</f>
        <v>Boulamarque granodiorite</v>
      </c>
      <c r="P655" s="84"/>
      <c r="Q655" s="84"/>
      <c r="R655" s="84"/>
      <c r="S6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5" s="71" t="str">
        <f>IFERROR(Data_Discontinuities[[#This Row],[Joint roughness]]/Data_Discontinuities[[#This Row],[Joint alteration]],"")</f>
        <v/>
      </c>
      <c r="V6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5" s="87"/>
    </row>
    <row r="656" spans="1:23" ht="15" customHeight="1" x14ac:dyDescent="0.25">
      <c r="A656" s="14" t="s">
        <v>34</v>
      </c>
      <c r="B656" s="17" t="str">
        <f>VLOOKUP(Data_Discontinuities[[#This Row],[Hole ID]],Data_Log[],2,FALSE)</f>
        <v>CGF-04</v>
      </c>
      <c r="C656" s="8">
        <v>104.12</v>
      </c>
      <c r="D656" s="8">
        <v>1</v>
      </c>
      <c r="E656" s="7" t="s">
        <v>481</v>
      </c>
      <c r="F656" s="7"/>
      <c r="G656" s="7"/>
      <c r="H656" s="118"/>
      <c r="I656" s="7"/>
      <c r="J656" s="7"/>
      <c r="K656" s="7"/>
      <c r="L656" s="7"/>
      <c r="M656" s="7"/>
      <c r="N656" s="7"/>
      <c r="O656" s="84" t="str" cm="1">
        <f t="array" ref="O656">_xlfn.XLOOKUP(1,(A656=Geotech!$A$4:$A$10094)*(Data_Discontinuities[[#This Row],[Depth (m)]]&gt;=Geotech!$C$4:$C$10094)*(Data_Discontinuities[[#This Row],[Depth (m)]]&lt;Geotech!$D$4:$D$10094),Geotech!$M$4:$M$10094)</f>
        <v>Boulamarque granodiorite</v>
      </c>
      <c r="P656" s="84"/>
      <c r="Q656" s="84"/>
      <c r="R656" s="84"/>
      <c r="S6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6" s="71" t="str">
        <f>IFERROR(Data_Discontinuities[[#This Row],[Joint roughness]]/Data_Discontinuities[[#This Row],[Joint alteration]],"")</f>
        <v/>
      </c>
      <c r="V6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6" s="87"/>
    </row>
    <row r="657" spans="1:23" ht="15" customHeight="1" x14ac:dyDescent="0.25">
      <c r="A657" s="14" t="s">
        <v>34</v>
      </c>
      <c r="B657" s="17" t="str">
        <f>VLOOKUP(Data_Discontinuities[[#This Row],[Hole ID]],Data_Log[],2,FALSE)</f>
        <v>CGF-04</v>
      </c>
      <c r="C657" s="8">
        <v>105.3</v>
      </c>
      <c r="D657" s="8">
        <v>1</v>
      </c>
      <c r="E657" s="7" t="s">
        <v>481</v>
      </c>
      <c r="F657" s="7"/>
      <c r="G657" s="7"/>
      <c r="H657" s="118"/>
      <c r="I657" s="7"/>
      <c r="J657" s="7"/>
      <c r="K657" s="7"/>
      <c r="L657" s="7"/>
      <c r="M657" s="7"/>
      <c r="N657" s="7"/>
      <c r="O657" s="84" t="str" cm="1">
        <f t="array" ref="O657">_xlfn.XLOOKUP(1,(A657=Geotech!$A$4:$A$10094)*(Data_Discontinuities[[#This Row],[Depth (m)]]&gt;=Geotech!$C$4:$C$10094)*(Data_Discontinuities[[#This Row],[Depth (m)]]&lt;Geotech!$D$4:$D$10094),Geotech!$M$4:$M$10094)</f>
        <v>Boulamarque granodiorite</v>
      </c>
      <c r="P657" s="84"/>
      <c r="Q657" s="84"/>
      <c r="R657" s="84"/>
      <c r="S6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7" s="71" t="str">
        <f>IFERROR(Data_Discontinuities[[#This Row],[Joint roughness]]/Data_Discontinuities[[#This Row],[Joint alteration]],"")</f>
        <v/>
      </c>
      <c r="V6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7" s="87"/>
    </row>
    <row r="658" spans="1:23" ht="15" customHeight="1" x14ac:dyDescent="0.25">
      <c r="A658" s="14" t="s">
        <v>34</v>
      </c>
      <c r="B658" s="17" t="str">
        <f>VLOOKUP(Data_Discontinuities[[#This Row],[Hole ID]],Data_Log[],2,FALSE)</f>
        <v>CGF-04</v>
      </c>
      <c r="C658" s="8">
        <v>106.08</v>
      </c>
      <c r="D658" s="8">
        <v>1</v>
      </c>
      <c r="E658" s="7" t="s">
        <v>445</v>
      </c>
      <c r="F658" s="7"/>
      <c r="G658" s="7"/>
      <c r="H658" s="118"/>
      <c r="I658" s="7"/>
      <c r="J658" s="7"/>
      <c r="K658" s="7"/>
      <c r="L658" s="7"/>
      <c r="M658" s="7"/>
      <c r="N658" s="7"/>
      <c r="O658" s="84" t="str" cm="1">
        <f t="array" ref="O658">_xlfn.XLOOKUP(1,(A658=Geotech!$A$4:$A$10094)*(Data_Discontinuities[[#This Row],[Depth (m)]]&gt;=Geotech!$C$4:$C$10094)*(Data_Discontinuities[[#This Row],[Depth (m)]]&lt;Geotech!$D$4:$D$10094),Geotech!$M$4:$M$10094)</f>
        <v>Boulamarque granodiorite</v>
      </c>
      <c r="P658" s="84"/>
      <c r="Q658" s="84"/>
      <c r="R658" s="84"/>
      <c r="S6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8" s="71" t="str">
        <f>IFERROR(Data_Discontinuities[[#This Row],[Joint roughness]]/Data_Discontinuities[[#This Row],[Joint alteration]],"")</f>
        <v/>
      </c>
      <c r="V6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8" s="87"/>
    </row>
    <row r="659" spans="1:23" ht="15" customHeight="1" x14ac:dyDescent="0.25">
      <c r="A659" s="14" t="s">
        <v>34</v>
      </c>
      <c r="B659" s="17" t="str">
        <f>VLOOKUP(Data_Discontinuities[[#This Row],[Hole ID]],Data_Log[],2,FALSE)</f>
        <v>CGF-04</v>
      </c>
      <c r="C659" s="8">
        <v>106.63</v>
      </c>
      <c r="D659" s="8">
        <v>1</v>
      </c>
      <c r="E659" s="7" t="s">
        <v>420</v>
      </c>
      <c r="F659" s="7"/>
      <c r="G659" s="7"/>
      <c r="H659" s="118"/>
      <c r="I659" s="7"/>
      <c r="J659" s="7"/>
      <c r="K659" s="7"/>
      <c r="L659" s="7"/>
      <c r="M659" s="7"/>
      <c r="N659" s="7"/>
      <c r="O659" s="84" t="str" cm="1">
        <f t="array" ref="O659">_xlfn.XLOOKUP(1,(A659=Geotech!$A$4:$A$10094)*(Data_Discontinuities[[#This Row],[Depth (m)]]&gt;=Geotech!$C$4:$C$10094)*(Data_Discontinuities[[#This Row],[Depth (m)]]&lt;Geotech!$D$4:$D$10094),Geotech!$M$4:$M$10094)</f>
        <v>Boulamarque granodiorite</v>
      </c>
      <c r="P659" s="84"/>
      <c r="Q659" s="84"/>
      <c r="R659" s="84"/>
      <c r="S6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59" s="71" t="str">
        <f>IFERROR(Data_Discontinuities[[#This Row],[Joint roughness]]/Data_Discontinuities[[#This Row],[Joint alteration]],"")</f>
        <v/>
      </c>
      <c r="V6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59" s="87"/>
    </row>
    <row r="660" spans="1:23" ht="15" customHeight="1" x14ac:dyDescent="0.25">
      <c r="A660" s="14" t="s">
        <v>34</v>
      </c>
      <c r="B660" s="17" t="str">
        <f>VLOOKUP(Data_Discontinuities[[#This Row],[Hole ID]],Data_Log[],2,FALSE)</f>
        <v>CGF-04</v>
      </c>
      <c r="C660" s="8">
        <v>107.74</v>
      </c>
      <c r="D660" s="8">
        <v>1</v>
      </c>
      <c r="E660" s="7" t="s">
        <v>420</v>
      </c>
      <c r="F660" s="7"/>
      <c r="G660" s="7"/>
      <c r="H660" s="118"/>
      <c r="I660" s="7"/>
      <c r="J660" s="7"/>
      <c r="K660" s="7"/>
      <c r="L660" s="7"/>
      <c r="M660" s="7"/>
      <c r="N660" s="7"/>
      <c r="O660" s="84" t="str" cm="1">
        <f t="array" ref="O660">_xlfn.XLOOKUP(1,(A660=Geotech!$A$4:$A$10094)*(Data_Discontinuities[[#This Row],[Depth (m)]]&gt;=Geotech!$C$4:$C$10094)*(Data_Discontinuities[[#This Row],[Depth (m)]]&lt;Geotech!$D$4:$D$10094),Geotech!$M$4:$M$10094)</f>
        <v>Boulamarque granodiorite</v>
      </c>
      <c r="P660" s="84"/>
      <c r="Q660" s="84"/>
      <c r="R660" s="84"/>
      <c r="S6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0" s="71" t="str">
        <f>IFERROR(Data_Discontinuities[[#This Row],[Joint roughness]]/Data_Discontinuities[[#This Row],[Joint alteration]],"")</f>
        <v/>
      </c>
      <c r="V6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0" s="87"/>
    </row>
    <row r="661" spans="1:23" ht="15" customHeight="1" x14ac:dyDescent="0.25">
      <c r="A661" s="14" t="s">
        <v>34</v>
      </c>
      <c r="B661" s="17" t="str">
        <f>VLOOKUP(Data_Discontinuities[[#This Row],[Hole ID]],Data_Log[],2,FALSE)</f>
        <v>CGF-04</v>
      </c>
      <c r="C661" s="8">
        <v>109.67</v>
      </c>
      <c r="D661" s="8">
        <v>1</v>
      </c>
      <c r="E661" s="7" t="s">
        <v>420</v>
      </c>
      <c r="F661" s="7"/>
      <c r="G661" s="7"/>
      <c r="H661" s="118"/>
      <c r="I661" s="7"/>
      <c r="J661" s="7"/>
      <c r="K661" s="7"/>
      <c r="L661" s="7"/>
      <c r="M661" s="7"/>
      <c r="N661" s="7"/>
      <c r="O661" s="84" t="str" cm="1">
        <f t="array" ref="O661">_xlfn.XLOOKUP(1,(A661=Geotech!$A$4:$A$10094)*(Data_Discontinuities[[#This Row],[Depth (m)]]&gt;=Geotech!$C$4:$C$10094)*(Data_Discontinuities[[#This Row],[Depth (m)]]&lt;Geotech!$D$4:$D$10094),Geotech!$M$4:$M$10094)</f>
        <v>Boulamarque granodiorite</v>
      </c>
      <c r="P661" s="84"/>
      <c r="Q661" s="84"/>
      <c r="R661" s="84"/>
      <c r="S6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1" s="71" t="str">
        <f>IFERROR(Data_Discontinuities[[#This Row],[Joint roughness]]/Data_Discontinuities[[#This Row],[Joint alteration]],"")</f>
        <v/>
      </c>
      <c r="V6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1" s="87"/>
    </row>
    <row r="662" spans="1:23" ht="15" customHeight="1" x14ac:dyDescent="0.25">
      <c r="A662" s="14" t="s">
        <v>34</v>
      </c>
      <c r="B662" s="17" t="str">
        <f>VLOOKUP(Data_Discontinuities[[#This Row],[Hole ID]],Data_Log[],2,FALSE)</f>
        <v>CGF-04</v>
      </c>
      <c r="C662" s="8">
        <v>109.8</v>
      </c>
      <c r="D662" s="8">
        <v>1</v>
      </c>
      <c r="E662" s="7" t="s">
        <v>420</v>
      </c>
      <c r="F662" s="7"/>
      <c r="G662" s="7"/>
      <c r="H662" s="118"/>
      <c r="I662" s="7"/>
      <c r="J662" s="7"/>
      <c r="K662" s="7"/>
      <c r="L662" s="7"/>
      <c r="M662" s="7"/>
      <c r="N662" s="7"/>
      <c r="O662" s="84" t="str" cm="1">
        <f t="array" ref="O662">_xlfn.XLOOKUP(1,(A662=Geotech!$A$4:$A$10094)*(Data_Discontinuities[[#This Row],[Depth (m)]]&gt;=Geotech!$C$4:$C$10094)*(Data_Discontinuities[[#This Row],[Depth (m)]]&lt;Geotech!$D$4:$D$10094),Geotech!$M$4:$M$10094)</f>
        <v>Boulamarque granodiorite</v>
      </c>
      <c r="P662" s="84"/>
      <c r="Q662" s="84"/>
      <c r="R662" s="84"/>
      <c r="S6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2" s="71" t="str">
        <f>IFERROR(Data_Discontinuities[[#This Row],[Joint roughness]]/Data_Discontinuities[[#This Row],[Joint alteration]],"")</f>
        <v/>
      </c>
      <c r="V6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2" s="87"/>
    </row>
    <row r="663" spans="1:23" ht="15" customHeight="1" x14ac:dyDescent="0.25">
      <c r="A663" s="14" t="s">
        <v>34</v>
      </c>
      <c r="B663" s="17" t="str">
        <f>VLOOKUP(Data_Discontinuities[[#This Row],[Hole ID]],Data_Log[],2,FALSE)</f>
        <v>CGF-04</v>
      </c>
      <c r="C663" s="8">
        <v>110.47</v>
      </c>
      <c r="D663" s="8">
        <v>1</v>
      </c>
      <c r="E663" s="7" t="s">
        <v>420</v>
      </c>
      <c r="F663" s="7"/>
      <c r="G663" s="7"/>
      <c r="H663" s="118"/>
      <c r="I663" s="7"/>
      <c r="J663" s="7"/>
      <c r="K663" s="7"/>
      <c r="L663" s="7"/>
      <c r="M663" s="7"/>
      <c r="N663" s="7"/>
      <c r="O663" s="84" t="str" cm="1">
        <f t="array" ref="O663">_xlfn.XLOOKUP(1,(A663=Geotech!$A$4:$A$10094)*(Data_Discontinuities[[#This Row],[Depth (m)]]&gt;=Geotech!$C$4:$C$10094)*(Data_Discontinuities[[#This Row],[Depth (m)]]&lt;Geotech!$D$4:$D$10094),Geotech!$M$4:$M$10094)</f>
        <v>Boulamarque granodiorite</v>
      </c>
      <c r="P663" s="84"/>
      <c r="Q663" s="84"/>
      <c r="R663" s="84"/>
      <c r="S6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3" s="71" t="str">
        <f>IFERROR(Data_Discontinuities[[#This Row],[Joint roughness]]/Data_Discontinuities[[#This Row],[Joint alteration]],"")</f>
        <v/>
      </c>
      <c r="V6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3" s="87"/>
    </row>
    <row r="664" spans="1:23" ht="15" customHeight="1" x14ac:dyDescent="0.25">
      <c r="A664" s="14" t="s">
        <v>34</v>
      </c>
      <c r="B664" s="17" t="str">
        <f>VLOOKUP(Data_Discontinuities[[#This Row],[Hole ID]],Data_Log[],2,FALSE)</f>
        <v>CGF-04</v>
      </c>
      <c r="C664" s="8">
        <v>113.77</v>
      </c>
      <c r="D664" s="8">
        <v>1</v>
      </c>
      <c r="E664" s="7" t="s">
        <v>481</v>
      </c>
      <c r="F664" s="7"/>
      <c r="G664" s="7"/>
      <c r="H664" s="118"/>
      <c r="I664" s="7"/>
      <c r="J664" s="7"/>
      <c r="K664" s="7"/>
      <c r="L664" s="7"/>
      <c r="M664" s="7"/>
      <c r="N664" s="7"/>
      <c r="O664" s="84" t="str" cm="1">
        <f t="array" ref="O664">_xlfn.XLOOKUP(1,(A664=Geotech!$A$4:$A$10094)*(Data_Discontinuities[[#This Row],[Depth (m)]]&gt;=Geotech!$C$4:$C$10094)*(Data_Discontinuities[[#This Row],[Depth (m)]]&lt;Geotech!$D$4:$D$10094),Geotech!$M$4:$M$10094)</f>
        <v>Boulamarque granodiorite</v>
      </c>
      <c r="P664" s="84"/>
      <c r="Q664" s="84"/>
      <c r="R664" s="84"/>
      <c r="S6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4" s="71" t="str">
        <f>IFERROR(Data_Discontinuities[[#This Row],[Joint roughness]]/Data_Discontinuities[[#This Row],[Joint alteration]],"")</f>
        <v/>
      </c>
      <c r="V6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4" s="87"/>
    </row>
    <row r="665" spans="1:23" ht="15" customHeight="1" x14ac:dyDescent="0.25">
      <c r="A665" s="14" t="s">
        <v>34</v>
      </c>
      <c r="B665" s="17" t="str">
        <f>VLOOKUP(Data_Discontinuities[[#This Row],[Hole ID]],Data_Log[],2,FALSE)</f>
        <v>CGF-04</v>
      </c>
      <c r="C665" s="8">
        <v>113.94</v>
      </c>
      <c r="D665" s="8">
        <v>1</v>
      </c>
      <c r="E665" s="7" t="s">
        <v>445</v>
      </c>
      <c r="F665" s="7"/>
      <c r="G665" s="7"/>
      <c r="H665" s="118"/>
      <c r="I665" s="7"/>
      <c r="J665" s="7"/>
      <c r="K665" s="7"/>
      <c r="L665" s="7"/>
      <c r="M665" s="7"/>
      <c r="N665" s="7"/>
      <c r="O665" s="84" t="str" cm="1">
        <f t="array" ref="O665">_xlfn.XLOOKUP(1,(A665=Geotech!$A$4:$A$10094)*(Data_Discontinuities[[#This Row],[Depth (m)]]&gt;=Geotech!$C$4:$C$10094)*(Data_Discontinuities[[#This Row],[Depth (m)]]&lt;Geotech!$D$4:$D$10094),Geotech!$M$4:$M$10094)</f>
        <v>Boulamarque granodiorite</v>
      </c>
      <c r="P665" s="84"/>
      <c r="Q665" s="84"/>
      <c r="R665" s="84"/>
      <c r="S6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5" s="71" t="str">
        <f>IFERROR(Data_Discontinuities[[#This Row],[Joint roughness]]/Data_Discontinuities[[#This Row],[Joint alteration]],"")</f>
        <v/>
      </c>
      <c r="V6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5" s="87"/>
    </row>
    <row r="666" spans="1:23" ht="15" customHeight="1" x14ac:dyDescent="0.25">
      <c r="A666" s="14" t="s">
        <v>34</v>
      </c>
      <c r="B666" s="17" t="str">
        <f>VLOOKUP(Data_Discontinuities[[#This Row],[Hole ID]],Data_Log[],2,FALSE)</f>
        <v>CGF-04</v>
      </c>
      <c r="C666" s="8">
        <v>115.88</v>
      </c>
      <c r="D666" s="8">
        <v>1</v>
      </c>
      <c r="E666" s="7" t="s">
        <v>445</v>
      </c>
      <c r="F666" s="7"/>
      <c r="G666" s="7"/>
      <c r="H666" s="118"/>
      <c r="I666" s="7"/>
      <c r="J666" s="7"/>
      <c r="K666" s="7"/>
      <c r="L666" s="7"/>
      <c r="M666" s="7"/>
      <c r="N666" s="7"/>
      <c r="O666" s="84" t="e" cm="1">
        <f t="array" ref="O666">_xlfn.XLOOKUP(1,(A666=Geotech!$A$4:$A$10094)*(Data_Discontinuities[[#This Row],[Depth (m)]]&gt;=Geotech!$C$4:$C$10094)*(Data_Discontinuities[[#This Row],[Depth (m)]]&lt;Geotech!$D$4:$D$10094),Geotech!$M$4:$M$10094)</f>
        <v>#N/A</v>
      </c>
      <c r="P666" s="84"/>
      <c r="Q666" s="84"/>
      <c r="R666" s="84"/>
      <c r="S6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6" s="71" t="str">
        <f>IFERROR(Data_Discontinuities[[#This Row],[Joint roughness]]/Data_Discontinuities[[#This Row],[Joint alteration]],"")</f>
        <v/>
      </c>
      <c r="V6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6" s="87"/>
    </row>
    <row r="667" spans="1:23" ht="15" customHeight="1" x14ac:dyDescent="0.25">
      <c r="A667" s="14" t="s">
        <v>34</v>
      </c>
      <c r="B667" s="17" t="str">
        <f>VLOOKUP(Data_Discontinuities[[#This Row],[Hole ID]],Data_Log[],2,FALSE)</f>
        <v>CGF-04</v>
      </c>
      <c r="C667" s="8">
        <v>117.62</v>
      </c>
      <c r="D667" s="8">
        <v>1</v>
      </c>
      <c r="E667" s="7" t="s">
        <v>481</v>
      </c>
      <c r="F667" s="7"/>
      <c r="G667" s="7"/>
      <c r="H667" s="118"/>
      <c r="I667" s="7"/>
      <c r="J667" s="7"/>
      <c r="K667" s="7"/>
      <c r="L667" s="7"/>
      <c r="M667" s="7"/>
      <c r="N667" s="7"/>
      <c r="O667" s="84" t="e" cm="1">
        <f t="array" ref="O667">_xlfn.XLOOKUP(1,(A667=Geotech!$A$4:$A$10094)*(Data_Discontinuities[[#This Row],[Depth (m)]]&gt;=Geotech!$C$4:$C$10094)*(Data_Discontinuities[[#This Row],[Depth (m)]]&lt;Geotech!$D$4:$D$10094),Geotech!$M$4:$M$10094)</f>
        <v>#N/A</v>
      </c>
      <c r="P667" s="84"/>
      <c r="Q667" s="84"/>
      <c r="R667" s="84"/>
      <c r="S6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7" s="71" t="str">
        <f>IFERROR(Data_Discontinuities[[#This Row],[Joint roughness]]/Data_Discontinuities[[#This Row],[Joint alteration]],"")</f>
        <v/>
      </c>
      <c r="V6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7" s="87"/>
    </row>
    <row r="668" spans="1:23" ht="15" customHeight="1" x14ac:dyDescent="0.25">
      <c r="A668" s="14" t="s">
        <v>34</v>
      </c>
      <c r="B668" s="17" t="str">
        <f>VLOOKUP(Data_Discontinuities[[#This Row],[Hole ID]],Data_Log[],2,FALSE)</f>
        <v>CGF-04</v>
      </c>
      <c r="C668" s="8">
        <v>118.36</v>
      </c>
      <c r="D668" s="8">
        <v>1</v>
      </c>
      <c r="E668" s="7" t="s">
        <v>445</v>
      </c>
      <c r="F668" s="7"/>
      <c r="G668" s="7"/>
      <c r="H668" s="118"/>
      <c r="I668" s="7"/>
      <c r="J668" s="7"/>
      <c r="K668" s="7"/>
      <c r="L668" s="7"/>
      <c r="M668" s="7"/>
      <c r="N668" s="7"/>
      <c r="O668" s="84" t="e" cm="1">
        <f t="array" ref="O668">_xlfn.XLOOKUP(1,(A668=Geotech!$A$4:$A$10094)*(Data_Discontinuities[[#This Row],[Depth (m)]]&gt;=Geotech!$C$4:$C$10094)*(Data_Discontinuities[[#This Row],[Depth (m)]]&lt;Geotech!$D$4:$D$10094),Geotech!$M$4:$M$10094)</f>
        <v>#N/A</v>
      </c>
      <c r="P668" s="84"/>
      <c r="Q668" s="84"/>
      <c r="R668" s="84"/>
      <c r="S6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8" s="71" t="str">
        <f>IFERROR(Data_Discontinuities[[#This Row],[Joint roughness]]/Data_Discontinuities[[#This Row],[Joint alteration]],"")</f>
        <v/>
      </c>
      <c r="V6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8" s="87"/>
    </row>
    <row r="669" spans="1:23" ht="15" customHeight="1" x14ac:dyDescent="0.25">
      <c r="A669" s="14" t="s">
        <v>34</v>
      </c>
      <c r="B669" s="17" t="str">
        <f>VLOOKUP(Data_Discontinuities[[#This Row],[Hole ID]],Data_Log[],2,FALSE)</f>
        <v>CGF-04</v>
      </c>
      <c r="C669" s="8">
        <v>119.32</v>
      </c>
      <c r="D669" s="8">
        <v>1</v>
      </c>
      <c r="E669" s="7" t="s">
        <v>420</v>
      </c>
      <c r="F669" s="7"/>
      <c r="G669" s="7"/>
      <c r="H669" s="118"/>
      <c r="I669" s="7"/>
      <c r="J669" s="7"/>
      <c r="K669" s="7"/>
      <c r="L669" s="7"/>
      <c r="M669" s="7"/>
      <c r="N669" s="7"/>
      <c r="O669" s="84" t="e" cm="1">
        <f t="array" ref="O669">_xlfn.XLOOKUP(1,(A669=Geotech!$A$4:$A$10094)*(Data_Discontinuities[[#This Row],[Depth (m)]]&gt;=Geotech!$C$4:$C$10094)*(Data_Discontinuities[[#This Row],[Depth (m)]]&lt;Geotech!$D$4:$D$10094),Geotech!$M$4:$M$10094)</f>
        <v>#N/A</v>
      </c>
      <c r="P669" s="84"/>
      <c r="Q669" s="84"/>
      <c r="R669" s="84"/>
      <c r="S6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69" s="71" t="str">
        <f>IFERROR(Data_Discontinuities[[#This Row],[Joint roughness]]/Data_Discontinuities[[#This Row],[Joint alteration]],"")</f>
        <v/>
      </c>
      <c r="V6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69" s="87"/>
    </row>
    <row r="670" spans="1:23" ht="15" customHeight="1" x14ac:dyDescent="0.25">
      <c r="A670" s="14" t="s">
        <v>34</v>
      </c>
      <c r="B670" s="17" t="str">
        <f>VLOOKUP(Data_Discontinuities[[#This Row],[Hole ID]],Data_Log[],2,FALSE)</f>
        <v>CGF-04</v>
      </c>
      <c r="C670" s="8">
        <v>119.66</v>
      </c>
      <c r="D670" s="8">
        <v>1</v>
      </c>
      <c r="E670" s="7" t="s">
        <v>420</v>
      </c>
      <c r="F670" s="7"/>
      <c r="G670" s="7"/>
      <c r="H670" s="118"/>
      <c r="I670" s="7"/>
      <c r="J670" s="7"/>
      <c r="K670" s="7"/>
      <c r="L670" s="7"/>
      <c r="M670" s="7"/>
      <c r="N670" s="7"/>
      <c r="O670" s="84" t="e" cm="1">
        <f t="array" ref="O670">_xlfn.XLOOKUP(1,(A670=Geotech!$A$4:$A$10094)*(Data_Discontinuities[[#This Row],[Depth (m)]]&gt;=Geotech!$C$4:$C$10094)*(Data_Discontinuities[[#This Row],[Depth (m)]]&lt;Geotech!$D$4:$D$10094),Geotech!$M$4:$M$10094)</f>
        <v>#N/A</v>
      </c>
      <c r="P670" s="84"/>
      <c r="Q670" s="84"/>
      <c r="R670" s="84"/>
      <c r="S6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0" s="71" t="str">
        <f>IFERROR(Data_Discontinuities[[#This Row],[Joint roughness]]/Data_Discontinuities[[#This Row],[Joint alteration]],"")</f>
        <v/>
      </c>
      <c r="V6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0" s="87"/>
    </row>
    <row r="671" spans="1:23" ht="15" customHeight="1" x14ac:dyDescent="0.25">
      <c r="A671" s="14" t="s">
        <v>34</v>
      </c>
      <c r="B671" s="17" t="str">
        <f>VLOOKUP(Data_Discontinuities[[#This Row],[Hole ID]],Data_Log[],2,FALSE)</f>
        <v>CGF-04</v>
      </c>
      <c r="C671" s="8"/>
      <c r="D671" s="8"/>
      <c r="E671" s="7"/>
      <c r="F671" s="7"/>
      <c r="G671" s="7"/>
      <c r="H671" s="118"/>
      <c r="I671" s="7"/>
      <c r="J671" s="7"/>
      <c r="K671" s="7"/>
      <c r="L671" s="7"/>
      <c r="M671" s="7"/>
      <c r="N671" s="7"/>
      <c r="O671" s="84" t="e" cm="1">
        <f t="array" ref="O671">_xlfn.XLOOKUP(1,(A671=Geotech!$A$4:$A$10094)*(Data_Discontinuities[[#This Row],[Depth (m)]]&gt;=Geotech!$C$4:$C$10094)*(Data_Discontinuities[[#This Row],[Depth (m)]]&lt;Geotech!$D$4:$D$10094),Geotech!$M$4:$M$10094)</f>
        <v>#N/A</v>
      </c>
      <c r="P671" s="84"/>
      <c r="Q671" s="84"/>
      <c r="R671" s="84"/>
      <c r="S6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1" s="71" t="str">
        <f>IFERROR(Data_Discontinuities[[#This Row],[Joint roughness]]/Data_Discontinuities[[#This Row],[Joint alteration]],"")</f>
        <v/>
      </c>
      <c r="V6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1" s="87"/>
    </row>
    <row r="672" spans="1:23" ht="15" customHeight="1" x14ac:dyDescent="0.25">
      <c r="A672" s="14" t="s">
        <v>34</v>
      </c>
      <c r="B672" s="17" t="str">
        <f>VLOOKUP(Data_Discontinuities[[#This Row],[Hole ID]],Data_Log[],2,FALSE)</f>
        <v>CGF-04</v>
      </c>
      <c r="C672" s="8"/>
      <c r="D672" s="8"/>
      <c r="E672" s="7"/>
      <c r="F672" s="7"/>
      <c r="G672" s="7"/>
      <c r="H672" s="118"/>
      <c r="I672" s="7"/>
      <c r="J672" s="7"/>
      <c r="K672" s="7"/>
      <c r="L672" s="7"/>
      <c r="M672" s="7"/>
      <c r="N672" s="7"/>
      <c r="O672" s="84" t="e" cm="1">
        <f t="array" ref="O672">_xlfn.XLOOKUP(1,(A672=Geotech!$A$4:$A$10094)*(Data_Discontinuities[[#This Row],[Depth (m)]]&gt;=Geotech!$C$4:$C$10094)*(Data_Discontinuities[[#This Row],[Depth (m)]]&lt;Geotech!$D$4:$D$10094),Geotech!$M$4:$M$10094)</f>
        <v>#N/A</v>
      </c>
      <c r="P672" s="84"/>
      <c r="Q672" s="84"/>
      <c r="R672" s="84"/>
      <c r="S6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2" s="71" t="str">
        <f>IFERROR(Data_Discontinuities[[#This Row],[Joint roughness]]/Data_Discontinuities[[#This Row],[Joint alteration]],"")</f>
        <v/>
      </c>
      <c r="V6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2" s="87"/>
    </row>
    <row r="673" spans="1:23" ht="15" customHeight="1" x14ac:dyDescent="0.25">
      <c r="A673" s="14" t="s">
        <v>34</v>
      </c>
      <c r="B673" s="17" t="str">
        <f>VLOOKUP(Data_Discontinuities[[#This Row],[Hole ID]],Data_Log[],2,FALSE)</f>
        <v>CGF-04</v>
      </c>
      <c r="C673" s="8"/>
      <c r="D673" s="8"/>
      <c r="E673" s="7"/>
      <c r="F673" s="7"/>
      <c r="G673" s="7"/>
      <c r="H673" s="118"/>
      <c r="I673" s="7"/>
      <c r="J673" s="7"/>
      <c r="K673" s="7"/>
      <c r="L673" s="7"/>
      <c r="M673" s="7"/>
      <c r="N673" s="7"/>
      <c r="O673" s="84" t="e" cm="1">
        <f t="array" ref="O673">_xlfn.XLOOKUP(1,(A673=Geotech!$A$4:$A$10094)*(Data_Discontinuities[[#This Row],[Depth (m)]]&gt;=Geotech!$C$4:$C$10094)*(Data_Discontinuities[[#This Row],[Depth (m)]]&lt;Geotech!$D$4:$D$10094),Geotech!$M$4:$M$10094)</f>
        <v>#N/A</v>
      </c>
      <c r="P673" s="84"/>
      <c r="Q673" s="84"/>
      <c r="R673" s="84"/>
      <c r="S6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3" s="71" t="str">
        <f>IFERROR(Data_Discontinuities[[#This Row],[Joint roughness]]/Data_Discontinuities[[#This Row],[Joint alteration]],"")</f>
        <v/>
      </c>
      <c r="V6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3" s="87"/>
    </row>
    <row r="674" spans="1:23" ht="15" customHeight="1" x14ac:dyDescent="0.25">
      <c r="A674" s="14" t="s">
        <v>34</v>
      </c>
      <c r="B674" s="17" t="str">
        <f>VLOOKUP(Data_Discontinuities[[#This Row],[Hole ID]],Data_Log[],2,FALSE)</f>
        <v>CGF-04</v>
      </c>
      <c r="C674" s="8"/>
      <c r="D674" s="8"/>
      <c r="E674" s="7"/>
      <c r="F674" s="7"/>
      <c r="G674" s="7"/>
      <c r="H674" s="118"/>
      <c r="I674" s="7"/>
      <c r="J674" s="7"/>
      <c r="K674" s="7"/>
      <c r="L674" s="7"/>
      <c r="M674" s="7"/>
      <c r="N674" s="7"/>
      <c r="O674" s="84" t="e" cm="1">
        <f t="array" ref="O674">_xlfn.XLOOKUP(1,(A674=Geotech!$A$4:$A$10094)*(Data_Discontinuities[[#This Row],[Depth (m)]]&gt;=Geotech!$C$4:$C$10094)*(Data_Discontinuities[[#This Row],[Depth (m)]]&lt;Geotech!$D$4:$D$10094),Geotech!$M$4:$M$10094)</f>
        <v>#N/A</v>
      </c>
      <c r="P674" s="84"/>
      <c r="Q674" s="84"/>
      <c r="R674" s="84"/>
      <c r="S6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4" s="71" t="str">
        <f>IFERROR(Data_Discontinuities[[#This Row],[Joint roughness]]/Data_Discontinuities[[#This Row],[Joint alteration]],"")</f>
        <v/>
      </c>
      <c r="V6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4" s="87"/>
    </row>
    <row r="675" spans="1:23" ht="15" customHeight="1" x14ac:dyDescent="0.25">
      <c r="B675" s="17" t="e">
        <f>VLOOKUP(Data_Discontinuities[[#This Row],[Hole ID]],Data_Log[],2,FALSE)</f>
        <v>#N/A</v>
      </c>
      <c r="C675" s="8"/>
      <c r="D675" s="8"/>
      <c r="E675" s="7"/>
      <c r="F675" s="7"/>
      <c r="G675" s="7"/>
      <c r="H675" s="118"/>
      <c r="I675" s="7"/>
      <c r="J675" s="7"/>
      <c r="K675" s="7"/>
      <c r="L675" s="7"/>
      <c r="M675" s="7"/>
      <c r="N675" s="7"/>
      <c r="O675" s="84" t="e" cm="1">
        <f t="array" ref="O675">_xlfn.XLOOKUP(1,(A675=Geotech!$A$4:$A$10094)*(Data_Discontinuities[[#This Row],[Depth (m)]]&gt;=Geotech!$C$4:$C$10094)*(Data_Discontinuities[[#This Row],[Depth (m)]]&lt;Geotech!$D$4:$D$10094),Geotech!$M$4:$M$10094)</f>
        <v>#N/A</v>
      </c>
      <c r="P675" s="84"/>
      <c r="Q675" s="84"/>
      <c r="R675" s="84"/>
      <c r="S6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5" s="71" t="str">
        <f>IFERROR(Data_Discontinuities[[#This Row],[Joint roughness]]/Data_Discontinuities[[#This Row],[Joint alteration]],"")</f>
        <v/>
      </c>
      <c r="V6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5" s="87"/>
    </row>
    <row r="676" spans="1:23" ht="15" customHeight="1" x14ac:dyDescent="0.25">
      <c r="B676" s="17" t="e">
        <f>VLOOKUP(Data_Discontinuities[[#This Row],[Hole ID]],Data_Log[],2,FALSE)</f>
        <v>#N/A</v>
      </c>
      <c r="C676" s="8"/>
      <c r="D676" s="8"/>
      <c r="E676" s="7"/>
      <c r="F676" s="7"/>
      <c r="G676" s="7"/>
      <c r="H676" s="118"/>
      <c r="I676" s="7"/>
      <c r="J676" s="7"/>
      <c r="K676" s="7"/>
      <c r="L676" s="7"/>
      <c r="M676" s="7"/>
      <c r="N676" s="7"/>
      <c r="O676" s="84" t="e" cm="1">
        <f t="array" ref="O676">_xlfn.XLOOKUP(1,(A676=Geotech!$A$4:$A$10094)*(Data_Discontinuities[[#This Row],[Depth (m)]]&gt;=Geotech!$C$4:$C$10094)*(Data_Discontinuities[[#This Row],[Depth (m)]]&lt;Geotech!$D$4:$D$10094),Geotech!$M$4:$M$10094)</f>
        <v>#N/A</v>
      </c>
      <c r="P676" s="84"/>
      <c r="Q676" s="84"/>
      <c r="R676" s="84"/>
      <c r="S6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6" s="71" t="str">
        <f>IFERROR(Data_Discontinuities[[#This Row],[Joint roughness]]/Data_Discontinuities[[#This Row],[Joint alteration]],"")</f>
        <v/>
      </c>
      <c r="V6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6" s="87"/>
    </row>
    <row r="677" spans="1:23" ht="15" customHeight="1" x14ac:dyDescent="0.25">
      <c r="B677" s="17" t="e">
        <f>VLOOKUP(Data_Discontinuities[[#This Row],[Hole ID]],Data_Log[],2,FALSE)</f>
        <v>#N/A</v>
      </c>
      <c r="C677" s="8"/>
      <c r="D677" s="8"/>
      <c r="E677" s="7"/>
      <c r="F677" s="7"/>
      <c r="G677" s="7"/>
      <c r="H677" s="118"/>
      <c r="I677" s="7"/>
      <c r="J677" s="7"/>
      <c r="K677" s="7"/>
      <c r="L677" s="7"/>
      <c r="M677" s="7"/>
      <c r="N677" s="7"/>
      <c r="O677" s="84" t="e" cm="1">
        <f t="array" ref="O677">_xlfn.XLOOKUP(1,(A677=Geotech!$A$4:$A$10094)*(Data_Discontinuities[[#This Row],[Depth (m)]]&gt;=Geotech!$C$4:$C$10094)*(Data_Discontinuities[[#This Row],[Depth (m)]]&lt;Geotech!$D$4:$D$10094),Geotech!$M$4:$M$10094)</f>
        <v>#N/A</v>
      </c>
      <c r="P677" s="84"/>
      <c r="Q677" s="84"/>
      <c r="R677" s="84"/>
      <c r="S6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7" s="71" t="str">
        <f>IFERROR(Data_Discontinuities[[#This Row],[Joint roughness]]/Data_Discontinuities[[#This Row],[Joint alteration]],"")</f>
        <v/>
      </c>
      <c r="V6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7" s="87"/>
    </row>
    <row r="678" spans="1:23" ht="15" customHeight="1" x14ac:dyDescent="0.25">
      <c r="B678" s="17" t="e">
        <f>VLOOKUP(Data_Discontinuities[[#This Row],[Hole ID]],Data_Log[],2,FALSE)</f>
        <v>#N/A</v>
      </c>
      <c r="C678" s="8"/>
      <c r="D678" s="8"/>
      <c r="E678" s="7"/>
      <c r="F678" s="7"/>
      <c r="G678" s="7"/>
      <c r="H678" s="118"/>
      <c r="I678" s="7"/>
      <c r="J678" s="7"/>
      <c r="K678" s="7"/>
      <c r="L678" s="7"/>
      <c r="M678" s="7"/>
      <c r="N678" s="7"/>
      <c r="O678" s="84" t="e" cm="1">
        <f t="array" ref="O678">_xlfn.XLOOKUP(1,(A678=Geotech!$A$4:$A$10094)*(Data_Discontinuities[[#This Row],[Depth (m)]]&gt;=Geotech!$C$4:$C$10094)*(Data_Discontinuities[[#This Row],[Depth (m)]]&lt;Geotech!$D$4:$D$10094),Geotech!$M$4:$M$10094)</f>
        <v>#N/A</v>
      </c>
      <c r="P678" s="84"/>
      <c r="Q678" s="84"/>
      <c r="R678" s="84"/>
      <c r="S6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8" s="71" t="str">
        <f>IFERROR(Data_Discontinuities[[#This Row],[Joint roughness]]/Data_Discontinuities[[#This Row],[Joint alteration]],"")</f>
        <v/>
      </c>
      <c r="V6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8" s="87"/>
    </row>
    <row r="679" spans="1:23" ht="15" customHeight="1" x14ac:dyDescent="0.25">
      <c r="B679" s="17" t="e">
        <f>VLOOKUP(Data_Discontinuities[[#This Row],[Hole ID]],Data_Log[],2,FALSE)</f>
        <v>#N/A</v>
      </c>
      <c r="C679" s="8"/>
      <c r="D679" s="8"/>
      <c r="E679" s="7"/>
      <c r="F679" s="7"/>
      <c r="G679" s="7"/>
      <c r="H679" s="118"/>
      <c r="I679" s="7"/>
      <c r="J679" s="7"/>
      <c r="K679" s="7"/>
      <c r="L679" s="7"/>
      <c r="M679" s="7"/>
      <c r="N679" s="7"/>
      <c r="O679" s="84" t="e" cm="1">
        <f t="array" ref="O679">_xlfn.XLOOKUP(1,(A679=Geotech!$A$4:$A$10094)*(Data_Discontinuities[[#This Row],[Depth (m)]]&gt;=Geotech!$C$4:$C$10094)*(Data_Discontinuities[[#This Row],[Depth (m)]]&lt;Geotech!$D$4:$D$10094),Geotech!$M$4:$M$10094)</f>
        <v>#N/A</v>
      </c>
      <c r="P679" s="84"/>
      <c r="Q679" s="84"/>
      <c r="R679" s="84"/>
      <c r="S6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79" s="71" t="str">
        <f>IFERROR(Data_Discontinuities[[#This Row],[Joint roughness]]/Data_Discontinuities[[#This Row],[Joint alteration]],"")</f>
        <v/>
      </c>
      <c r="V6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79" s="87"/>
    </row>
    <row r="680" spans="1:23" ht="15" customHeight="1" x14ac:dyDescent="0.25">
      <c r="B680" s="17" t="e">
        <f>VLOOKUP(Data_Discontinuities[[#This Row],[Hole ID]],Data_Log[],2,FALSE)</f>
        <v>#N/A</v>
      </c>
      <c r="C680" s="8"/>
      <c r="D680" s="8"/>
      <c r="E680" s="7"/>
      <c r="F680" s="7"/>
      <c r="G680" s="7"/>
      <c r="H680" s="118"/>
      <c r="I680" s="7"/>
      <c r="J680" s="7"/>
      <c r="K680" s="7"/>
      <c r="L680" s="7"/>
      <c r="M680" s="7"/>
      <c r="N680" s="7"/>
      <c r="O680" s="84" t="e" cm="1">
        <f t="array" ref="O680">_xlfn.XLOOKUP(1,(A680=Geotech!$A$4:$A$10094)*(Data_Discontinuities[[#This Row],[Depth (m)]]&gt;=Geotech!$C$4:$C$10094)*(Data_Discontinuities[[#This Row],[Depth (m)]]&lt;Geotech!$D$4:$D$10094),Geotech!$M$4:$M$10094)</f>
        <v>#N/A</v>
      </c>
      <c r="P680" s="84"/>
      <c r="Q680" s="84"/>
      <c r="R680" s="84"/>
      <c r="S6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0" s="71" t="str">
        <f>IFERROR(Data_Discontinuities[[#This Row],[Joint roughness]]/Data_Discontinuities[[#This Row],[Joint alteration]],"")</f>
        <v/>
      </c>
      <c r="V6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0" s="87"/>
    </row>
    <row r="681" spans="1:23" ht="15" customHeight="1" x14ac:dyDescent="0.25">
      <c r="B681" s="17" t="e">
        <f>VLOOKUP(Data_Discontinuities[[#This Row],[Hole ID]],Data_Log[],2,FALSE)</f>
        <v>#N/A</v>
      </c>
      <c r="C681" s="8"/>
      <c r="D681" s="8"/>
      <c r="E681" s="7"/>
      <c r="F681" s="7"/>
      <c r="G681" s="7"/>
      <c r="H681" s="118"/>
      <c r="I681" s="7"/>
      <c r="J681" s="7"/>
      <c r="K681" s="7"/>
      <c r="L681" s="7"/>
      <c r="M681" s="7"/>
      <c r="N681" s="7"/>
      <c r="O681" s="84" t="e" cm="1">
        <f t="array" ref="O681">_xlfn.XLOOKUP(1,(A681=Geotech!$A$4:$A$10094)*(Data_Discontinuities[[#This Row],[Depth (m)]]&gt;=Geotech!$C$4:$C$10094)*(Data_Discontinuities[[#This Row],[Depth (m)]]&lt;Geotech!$D$4:$D$10094),Geotech!$M$4:$M$10094)</f>
        <v>#N/A</v>
      </c>
      <c r="P681" s="84"/>
      <c r="Q681" s="84"/>
      <c r="R681" s="84"/>
      <c r="S6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1" s="71" t="str">
        <f>IFERROR(Data_Discontinuities[[#This Row],[Joint roughness]]/Data_Discontinuities[[#This Row],[Joint alteration]],"")</f>
        <v/>
      </c>
      <c r="V6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1" s="87"/>
    </row>
    <row r="682" spans="1:23" ht="15" customHeight="1" x14ac:dyDescent="0.25">
      <c r="B682" s="17" t="e">
        <f>VLOOKUP(Data_Discontinuities[[#This Row],[Hole ID]],Data_Log[],2,FALSE)</f>
        <v>#N/A</v>
      </c>
      <c r="C682" s="8"/>
      <c r="D682" s="8"/>
      <c r="E682" s="7"/>
      <c r="F682" s="7"/>
      <c r="G682" s="7"/>
      <c r="H682" s="118"/>
      <c r="I682" s="7"/>
      <c r="J682" s="7"/>
      <c r="K682" s="7"/>
      <c r="L682" s="7"/>
      <c r="M682" s="7"/>
      <c r="N682" s="7"/>
      <c r="O682" s="84" t="e" cm="1">
        <f t="array" ref="O682">_xlfn.XLOOKUP(1,(A682=Geotech!$A$4:$A$10094)*(Data_Discontinuities[[#This Row],[Depth (m)]]&gt;=Geotech!$C$4:$C$10094)*(Data_Discontinuities[[#This Row],[Depth (m)]]&lt;Geotech!$D$4:$D$10094),Geotech!$M$4:$M$10094)</f>
        <v>#N/A</v>
      </c>
      <c r="P682" s="84"/>
      <c r="Q682" s="84"/>
      <c r="R682" s="84"/>
      <c r="S6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2" s="71" t="str">
        <f>IFERROR(Data_Discontinuities[[#This Row],[Joint roughness]]/Data_Discontinuities[[#This Row],[Joint alteration]],"")</f>
        <v/>
      </c>
      <c r="V6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2" s="87"/>
    </row>
    <row r="683" spans="1:23" ht="15" customHeight="1" x14ac:dyDescent="0.25">
      <c r="B683" s="17" t="e">
        <f>VLOOKUP(Data_Discontinuities[[#This Row],[Hole ID]],Data_Log[],2,FALSE)</f>
        <v>#N/A</v>
      </c>
      <c r="C683" s="8"/>
      <c r="D683" s="8"/>
      <c r="E683" s="7"/>
      <c r="F683" s="7"/>
      <c r="G683" s="7"/>
      <c r="H683" s="118"/>
      <c r="I683" s="7"/>
      <c r="J683" s="7"/>
      <c r="K683" s="7"/>
      <c r="L683" s="7"/>
      <c r="M683" s="7"/>
      <c r="N683" s="7"/>
      <c r="O683" s="84" t="e" cm="1">
        <f t="array" ref="O683">_xlfn.XLOOKUP(1,(A683=Geotech!$A$4:$A$10094)*(Data_Discontinuities[[#This Row],[Depth (m)]]&gt;=Geotech!$C$4:$C$10094)*(Data_Discontinuities[[#This Row],[Depth (m)]]&lt;Geotech!$D$4:$D$10094),Geotech!$M$4:$M$10094)</f>
        <v>#N/A</v>
      </c>
      <c r="P683" s="84"/>
      <c r="Q683" s="84"/>
      <c r="R683" s="84"/>
      <c r="S6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3" s="71" t="str">
        <f>IFERROR(Data_Discontinuities[[#This Row],[Joint roughness]]/Data_Discontinuities[[#This Row],[Joint alteration]],"")</f>
        <v/>
      </c>
      <c r="V6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3" s="87"/>
    </row>
    <row r="684" spans="1:23" ht="15" customHeight="1" x14ac:dyDescent="0.25">
      <c r="B684" s="17" t="e">
        <f>VLOOKUP(Data_Discontinuities[[#This Row],[Hole ID]],Data_Log[],2,FALSE)</f>
        <v>#N/A</v>
      </c>
      <c r="C684" s="8"/>
      <c r="D684" s="8"/>
      <c r="E684" s="7"/>
      <c r="F684" s="7"/>
      <c r="G684" s="7"/>
      <c r="H684" s="118"/>
      <c r="I684" s="7"/>
      <c r="J684" s="7"/>
      <c r="K684" s="7"/>
      <c r="L684" s="7"/>
      <c r="M684" s="7"/>
      <c r="N684" s="7"/>
      <c r="O684" s="84" t="e" cm="1">
        <f t="array" ref="O684">_xlfn.XLOOKUP(1,(A684=Geotech!$A$4:$A$10094)*(Data_Discontinuities[[#This Row],[Depth (m)]]&gt;=Geotech!$C$4:$C$10094)*(Data_Discontinuities[[#This Row],[Depth (m)]]&lt;Geotech!$D$4:$D$10094),Geotech!$M$4:$M$10094)</f>
        <v>#N/A</v>
      </c>
      <c r="P684" s="84"/>
      <c r="Q684" s="84"/>
      <c r="R684" s="84"/>
      <c r="S6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4" s="71" t="str">
        <f>IFERROR(Data_Discontinuities[[#This Row],[Joint roughness]]/Data_Discontinuities[[#This Row],[Joint alteration]],"")</f>
        <v/>
      </c>
      <c r="V6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4" s="87"/>
    </row>
    <row r="685" spans="1:23" ht="15" customHeight="1" x14ac:dyDescent="0.25">
      <c r="B685" s="17" t="e">
        <f>VLOOKUP(Data_Discontinuities[[#This Row],[Hole ID]],Data_Log[],2,FALSE)</f>
        <v>#N/A</v>
      </c>
      <c r="C685" s="8"/>
      <c r="D685" s="8"/>
      <c r="E685" s="7"/>
      <c r="F685" s="7"/>
      <c r="G685" s="7"/>
      <c r="H685" s="118"/>
      <c r="I685" s="7"/>
      <c r="J685" s="7"/>
      <c r="K685" s="7"/>
      <c r="L685" s="7"/>
      <c r="M685" s="7"/>
      <c r="N685" s="7"/>
      <c r="O685" s="84" t="e" cm="1">
        <f t="array" ref="O685">_xlfn.XLOOKUP(1,(A685=Geotech!$A$4:$A$10094)*(Data_Discontinuities[[#This Row],[Depth (m)]]&gt;=Geotech!$C$4:$C$10094)*(Data_Discontinuities[[#This Row],[Depth (m)]]&lt;Geotech!$D$4:$D$10094),Geotech!$M$4:$M$10094)</f>
        <v>#N/A</v>
      </c>
      <c r="P685" s="84"/>
      <c r="Q685" s="84"/>
      <c r="R685" s="84"/>
      <c r="S6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5" s="71" t="str">
        <f>IFERROR(Data_Discontinuities[[#This Row],[Joint roughness]]/Data_Discontinuities[[#This Row],[Joint alteration]],"")</f>
        <v/>
      </c>
      <c r="V6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5" s="87"/>
    </row>
    <row r="686" spans="1:23" ht="15" customHeight="1" x14ac:dyDescent="0.25">
      <c r="B686" s="17" t="e">
        <f>VLOOKUP(Data_Discontinuities[[#This Row],[Hole ID]],Data_Log[],2,FALSE)</f>
        <v>#N/A</v>
      </c>
      <c r="C686" s="8"/>
      <c r="D686" s="8"/>
      <c r="E686" s="7"/>
      <c r="F686" s="7"/>
      <c r="G686" s="7"/>
      <c r="H686" s="118"/>
      <c r="I686" s="7"/>
      <c r="J686" s="7"/>
      <c r="K686" s="7"/>
      <c r="L686" s="7"/>
      <c r="M686" s="7"/>
      <c r="N686" s="7"/>
      <c r="O686" s="84" t="e" cm="1">
        <f t="array" ref="O686">_xlfn.XLOOKUP(1,(A686=Geotech!$A$4:$A$10094)*(Data_Discontinuities[[#This Row],[Depth (m)]]&gt;=Geotech!$C$4:$C$10094)*(Data_Discontinuities[[#This Row],[Depth (m)]]&lt;Geotech!$D$4:$D$10094),Geotech!$M$4:$M$10094)</f>
        <v>#N/A</v>
      </c>
      <c r="P686" s="84"/>
      <c r="Q686" s="84"/>
      <c r="R686" s="84"/>
      <c r="S6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6" s="71" t="str">
        <f>IFERROR(Data_Discontinuities[[#This Row],[Joint roughness]]/Data_Discontinuities[[#This Row],[Joint alteration]],"")</f>
        <v/>
      </c>
      <c r="V6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6" s="87"/>
    </row>
    <row r="687" spans="1:23" ht="15" customHeight="1" x14ac:dyDescent="0.25">
      <c r="B687" s="17" t="e">
        <f>VLOOKUP(Data_Discontinuities[[#This Row],[Hole ID]],Data_Log[],2,FALSE)</f>
        <v>#N/A</v>
      </c>
      <c r="C687" s="8"/>
      <c r="D687" s="8"/>
      <c r="E687" s="7"/>
      <c r="F687" s="7"/>
      <c r="G687" s="7"/>
      <c r="H687" s="118"/>
      <c r="I687" s="7"/>
      <c r="J687" s="7"/>
      <c r="K687" s="7"/>
      <c r="L687" s="7"/>
      <c r="M687" s="7"/>
      <c r="N687" s="7"/>
      <c r="O687" s="84" t="e" cm="1">
        <f t="array" ref="O687">_xlfn.XLOOKUP(1,(A687=Geotech!$A$4:$A$10094)*(Data_Discontinuities[[#This Row],[Depth (m)]]&gt;=Geotech!$C$4:$C$10094)*(Data_Discontinuities[[#This Row],[Depth (m)]]&lt;Geotech!$D$4:$D$10094),Geotech!$M$4:$M$10094)</f>
        <v>#N/A</v>
      </c>
      <c r="P687" s="84"/>
      <c r="Q687" s="84"/>
      <c r="R687" s="84"/>
      <c r="S6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7" s="71" t="str">
        <f>IFERROR(Data_Discontinuities[[#This Row],[Joint roughness]]/Data_Discontinuities[[#This Row],[Joint alteration]],"")</f>
        <v/>
      </c>
      <c r="V6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7" s="87"/>
    </row>
    <row r="688" spans="1:23" ht="15" customHeight="1" x14ac:dyDescent="0.25">
      <c r="B688" s="17" t="e">
        <f>VLOOKUP(Data_Discontinuities[[#This Row],[Hole ID]],Data_Log[],2,FALSE)</f>
        <v>#N/A</v>
      </c>
      <c r="C688" s="8"/>
      <c r="D688" s="8"/>
      <c r="E688" s="7"/>
      <c r="F688" s="7"/>
      <c r="G688" s="7"/>
      <c r="H688" s="118"/>
      <c r="I688" s="7"/>
      <c r="J688" s="7"/>
      <c r="K688" s="7"/>
      <c r="L688" s="7"/>
      <c r="M688" s="7"/>
      <c r="N688" s="7"/>
      <c r="O688" s="84" t="e" cm="1">
        <f t="array" ref="O688">_xlfn.XLOOKUP(1,(A688=Geotech!$A$4:$A$10094)*(Data_Discontinuities[[#This Row],[Depth (m)]]&gt;=Geotech!$C$4:$C$10094)*(Data_Discontinuities[[#This Row],[Depth (m)]]&lt;Geotech!$D$4:$D$10094),Geotech!$M$4:$M$10094)</f>
        <v>#N/A</v>
      </c>
      <c r="P688" s="84"/>
      <c r="Q688" s="84"/>
      <c r="R688" s="84"/>
      <c r="S6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8" s="71" t="str">
        <f>IFERROR(Data_Discontinuities[[#This Row],[Joint roughness]]/Data_Discontinuities[[#This Row],[Joint alteration]],"")</f>
        <v/>
      </c>
      <c r="V6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8" s="87"/>
    </row>
    <row r="689" spans="2:23" ht="15" customHeight="1" x14ac:dyDescent="0.25">
      <c r="B689" s="17" t="e">
        <f>VLOOKUP(Data_Discontinuities[[#This Row],[Hole ID]],Data_Log[],2,FALSE)</f>
        <v>#N/A</v>
      </c>
      <c r="C689" s="8"/>
      <c r="D689" s="8"/>
      <c r="E689" s="7"/>
      <c r="F689" s="7"/>
      <c r="G689" s="7"/>
      <c r="H689" s="118"/>
      <c r="I689" s="7"/>
      <c r="J689" s="7"/>
      <c r="K689" s="7"/>
      <c r="L689" s="7"/>
      <c r="M689" s="7"/>
      <c r="N689" s="7"/>
      <c r="O689" s="84" t="e" cm="1">
        <f t="array" ref="O689">_xlfn.XLOOKUP(1,(A689=Geotech!$A$4:$A$10094)*(Data_Discontinuities[[#This Row],[Depth (m)]]&gt;=Geotech!$C$4:$C$10094)*(Data_Discontinuities[[#This Row],[Depth (m)]]&lt;Geotech!$D$4:$D$10094),Geotech!$M$4:$M$10094)</f>
        <v>#N/A</v>
      </c>
      <c r="P689" s="84"/>
      <c r="Q689" s="84"/>
      <c r="R689" s="84"/>
      <c r="S6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89" s="71" t="str">
        <f>IFERROR(Data_Discontinuities[[#This Row],[Joint roughness]]/Data_Discontinuities[[#This Row],[Joint alteration]],"")</f>
        <v/>
      </c>
      <c r="V6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89" s="87"/>
    </row>
    <row r="690" spans="2:23" ht="15" customHeight="1" x14ac:dyDescent="0.25">
      <c r="B690" s="17" t="e">
        <f>VLOOKUP(Data_Discontinuities[[#This Row],[Hole ID]],Data_Log[],2,FALSE)</f>
        <v>#N/A</v>
      </c>
      <c r="C690" s="8"/>
      <c r="D690" s="8"/>
      <c r="E690" s="7"/>
      <c r="F690" s="7"/>
      <c r="G690" s="7"/>
      <c r="H690" s="118"/>
      <c r="I690" s="7"/>
      <c r="J690" s="7"/>
      <c r="K690" s="7"/>
      <c r="L690" s="7"/>
      <c r="M690" s="7"/>
      <c r="N690" s="7"/>
      <c r="O690" s="84" t="e" cm="1">
        <f t="array" ref="O690">_xlfn.XLOOKUP(1,(A690=Geotech!$A$4:$A$10094)*(Data_Discontinuities[[#This Row],[Depth (m)]]&gt;=Geotech!$C$4:$C$10094)*(Data_Discontinuities[[#This Row],[Depth (m)]]&lt;Geotech!$D$4:$D$10094),Geotech!$M$4:$M$10094)</f>
        <v>#N/A</v>
      </c>
      <c r="P690" s="84"/>
      <c r="Q690" s="84"/>
      <c r="R690" s="84"/>
      <c r="S6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0" s="71" t="str">
        <f>IFERROR(Data_Discontinuities[[#This Row],[Joint roughness]]/Data_Discontinuities[[#This Row],[Joint alteration]],"")</f>
        <v/>
      </c>
      <c r="V6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0" s="87"/>
    </row>
    <row r="691" spans="2:23" ht="15" customHeight="1" x14ac:dyDescent="0.25">
      <c r="B691" s="17" t="e">
        <f>VLOOKUP(Data_Discontinuities[[#This Row],[Hole ID]],Data_Log[],2,FALSE)</f>
        <v>#N/A</v>
      </c>
      <c r="C691" s="8"/>
      <c r="D691" s="8"/>
      <c r="E691" s="7"/>
      <c r="F691" s="7"/>
      <c r="G691" s="7"/>
      <c r="H691" s="118"/>
      <c r="I691" s="7"/>
      <c r="J691" s="7"/>
      <c r="K691" s="7"/>
      <c r="L691" s="7"/>
      <c r="M691" s="7"/>
      <c r="N691" s="7"/>
      <c r="O691" s="84" t="e" cm="1">
        <f t="array" ref="O691">_xlfn.XLOOKUP(1,(A691=Geotech!$A$4:$A$10094)*(Data_Discontinuities[[#This Row],[Depth (m)]]&gt;=Geotech!$C$4:$C$10094)*(Data_Discontinuities[[#This Row],[Depth (m)]]&lt;Geotech!$D$4:$D$10094),Geotech!$M$4:$M$10094)</f>
        <v>#N/A</v>
      </c>
      <c r="P691" s="84"/>
      <c r="Q691" s="84"/>
      <c r="R691" s="84"/>
      <c r="S6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1" s="71" t="str">
        <f>IFERROR(Data_Discontinuities[[#This Row],[Joint roughness]]/Data_Discontinuities[[#This Row],[Joint alteration]],"")</f>
        <v/>
      </c>
      <c r="V6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1" s="87"/>
    </row>
    <row r="692" spans="2:23" ht="15" customHeight="1" x14ac:dyDescent="0.25">
      <c r="B692" s="17" t="e">
        <f>VLOOKUP(Data_Discontinuities[[#This Row],[Hole ID]],Data_Log[],2,FALSE)</f>
        <v>#N/A</v>
      </c>
      <c r="C692" s="8"/>
      <c r="D692" s="8"/>
      <c r="E692" s="7"/>
      <c r="F692" s="7"/>
      <c r="G692" s="7"/>
      <c r="H692" s="118"/>
      <c r="I692" s="7"/>
      <c r="J692" s="7"/>
      <c r="K692" s="7"/>
      <c r="L692" s="7"/>
      <c r="M692" s="7"/>
      <c r="N692" s="7"/>
      <c r="O692" s="84" t="e" cm="1">
        <f t="array" ref="O692">_xlfn.XLOOKUP(1,(A692=Geotech!$A$4:$A$10094)*(Data_Discontinuities[[#This Row],[Depth (m)]]&gt;=Geotech!$C$4:$C$10094)*(Data_Discontinuities[[#This Row],[Depth (m)]]&lt;Geotech!$D$4:$D$10094),Geotech!$M$4:$M$10094)</f>
        <v>#N/A</v>
      </c>
      <c r="P692" s="84"/>
      <c r="Q692" s="84"/>
      <c r="R692" s="84"/>
      <c r="S6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2" s="71" t="str">
        <f>IFERROR(Data_Discontinuities[[#This Row],[Joint roughness]]/Data_Discontinuities[[#This Row],[Joint alteration]],"")</f>
        <v/>
      </c>
      <c r="V6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2" s="87"/>
    </row>
    <row r="693" spans="2:23" ht="15" customHeight="1" x14ac:dyDescent="0.25">
      <c r="B693" s="17" t="e">
        <f>VLOOKUP(Data_Discontinuities[[#This Row],[Hole ID]],Data_Log[],2,FALSE)</f>
        <v>#N/A</v>
      </c>
      <c r="C693" s="8"/>
      <c r="D693" s="8"/>
      <c r="E693" s="7"/>
      <c r="F693" s="7"/>
      <c r="G693" s="7"/>
      <c r="H693" s="118"/>
      <c r="I693" s="7"/>
      <c r="J693" s="7"/>
      <c r="K693" s="7"/>
      <c r="L693" s="7"/>
      <c r="M693" s="7"/>
      <c r="N693" s="7"/>
      <c r="O693" s="84" t="e" cm="1">
        <f t="array" ref="O693">_xlfn.XLOOKUP(1,(A693=Geotech!$A$4:$A$10094)*(Data_Discontinuities[[#This Row],[Depth (m)]]&gt;=Geotech!$C$4:$C$10094)*(Data_Discontinuities[[#This Row],[Depth (m)]]&lt;Geotech!$D$4:$D$10094),Geotech!$M$4:$M$10094)</f>
        <v>#N/A</v>
      </c>
      <c r="P693" s="84"/>
      <c r="Q693" s="84"/>
      <c r="R693" s="84"/>
      <c r="S6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3" s="71" t="str">
        <f>IFERROR(Data_Discontinuities[[#This Row],[Joint roughness]]/Data_Discontinuities[[#This Row],[Joint alteration]],"")</f>
        <v/>
      </c>
      <c r="V6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3" s="87"/>
    </row>
    <row r="694" spans="2:23" ht="15" customHeight="1" x14ac:dyDescent="0.25">
      <c r="B694" s="17" t="e">
        <f>VLOOKUP(Data_Discontinuities[[#This Row],[Hole ID]],Data_Log[],2,FALSE)</f>
        <v>#N/A</v>
      </c>
      <c r="C694" s="8"/>
      <c r="D694" s="8"/>
      <c r="E694" s="7"/>
      <c r="F694" s="7"/>
      <c r="G694" s="7"/>
      <c r="H694" s="118"/>
      <c r="I694" s="7"/>
      <c r="J694" s="7"/>
      <c r="K694" s="7"/>
      <c r="L694" s="7"/>
      <c r="M694" s="7"/>
      <c r="N694" s="7"/>
      <c r="O694" s="84" t="e" cm="1">
        <f t="array" ref="O694">_xlfn.XLOOKUP(1,(A694=Geotech!$A$4:$A$10094)*(Data_Discontinuities[[#This Row],[Depth (m)]]&gt;=Geotech!$C$4:$C$10094)*(Data_Discontinuities[[#This Row],[Depth (m)]]&lt;Geotech!$D$4:$D$10094),Geotech!$M$4:$M$10094)</f>
        <v>#N/A</v>
      </c>
      <c r="P694" s="84"/>
      <c r="Q694" s="84"/>
      <c r="R694" s="84"/>
      <c r="S6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4" s="71" t="str">
        <f>IFERROR(Data_Discontinuities[[#This Row],[Joint roughness]]/Data_Discontinuities[[#This Row],[Joint alteration]],"")</f>
        <v/>
      </c>
      <c r="V6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4" s="87"/>
    </row>
    <row r="695" spans="2:23" ht="15" customHeight="1" x14ac:dyDescent="0.25">
      <c r="B695" s="17" t="e">
        <f>VLOOKUP(Data_Discontinuities[[#This Row],[Hole ID]],Data_Log[],2,FALSE)</f>
        <v>#N/A</v>
      </c>
      <c r="C695" s="8"/>
      <c r="D695" s="8"/>
      <c r="E695" s="7"/>
      <c r="F695" s="7"/>
      <c r="G695" s="7"/>
      <c r="H695" s="118"/>
      <c r="I695" s="7"/>
      <c r="J695" s="7"/>
      <c r="K695" s="7"/>
      <c r="L695" s="7"/>
      <c r="M695" s="7"/>
      <c r="N695" s="7"/>
      <c r="O695" s="84" t="e" cm="1">
        <f t="array" ref="O695">_xlfn.XLOOKUP(1,(A695=Geotech!$A$4:$A$10094)*(Data_Discontinuities[[#This Row],[Depth (m)]]&gt;=Geotech!$C$4:$C$10094)*(Data_Discontinuities[[#This Row],[Depth (m)]]&lt;Geotech!$D$4:$D$10094),Geotech!$M$4:$M$10094)</f>
        <v>#N/A</v>
      </c>
      <c r="P695" s="84"/>
      <c r="Q695" s="84"/>
      <c r="R695" s="84"/>
      <c r="S6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5" s="71" t="str">
        <f>IFERROR(Data_Discontinuities[[#This Row],[Joint roughness]]/Data_Discontinuities[[#This Row],[Joint alteration]],"")</f>
        <v/>
      </c>
      <c r="V6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5" s="87"/>
    </row>
    <row r="696" spans="2:23" ht="15" customHeight="1" x14ac:dyDescent="0.25">
      <c r="B696" s="17" t="e">
        <f>VLOOKUP(Data_Discontinuities[[#This Row],[Hole ID]],Data_Log[],2,FALSE)</f>
        <v>#N/A</v>
      </c>
      <c r="C696" s="8"/>
      <c r="D696" s="8"/>
      <c r="E696" s="7"/>
      <c r="F696" s="7"/>
      <c r="G696" s="7"/>
      <c r="H696" s="118"/>
      <c r="I696" s="7"/>
      <c r="J696" s="7"/>
      <c r="K696" s="7"/>
      <c r="L696" s="7"/>
      <c r="M696" s="7"/>
      <c r="N696" s="7"/>
      <c r="O696" s="84" t="e" cm="1">
        <f t="array" ref="O696">_xlfn.XLOOKUP(1,(A696=Geotech!$A$4:$A$10094)*(Data_Discontinuities[[#This Row],[Depth (m)]]&gt;=Geotech!$C$4:$C$10094)*(Data_Discontinuities[[#This Row],[Depth (m)]]&lt;Geotech!$D$4:$D$10094),Geotech!$M$4:$M$10094)</f>
        <v>#N/A</v>
      </c>
      <c r="P696" s="84"/>
      <c r="Q696" s="84"/>
      <c r="R696" s="84"/>
      <c r="S6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6" s="71" t="str">
        <f>IFERROR(Data_Discontinuities[[#This Row],[Joint roughness]]/Data_Discontinuities[[#This Row],[Joint alteration]],"")</f>
        <v/>
      </c>
      <c r="V6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6" s="87"/>
    </row>
    <row r="697" spans="2:23" ht="15" customHeight="1" x14ac:dyDescent="0.25">
      <c r="B697" s="17" t="e">
        <f>VLOOKUP(Data_Discontinuities[[#This Row],[Hole ID]],Data_Log[],2,FALSE)</f>
        <v>#N/A</v>
      </c>
      <c r="C697" s="8"/>
      <c r="D697" s="8"/>
      <c r="E697" s="7"/>
      <c r="F697" s="7"/>
      <c r="G697" s="7"/>
      <c r="H697" s="118"/>
      <c r="I697" s="7"/>
      <c r="J697" s="7"/>
      <c r="K697" s="7"/>
      <c r="L697" s="7"/>
      <c r="M697" s="7"/>
      <c r="N697" s="7"/>
      <c r="O697" s="84" t="e" cm="1">
        <f t="array" ref="O697">_xlfn.XLOOKUP(1,(A697=Geotech!$A$4:$A$10094)*(Data_Discontinuities[[#This Row],[Depth (m)]]&gt;=Geotech!$C$4:$C$10094)*(Data_Discontinuities[[#This Row],[Depth (m)]]&lt;Geotech!$D$4:$D$10094),Geotech!$M$4:$M$10094)</f>
        <v>#N/A</v>
      </c>
      <c r="P697" s="84"/>
      <c r="Q697" s="84"/>
      <c r="R697" s="84"/>
      <c r="S6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7" s="71" t="str">
        <f>IFERROR(Data_Discontinuities[[#This Row],[Joint roughness]]/Data_Discontinuities[[#This Row],[Joint alteration]],"")</f>
        <v/>
      </c>
      <c r="V6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7" s="87"/>
    </row>
    <row r="698" spans="2:23" ht="15" customHeight="1" x14ac:dyDescent="0.25">
      <c r="B698" s="17" t="e">
        <f>VLOOKUP(Data_Discontinuities[[#This Row],[Hole ID]],Data_Log[],2,FALSE)</f>
        <v>#N/A</v>
      </c>
      <c r="C698" s="8"/>
      <c r="D698" s="8"/>
      <c r="E698" s="7"/>
      <c r="F698" s="7"/>
      <c r="G698" s="7"/>
      <c r="H698" s="118"/>
      <c r="I698" s="7"/>
      <c r="J698" s="7"/>
      <c r="K698" s="7"/>
      <c r="L698" s="7"/>
      <c r="M698" s="7"/>
      <c r="N698" s="7"/>
      <c r="O698" s="84" t="e" cm="1">
        <f t="array" ref="O698">_xlfn.XLOOKUP(1,(A698=Geotech!$A$4:$A$10094)*(Data_Discontinuities[[#This Row],[Depth (m)]]&gt;=Geotech!$C$4:$C$10094)*(Data_Discontinuities[[#This Row],[Depth (m)]]&lt;Geotech!$D$4:$D$10094),Geotech!$M$4:$M$10094)</f>
        <v>#N/A</v>
      </c>
      <c r="P698" s="84"/>
      <c r="Q698" s="84"/>
      <c r="R698" s="84"/>
      <c r="S6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8" s="71" t="str">
        <f>IFERROR(Data_Discontinuities[[#This Row],[Joint roughness]]/Data_Discontinuities[[#This Row],[Joint alteration]],"")</f>
        <v/>
      </c>
      <c r="V6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8" s="87"/>
    </row>
    <row r="699" spans="2:23" ht="15" customHeight="1" x14ac:dyDescent="0.25">
      <c r="B699" s="17" t="e">
        <f>VLOOKUP(Data_Discontinuities[[#This Row],[Hole ID]],Data_Log[],2,FALSE)</f>
        <v>#N/A</v>
      </c>
      <c r="C699" s="8"/>
      <c r="D699" s="8"/>
      <c r="E699" s="7"/>
      <c r="F699" s="7"/>
      <c r="G699" s="7"/>
      <c r="H699" s="118"/>
      <c r="I699" s="7"/>
      <c r="J699" s="7"/>
      <c r="K699" s="7"/>
      <c r="L699" s="7"/>
      <c r="M699" s="7"/>
      <c r="N699" s="7"/>
      <c r="O699" s="84" t="e" cm="1">
        <f t="array" ref="O699">_xlfn.XLOOKUP(1,(A699=Geotech!$A$4:$A$10094)*(Data_Discontinuities[[#This Row],[Depth (m)]]&gt;=Geotech!$C$4:$C$10094)*(Data_Discontinuities[[#This Row],[Depth (m)]]&lt;Geotech!$D$4:$D$10094),Geotech!$M$4:$M$10094)</f>
        <v>#N/A</v>
      </c>
      <c r="P699" s="84"/>
      <c r="Q699" s="84"/>
      <c r="R699" s="84"/>
      <c r="S6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6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699" s="71" t="str">
        <f>IFERROR(Data_Discontinuities[[#This Row],[Joint roughness]]/Data_Discontinuities[[#This Row],[Joint alteration]],"")</f>
        <v/>
      </c>
      <c r="V6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699" s="87"/>
    </row>
    <row r="700" spans="2:23" ht="15" customHeight="1" x14ac:dyDescent="0.25">
      <c r="B700" s="17" t="e">
        <f>VLOOKUP(Data_Discontinuities[[#This Row],[Hole ID]],Data_Log[],2,FALSE)</f>
        <v>#N/A</v>
      </c>
      <c r="C700" s="8"/>
      <c r="D700" s="8"/>
      <c r="E700" s="7"/>
      <c r="F700" s="7"/>
      <c r="G700" s="7"/>
      <c r="H700" s="118"/>
      <c r="I700" s="7"/>
      <c r="J700" s="7"/>
      <c r="K700" s="7"/>
      <c r="L700" s="7"/>
      <c r="M700" s="7"/>
      <c r="N700" s="7"/>
      <c r="O700" s="84" t="e" cm="1">
        <f t="array" ref="O700">_xlfn.XLOOKUP(1,(A700=Geotech!$A$4:$A$10094)*(Data_Discontinuities[[#This Row],[Depth (m)]]&gt;=Geotech!$C$4:$C$10094)*(Data_Discontinuities[[#This Row],[Depth (m)]]&lt;Geotech!$D$4:$D$10094),Geotech!$M$4:$M$10094)</f>
        <v>#N/A</v>
      </c>
      <c r="P700" s="84"/>
      <c r="Q700" s="84"/>
      <c r="R700" s="84"/>
      <c r="S7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0" s="71" t="str">
        <f>IFERROR(Data_Discontinuities[[#This Row],[Joint roughness]]/Data_Discontinuities[[#This Row],[Joint alteration]],"")</f>
        <v/>
      </c>
      <c r="V7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0" s="87"/>
    </row>
    <row r="701" spans="2:23" ht="15" customHeight="1" x14ac:dyDescent="0.25">
      <c r="B701" s="17" t="e">
        <f>VLOOKUP(Data_Discontinuities[[#This Row],[Hole ID]],Data_Log[],2,FALSE)</f>
        <v>#N/A</v>
      </c>
      <c r="C701" s="8"/>
      <c r="D701" s="8"/>
      <c r="E701" s="7"/>
      <c r="F701" s="7"/>
      <c r="G701" s="7"/>
      <c r="H701" s="118"/>
      <c r="I701" s="7"/>
      <c r="J701" s="7"/>
      <c r="K701" s="7"/>
      <c r="L701" s="7"/>
      <c r="M701" s="7"/>
      <c r="N701" s="7"/>
      <c r="O701" s="84" t="e" cm="1">
        <f t="array" ref="O701">_xlfn.XLOOKUP(1,(A701=Geotech!$A$4:$A$10094)*(Data_Discontinuities[[#This Row],[Depth (m)]]&gt;=Geotech!$C$4:$C$10094)*(Data_Discontinuities[[#This Row],[Depth (m)]]&lt;Geotech!$D$4:$D$10094),Geotech!$M$4:$M$10094)</f>
        <v>#N/A</v>
      </c>
      <c r="P701" s="84"/>
      <c r="Q701" s="84"/>
      <c r="R701" s="84"/>
      <c r="S7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1" s="71" t="str">
        <f>IFERROR(Data_Discontinuities[[#This Row],[Joint roughness]]/Data_Discontinuities[[#This Row],[Joint alteration]],"")</f>
        <v/>
      </c>
      <c r="V7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1" s="87"/>
    </row>
    <row r="702" spans="2:23" ht="15" customHeight="1" x14ac:dyDescent="0.25">
      <c r="B702" s="17" t="e">
        <f>VLOOKUP(Data_Discontinuities[[#This Row],[Hole ID]],Data_Log[],2,FALSE)</f>
        <v>#N/A</v>
      </c>
      <c r="C702" s="8"/>
      <c r="D702" s="8"/>
      <c r="E702" s="7"/>
      <c r="F702" s="7"/>
      <c r="G702" s="7"/>
      <c r="H702" s="118"/>
      <c r="I702" s="7"/>
      <c r="J702" s="7"/>
      <c r="K702" s="7"/>
      <c r="L702" s="7"/>
      <c r="M702" s="7"/>
      <c r="N702" s="7"/>
      <c r="O702" s="84" t="e" cm="1">
        <f t="array" ref="O702">_xlfn.XLOOKUP(1,(A702=Geotech!$A$4:$A$10094)*(Data_Discontinuities[[#This Row],[Depth (m)]]&gt;=Geotech!$C$4:$C$10094)*(Data_Discontinuities[[#This Row],[Depth (m)]]&lt;Geotech!$D$4:$D$10094),Geotech!$M$4:$M$10094)</f>
        <v>#N/A</v>
      </c>
      <c r="P702" s="84"/>
      <c r="Q702" s="84"/>
      <c r="R702" s="84"/>
      <c r="S7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2" s="71" t="str">
        <f>IFERROR(Data_Discontinuities[[#This Row],[Joint roughness]]/Data_Discontinuities[[#This Row],[Joint alteration]],"")</f>
        <v/>
      </c>
      <c r="V7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2" s="87"/>
    </row>
    <row r="703" spans="2:23" ht="15" customHeight="1" x14ac:dyDescent="0.25">
      <c r="B703" s="17" t="e">
        <f>VLOOKUP(Data_Discontinuities[[#This Row],[Hole ID]],Data_Log[],2,FALSE)</f>
        <v>#N/A</v>
      </c>
      <c r="C703" s="8"/>
      <c r="D703" s="8"/>
      <c r="E703" s="7"/>
      <c r="F703" s="7"/>
      <c r="G703" s="7"/>
      <c r="H703" s="118"/>
      <c r="I703" s="7"/>
      <c r="J703" s="7"/>
      <c r="K703" s="7"/>
      <c r="L703" s="7"/>
      <c r="M703" s="7"/>
      <c r="N703" s="7"/>
      <c r="O703" s="84" t="e" cm="1">
        <f t="array" ref="O703">_xlfn.XLOOKUP(1,(A703=Geotech!$A$4:$A$10094)*(Data_Discontinuities[[#This Row],[Depth (m)]]&gt;=Geotech!$C$4:$C$10094)*(Data_Discontinuities[[#This Row],[Depth (m)]]&lt;Geotech!$D$4:$D$10094),Geotech!$M$4:$M$10094)</f>
        <v>#N/A</v>
      </c>
      <c r="P703" s="84"/>
      <c r="Q703" s="84"/>
      <c r="R703" s="84"/>
      <c r="S7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3" s="71" t="str">
        <f>IFERROR(Data_Discontinuities[[#This Row],[Joint roughness]]/Data_Discontinuities[[#This Row],[Joint alteration]],"")</f>
        <v/>
      </c>
      <c r="V7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3" s="87"/>
    </row>
    <row r="704" spans="2:23" ht="15" customHeight="1" x14ac:dyDescent="0.25">
      <c r="B704" s="17" t="e">
        <f>VLOOKUP(Data_Discontinuities[[#This Row],[Hole ID]],Data_Log[],2,FALSE)</f>
        <v>#N/A</v>
      </c>
      <c r="C704" s="8"/>
      <c r="D704" s="8"/>
      <c r="E704" s="7"/>
      <c r="F704" s="7"/>
      <c r="G704" s="7"/>
      <c r="H704" s="118"/>
      <c r="I704" s="7"/>
      <c r="J704" s="7"/>
      <c r="K704" s="7"/>
      <c r="L704" s="7"/>
      <c r="M704" s="7"/>
      <c r="N704" s="7"/>
      <c r="O704" s="84" t="e" cm="1">
        <f t="array" ref="O704">_xlfn.XLOOKUP(1,(A704=Geotech!$A$4:$A$10094)*(Data_Discontinuities[[#This Row],[Depth (m)]]&gt;=Geotech!$C$4:$C$10094)*(Data_Discontinuities[[#This Row],[Depth (m)]]&lt;Geotech!$D$4:$D$10094),Geotech!$M$4:$M$10094)</f>
        <v>#N/A</v>
      </c>
      <c r="P704" s="84"/>
      <c r="Q704" s="84"/>
      <c r="R704" s="84"/>
      <c r="S7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4" s="71" t="str">
        <f>IFERROR(Data_Discontinuities[[#This Row],[Joint roughness]]/Data_Discontinuities[[#This Row],[Joint alteration]],"")</f>
        <v/>
      </c>
      <c r="V7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4" s="87"/>
    </row>
    <row r="705" spans="2:23" ht="15" customHeight="1" x14ac:dyDescent="0.25">
      <c r="B705" s="17" t="e">
        <f>VLOOKUP(Data_Discontinuities[[#This Row],[Hole ID]],Data_Log[],2,FALSE)</f>
        <v>#N/A</v>
      </c>
      <c r="C705" s="8"/>
      <c r="D705" s="8"/>
      <c r="E705" s="7"/>
      <c r="F705" s="7"/>
      <c r="G705" s="7"/>
      <c r="H705" s="118"/>
      <c r="I705" s="7"/>
      <c r="J705" s="7"/>
      <c r="K705" s="7"/>
      <c r="L705" s="7"/>
      <c r="M705" s="7"/>
      <c r="N705" s="7"/>
      <c r="O705" s="84" t="e" cm="1">
        <f t="array" ref="O705">_xlfn.XLOOKUP(1,(A705=Geotech!$A$4:$A$10094)*(Data_Discontinuities[[#This Row],[Depth (m)]]&gt;=Geotech!$C$4:$C$10094)*(Data_Discontinuities[[#This Row],[Depth (m)]]&lt;Geotech!$D$4:$D$10094),Geotech!$M$4:$M$10094)</f>
        <v>#N/A</v>
      </c>
      <c r="P705" s="84"/>
      <c r="Q705" s="84"/>
      <c r="R705" s="84"/>
      <c r="S7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5" s="71" t="str">
        <f>IFERROR(Data_Discontinuities[[#This Row],[Joint roughness]]/Data_Discontinuities[[#This Row],[Joint alteration]],"")</f>
        <v/>
      </c>
      <c r="V7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5" s="87"/>
    </row>
    <row r="706" spans="2:23" ht="15" customHeight="1" x14ac:dyDescent="0.25">
      <c r="B706" s="17" t="e">
        <f>VLOOKUP(Data_Discontinuities[[#This Row],[Hole ID]],Data_Log[],2,FALSE)</f>
        <v>#N/A</v>
      </c>
      <c r="C706" s="8"/>
      <c r="D706" s="8"/>
      <c r="E706" s="7"/>
      <c r="F706" s="7"/>
      <c r="G706" s="7"/>
      <c r="H706" s="118"/>
      <c r="I706" s="7"/>
      <c r="J706" s="7"/>
      <c r="K706" s="7"/>
      <c r="L706" s="7"/>
      <c r="M706" s="7"/>
      <c r="N706" s="7"/>
      <c r="O706" s="84" t="e" cm="1">
        <f t="array" ref="O706">_xlfn.XLOOKUP(1,(A706=Geotech!$A$4:$A$10094)*(Data_Discontinuities[[#This Row],[Depth (m)]]&gt;=Geotech!$C$4:$C$10094)*(Data_Discontinuities[[#This Row],[Depth (m)]]&lt;Geotech!$D$4:$D$10094),Geotech!$M$4:$M$10094)</f>
        <v>#N/A</v>
      </c>
      <c r="P706" s="84"/>
      <c r="Q706" s="84"/>
      <c r="R706" s="84"/>
      <c r="S7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6" s="71" t="str">
        <f>IFERROR(Data_Discontinuities[[#This Row],[Joint roughness]]/Data_Discontinuities[[#This Row],[Joint alteration]],"")</f>
        <v/>
      </c>
      <c r="V7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6" s="87"/>
    </row>
    <row r="707" spans="2:23" ht="15" customHeight="1" x14ac:dyDescent="0.25">
      <c r="B707" s="17" t="e">
        <f>VLOOKUP(Data_Discontinuities[[#This Row],[Hole ID]],Data_Log[],2,FALSE)</f>
        <v>#N/A</v>
      </c>
      <c r="C707" s="8"/>
      <c r="D707" s="8"/>
      <c r="E707" s="7"/>
      <c r="F707" s="7"/>
      <c r="G707" s="7"/>
      <c r="H707" s="118"/>
      <c r="I707" s="7"/>
      <c r="J707" s="7"/>
      <c r="K707" s="7"/>
      <c r="L707" s="7"/>
      <c r="M707" s="7"/>
      <c r="N707" s="7"/>
      <c r="O707" s="84" t="e" cm="1">
        <f t="array" ref="O707">_xlfn.XLOOKUP(1,(A707=Geotech!$A$4:$A$10094)*(Data_Discontinuities[[#This Row],[Depth (m)]]&gt;=Geotech!$C$4:$C$10094)*(Data_Discontinuities[[#This Row],[Depth (m)]]&lt;Geotech!$D$4:$D$10094),Geotech!$M$4:$M$10094)</f>
        <v>#N/A</v>
      </c>
      <c r="P707" s="84"/>
      <c r="Q707" s="84"/>
      <c r="R707" s="84"/>
      <c r="S7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7" s="71" t="str">
        <f>IFERROR(Data_Discontinuities[[#This Row],[Joint roughness]]/Data_Discontinuities[[#This Row],[Joint alteration]],"")</f>
        <v/>
      </c>
      <c r="V7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7" s="87"/>
    </row>
    <row r="708" spans="2:23" ht="15" customHeight="1" x14ac:dyDescent="0.25">
      <c r="B708" s="17" t="e">
        <f>VLOOKUP(Data_Discontinuities[[#This Row],[Hole ID]],Data_Log[],2,FALSE)</f>
        <v>#N/A</v>
      </c>
      <c r="C708" s="8"/>
      <c r="D708" s="8"/>
      <c r="E708" s="7"/>
      <c r="F708" s="7"/>
      <c r="G708" s="7"/>
      <c r="H708" s="118"/>
      <c r="I708" s="7"/>
      <c r="J708" s="7"/>
      <c r="K708" s="7"/>
      <c r="L708" s="7"/>
      <c r="M708" s="7"/>
      <c r="N708" s="7"/>
      <c r="O708" s="84" t="e" cm="1">
        <f t="array" ref="O708">_xlfn.XLOOKUP(1,(A708=Geotech!$A$4:$A$10094)*(Data_Discontinuities[[#This Row],[Depth (m)]]&gt;=Geotech!$C$4:$C$10094)*(Data_Discontinuities[[#This Row],[Depth (m)]]&lt;Geotech!$D$4:$D$10094),Geotech!$M$4:$M$10094)</f>
        <v>#N/A</v>
      </c>
      <c r="P708" s="84"/>
      <c r="Q708" s="84"/>
      <c r="R708" s="84"/>
      <c r="S7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8" s="71" t="str">
        <f>IFERROR(Data_Discontinuities[[#This Row],[Joint roughness]]/Data_Discontinuities[[#This Row],[Joint alteration]],"")</f>
        <v/>
      </c>
      <c r="V7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8" s="87"/>
    </row>
    <row r="709" spans="2:23" ht="15" customHeight="1" x14ac:dyDescent="0.25">
      <c r="B709" s="17" t="e">
        <f>VLOOKUP(Data_Discontinuities[[#This Row],[Hole ID]],Data_Log[],2,FALSE)</f>
        <v>#N/A</v>
      </c>
      <c r="C709" s="8"/>
      <c r="D709" s="8"/>
      <c r="E709" s="7"/>
      <c r="F709" s="7"/>
      <c r="G709" s="7"/>
      <c r="H709" s="118"/>
      <c r="I709" s="7"/>
      <c r="J709" s="7"/>
      <c r="K709" s="7"/>
      <c r="L709" s="7"/>
      <c r="M709" s="7"/>
      <c r="N709" s="7"/>
      <c r="O709" s="84" t="e" cm="1">
        <f t="array" ref="O709">_xlfn.XLOOKUP(1,(A709=Geotech!$A$4:$A$10094)*(Data_Discontinuities[[#This Row],[Depth (m)]]&gt;=Geotech!$C$4:$C$10094)*(Data_Discontinuities[[#This Row],[Depth (m)]]&lt;Geotech!$D$4:$D$10094),Geotech!$M$4:$M$10094)</f>
        <v>#N/A</v>
      </c>
      <c r="P709" s="84"/>
      <c r="Q709" s="84"/>
      <c r="R709" s="84"/>
      <c r="S7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09" s="71" t="str">
        <f>IFERROR(Data_Discontinuities[[#This Row],[Joint roughness]]/Data_Discontinuities[[#This Row],[Joint alteration]],"")</f>
        <v/>
      </c>
      <c r="V7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09" s="87"/>
    </row>
    <row r="710" spans="2:23" ht="15" customHeight="1" x14ac:dyDescent="0.25">
      <c r="B710" s="17" t="e">
        <f>VLOOKUP(Data_Discontinuities[[#This Row],[Hole ID]],Data_Log[],2,FALSE)</f>
        <v>#N/A</v>
      </c>
      <c r="C710" s="8"/>
      <c r="D710" s="8"/>
      <c r="E710" s="7"/>
      <c r="F710" s="7"/>
      <c r="G710" s="7"/>
      <c r="H710" s="118"/>
      <c r="I710" s="7"/>
      <c r="J710" s="7"/>
      <c r="K710" s="7"/>
      <c r="L710" s="7"/>
      <c r="M710" s="7"/>
      <c r="N710" s="7"/>
      <c r="O710" s="84" t="e" cm="1">
        <f t="array" ref="O710">_xlfn.XLOOKUP(1,(A710=Geotech!$A$4:$A$10094)*(Data_Discontinuities[[#This Row],[Depth (m)]]&gt;=Geotech!$C$4:$C$10094)*(Data_Discontinuities[[#This Row],[Depth (m)]]&lt;Geotech!$D$4:$D$10094),Geotech!$M$4:$M$10094)</f>
        <v>#N/A</v>
      </c>
      <c r="P710" s="84"/>
      <c r="Q710" s="84"/>
      <c r="R710" s="84"/>
      <c r="S7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0" s="71" t="str">
        <f>IFERROR(Data_Discontinuities[[#This Row],[Joint roughness]]/Data_Discontinuities[[#This Row],[Joint alteration]],"")</f>
        <v/>
      </c>
      <c r="V7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0" s="87"/>
    </row>
    <row r="711" spans="2:23" ht="15" customHeight="1" x14ac:dyDescent="0.25">
      <c r="B711" s="17" t="e">
        <f>VLOOKUP(Data_Discontinuities[[#This Row],[Hole ID]],Data_Log[],2,FALSE)</f>
        <v>#N/A</v>
      </c>
      <c r="C711" s="8"/>
      <c r="D711" s="8"/>
      <c r="E711" s="7"/>
      <c r="F711" s="7"/>
      <c r="G711" s="7"/>
      <c r="H711" s="118"/>
      <c r="I711" s="7"/>
      <c r="J711" s="7"/>
      <c r="K711" s="7"/>
      <c r="L711" s="7"/>
      <c r="M711" s="7"/>
      <c r="N711" s="7"/>
      <c r="O711" s="84" t="e" cm="1">
        <f t="array" ref="O711">_xlfn.XLOOKUP(1,(A711=Geotech!$A$4:$A$10094)*(Data_Discontinuities[[#This Row],[Depth (m)]]&gt;=Geotech!$C$4:$C$10094)*(Data_Discontinuities[[#This Row],[Depth (m)]]&lt;Geotech!$D$4:$D$10094),Geotech!$M$4:$M$10094)</f>
        <v>#N/A</v>
      </c>
      <c r="P711" s="84"/>
      <c r="Q711" s="84"/>
      <c r="R711" s="84"/>
      <c r="S7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1" s="71" t="str">
        <f>IFERROR(Data_Discontinuities[[#This Row],[Joint roughness]]/Data_Discontinuities[[#This Row],[Joint alteration]],"")</f>
        <v/>
      </c>
      <c r="V7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1" s="87"/>
    </row>
    <row r="712" spans="2:23" ht="15" customHeight="1" x14ac:dyDescent="0.25">
      <c r="B712" s="17" t="e">
        <f>VLOOKUP(Data_Discontinuities[[#This Row],[Hole ID]],Data_Log[],2,FALSE)</f>
        <v>#N/A</v>
      </c>
      <c r="C712" s="8"/>
      <c r="D712" s="8"/>
      <c r="E712" s="7"/>
      <c r="F712" s="7"/>
      <c r="G712" s="7"/>
      <c r="H712" s="118"/>
      <c r="I712" s="7"/>
      <c r="J712" s="7"/>
      <c r="K712" s="7"/>
      <c r="L712" s="7"/>
      <c r="M712" s="7"/>
      <c r="N712" s="7"/>
      <c r="O712" s="84" t="e" cm="1">
        <f t="array" ref="O712">_xlfn.XLOOKUP(1,(A712=Geotech!$A$4:$A$10094)*(Data_Discontinuities[[#This Row],[Depth (m)]]&gt;=Geotech!$C$4:$C$10094)*(Data_Discontinuities[[#This Row],[Depth (m)]]&lt;Geotech!$D$4:$D$10094),Geotech!$M$4:$M$10094)</f>
        <v>#N/A</v>
      </c>
      <c r="P712" s="84"/>
      <c r="Q712" s="84"/>
      <c r="R712" s="84"/>
      <c r="S7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2" s="71" t="str">
        <f>IFERROR(Data_Discontinuities[[#This Row],[Joint roughness]]/Data_Discontinuities[[#This Row],[Joint alteration]],"")</f>
        <v/>
      </c>
      <c r="V7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2" s="87"/>
    </row>
    <row r="713" spans="2:23" ht="15" customHeight="1" x14ac:dyDescent="0.25">
      <c r="B713" s="17" t="e">
        <f>VLOOKUP(Data_Discontinuities[[#This Row],[Hole ID]],Data_Log[],2,FALSE)</f>
        <v>#N/A</v>
      </c>
      <c r="C713" s="8"/>
      <c r="D713" s="8"/>
      <c r="E713" s="7"/>
      <c r="F713" s="7"/>
      <c r="G713" s="7"/>
      <c r="H713" s="118"/>
      <c r="I713" s="7"/>
      <c r="J713" s="7"/>
      <c r="K713" s="7"/>
      <c r="L713" s="7"/>
      <c r="M713" s="7"/>
      <c r="N713" s="7"/>
      <c r="O713" s="84" t="e" cm="1">
        <f t="array" ref="O713">_xlfn.XLOOKUP(1,(A713=Geotech!$A$4:$A$10094)*(Data_Discontinuities[[#This Row],[Depth (m)]]&gt;=Geotech!$C$4:$C$10094)*(Data_Discontinuities[[#This Row],[Depth (m)]]&lt;Geotech!$D$4:$D$10094),Geotech!$M$4:$M$10094)</f>
        <v>#N/A</v>
      </c>
      <c r="P713" s="84"/>
      <c r="Q713" s="84"/>
      <c r="R713" s="84"/>
      <c r="S7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3" s="71" t="str">
        <f>IFERROR(Data_Discontinuities[[#This Row],[Joint roughness]]/Data_Discontinuities[[#This Row],[Joint alteration]],"")</f>
        <v/>
      </c>
      <c r="V7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3" s="87"/>
    </row>
    <row r="714" spans="2:23" ht="15" customHeight="1" x14ac:dyDescent="0.25">
      <c r="B714" s="17" t="e">
        <f>VLOOKUP(Data_Discontinuities[[#This Row],[Hole ID]],Data_Log[],2,FALSE)</f>
        <v>#N/A</v>
      </c>
      <c r="C714" s="8"/>
      <c r="D714" s="8"/>
      <c r="E714" s="7"/>
      <c r="F714" s="7"/>
      <c r="G714" s="7"/>
      <c r="H714" s="118"/>
      <c r="I714" s="7"/>
      <c r="J714" s="7"/>
      <c r="K714" s="7"/>
      <c r="L714" s="7"/>
      <c r="M714" s="7"/>
      <c r="N714" s="7"/>
      <c r="O714" s="84" t="e" cm="1">
        <f t="array" ref="O714">_xlfn.XLOOKUP(1,(A714=Geotech!$A$4:$A$10094)*(Data_Discontinuities[[#This Row],[Depth (m)]]&gt;=Geotech!$C$4:$C$10094)*(Data_Discontinuities[[#This Row],[Depth (m)]]&lt;Geotech!$D$4:$D$10094),Geotech!$M$4:$M$10094)</f>
        <v>#N/A</v>
      </c>
      <c r="P714" s="84"/>
      <c r="Q714" s="84"/>
      <c r="R714" s="84"/>
      <c r="S7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4" s="71" t="str">
        <f>IFERROR(Data_Discontinuities[[#This Row],[Joint roughness]]/Data_Discontinuities[[#This Row],[Joint alteration]],"")</f>
        <v/>
      </c>
      <c r="V7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4" s="87"/>
    </row>
    <row r="715" spans="2:23" ht="15" customHeight="1" x14ac:dyDescent="0.25">
      <c r="B715" s="17" t="e">
        <f>VLOOKUP(Data_Discontinuities[[#This Row],[Hole ID]],Data_Log[],2,FALSE)</f>
        <v>#N/A</v>
      </c>
      <c r="C715" s="8"/>
      <c r="D715" s="8"/>
      <c r="E715" s="7"/>
      <c r="F715" s="7"/>
      <c r="G715" s="7"/>
      <c r="H715" s="118"/>
      <c r="I715" s="7"/>
      <c r="J715" s="7"/>
      <c r="K715" s="7"/>
      <c r="L715" s="7"/>
      <c r="M715" s="7"/>
      <c r="N715" s="7"/>
      <c r="O715" s="84" t="e" cm="1">
        <f t="array" ref="O715">_xlfn.XLOOKUP(1,(A715=Geotech!$A$4:$A$10094)*(Data_Discontinuities[[#This Row],[Depth (m)]]&gt;=Geotech!$C$4:$C$10094)*(Data_Discontinuities[[#This Row],[Depth (m)]]&lt;Geotech!$D$4:$D$10094),Geotech!$M$4:$M$10094)</f>
        <v>#N/A</v>
      </c>
      <c r="P715" s="84"/>
      <c r="Q715" s="84"/>
      <c r="R715" s="84"/>
      <c r="S7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5" s="71" t="str">
        <f>IFERROR(Data_Discontinuities[[#This Row],[Joint roughness]]/Data_Discontinuities[[#This Row],[Joint alteration]],"")</f>
        <v/>
      </c>
      <c r="V7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5" s="87"/>
    </row>
    <row r="716" spans="2:23" ht="15" customHeight="1" x14ac:dyDescent="0.25">
      <c r="B716" s="17" t="e">
        <f>VLOOKUP(Data_Discontinuities[[#This Row],[Hole ID]],Data_Log[],2,FALSE)</f>
        <v>#N/A</v>
      </c>
      <c r="C716" s="8"/>
      <c r="D716" s="8"/>
      <c r="E716" s="7"/>
      <c r="F716" s="7"/>
      <c r="G716" s="7"/>
      <c r="H716" s="118"/>
      <c r="I716" s="7"/>
      <c r="J716" s="7"/>
      <c r="K716" s="7"/>
      <c r="L716" s="7"/>
      <c r="M716" s="7"/>
      <c r="N716" s="7"/>
      <c r="O716" s="84" t="e" cm="1">
        <f t="array" ref="O716">_xlfn.XLOOKUP(1,(A716=Geotech!$A$4:$A$10094)*(Data_Discontinuities[[#This Row],[Depth (m)]]&gt;=Geotech!$C$4:$C$10094)*(Data_Discontinuities[[#This Row],[Depth (m)]]&lt;Geotech!$D$4:$D$10094),Geotech!$M$4:$M$10094)</f>
        <v>#N/A</v>
      </c>
      <c r="P716" s="84"/>
      <c r="Q716" s="84"/>
      <c r="R716" s="84"/>
      <c r="S7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6" s="71" t="str">
        <f>IFERROR(Data_Discontinuities[[#This Row],[Joint roughness]]/Data_Discontinuities[[#This Row],[Joint alteration]],"")</f>
        <v/>
      </c>
      <c r="V7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6" s="87"/>
    </row>
    <row r="717" spans="2:23" ht="15" customHeight="1" x14ac:dyDescent="0.25">
      <c r="B717" s="17" t="e">
        <f>VLOOKUP(Data_Discontinuities[[#This Row],[Hole ID]],Data_Log[],2,FALSE)</f>
        <v>#N/A</v>
      </c>
      <c r="C717" s="8"/>
      <c r="D717" s="8"/>
      <c r="E717" s="7"/>
      <c r="F717" s="7"/>
      <c r="G717" s="7"/>
      <c r="H717" s="118"/>
      <c r="I717" s="7"/>
      <c r="J717" s="7"/>
      <c r="K717" s="7"/>
      <c r="L717" s="7"/>
      <c r="M717" s="7"/>
      <c r="N717" s="7"/>
      <c r="O717" s="84" t="e" cm="1">
        <f t="array" ref="O717">_xlfn.XLOOKUP(1,(A717=Geotech!$A$4:$A$10094)*(Data_Discontinuities[[#This Row],[Depth (m)]]&gt;=Geotech!$C$4:$C$10094)*(Data_Discontinuities[[#This Row],[Depth (m)]]&lt;Geotech!$D$4:$D$10094),Geotech!$M$4:$M$10094)</f>
        <v>#N/A</v>
      </c>
      <c r="P717" s="84"/>
      <c r="Q717" s="84"/>
      <c r="R717" s="84"/>
      <c r="S7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7" s="71" t="str">
        <f>IFERROR(Data_Discontinuities[[#This Row],[Joint roughness]]/Data_Discontinuities[[#This Row],[Joint alteration]],"")</f>
        <v/>
      </c>
      <c r="V7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7" s="87"/>
    </row>
    <row r="718" spans="2:23" ht="15" customHeight="1" x14ac:dyDescent="0.25">
      <c r="B718" s="17" t="e">
        <f>VLOOKUP(Data_Discontinuities[[#This Row],[Hole ID]],Data_Log[],2,FALSE)</f>
        <v>#N/A</v>
      </c>
      <c r="C718" s="8"/>
      <c r="D718" s="8"/>
      <c r="E718" s="7"/>
      <c r="F718" s="7"/>
      <c r="G718" s="7"/>
      <c r="H718" s="118"/>
      <c r="I718" s="7"/>
      <c r="J718" s="7"/>
      <c r="K718" s="7"/>
      <c r="L718" s="7"/>
      <c r="M718" s="7"/>
      <c r="N718" s="7"/>
      <c r="O718" s="84" t="e" cm="1">
        <f t="array" ref="O718">_xlfn.XLOOKUP(1,(A718=Geotech!$A$4:$A$10094)*(Data_Discontinuities[[#This Row],[Depth (m)]]&gt;=Geotech!$C$4:$C$10094)*(Data_Discontinuities[[#This Row],[Depth (m)]]&lt;Geotech!$D$4:$D$10094),Geotech!$M$4:$M$10094)</f>
        <v>#N/A</v>
      </c>
      <c r="P718" s="84"/>
      <c r="Q718" s="84"/>
      <c r="R718" s="84"/>
      <c r="S7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8" s="71" t="str">
        <f>IFERROR(Data_Discontinuities[[#This Row],[Joint roughness]]/Data_Discontinuities[[#This Row],[Joint alteration]],"")</f>
        <v/>
      </c>
      <c r="V7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8" s="87"/>
    </row>
    <row r="719" spans="2:23" ht="15" customHeight="1" x14ac:dyDescent="0.25">
      <c r="B719" s="17" t="e">
        <f>VLOOKUP(Data_Discontinuities[[#This Row],[Hole ID]],Data_Log[],2,FALSE)</f>
        <v>#N/A</v>
      </c>
      <c r="C719" s="8"/>
      <c r="D719" s="8"/>
      <c r="E719" s="7"/>
      <c r="F719" s="7"/>
      <c r="G719" s="7"/>
      <c r="H719" s="118"/>
      <c r="I719" s="7"/>
      <c r="J719" s="7"/>
      <c r="K719" s="7"/>
      <c r="L719" s="7"/>
      <c r="M719" s="7"/>
      <c r="N719" s="7"/>
      <c r="O719" s="84" t="e" cm="1">
        <f t="array" ref="O719">_xlfn.XLOOKUP(1,(A719=Geotech!$A$4:$A$10094)*(Data_Discontinuities[[#This Row],[Depth (m)]]&gt;=Geotech!$C$4:$C$10094)*(Data_Discontinuities[[#This Row],[Depth (m)]]&lt;Geotech!$D$4:$D$10094),Geotech!$M$4:$M$10094)</f>
        <v>#N/A</v>
      </c>
      <c r="P719" s="84"/>
      <c r="Q719" s="84"/>
      <c r="R719" s="84"/>
      <c r="S7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19" s="71" t="str">
        <f>IFERROR(Data_Discontinuities[[#This Row],[Joint roughness]]/Data_Discontinuities[[#This Row],[Joint alteration]],"")</f>
        <v/>
      </c>
      <c r="V7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19" s="87"/>
    </row>
    <row r="720" spans="2:23" ht="15" customHeight="1" x14ac:dyDescent="0.25">
      <c r="B720" s="17" t="e">
        <f>VLOOKUP(Data_Discontinuities[[#This Row],[Hole ID]],Data_Log[],2,FALSE)</f>
        <v>#N/A</v>
      </c>
      <c r="C720" s="8"/>
      <c r="D720" s="8"/>
      <c r="E720" s="7"/>
      <c r="F720" s="7"/>
      <c r="G720" s="7"/>
      <c r="H720" s="118"/>
      <c r="I720" s="7"/>
      <c r="J720" s="7"/>
      <c r="K720" s="7"/>
      <c r="L720" s="7"/>
      <c r="M720" s="7"/>
      <c r="N720" s="7"/>
      <c r="O720" s="84" t="e" cm="1">
        <f t="array" ref="O720">_xlfn.XLOOKUP(1,(A720=Geotech!$A$4:$A$10094)*(Data_Discontinuities[[#This Row],[Depth (m)]]&gt;=Geotech!$C$4:$C$10094)*(Data_Discontinuities[[#This Row],[Depth (m)]]&lt;Geotech!$D$4:$D$10094),Geotech!$M$4:$M$10094)</f>
        <v>#N/A</v>
      </c>
      <c r="P720" s="84"/>
      <c r="Q720" s="84"/>
      <c r="R720" s="84"/>
      <c r="S7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0" s="71" t="str">
        <f>IFERROR(Data_Discontinuities[[#This Row],[Joint roughness]]/Data_Discontinuities[[#This Row],[Joint alteration]],"")</f>
        <v/>
      </c>
      <c r="V7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0" s="87"/>
    </row>
    <row r="721" spans="2:23" ht="15" customHeight="1" x14ac:dyDescent="0.25">
      <c r="B721" s="17" t="e">
        <f>VLOOKUP(Data_Discontinuities[[#This Row],[Hole ID]],Data_Log[],2,FALSE)</f>
        <v>#N/A</v>
      </c>
      <c r="C721" s="8"/>
      <c r="D721" s="8"/>
      <c r="E721" s="7"/>
      <c r="F721" s="7"/>
      <c r="G721" s="7"/>
      <c r="H721" s="118"/>
      <c r="I721" s="7"/>
      <c r="J721" s="7"/>
      <c r="K721" s="7"/>
      <c r="L721" s="7"/>
      <c r="M721" s="7"/>
      <c r="N721" s="7"/>
      <c r="O721" s="84" t="e" cm="1">
        <f t="array" ref="O721">_xlfn.XLOOKUP(1,(A721=Geotech!$A$4:$A$10094)*(Data_Discontinuities[[#This Row],[Depth (m)]]&gt;=Geotech!$C$4:$C$10094)*(Data_Discontinuities[[#This Row],[Depth (m)]]&lt;Geotech!$D$4:$D$10094),Geotech!$M$4:$M$10094)</f>
        <v>#N/A</v>
      </c>
      <c r="P721" s="84"/>
      <c r="Q721" s="84"/>
      <c r="R721" s="84"/>
      <c r="S7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1" s="71" t="str">
        <f>IFERROR(Data_Discontinuities[[#This Row],[Joint roughness]]/Data_Discontinuities[[#This Row],[Joint alteration]],"")</f>
        <v/>
      </c>
      <c r="V7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1" s="87"/>
    </row>
    <row r="722" spans="2:23" ht="15" customHeight="1" x14ac:dyDescent="0.25">
      <c r="B722" s="17" t="e">
        <f>VLOOKUP(Data_Discontinuities[[#This Row],[Hole ID]],Data_Log[],2,FALSE)</f>
        <v>#N/A</v>
      </c>
      <c r="C722" s="8"/>
      <c r="D722" s="8"/>
      <c r="E722" s="7"/>
      <c r="F722" s="7"/>
      <c r="G722" s="7"/>
      <c r="H722" s="118"/>
      <c r="I722" s="7"/>
      <c r="J722" s="7"/>
      <c r="K722" s="7"/>
      <c r="L722" s="7"/>
      <c r="M722" s="7"/>
      <c r="N722" s="7"/>
      <c r="O722" s="84" t="e" cm="1">
        <f t="array" ref="O722">_xlfn.XLOOKUP(1,(A722=Geotech!$A$4:$A$10094)*(Data_Discontinuities[[#This Row],[Depth (m)]]&gt;=Geotech!$C$4:$C$10094)*(Data_Discontinuities[[#This Row],[Depth (m)]]&lt;Geotech!$D$4:$D$10094),Geotech!$M$4:$M$10094)</f>
        <v>#N/A</v>
      </c>
      <c r="P722" s="84"/>
      <c r="Q722" s="84"/>
      <c r="R722" s="84"/>
      <c r="S7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2" s="71" t="str">
        <f>IFERROR(Data_Discontinuities[[#This Row],[Joint roughness]]/Data_Discontinuities[[#This Row],[Joint alteration]],"")</f>
        <v/>
      </c>
      <c r="V7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2" s="87"/>
    </row>
    <row r="723" spans="2:23" ht="15" customHeight="1" x14ac:dyDescent="0.25">
      <c r="B723" s="17" t="e">
        <f>VLOOKUP(Data_Discontinuities[[#This Row],[Hole ID]],Data_Log[],2,FALSE)</f>
        <v>#N/A</v>
      </c>
      <c r="C723" s="8"/>
      <c r="D723" s="8"/>
      <c r="E723" s="7"/>
      <c r="F723" s="7"/>
      <c r="G723" s="7"/>
      <c r="H723" s="118"/>
      <c r="I723" s="7"/>
      <c r="J723" s="7"/>
      <c r="K723" s="7"/>
      <c r="L723" s="7"/>
      <c r="M723" s="7"/>
      <c r="N723" s="7"/>
      <c r="O723" s="84" t="e" cm="1">
        <f t="array" ref="O723">_xlfn.XLOOKUP(1,(A723=Geotech!$A$4:$A$10094)*(Data_Discontinuities[[#This Row],[Depth (m)]]&gt;=Geotech!$C$4:$C$10094)*(Data_Discontinuities[[#This Row],[Depth (m)]]&lt;Geotech!$D$4:$D$10094),Geotech!$M$4:$M$10094)</f>
        <v>#N/A</v>
      </c>
      <c r="P723" s="84"/>
      <c r="Q723" s="84"/>
      <c r="R723" s="84"/>
      <c r="S7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3" s="71" t="str">
        <f>IFERROR(Data_Discontinuities[[#This Row],[Joint roughness]]/Data_Discontinuities[[#This Row],[Joint alteration]],"")</f>
        <v/>
      </c>
      <c r="V7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3" s="87"/>
    </row>
    <row r="724" spans="2:23" ht="15" customHeight="1" x14ac:dyDescent="0.25">
      <c r="B724" s="17" t="e">
        <f>VLOOKUP(Data_Discontinuities[[#This Row],[Hole ID]],Data_Log[],2,FALSE)</f>
        <v>#N/A</v>
      </c>
      <c r="C724" s="8"/>
      <c r="D724" s="8"/>
      <c r="E724" s="7"/>
      <c r="F724" s="7"/>
      <c r="G724" s="7"/>
      <c r="H724" s="118"/>
      <c r="I724" s="7"/>
      <c r="J724" s="7"/>
      <c r="K724" s="7"/>
      <c r="L724" s="7"/>
      <c r="M724" s="7"/>
      <c r="N724" s="7"/>
      <c r="O724" s="84" t="e" cm="1">
        <f t="array" ref="O724">_xlfn.XLOOKUP(1,(A724=Geotech!$A$4:$A$10094)*(Data_Discontinuities[[#This Row],[Depth (m)]]&gt;=Geotech!$C$4:$C$10094)*(Data_Discontinuities[[#This Row],[Depth (m)]]&lt;Geotech!$D$4:$D$10094),Geotech!$M$4:$M$10094)</f>
        <v>#N/A</v>
      </c>
      <c r="P724" s="84"/>
      <c r="Q724" s="84"/>
      <c r="R724" s="84"/>
      <c r="S7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4" s="71" t="str">
        <f>IFERROR(Data_Discontinuities[[#This Row],[Joint roughness]]/Data_Discontinuities[[#This Row],[Joint alteration]],"")</f>
        <v/>
      </c>
      <c r="V7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4" s="87"/>
    </row>
    <row r="725" spans="2:23" ht="15" customHeight="1" x14ac:dyDescent="0.25">
      <c r="B725" s="17" t="e">
        <f>VLOOKUP(Data_Discontinuities[[#This Row],[Hole ID]],Data_Log[],2,FALSE)</f>
        <v>#N/A</v>
      </c>
      <c r="C725" s="8"/>
      <c r="D725" s="8"/>
      <c r="E725" s="7"/>
      <c r="F725" s="7"/>
      <c r="G725" s="7"/>
      <c r="H725" s="118"/>
      <c r="I725" s="7"/>
      <c r="J725" s="7"/>
      <c r="K725" s="7"/>
      <c r="L725" s="7"/>
      <c r="M725" s="7"/>
      <c r="N725" s="7"/>
      <c r="O725" s="84" t="e" cm="1">
        <f t="array" ref="O725">_xlfn.XLOOKUP(1,(A725=Geotech!$A$4:$A$10094)*(Data_Discontinuities[[#This Row],[Depth (m)]]&gt;=Geotech!$C$4:$C$10094)*(Data_Discontinuities[[#This Row],[Depth (m)]]&lt;Geotech!$D$4:$D$10094),Geotech!$M$4:$M$10094)</f>
        <v>#N/A</v>
      </c>
      <c r="P725" s="84"/>
      <c r="Q725" s="84"/>
      <c r="R725" s="84"/>
      <c r="S7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5" s="71" t="str">
        <f>IFERROR(Data_Discontinuities[[#This Row],[Joint roughness]]/Data_Discontinuities[[#This Row],[Joint alteration]],"")</f>
        <v/>
      </c>
      <c r="V7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5" s="87"/>
    </row>
    <row r="726" spans="2:23" ht="15" customHeight="1" x14ac:dyDescent="0.25">
      <c r="B726" s="17" t="e">
        <f>VLOOKUP(Data_Discontinuities[[#This Row],[Hole ID]],Data_Log[],2,FALSE)</f>
        <v>#N/A</v>
      </c>
      <c r="C726" s="8"/>
      <c r="D726" s="8"/>
      <c r="E726" s="7"/>
      <c r="F726" s="7"/>
      <c r="G726" s="7"/>
      <c r="H726" s="118"/>
      <c r="I726" s="7"/>
      <c r="J726" s="7"/>
      <c r="K726" s="7"/>
      <c r="L726" s="7"/>
      <c r="M726" s="7"/>
      <c r="N726" s="7"/>
      <c r="O726" s="84" t="e" cm="1">
        <f t="array" ref="O726">_xlfn.XLOOKUP(1,(A726=Geotech!$A$4:$A$10094)*(Data_Discontinuities[[#This Row],[Depth (m)]]&gt;=Geotech!$C$4:$C$10094)*(Data_Discontinuities[[#This Row],[Depth (m)]]&lt;Geotech!$D$4:$D$10094),Geotech!$M$4:$M$10094)</f>
        <v>#N/A</v>
      </c>
      <c r="P726" s="84"/>
      <c r="Q726" s="84"/>
      <c r="R726" s="84"/>
      <c r="S7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6" s="71" t="str">
        <f>IFERROR(Data_Discontinuities[[#This Row],[Joint roughness]]/Data_Discontinuities[[#This Row],[Joint alteration]],"")</f>
        <v/>
      </c>
      <c r="V7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6" s="87"/>
    </row>
    <row r="727" spans="2:23" ht="15" customHeight="1" x14ac:dyDescent="0.25">
      <c r="B727" s="17" t="e">
        <f>VLOOKUP(Data_Discontinuities[[#This Row],[Hole ID]],Data_Log[],2,FALSE)</f>
        <v>#N/A</v>
      </c>
      <c r="C727" s="8"/>
      <c r="D727" s="8"/>
      <c r="E727" s="7"/>
      <c r="F727" s="7"/>
      <c r="G727" s="7"/>
      <c r="H727" s="118"/>
      <c r="I727" s="7"/>
      <c r="J727" s="7"/>
      <c r="K727" s="7"/>
      <c r="L727" s="7"/>
      <c r="M727" s="7"/>
      <c r="N727" s="7"/>
      <c r="O727" s="84" t="e" cm="1">
        <f t="array" ref="O727">_xlfn.XLOOKUP(1,(A727=Geotech!$A$4:$A$10094)*(Data_Discontinuities[[#This Row],[Depth (m)]]&gt;=Geotech!$C$4:$C$10094)*(Data_Discontinuities[[#This Row],[Depth (m)]]&lt;Geotech!$D$4:$D$10094),Geotech!$M$4:$M$10094)</f>
        <v>#N/A</v>
      </c>
      <c r="P727" s="84"/>
      <c r="Q727" s="84"/>
      <c r="R727" s="84"/>
      <c r="S7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7" s="71" t="str">
        <f>IFERROR(Data_Discontinuities[[#This Row],[Joint roughness]]/Data_Discontinuities[[#This Row],[Joint alteration]],"")</f>
        <v/>
      </c>
      <c r="V7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7" s="87"/>
    </row>
    <row r="728" spans="2:23" ht="15" customHeight="1" x14ac:dyDescent="0.25">
      <c r="B728" s="17" t="e">
        <f>VLOOKUP(Data_Discontinuities[[#This Row],[Hole ID]],Data_Log[],2,FALSE)</f>
        <v>#N/A</v>
      </c>
      <c r="C728" s="8"/>
      <c r="D728" s="8"/>
      <c r="E728" s="7"/>
      <c r="F728" s="7"/>
      <c r="G728" s="7"/>
      <c r="H728" s="118"/>
      <c r="I728" s="7"/>
      <c r="J728" s="7"/>
      <c r="K728" s="7"/>
      <c r="L728" s="7"/>
      <c r="M728" s="7"/>
      <c r="N728" s="7"/>
      <c r="O728" s="84" t="e" cm="1">
        <f t="array" ref="O728">_xlfn.XLOOKUP(1,(A728=Geotech!$A$4:$A$10094)*(Data_Discontinuities[[#This Row],[Depth (m)]]&gt;=Geotech!$C$4:$C$10094)*(Data_Discontinuities[[#This Row],[Depth (m)]]&lt;Geotech!$D$4:$D$10094),Geotech!$M$4:$M$10094)</f>
        <v>#N/A</v>
      </c>
      <c r="P728" s="84"/>
      <c r="Q728" s="84"/>
      <c r="R728" s="84"/>
      <c r="S7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8" s="71" t="str">
        <f>IFERROR(Data_Discontinuities[[#This Row],[Joint roughness]]/Data_Discontinuities[[#This Row],[Joint alteration]],"")</f>
        <v/>
      </c>
      <c r="V7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8" s="87"/>
    </row>
    <row r="729" spans="2:23" ht="15" customHeight="1" x14ac:dyDescent="0.25">
      <c r="B729" s="17" t="e">
        <f>VLOOKUP(Data_Discontinuities[[#This Row],[Hole ID]],Data_Log[],2,FALSE)</f>
        <v>#N/A</v>
      </c>
      <c r="C729" s="8"/>
      <c r="D729" s="8"/>
      <c r="E729" s="7"/>
      <c r="F729" s="7"/>
      <c r="G729" s="7"/>
      <c r="H729" s="118"/>
      <c r="I729" s="7"/>
      <c r="J729" s="7"/>
      <c r="K729" s="7"/>
      <c r="L729" s="7"/>
      <c r="M729" s="7"/>
      <c r="N729" s="7"/>
      <c r="O729" s="84" t="e" cm="1">
        <f t="array" ref="O729">_xlfn.XLOOKUP(1,(A729=Geotech!$A$4:$A$10094)*(Data_Discontinuities[[#This Row],[Depth (m)]]&gt;=Geotech!$C$4:$C$10094)*(Data_Discontinuities[[#This Row],[Depth (m)]]&lt;Geotech!$D$4:$D$10094),Geotech!$M$4:$M$10094)</f>
        <v>#N/A</v>
      </c>
      <c r="P729" s="84"/>
      <c r="Q729" s="84"/>
      <c r="R729" s="84"/>
      <c r="S7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29" s="71" t="str">
        <f>IFERROR(Data_Discontinuities[[#This Row],[Joint roughness]]/Data_Discontinuities[[#This Row],[Joint alteration]],"")</f>
        <v/>
      </c>
      <c r="V7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29" s="87"/>
    </row>
    <row r="730" spans="2:23" ht="15" customHeight="1" x14ac:dyDescent="0.25">
      <c r="B730" s="17" t="e">
        <f>VLOOKUP(Data_Discontinuities[[#This Row],[Hole ID]],Data_Log[],2,FALSE)</f>
        <v>#N/A</v>
      </c>
      <c r="C730" s="8"/>
      <c r="D730" s="8"/>
      <c r="E730" s="7"/>
      <c r="F730" s="7"/>
      <c r="G730" s="7"/>
      <c r="H730" s="118"/>
      <c r="I730" s="7"/>
      <c r="J730" s="7"/>
      <c r="K730" s="7"/>
      <c r="L730" s="7"/>
      <c r="M730" s="7"/>
      <c r="N730" s="7"/>
      <c r="O730" s="84" t="e" cm="1">
        <f t="array" ref="O730">_xlfn.XLOOKUP(1,(A730=Geotech!$A$4:$A$10094)*(Data_Discontinuities[[#This Row],[Depth (m)]]&gt;=Geotech!$C$4:$C$10094)*(Data_Discontinuities[[#This Row],[Depth (m)]]&lt;Geotech!$D$4:$D$10094),Geotech!$M$4:$M$10094)</f>
        <v>#N/A</v>
      </c>
      <c r="P730" s="84"/>
      <c r="Q730" s="84"/>
      <c r="R730" s="84"/>
      <c r="S7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0" s="71" t="str">
        <f>IFERROR(Data_Discontinuities[[#This Row],[Joint roughness]]/Data_Discontinuities[[#This Row],[Joint alteration]],"")</f>
        <v/>
      </c>
      <c r="V7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0" s="87"/>
    </row>
    <row r="731" spans="2:23" ht="15" customHeight="1" x14ac:dyDescent="0.25">
      <c r="B731" s="17" t="e">
        <f>VLOOKUP(Data_Discontinuities[[#This Row],[Hole ID]],Data_Log[],2,FALSE)</f>
        <v>#N/A</v>
      </c>
      <c r="C731" s="8"/>
      <c r="D731" s="8"/>
      <c r="E731" s="7"/>
      <c r="F731" s="7"/>
      <c r="G731" s="7"/>
      <c r="H731" s="118"/>
      <c r="I731" s="7"/>
      <c r="J731" s="7"/>
      <c r="K731" s="7"/>
      <c r="L731" s="7"/>
      <c r="M731" s="7"/>
      <c r="N731" s="7"/>
      <c r="O731" s="84" t="e" cm="1">
        <f t="array" ref="O731">_xlfn.XLOOKUP(1,(A731=Geotech!$A$4:$A$10094)*(Data_Discontinuities[[#This Row],[Depth (m)]]&gt;=Geotech!$C$4:$C$10094)*(Data_Discontinuities[[#This Row],[Depth (m)]]&lt;Geotech!$D$4:$D$10094),Geotech!$M$4:$M$10094)</f>
        <v>#N/A</v>
      </c>
      <c r="P731" s="84"/>
      <c r="Q731" s="84"/>
      <c r="R731" s="84"/>
      <c r="S7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1" s="71" t="str">
        <f>IFERROR(Data_Discontinuities[[#This Row],[Joint roughness]]/Data_Discontinuities[[#This Row],[Joint alteration]],"")</f>
        <v/>
      </c>
      <c r="V7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1" s="87"/>
    </row>
    <row r="732" spans="2:23" ht="15" customHeight="1" x14ac:dyDescent="0.25">
      <c r="B732" s="17" t="e">
        <f>VLOOKUP(Data_Discontinuities[[#This Row],[Hole ID]],Data_Log[],2,FALSE)</f>
        <v>#N/A</v>
      </c>
      <c r="C732" s="8"/>
      <c r="D732" s="8"/>
      <c r="E732" s="7"/>
      <c r="F732" s="7"/>
      <c r="G732" s="7"/>
      <c r="H732" s="118"/>
      <c r="I732" s="7"/>
      <c r="J732" s="7"/>
      <c r="K732" s="7"/>
      <c r="L732" s="7"/>
      <c r="M732" s="7"/>
      <c r="N732" s="7"/>
      <c r="O732" s="84" t="e" cm="1">
        <f t="array" ref="O732">_xlfn.XLOOKUP(1,(A732=Geotech!$A$4:$A$10094)*(Data_Discontinuities[[#This Row],[Depth (m)]]&gt;=Geotech!$C$4:$C$10094)*(Data_Discontinuities[[#This Row],[Depth (m)]]&lt;Geotech!$D$4:$D$10094),Geotech!$M$4:$M$10094)</f>
        <v>#N/A</v>
      </c>
      <c r="P732" s="84"/>
      <c r="Q732" s="84"/>
      <c r="R732" s="84"/>
      <c r="S7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2" s="71" t="str">
        <f>IFERROR(Data_Discontinuities[[#This Row],[Joint roughness]]/Data_Discontinuities[[#This Row],[Joint alteration]],"")</f>
        <v/>
      </c>
      <c r="V7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2" s="87"/>
    </row>
    <row r="733" spans="2:23" ht="15" customHeight="1" x14ac:dyDescent="0.25">
      <c r="B733" s="17" t="e">
        <f>VLOOKUP(Data_Discontinuities[[#This Row],[Hole ID]],Data_Log[],2,FALSE)</f>
        <v>#N/A</v>
      </c>
      <c r="C733" s="8"/>
      <c r="D733" s="8"/>
      <c r="E733" s="7"/>
      <c r="F733" s="7"/>
      <c r="G733" s="7"/>
      <c r="H733" s="118"/>
      <c r="I733" s="7"/>
      <c r="J733" s="7"/>
      <c r="K733" s="7"/>
      <c r="L733" s="7"/>
      <c r="M733" s="7"/>
      <c r="N733" s="7"/>
      <c r="O733" s="84" t="e" cm="1">
        <f t="array" ref="O733">_xlfn.XLOOKUP(1,(A733=Geotech!$A$4:$A$10094)*(Data_Discontinuities[[#This Row],[Depth (m)]]&gt;=Geotech!$C$4:$C$10094)*(Data_Discontinuities[[#This Row],[Depth (m)]]&lt;Geotech!$D$4:$D$10094),Geotech!$M$4:$M$10094)</f>
        <v>#N/A</v>
      </c>
      <c r="P733" s="84"/>
      <c r="Q733" s="84"/>
      <c r="R733" s="84"/>
      <c r="S7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3" s="71" t="str">
        <f>IFERROR(Data_Discontinuities[[#This Row],[Joint roughness]]/Data_Discontinuities[[#This Row],[Joint alteration]],"")</f>
        <v/>
      </c>
      <c r="V7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3" s="87"/>
    </row>
    <row r="734" spans="2:23" ht="15" customHeight="1" x14ac:dyDescent="0.25">
      <c r="B734" s="17" t="e">
        <f>VLOOKUP(Data_Discontinuities[[#This Row],[Hole ID]],Data_Log[],2,FALSE)</f>
        <v>#N/A</v>
      </c>
      <c r="C734" s="8"/>
      <c r="D734" s="8"/>
      <c r="E734" s="7"/>
      <c r="F734" s="7"/>
      <c r="G734" s="7"/>
      <c r="H734" s="118"/>
      <c r="I734" s="7"/>
      <c r="J734" s="7"/>
      <c r="K734" s="7"/>
      <c r="L734" s="7"/>
      <c r="M734" s="7"/>
      <c r="N734" s="7"/>
      <c r="O734" s="84" t="e" cm="1">
        <f t="array" ref="O734">_xlfn.XLOOKUP(1,(A734=Geotech!$A$4:$A$10094)*(Data_Discontinuities[[#This Row],[Depth (m)]]&gt;=Geotech!$C$4:$C$10094)*(Data_Discontinuities[[#This Row],[Depth (m)]]&lt;Geotech!$D$4:$D$10094),Geotech!$M$4:$M$10094)</f>
        <v>#N/A</v>
      </c>
      <c r="P734" s="84"/>
      <c r="Q734" s="84"/>
      <c r="R734" s="84"/>
      <c r="S7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4" s="71" t="str">
        <f>IFERROR(Data_Discontinuities[[#This Row],[Joint roughness]]/Data_Discontinuities[[#This Row],[Joint alteration]],"")</f>
        <v/>
      </c>
      <c r="V7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4" s="87"/>
    </row>
    <row r="735" spans="2:23" ht="15" customHeight="1" x14ac:dyDescent="0.25">
      <c r="B735" s="17" t="e">
        <f>VLOOKUP(Data_Discontinuities[[#This Row],[Hole ID]],Data_Log[],2,FALSE)</f>
        <v>#N/A</v>
      </c>
      <c r="C735" s="8"/>
      <c r="D735" s="8"/>
      <c r="E735" s="7"/>
      <c r="F735" s="7"/>
      <c r="G735" s="7"/>
      <c r="H735" s="118"/>
      <c r="I735" s="7"/>
      <c r="J735" s="7"/>
      <c r="K735" s="7"/>
      <c r="L735" s="7"/>
      <c r="M735" s="7"/>
      <c r="N735" s="7"/>
      <c r="O735" s="84" t="e" cm="1">
        <f t="array" ref="O735">_xlfn.XLOOKUP(1,(A735=Geotech!$A$4:$A$10094)*(Data_Discontinuities[[#This Row],[Depth (m)]]&gt;=Geotech!$C$4:$C$10094)*(Data_Discontinuities[[#This Row],[Depth (m)]]&lt;Geotech!$D$4:$D$10094),Geotech!$M$4:$M$10094)</f>
        <v>#N/A</v>
      </c>
      <c r="P735" s="84"/>
      <c r="Q735" s="84"/>
      <c r="R735" s="84"/>
      <c r="S7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5" s="71" t="str">
        <f>IFERROR(Data_Discontinuities[[#This Row],[Joint roughness]]/Data_Discontinuities[[#This Row],[Joint alteration]],"")</f>
        <v/>
      </c>
      <c r="V7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5" s="87"/>
    </row>
    <row r="736" spans="2:23" ht="15" customHeight="1" x14ac:dyDescent="0.25">
      <c r="B736" s="17" t="e">
        <f>VLOOKUP(Data_Discontinuities[[#This Row],[Hole ID]],Data_Log[],2,FALSE)</f>
        <v>#N/A</v>
      </c>
      <c r="C736" s="8"/>
      <c r="D736" s="8"/>
      <c r="E736" s="7"/>
      <c r="F736" s="7"/>
      <c r="G736" s="7"/>
      <c r="H736" s="118"/>
      <c r="I736" s="7"/>
      <c r="J736" s="7"/>
      <c r="K736" s="7"/>
      <c r="L736" s="7"/>
      <c r="M736" s="7"/>
      <c r="N736" s="7"/>
      <c r="O736" s="84" t="e" cm="1">
        <f t="array" ref="O736">_xlfn.XLOOKUP(1,(A736=Geotech!$A$4:$A$10094)*(Data_Discontinuities[[#This Row],[Depth (m)]]&gt;=Geotech!$C$4:$C$10094)*(Data_Discontinuities[[#This Row],[Depth (m)]]&lt;Geotech!$D$4:$D$10094),Geotech!$M$4:$M$10094)</f>
        <v>#N/A</v>
      </c>
      <c r="P736" s="84"/>
      <c r="Q736" s="84"/>
      <c r="R736" s="84"/>
      <c r="S7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6" s="71" t="str">
        <f>IFERROR(Data_Discontinuities[[#This Row],[Joint roughness]]/Data_Discontinuities[[#This Row],[Joint alteration]],"")</f>
        <v/>
      </c>
      <c r="V7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6" s="87"/>
    </row>
    <row r="737" spans="2:23" ht="15" customHeight="1" x14ac:dyDescent="0.25">
      <c r="B737" s="17" t="e">
        <f>VLOOKUP(Data_Discontinuities[[#This Row],[Hole ID]],Data_Log[],2,FALSE)</f>
        <v>#N/A</v>
      </c>
      <c r="C737" s="8"/>
      <c r="D737" s="8"/>
      <c r="E737" s="7"/>
      <c r="F737" s="7"/>
      <c r="G737" s="7"/>
      <c r="H737" s="118"/>
      <c r="I737" s="7"/>
      <c r="J737" s="7"/>
      <c r="K737" s="7"/>
      <c r="L737" s="7"/>
      <c r="M737" s="7"/>
      <c r="N737" s="7"/>
      <c r="O737" s="84" t="e" cm="1">
        <f t="array" ref="O737">_xlfn.XLOOKUP(1,(A737=Geotech!$A$4:$A$10094)*(Data_Discontinuities[[#This Row],[Depth (m)]]&gt;=Geotech!$C$4:$C$10094)*(Data_Discontinuities[[#This Row],[Depth (m)]]&lt;Geotech!$D$4:$D$10094),Geotech!$M$4:$M$10094)</f>
        <v>#N/A</v>
      </c>
      <c r="P737" s="84"/>
      <c r="Q737" s="84"/>
      <c r="R737" s="84"/>
      <c r="S7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7" s="71" t="str">
        <f>IFERROR(Data_Discontinuities[[#This Row],[Joint roughness]]/Data_Discontinuities[[#This Row],[Joint alteration]],"")</f>
        <v/>
      </c>
      <c r="V7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7" s="87"/>
    </row>
    <row r="738" spans="2:23" ht="15" customHeight="1" x14ac:dyDescent="0.25">
      <c r="B738" s="17" t="e">
        <f>VLOOKUP(Data_Discontinuities[[#This Row],[Hole ID]],Data_Log[],2,FALSE)</f>
        <v>#N/A</v>
      </c>
      <c r="C738" s="8"/>
      <c r="D738" s="8"/>
      <c r="E738" s="7"/>
      <c r="F738" s="7"/>
      <c r="G738" s="7"/>
      <c r="H738" s="118"/>
      <c r="I738" s="7"/>
      <c r="J738" s="7"/>
      <c r="K738" s="7"/>
      <c r="L738" s="7"/>
      <c r="M738" s="7"/>
      <c r="N738" s="7"/>
      <c r="O738" s="84" t="e" cm="1">
        <f t="array" ref="O738">_xlfn.XLOOKUP(1,(A738=Geotech!$A$4:$A$10094)*(Data_Discontinuities[[#This Row],[Depth (m)]]&gt;=Geotech!$C$4:$C$10094)*(Data_Discontinuities[[#This Row],[Depth (m)]]&lt;Geotech!$D$4:$D$10094),Geotech!$M$4:$M$10094)</f>
        <v>#N/A</v>
      </c>
      <c r="P738" s="84"/>
      <c r="Q738" s="84"/>
      <c r="R738" s="84"/>
      <c r="S7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8" s="71" t="str">
        <f>IFERROR(Data_Discontinuities[[#This Row],[Joint roughness]]/Data_Discontinuities[[#This Row],[Joint alteration]],"")</f>
        <v/>
      </c>
      <c r="V7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8" s="87"/>
    </row>
    <row r="739" spans="2:23" ht="15" customHeight="1" x14ac:dyDescent="0.25">
      <c r="B739" s="17" t="e">
        <f>VLOOKUP(Data_Discontinuities[[#This Row],[Hole ID]],Data_Log[],2,FALSE)</f>
        <v>#N/A</v>
      </c>
      <c r="C739" s="8"/>
      <c r="D739" s="8"/>
      <c r="E739" s="7"/>
      <c r="F739" s="7"/>
      <c r="G739" s="7"/>
      <c r="H739" s="118"/>
      <c r="I739" s="7"/>
      <c r="J739" s="7"/>
      <c r="K739" s="7"/>
      <c r="L739" s="7"/>
      <c r="M739" s="7"/>
      <c r="N739" s="7"/>
      <c r="O739" s="84" t="e" cm="1">
        <f t="array" ref="O739">_xlfn.XLOOKUP(1,(A739=Geotech!$A$4:$A$10094)*(Data_Discontinuities[[#This Row],[Depth (m)]]&gt;=Geotech!$C$4:$C$10094)*(Data_Discontinuities[[#This Row],[Depth (m)]]&lt;Geotech!$D$4:$D$10094),Geotech!$M$4:$M$10094)</f>
        <v>#N/A</v>
      </c>
      <c r="P739" s="84"/>
      <c r="Q739" s="84"/>
      <c r="R739" s="84"/>
      <c r="S7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39" s="71" t="str">
        <f>IFERROR(Data_Discontinuities[[#This Row],[Joint roughness]]/Data_Discontinuities[[#This Row],[Joint alteration]],"")</f>
        <v/>
      </c>
      <c r="V7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39" s="87"/>
    </row>
    <row r="740" spans="2:23" ht="15" customHeight="1" x14ac:dyDescent="0.25">
      <c r="B740" s="17" t="e">
        <f>VLOOKUP(Data_Discontinuities[[#This Row],[Hole ID]],Data_Log[],2,FALSE)</f>
        <v>#N/A</v>
      </c>
      <c r="C740" s="8"/>
      <c r="D740" s="8"/>
      <c r="E740" s="7"/>
      <c r="F740" s="7"/>
      <c r="G740" s="7"/>
      <c r="H740" s="118"/>
      <c r="I740" s="7"/>
      <c r="J740" s="7"/>
      <c r="K740" s="7"/>
      <c r="L740" s="7"/>
      <c r="M740" s="7"/>
      <c r="N740" s="7"/>
      <c r="O740" s="84" t="e" cm="1">
        <f t="array" ref="O740">_xlfn.XLOOKUP(1,(A740=Geotech!$A$4:$A$10094)*(Data_Discontinuities[[#This Row],[Depth (m)]]&gt;=Geotech!$C$4:$C$10094)*(Data_Discontinuities[[#This Row],[Depth (m)]]&lt;Geotech!$D$4:$D$10094),Geotech!$M$4:$M$10094)</f>
        <v>#N/A</v>
      </c>
      <c r="P740" s="84"/>
      <c r="Q740" s="84"/>
      <c r="R740" s="84"/>
      <c r="S7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0" s="71" t="str">
        <f>IFERROR(Data_Discontinuities[[#This Row],[Joint roughness]]/Data_Discontinuities[[#This Row],[Joint alteration]],"")</f>
        <v/>
      </c>
      <c r="V7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0" s="87"/>
    </row>
    <row r="741" spans="2:23" ht="15" customHeight="1" x14ac:dyDescent="0.25">
      <c r="B741" s="17" t="e">
        <f>VLOOKUP(Data_Discontinuities[[#This Row],[Hole ID]],Data_Log[],2,FALSE)</f>
        <v>#N/A</v>
      </c>
      <c r="C741" s="8"/>
      <c r="D741" s="8"/>
      <c r="E741" s="7"/>
      <c r="F741" s="7"/>
      <c r="G741" s="7"/>
      <c r="H741" s="118"/>
      <c r="I741" s="7"/>
      <c r="J741" s="7"/>
      <c r="K741" s="7"/>
      <c r="L741" s="7"/>
      <c r="M741" s="7"/>
      <c r="N741" s="7"/>
      <c r="O741" s="84" t="e" cm="1">
        <f t="array" ref="O741">_xlfn.XLOOKUP(1,(A741=Geotech!$A$4:$A$10094)*(Data_Discontinuities[[#This Row],[Depth (m)]]&gt;=Geotech!$C$4:$C$10094)*(Data_Discontinuities[[#This Row],[Depth (m)]]&lt;Geotech!$D$4:$D$10094),Geotech!$M$4:$M$10094)</f>
        <v>#N/A</v>
      </c>
      <c r="P741" s="84"/>
      <c r="Q741" s="84"/>
      <c r="R741" s="84"/>
      <c r="S7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1" s="71" t="str">
        <f>IFERROR(Data_Discontinuities[[#This Row],[Joint roughness]]/Data_Discontinuities[[#This Row],[Joint alteration]],"")</f>
        <v/>
      </c>
      <c r="V7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1" s="87"/>
    </row>
    <row r="742" spans="2:23" ht="15" customHeight="1" x14ac:dyDescent="0.25">
      <c r="B742" s="17" t="e">
        <f>VLOOKUP(Data_Discontinuities[[#This Row],[Hole ID]],Data_Log[],2,FALSE)</f>
        <v>#N/A</v>
      </c>
      <c r="C742" s="8"/>
      <c r="D742" s="8"/>
      <c r="E742" s="7"/>
      <c r="F742" s="7"/>
      <c r="G742" s="7"/>
      <c r="H742" s="118"/>
      <c r="I742" s="7"/>
      <c r="J742" s="7"/>
      <c r="K742" s="7"/>
      <c r="L742" s="7"/>
      <c r="M742" s="7"/>
      <c r="N742" s="7"/>
      <c r="O742" s="84" t="e" cm="1">
        <f t="array" ref="O742">_xlfn.XLOOKUP(1,(A742=Geotech!$A$4:$A$10094)*(Data_Discontinuities[[#This Row],[Depth (m)]]&gt;=Geotech!$C$4:$C$10094)*(Data_Discontinuities[[#This Row],[Depth (m)]]&lt;Geotech!$D$4:$D$10094),Geotech!$M$4:$M$10094)</f>
        <v>#N/A</v>
      </c>
      <c r="P742" s="84"/>
      <c r="Q742" s="84"/>
      <c r="R742" s="84"/>
      <c r="S7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2" s="71" t="str">
        <f>IFERROR(Data_Discontinuities[[#This Row],[Joint roughness]]/Data_Discontinuities[[#This Row],[Joint alteration]],"")</f>
        <v/>
      </c>
      <c r="V7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2" s="87"/>
    </row>
    <row r="743" spans="2:23" ht="15" customHeight="1" x14ac:dyDescent="0.25">
      <c r="B743" s="17" t="e">
        <f>VLOOKUP(Data_Discontinuities[[#This Row],[Hole ID]],Data_Log[],2,FALSE)</f>
        <v>#N/A</v>
      </c>
      <c r="C743" s="8"/>
      <c r="D743" s="8"/>
      <c r="E743" s="7"/>
      <c r="F743" s="7"/>
      <c r="G743" s="7"/>
      <c r="H743" s="118"/>
      <c r="I743" s="7"/>
      <c r="J743" s="7"/>
      <c r="K743" s="7"/>
      <c r="L743" s="7"/>
      <c r="M743" s="7"/>
      <c r="N743" s="7"/>
      <c r="O743" s="84" t="e" cm="1">
        <f t="array" ref="O743">_xlfn.XLOOKUP(1,(A743=Geotech!$A$4:$A$10094)*(Data_Discontinuities[[#This Row],[Depth (m)]]&gt;=Geotech!$C$4:$C$10094)*(Data_Discontinuities[[#This Row],[Depth (m)]]&lt;Geotech!$D$4:$D$10094),Geotech!$M$4:$M$10094)</f>
        <v>#N/A</v>
      </c>
      <c r="P743" s="84"/>
      <c r="Q743" s="84"/>
      <c r="R743" s="84"/>
      <c r="S7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3" s="71" t="str">
        <f>IFERROR(Data_Discontinuities[[#This Row],[Joint roughness]]/Data_Discontinuities[[#This Row],[Joint alteration]],"")</f>
        <v/>
      </c>
      <c r="V7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3" s="87"/>
    </row>
    <row r="744" spans="2:23" ht="15" customHeight="1" x14ac:dyDescent="0.25">
      <c r="B744" s="17" t="e">
        <f>VLOOKUP(Data_Discontinuities[[#This Row],[Hole ID]],Data_Log[],2,FALSE)</f>
        <v>#N/A</v>
      </c>
      <c r="C744" s="8"/>
      <c r="D744" s="8"/>
      <c r="E744" s="7"/>
      <c r="F744" s="7"/>
      <c r="G744" s="7"/>
      <c r="H744" s="118"/>
      <c r="I744" s="7"/>
      <c r="J744" s="7"/>
      <c r="K744" s="7"/>
      <c r="L744" s="7"/>
      <c r="M744" s="7"/>
      <c r="N744" s="7"/>
      <c r="O744" s="84" t="e" cm="1">
        <f t="array" ref="O744">_xlfn.XLOOKUP(1,(A744=Geotech!$A$4:$A$10094)*(Data_Discontinuities[[#This Row],[Depth (m)]]&gt;=Geotech!$C$4:$C$10094)*(Data_Discontinuities[[#This Row],[Depth (m)]]&lt;Geotech!$D$4:$D$10094),Geotech!$M$4:$M$10094)</f>
        <v>#N/A</v>
      </c>
      <c r="P744" s="84"/>
      <c r="Q744" s="84"/>
      <c r="R744" s="84"/>
      <c r="S7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4" s="71" t="str">
        <f>IFERROR(Data_Discontinuities[[#This Row],[Joint roughness]]/Data_Discontinuities[[#This Row],[Joint alteration]],"")</f>
        <v/>
      </c>
      <c r="V7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4" s="87"/>
    </row>
    <row r="745" spans="2:23" ht="15" customHeight="1" x14ac:dyDescent="0.25">
      <c r="B745" s="17" t="e">
        <f>VLOOKUP(Data_Discontinuities[[#This Row],[Hole ID]],Data_Log[],2,FALSE)</f>
        <v>#N/A</v>
      </c>
      <c r="C745" s="8"/>
      <c r="D745" s="8"/>
      <c r="E745" s="7"/>
      <c r="F745" s="7"/>
      <c r="G745" s="7"/>
      <c r="H745" s="118"/>
      <c r="I745" s="7"/>
      <c r="J745" s="7"/>
      <c r="K745" s="7"/>
      <c r="L745" s="7"/>
      <c r="M745" s="7"/>
      <c r="N745" s="7"/>
      <c r="O745" s="84" t="e" cm="1">
        <f t="array" ref="O745">_xlfn.XLOOKUP(1,(A745=Geotech!$A$4:$A$10094)*(Data_Discontinuities[[#This Row],[Depth (m)]]&gt;=Geotech!$C$4:$C$10094)*(Data_Discontinuities[[#This Row],[Depth (m)]]&lt;Geotech!$D$4:$D$10094),Geotech!$M$4:$M$10094)</f>
        <v>#N/A</v>
      </c>
      <c r="P745" s="84"/>
      <c r="Q745" s="84"/>
      <c r="R745" s="84"/>
      <c r="S7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5" s="71" t="str">
        <f>IFERROR(Data_Discontinuities[[#This Row],[Joint roughness]]/Data_Discontinuities[[#This Row],[Joint alteration]],"")</f>
        <v/>
      </c>
      <c r="V7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5" s="87"/>
    </row>
    <row r="746" spans="2:23" ht="15" customHeight="1" x14ac:dyDescent="0.25">
      <c r="B746" s="17" t="e">
        <f>VLOOKUP(Data_Discontinuities[[#This Row],[Hole ID]],Data_Log[],2,FALSE)</f>
        <v>#N/A</v>
      </c>
      <c r="C746" s="8"/>
      <c r="D746" s="8"/>
      <c r="E746" s="7"/>
      <c r="F746" s="7"/>
      <c r="G746" s="7"/>
      <c r="H746" s="118"/>
      <c r="I746" s="7"/>
      <c r="J746" s="7"/>
      <c r="K746" s="7"/>
      <c r="L746" s="7"/>
      <c r="M746" s="7"/>
      <c r="N746" s="7"/>
      <c r="O746" s="84" t="e" cm="1">
        <f t="array" ref="O746">_xlfn.XLOOKUP(1,(A746=Geotech!$A$4:$A$10094)*(Data_Discontinuities[[#This Row],[Depth (m)]]&gt;=Geotech!$C$4:$C$10094)*(Data_Discontinuities[[#This Row],[Depth (m)]]&lt;Geotech!$D$4:$D$10094),Geotech!$M$4:$M$10094)</f>
        <v>#N/A</v>
      </c>
      <c r="P746" s="84"/>
      <c r="Q746" s="84"/>
      <c r="R746" s="84"/>
      <c r="S7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6" s="71" t="str">
        <f>IFERROR(Data_Discontinuities[[#This Row],[Joint roughness]]/Data_Discontinuities[[#This Row],[Joint alteration]],"")</f>
        <v/>
      </c>
      <c r="V7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6" s="87"/>
    </row>
    <row r="747" spans="2:23" ht="15" customHeight="1" x14ac:dyDescent="0.25">
      <c r="B747" s="17" t="e">
        <f>VLOOKUP(Data_Discontinuities[[#This Row],[Hole ID]],Data_Log[],2,FALSE)</f>
        <v>#N/A</v>
      </c>
      <c r="C747" s="8"/>
      <c r="D747" s="8"/>
      <c r="E747" s="7"/>
      <c r="F747" s="7"/>
      <c r="G747" s="7"/>
      <c r="H747" s="118"/>
      <c r="I747" s="7"/>
      <c r="J747" s="7"/>
      <c r="K747" s="7"/>
      <c r="L747" s="7"/>
      <c r="M747" s="7"/>
      <c r="N747" s="7"/>
      <c r="O747" s="84" t="e" cm="1">
        <f t="array" ref="O747">_xlfn.XLOOKUP(1,(A747=Geotech!$A$4:$A$10094)*(Data_Discontinuities[[#This Row],[Depth (m)]]&gt;=Geotech!$C$4:$C$10094)*(Data_Discontinuities[[#This Row],[Depth (m)]]&lt;Geotech!$D$4:$D$10094),Geotech!$M$4:$M$10094)</f>
        <v>#N/A</v>
      </c>
      <c r="P747" s="84"/>
      <c r="Q747" s="84"/>
      <c r="R747" s="84"/>
      <c r="S7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7" s="71" t="str">
        <f>IFERROR(Data_Discontinuities[[#This Row],[Joint roughness]]/Data_Discontinuities[[#This Row],[Joint alteration]],"")</f>
        <v/>
      </c>
      <c r="V7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7" s="87"/>
    </row>
    <row r="748" spans="2:23" ht="15" customHeight="1" x14ac:dyDescent="0.25">
      <c r="B748" s="17" t="e">
        <f>VLOOKUP(Data_Discontinuities[[#This Row],[Hole ID]],Data_Log[],2,FALSE)</f>
        <v>#N/A</v>
      </c>
      <c r="C748" s="8"/>
      <c r="D748" s="8"/>
      <c r="E748" s="7"/>
      <c r="F748" s="7"/>
      <c r="G748" s="7"/>
      <c r="H748" s="118"/>
      <c r="I748" s="7"/>
      <c r="J748" s="7"/>
      <c r="K748" s="7"/>
      <c r="L748" s="7"/>
      <c r="M748" s="7"/>
      <c r="N748" s="7"/>
      <c r="O748" s="84" t="e" cm="1">
        <f t="array" ref="O748">_xlfn.XLOOKUP(1,(A748=Geotech!$A$4:$A$10094)*(Data_Discontinuities[[#This Row],[Depth (m)]]&gt;=Geotech!$C$4:$C$10094)*(Data_Discontinuities[[#This Row],[Depth (m)]]&lt;Geotech!$D$4:$D$10094),Geotech!$M$4:$M$10094)</f>
        <v>#N/A</v>
      </c>
      <c r="P748" s="84"/>
      <c r="Q748" s="84"/>
      <c r="R748" s="84"/>
      <c r="S7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8" s="71" t="str">
        <f>IFERROR(Data_Discontinuities[[#This Row],[Joint roughness]]/Data_Discontinuities[[#This Row],[Joint alteration]],"")</f>
        <v/>
      </c>
      <c r="V7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8" s="87"/>
    </row>
    <row r="749" spans="2:23" ht="15" customHeight="1" x14ac:dyDescent="0.25">
      <c r="B749" s="17" t="e">
        <f>VLOOKUP(Data_Discontinuities[[#This Row],[Hole ID]],Data_Log[],2,FALSE)</f>
        <v>#N/A</v>
      </c>
      <c r="C749" s="8"/>
      <c r="D749" s="8"/>
      <c r="E749" s="7"/>
      <c r="F749" s="7"/>
      <c r="G749" s="7"/>
      <c r="H749" s="118"/>
      <c r="I749" s="7"/>
      <c r="J749" s="7"/>
      <c r="K749" s="7"/>
      <c r="L749" s="7"/>
      <c r="M749" s="7"/>
      <c r="N749" s="7"/>
      <c r="O749" s="84" t="e" cm="1">
        <f t="array" ref="O749">_xlfn.XLOOKUP(1,(A749=Geotech!$A$4:$A$10094)*(Data_Discontinuities[[#This Row],[Depth (m)]]&gt;=Geotech!$C$4:$C$10094)*(Data_Discontinuities[[#This Row],[Depth (m)]]&lt;Geotech!$D$4:$D$10094),Geotech!$M$4:$M$10094)</f>
        <v>#N/A</v>
      </c>
      <c r="P749" s="84"/>
      <c r="Q749" s="84"/>
      <c r="R749" s="84"/>
      <c r="S7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49" s="71" t="str">
        <f>IFERROR(Data_Discontinuities[[#This Row],[Joint roughness]]/Data_Discontinuities[[#This Row],[Joint alteration]],"")</f>
        <v/>
      </c>
      <c r="V7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49" s="87"/>
    </row>
    <row r="750" spans="2:23" ht="15" customHeight="1" x14ac:dyDescent="0.25">
      <c r="B750" s="17" t="e">
        <f>VLOOKUP(Data_Discontinuities[[#This Row],[Hole ID]],Data_Log[],2,FALSE)</f>
        <v>#N/A</v>
      </c>
      <c r="C750" s="8"/>
      <c r="D750" s="8"/>
      <c r="E750" s="7"/>
      <c r="F750" s="7"/>
      <c r="G750" s="7"/>
      <c r="H750" s="118"/>
      <c r="I750" s="7"/>
      <c r="J750" s="7"/>
      <c r="K750" s="7"/>
      <c r="L750" s="7"/>
      <c r="M750" s="7"/>
      <c r="N750" s="7"/>
      <c r="O750" s="84" t="e" cm="1">
        <f t="array" ref="O750">_xlfn.XLOOKUP(1,(A750=Geotech!$A$4:$A$10094)*(Data_Discontinuities[[#This Row],[Depth (m)]]&gt;=Geotech!$C$4:$C$10094)*(Data_Discontinuities[[#This Row],[Depth (m)]]&lt;Geotech!$D$4:$D$10094),Geotech!$M$4:$M$10094)</f>
        <v>#N/A</v>
      </c>
      <c r="P750" s="84"/>
      <c r="Q750" s="84"/>
      <c r="R750" s="84"/>
      <c r="S7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0" s="71" t="str">
        <f>IFERROR(Data_Discontinuities[[#This Row],[Joint roughness]]/Data_Discontinuities[[#This Row],[Joint alteration]],"")</f>
        <v/>
      </c>
      <c r="V7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0" s="87"/>
    </row>
    <row r="751" spans="2:23" ht="15" customHeight="1" x14ac:dyDescent="0.25">
      <c r="B751" s="17" t="e">
        <f>VLOOKUP(Data_Discontinuities[[#This Row],[Hole ID]],Data_Log[],2,FALSE)</f>
        <v>#N/A</v>
      </c>
      <c r="C751" s="8"/>
      <c r="D751" s="8"/>
      <c r="E751" s="7"/>
      <c r="F751" s="7"/>
      <c r="G751" s="7"/>
      <c r="H751" s="118"/>
      <c r="I751" s="7"/>
      <c r="J751" s="7"/>
      <c r="K751" s="7"/>
      <c r="L751" s="7"/>
      <c r="M751" s="7"/>
      <c r="N751" s="7"/>
      <c r="O751" s="84" t="e" cm="1">
        <f t="array" ref="O751">_xlfn.XLOOKUP(1,(A751=Geotech!$A$4:$A$10094)*(Data_Discontinuities[[#This Row],[Depth (m)]]&gt;=Geotech!$C$4:$C$10094)*(Data_Discontinuities[[#This Row],[Depth (m)]]&lt;Geotech!$D$4:$D$10094),Geotech!$M$4:$M$10094)</f>
        <v>#N/A</v>
      </c>
      <c r="P751" s="84"/>
      <c r="Q751" s="84"/>
      <c r="R751" s="84"/>
      <c r="S7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1" s="71" t="str">
        <f>IFERROR(Data_Discontinuities[[#This Row],[Joint roughness]]/Data_Discontinuities[[#This Row],[Joint alteration]],"")</f>
        <v/>
      </c>
      <c r="V7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1" s="87"/>
    </row>
    <row r="752" spans="2:23" ht="15" customHeight="1" x14ac:dyDescent="0.25">
      <c r="B752" s="17" t="e">
        <f>VLOOKUP(Data_Discontinuities[[#This Row],[Hole ID]],Data_Log[],2,FALSE)</f>
        <v>#N/A</v>
      </c>
      <c r="C752" s="8"/>
      <c r="D752" s="8"/>
      <c r="E752" s="7"/>
      <c r="F752" s="7"/>
      <c r="G752" s="7"/>
      <c r="H752" s="118"/>
      <c r="I752" s="7"/>
      <c r="J752" s="7"/>
      <c r="K752" s="7"/>
      <c r="L752" s="7"/>
      <c r="M752" s="7"/>
      <c r="N752" s="7"/>
      <c r="O752" s="84" t="e" cm="1">
        <f t="array" ref="O752">_xlfn.XLOOKUP(1,(A752=Geotech!$A$4:$A$10094)*(Data_Discontinuities[[#This Row],[Depth (m)]]&gt;=Geotech!$C$4:$C$10094)*(Data_Discontinuities[[#This Row],[Depth (m)]]&lt;Geotech!$D$4:$D$10094),Geotech!$M$4:$M$10094)</f>
        <v>#N/A</v>
      </c>
      <c r="P752" s="84"/>
      <c r="Q752" s="84"/>
      <c r="R752" s="84"/>
      <c r="S7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2" s="71" t="str">
        <f>IFERROR(Data_Discontinuities[[#This Row],[Joint roughness]]/Data_Discontinuities[[#This Row],[Joint alteration]],"")</f>
        <v/>
      </c>
      <c r="V7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2" s="87"/>
    </row>
    <row r="753" spans="2:23" ht="15" customHeight="1" x14ac:dyDescent="0.25">
      <c r="B753" s="17" t="e">
        <f>VLOOKUP(Data_Discontinuities[[#This Row],[Hole ID]],Data_Log[],2,FALSE)</f>
        <v>#N/A</v>
      </c>
      <c r="C753" s="8"/>
      <c r="D753" s="8"/>
      <c r="E753" s="7"/>
      <c r="F753" s="7"/>
      <c r="G753" s="7"/>
      <c r="H753" s="118"/>
      <c r="I753" s="7"/>
      <c r="J753" s="7"/>
      <c r="K753" s="7"/>
      <c r="L753" s="7"/>
      <c r="M753" s="7"/>
      <c r="N753" s="7"/>
      <c r="O753" s="84" t="e" cm="1">
        <f t="array" ref="O753">_xlfn.XLOOKUP(1,(A753=Geotech!$A$4:$A$10094)*(Data_Discontinuities[[#This Row],[Depth (m)]]&gt;=Geotech!$C$4:$C$10094)*(Data_Discontinuities[[#This Row],[Depth (m)]]&lt;Geotech!$D$4:$D$10094),Geotech!$M$4:$M$10094)</f>
        <v>#N/A</v>
      </c>
      <c r="P753" s="84"/>
      <c r="Q753" s="84"/>
      <c r="R753" s="84"/>
      <c r="S7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3" s="71" t="str">
        <f>IFERROR(Data_Discontinuities[[#This Row],[Joint roughness]]/Data_Discontinuities[[#This Row],[Joint alteration]],"")</f>
        <v/>
      </c>
      <c r="V7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3" s="87"/>
    </row>
    <row r="754" spans="2:23" ht="15" customHeight="1" x14ac:dyDescent="0.25">
      <c r="B754" s="17" t="e">
        <f>VLOOKUP(Data_Discontinuities[[#This Row],[Hole ID]],Data_Log[],2,FALSE)</f>
        <v>#N/A</v>
      </c>
      <c r="C754" s="8"/>
      <c r="D754" s="8"/>
      <c r="E754" s="7"/>
      <c r="F754" s="7"/>
      <c r="G754" s="7"/>
      <c r="H754" s="118"/>
      <c r="I754" s="7"/>
      <c r="J754" s="7"/>
      <c r="K754" s="7"/>
      <c r="L754" s="7"/>
      <c r="M754" s="7"/>
      <c r="N754" s="7"/>
      <c r="O754" s="84" t="e" cm="1">
        <f t="array" ref="O754">_xlfn.XLOOKUP(1,(A754=Geotech!$A$4:$A$10094)*(Data_Discontinuities[[#This Row],[Depth (m)]]&gt;=Geotech!$C$4:$C$10094)*(Data_Discontinuities[[#This Row],[Depth (m)]]&lt;Geotech!$D$4:$D$10094),Geotech!$M$4:$M$10094)</f>
        <v>#N/A</v>
      </c>
      <c r="P754" s="84"/>
      <c r="Q754" s="84"/>
      <c r="R754" s="84"/>
      <c r="S7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4" s="71" t="str">
        <f>IFERROR(Data_Discontinuities[[#This Row],[Joint roughness]]/Data_Discontinuities[[#This Row],[Joint alteration]],"")</f>
        <v/>
      </c>
      <c r="V7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4" s="87"/>
    </row>
    <row r="755" spans="2:23" ht="15" customHeight="1" x14ac:dyDescent="0.25">
      <c r="B755" s="17" t="e">
        <f>VLOOKUP(Data_Discontinuities[[#This Row],[Hole ID]],Data_Log[],2,FALSE)</f>
        <v>#N/A</v>
      </c>
      <c r="C755" s="8"/>
      <c r="D755" s="8"/>
      <c r="E755" s="7"/>
      <c r="F755" s="7"/>
      <c r="G755" s="7"/>
      <c r="H755" s="118"/>
      <c r="I755" s="7"/>
      <c r="J755" s="7"/>
      <c r="K755" s="7"/>
      <c r="L755" s="7"/>
      <c r="M755" s="7"/>
      <c r="N755" s="7"/>
      <c r="O755" s="84" t="e" cm="1">
        <f t="array" ref="O755">_xlfn.XLOOKUP(1,(A755=Geotech!$A$4:$A$10094)*(Data_Discontinuities[[#This Row],[Depth (m)]]&gt;=Geotech!$C$4:$C$10094)*(Data_Discontinuities[[#This Row],[Depth (m)]]&lt;Geotech!$D$4:$D$10094),Geotech!$M$4:$M$10094)</f>
        <v>#N/A</v>
      </c>
      <c r="P755" s="84"/>
      <c r="Q755" s="84"/>
      <c r="R755" s="84"/>
      <c r="S7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5" s="71" t="str">
        <f>IFERROR(Data_Discontinuities[[#This Row],[Joint roughness]]/Data_Discontinuities[[#This Row],[Joint alteration]],"")</f>
        <v/>
      </c>
      <c r="V7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5" s="87"/>
    </row>
    <row r="756" spans="2:23" ht="15" customHeight="1" x14ac:dyDescent="0.25">
      <c r="B756" s="17" t="e">
        <f>VLOOKUP(Data_Discontinuities[[#This Row],[Hole ID]],Data_Log[],2,FALSE)</f>
        <v>#N/A</v>
      </c>
      <c r="C756" s="8"/>
      <c r="D756" s="8"/>
      <c r="E756" s="7"/>
      <c r="F756" s="7"/>
      <c r="G756" s="7"/>
      <c r="H756" s="118"/>
      <c r="I756" s="7"/>
      <c r="J756" s="7"/>
      <c r="K756" s="7"/>
      <c r="L756" s="7"/>
      <c r="M756" s="7"/>
      <c r="N756" s="7"/>
      <c r="O756" s="84" t="e" cm="1">
        <f t="array" ref="O756">_xlfn.XLOOKUP(1,(A756=Geotech!$A$4:$A$10094)*(Data_Discontinuities[[#This Row],[Depth (m)]]&gt;=Geotech!$C$4:$C$10094)*(Data_Discontinuities[[#This Row],[Depth (m)]]&lt;Geotech!$D$4:$D$10094),Geotech!$M$4:$M$10094)</f>
        <v>#N/A</v>
      </c>
      <c r="P756" s="84"/>
      <c r="Q756" s="84"/>
      <c r="R756" s="84"/>
      <c r="S7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6" s="71" t="str">
        <f>IFERROR(Data_Discontinuities[[#This Row],[Joint roughness]]/Data_Discontinuities[[#This Row],[Joint alteration]],"")</f>
        <v/>
      </c>
      <c r="V7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6" s="87"/>
    </row>
    <row r="757" spans="2:23" ht="15" customHeight="1" x14ac:dyDescent="0.25">
      <c r="B757" s="17" t="e">
        <f>VLOOKUP(Data_Discontinuities[[#This Row],[Hole ID]],Data_Log[],2,FALSE)</f>
        <v>#N/A</v>
      </c>
      <c r="C757" s="8"/>
      <c r="D757" s="8"/>
      <c r="E757" s="7"/>
      <c r="F757" s="7"/>
      <c r="G757" s="7"/>
      <c r="H757" s="118"/>
      <c r="I757" s="7"/>
      <c r="J757" s="7"/>
      <c r="K757" s="7"/>
      <c r="L757" s="7"/>
      <c r="M757" s="7"/>
      <c r="N757" s="7"/>
      <c r="O757" s="84" t="e" cm="1">
        <f t="array" ref="O757">_xlfn.XLOOKUP(1,(A757=Geotech!$A$4:$A$10094)*(Data_Discontinuities[[#This Row],[Depth (m)]]&gt;=Geotech!$C$4:$C$10094)*(Data_Discontinuities[[#This Row],[Depth (m)]]&lt;Geotech!$D$4:$D$10094),Geotech!$M$4:$M$10094)</f>
        <v>#N/A</v>
      </c>
      <c r="P757" s="84"/>
      <c r="Q757" s="84"/>
      <c r="R757" s="84"/>
      <c r="S7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7" s="71" t="str">
        <f>IFERROR(Data_Discontinuities[[#This Row],[Joint roughness]]/Data_Discontinuities[[#This Row],[Joint alteration]],"")</f>
        <v/>
      </c>
      <c r="V7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7" s="87"/>
    </row>
    <row r="758" spans="2:23" ht="15" customHeight="1" x14ac:dyDescent="0.25">
      <c r="B758" s="17" t="e">
        <f>VLOOKUP(Data_Discontinuities[[#This Row],[Hole ID]],Data_Log[],2,FALSE)</f>
        <v>#N/A</v>
      </c>
      <c r="C758" s="8"/>
      <c r="D758" s="8"/>
      <c r="E758" s="7"/>
      <c r="F758" s="7"/>
      <c r="G758" s="7"/>
      <c r="H758" s="118"/>
      <c r="I758" s="7"/>
      <c r="J758" s="7"/>
      <c r="K758" s="7"/>
      <c r="L758" s="7"/>
      <c r="M758" s="7"/>
      <c r="N758" s="7"/>
      <c r="O758" s="84" t="e" cm="1">
        <f t="array" ref="O758">_xlfn.XLOOKUP(1,(A758=Geotech!$A$4:$A$10094)*(Data_Discontinuities[[#This Row],[Depth (m)]]&gt;=Geotech!$C$4:$C$10094)*(Data_Discontinuities[[#This Row],[Depth (m)]]&lt;Geotech!$D$4:$D$10094),Geotech!$M$4:$M$10094)</f>
        <v>#N/A</v>
      </c>
      <c r="P758" s="84"/>
      <c r="Q758" s="84"/>
      <c r="R758" s="84"/>
      <c r="S7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8" s="71" t="str">
        <f>IFERROR(Data_Discontinuities[[#This Row],[Joint roughness]]/Data_Discontinuities[[#This Row],[Joint alteration]],"")</f>
        <v/>
      </c>
      <c r="V7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8" s="87"/>
    </row>
    <row r="759" spans="2:23" ht="15" customHeight="1" x14ac:dyDescent="0.25">
      <c r="B759" s="17" t="e">
        <f>VLOOKUP(Data_Discontinuities[[#This Row],[Hole ID]],Data_Log[],2,FALSE)</f>
        <v>#N/A</v>
      </c>
      <c r="C759" s="8"/>
      <c r="D759" s="8"/>
      <c r="E759" s="7"/>
      <c r="F759" s="7"/>
      <c r="G759" s="7"/>
      <c r="H759" s="118"/>
      <c r="I759" s="7"/>
      <c r="J759" s="7"/>
      <c r="K759" s="7"/>
      <c r="L759" s="7"/>
      <c r="M759" s="7"/>
      <c r="N759" s="7"/>
      <c r="O759" s="84" t="e" cm="1">
        <f t="array" ref="O759">_xlfn.XLOOKUP(1,(A759=Geotech!$A$4:$A$10094)*(Data_Discontinuities[[#This Row],[Depth (m)]]&gt;=Geotech!$C$4:$C$10094)*(Data_Discontinuities[[#This Row],[Depth (m)]]&lt;Geotech!$D$4:$D$10094),Geotech!$M$4:$M$10094)</f>
        <v>#N/A</v>
      </c>
      <c r="P759" s="84"/>
      <c r="Q759" s="84"/>
      <c r="R759" s="84"/>
      <c r="S7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59" s="71" t="str">
        <f>IFERROR(Data_Discontinuities[[#This Row],[Joint roughness]]/Data_Discontinuities[[#This Row],[Joint alteration]],"")</f>
        <v/>
      </c>
      <c r="V7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59" s="87"/>
    </row>
    <row r="760" spans="2:23" ht="15" customHeight="1" x14ac:dyDescent="0.25">
      <c r="B760" s="17" t="e">
        <f>VLOOKUP(Data_Discontinuities[[#This Row],[Hole ID]],Data_Log[],2,FALSE)</f>
        <v>#N/A</v>
      </c>
      <c r="C760" s="8"/>
      <c r="D760" s="8"/>
      <c r="E760" s="7"/>
      <c r="F760" s="7"/>
      <c r="G760" s="7"/>
      <c r="H760" s="118"/>
      <c r="I760" s="7"/>
      <c r="J760" s="7"/>
      <c r="K760" s="7"/>
      <c r="L760" s="7"/>
      <c r="M760" s="7"/>
      <c r="N760" s="7"/>
      <c r="O760" s="84" t="e" cm="1">
        <f t="array" ref="O760">_xlfn.XLOOKUP(1,(A760=Geotech!$A$4:$A$10094)*(Data_Discontinuities[[#This Row],[Depth (m)]]&gt;=Geotech!$C$4:$C$10094)*(Data_Discontinuities[[#This Row],[Depth (m)]]&lt;Geotech!$D$4:$D$10094),Geotech!$M$4:$M$10094)</f>
        <v>#N/A</v>
      </c>
      <c r="P760" s="84"/>
      <c r="Q760" s="84"/>
      <c r="R760" s="84"/>
      <c r="S7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0" s="71" t="str">
        <f>IFERROR(Data_Discontinuities[[#This Row],[Joint roughness]]/Data_Discontinuities[[#This Row],[Joint alteration]],"")</f>
        <v/>
      </c>
      <c r="V7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0" s="87"/>
    </row>
    <row r="761" spans="2:23" ht="15" customHeight="1" x14ac:dyDescent="0.25">
      <c r="B761" s="17" t="e">
        <f>VLOOKUP(Data_Discontinuities[[#This Row],[Hole ID]],Data_Log[],2,FALSE)</f>
        <v>#N/A</v>
      </c>
      <c r="C761" s="8"/>
      <c r="D761" s="8"/>
      <c r="E761" s="7"/>
      <c r="F761" s="7"/>
      <c r="G761" s="7"/>
      <c r="H761" s="118"/>
      <c r="I761" s="7"/>
      <c r="J761" s="7"/>
      <c r="K761" s="7"/>
      <c r="L761" s="7"/>
      <c r="M761" s="7"/>
      <c r="N761" s="7"/>
      <c r="O761" s="84" t="e" cm="1">
        <f t="array" ref="O761">_xlfn.XLOOKUP(1,(A761=Geotech!$A$4:$A$10094)*(Data_Discontinuities[[#This Row],[Depth (m)]]&gt;=Geotech!$C$4:$C$10094)*(Data_Discontinuities[[#This Row],[Depth (m)]]&lt;Geotech!$D$4:$D$10094),Geotech!$M$4:$M$10094)</f>
        <v>#N/A</v>
      </c>
      <c r="P761" s="84"/>
      <c r="Q761" s="84"/>
      <c r="R761" s="84"/>
      <c r="S7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1" s="71" t="str">
        <f>IFERROR(Data_Discontinuities[[#This Row],[Joint roughness]]/Data_Discontinuities[[#This Row],[Joint alteration]],"")</f>
        <v/>
      </c>
      <c r="V7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1" s="87"/>
    </row>
    <row r="762" spans="2:23" ht="15" customHeight="1" x14ac:dyDescent="0.25">
      <c r="B762" s="17" t="e">
        <f>VLOOKUP(Data_Discontinuities[[#This Row],[Hole ID]],Data_Log[],2,FALSE)</f>
        <v>#N/A</v>
      </c>
      <c r="C762" s="8"/>
      <c r="D762" s="8"/>
      <c r="E762" s="7"/>
      <c r="F762" s="7"/>
      <c r="G762" s="7"/>
      <c r="H762" s="118"/>
      <c r="I762" s="7"/>
      <c r="J762" s="7"/>
      <c r="K762" s="7"/>
      <c r="L762" s="7"/>
      <c r="M762" s="7"/>
      <c r="N762" s="7"/>
      <c r="O762" s="84" t="e" cm="1">
        <f t="array" ref="O762">_xlfn.XLOOKUP(1,(A762=Geotech!$A$4:$A$10094)*(Data_Discontinuities[[#This Row],[Depth (m)]]&gt;=Geotech!$C$4:$C$10094)*(Data_Discontinuities[[#This Row],[Depth (m)]]&lt;Geotech!$D$4:$D$10094),Geotech!$M$4:$M$10094)</f>
        <v>#N/A</v>
      </c>
      <c r="P762" s="84"/>
      <c r="Q762" s="84"/>
      <c r="R762" s="84"/>
      <c r="S7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2" s="71" t="str">
        <f>IFERROR(Data_Discontinuities[[#This Row],[Joint roughness]]/Data_Discontinuities[[#This Row],[Joint alteration]],"")</f>
        <v/>
      </c>
      <c r="V7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2" s="87"/>
    </row>
    <row r="763" spans="2:23" ht="15" customHeight="1" x14ac:dyDescent="0.25">
      <c r="B763" s="17" t="e">
        <f>VLOOKUP(Data_Discontinuities[[#This Row],[Hole ID]],Data_Log[],2,FALSE)</f>
        <v>#N/A</v>
      </c>
      <c r="C763" s="8"/>
      <c r="D763" s="8"/>
      <c r="E763" s="7"/>
      <c r="F763" s="7"/>
      <c r="G763" s="7"/>
      <c r="H763" s="118"/>
      <c r="I763" s="7"/>
      <c r="J763" s="7"/>
      <c r="K763" s="7"/>
      <c r="L763" s="7"/>
      <c r="M763" s="7"/>
      <c r="N763" s="7"/>
      <c r="O763" s="84" t="e" cm="1">
        <f t="array" ref="O763">_xlfn.XLOOKUP(1,(A763=Geotech!$A$4:$A$10094)*(Data_Discontinuities[[#This Row],[Depth (m)]]&gt;=Geotech!$C$4:$C$10094)*(Data_Discontinuities[[#This Row],[Depth (m)]]&lt;Geotech!$D$4:$D$10094),Geotech!$M$4:$M$10094)</f>
        <v>#N/A</v>
      </c>
      <c r="P763" s="84"/>
      <c r="Q763" s="84"/>
      <c r="R763" s="84"/>
      <c r="S7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3" s="71" t="str">
        <f>IFERROR(Data_Discontinuities[[#This Row],[Joint roughness]]/Data_Discontinuities[[#This Row],[Joint alteration]],"")</f>
        <v/>
      </c>
      <c r="V7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3" s="87"/>
    </row>
    <row r="764" spans="2:23" ht="15" customHeight="1" x14ac:dyDescent="0.25">
      <c r="B764" s="17" t="e">
        <f>VLOOKUP(Data_Discontinuities[[#This Row],[Hole ID]],Data_Log[],2,FALSE)</f>
        <v>#N/A</v>
      </c>
      <c r="C764" s="8"/>
      <c r="D764" s="8"/>
      <c r="E764" s="7"/>
      <c r="F764" s="7"/>
      <c r="G764" s="7"/>
      <c r="H764" s="118"/>
      <c r="I764" s="7"/>
      <c r="J764" s="7"/>
      <c r="K764" s="7"/>
      <c r="L764" s="7"/>
      <c r="M764" s="7"/>
      <c r="N764" s="7"/>
      <c r="O764" s="84" t="e" cm="1">
        <f t="array" ref="O764">_xlfn.XLOOKUP(1,(A764=Geotech!$A$4:$A$10094)*(Data_Discontinuities[[#This Row],[Depth (m)]]&gt;=Geotech!$C$4:$C$10094)*(Data_Discontinuities[[#This Row],[Depth (m)]]&lt;Geotech!$D$4:$D$10094),Geotech!$M$4:$M$10094)</f>
        <v>#N/A</v>
      </c>
      <c r="P764" s="84"/>
      <c r="Q764" s="84"/>
      <c r="R764" s="84"/>
      <c r="S7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4" s="71" t="str">
        <f>IFERROR(Data_Discontinuities[[#This Row],[Joint roughness]]/Data_Discontinuities[[#This Row],[Joint alteration]],"")</f>
        <v/>
      </c>
      <c r="V7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4" s="87"/>
    </row>
    <row r="765" spans="2:23" ht="15" customHeight="1" x14ac:dyDescent="0.25">
      <c r="B765" s="17" t="e">
        <f>VLOOKUP(Data_Discontinuities[[#This Row],[Hole ID]],Data_Log[],2,FALSE)</f>
        <v>#N/A</v>
      </c>
      <c r="C765" s="8"/>
      <c r="D765" s="8"/>
      <c r="E765" s="7"/>
      <c r="F765" s="7"/>
      <c r="G765" s="7"/>
      <c r="H765" s="118"/>
      <c r="I765" s="7"/>
      <c r="J765" s="7"/>
      <c r="K765" s="7"/>
      <c r="L765" s="7"/>
      <c r="M765" s="7"/>
      <c r="N765" s="7"/>
      <c r="O765" s="84" t="e" cm="1">
        <f t="array" ref="O765">_xlfn.XLOOKUP(1,(A765=Geotech!$A$4:$A$10094)*(Data_Discontinuities[[#This Row],[Depth (m)]]&gt;=Geotech!$C$4:$C$10094)*(Data_Discontinuities[[#This Row],[Depth (m)]]&lt;Geotech!$D$4:$D$10094),Geotech!$M$4:$M$10094)</f>
        <v>#N/A</v>
      </c>
      <c r="P765" s="84"/>
      <c r="Q765" s="84"/>
      <c r="R765" s="84"/>
      <c r="S7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5" s="71" t="str">
        <f>IFERROR(Data_Discontinuities[[#This Row],[Joint roughness]]/Data_Discontinuities[[#This Row],[Joint alteration]],"")</f>
        <v/>
      </c>
      <c r="V7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5" s="87"/>
    </row>
    <row r="766" spans="2:23" ht="15" customHeight="1" x14ac:dyDescent="0.25">
      <c r="B766" s="17" t="e">
        <f>VLOOKUP(Data_Discontinuities[[#This Row],[Hole ID]],Data_Log[],2,FALSE)</f>
        <v>#N/A</v>
      </c>
      <c r="C766" s="8"/>
      <c r="D766" s="8"/>
      <c r="E766" s="7"/>
      <c r="F766" s="7"/>
      <c r="G766" s="7"/>
      <c r="H766" s="118"/>
      <c r="I766" s="7"/>
      <c r="J766" s="7"/>
      <c r="K766" s="7"/>
      <c r="L766" s="7"/>
      <c r="M766" s="7"/>
      <c r="N766" s="7"/>
      <c r="O766" s="84" t="e" cm="1">
        <f t="array" ref="O766">_xlfn.XLOOKUP(1,(A766=Geotech!$A$4:$A$10094)*(Data_Discontinuities[[#This Row],[Depth (m)]]&gt;=Geotech!$C$4:$C$10094)*(Data_Discontinuities[[#This Row],[Depth (m)]]&lt;Geotech!$D$4:$D$10094),Geotech!$M$4:$M$10094)</f>
        <v>#N/A</v>
      </c>
      <c r="P766" s="84"/>
      <c r="Q766" s="84"/>
      <c r="R766" s="84"/>
      <c r="S7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6" s="71" t="str">
        <f>IFERROR(Data_Discontinuities[[#This Row],[Joint roughness]]/Data_Discontinuities[[#This Row],[Joint alteration]],"")</f>
        <v/>
      </c>
      <c r="V7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6" s="87"/>
    </row>
    <row r="767" spans="2:23" ht="15" customHeight="1" x14ac:dyDescent="0.25">
      <c r="B767" s="17" t="e">
        <f>VLOOKUP(Data_Discontinuities[[#This Row],[Hole ID]],Data_Log[],2,FALSE)</f>
        <v>#N/A</v>
      </c>
      <c r="C767" s="8"/>
      <c r="D767" s="8"/>
      <c r="E767" s="7"/>
      <c r="F767" s="7"/>
      <c r="G767" s="7"/>
      <c r="H767" s="118"/>
      <c r="I767" s="7"/>
      <c r="J767" s="7"/>
      <c r="K767" s="7"/>
      <c r="L767" s="7"/>
      <c r="M767" s="7"/>
      <c r="N767" s="7"/>
      <c r="O767" s="84" t="e" cm="1">
        <f t="array" ref="O767">_xlfn.XLOOKUP(1,(A767=Geotech!$A$4:$A$10094)*(Data_Discontinuities[[#This Row],[Depth (m)]]&gt;=Geotech!$C$4:$C$10094)*(Data_Discontinuities[[#This Row],[Depth (m)]]&lt;Geotech!$D$4:$D$10094),Geotech!$M$4:$M$10094)</f>
        <v>#N/A</v>
      </c>
      <c r="P767" s="84"/>
      <c r="Q767" s="84"/>
      <c r="R767" s="84"/>
      <c r="S7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7" s="71" t="str">
        <f>IFERROR(Data_Discontinuities[[#This Row],[Joint roughness]]/Data_Discontinuities[[#This Row],[Joint alteration]],"")</f>
        <v/>
      </c>
      <c r="V7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7" s="87"/>
    </row>
    <row r="768" spans="2:23" ht="15" customHeight="1" x14ac:dyDescent="0.25">
      <c r="B768" s="17" t="e">
        <f>VLOOKUP(Data_Discontinuities[[#This Row],[Hole ID]],Data_Log[],2,FALSE)</f>
        <v>#N/A</v>
      </c>
      <c r="C768" s="8"/>
      <c r="D768" s="8"/>
      <c r="E768" s="7"/>
      <c r="F768" s="7"/>
      <c r="G768" s="7"/>
      <c r="H768" s="118"/>
      <c r="I768" s="7"/>
      <c r="J768" s="7"/>
      <c r="K768" s="7"/>
      <c r="L768" s="7"/>
      <c r="M768" s="7"/>
      <c r="N768" s="7"/>
      <c r="O768" s="84" t="e" cm="1">
        <f t="array" ref="O768">_xlfn.XLOOKUP(1,(A768=Geotech!$A$4:$A$10094)*(Data_Discontinuities[[#This Row],[Depth (m)]]&gt;=Geotech!$C$4:$C$10094)*(Data_Discontinuities[[#This Row],[Depth (m)]]&lt;Geotech!$D$4:$D$10094),Geotech!$M$4:$M$10094)</f>
        <v>#N/A</v>
      </c>
      <c r="P768" s="84"/>
      <c r="Q768" s="84"/>
      <c r="R768" s="84"/>
      <c r="S7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8" s="71" t="str">
        <f>IFERROR(Data_Discontinuities[[#This Row],[Joint roughness]]/Data_Discontinuities[[#This Row],[Joint alteration]],"")</f>
        <v/>
      </c>
      <c r="V7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8" s="87"/>
    </row>
    <row r="769" spans="2:23" ht="15" customHeight="1" x14ac:dyDescent="0.25">
      <c r="B769" s="17" t="e">
        <f>VLOOKUP(Data_Discontinuities[[#This Row],[Hole ID]],Data_Log[],2,FALSE)</f>
        <v>#N/A</v>
      </c>
      <c r="C769" s="8"/>
      <c r="D769" s="8"/>
      <c r="E769" s="7"/>
      <c r="F769" s="7"/>
      <c r="G769" s="7"/>
      <c r="H769" s="118"/>
      <c r="I769" s="7"/>
      <c r="J769" s="7"/>
      <c r="K769" s="7"/>
      <c r="L769" s="7"/>
      <c r="M769" s="7"/>
      <c r="N769" s="7"/>
      <c r="O769" s="84" t="e" cm="1">
        <f t="array" ref="O769">_xlfn.XLOOKUP(1,(A769=Geotech!$A$4:$A$10094)*(Data_Discontinuities[[#This Row],[Depth (m)]]&gt;=Geotech!$C$4:$C$10094)*(Data_Discontinuities[[#This Row],[Depth (m)]]&lt;Geotech!$D$4:$D$10094),Geotech!$M$4:$M$10094)</f>
        <v>#N/A</v>
      </c>
      <c r="P769" s="84"/>
      <c r="Q769" s="84"/>
      <c r="R769" s="84"/>
      <c r="S7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69" s="71" t="str">
        <f>IFERROR(Data_Discontinuities[[#This Row],[Joint roughness]]/Data_Discontinuities[[#This Row],[Joint alteration]],"")</f>
        <v/>
      </c>
      <c r="V7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69" s="87"/>
    </row>
    <row r="770" spans="2:23" ht="15" customHeight="1" x14ac:dyDescent="0.25">
      <c r="B770" s="17" t="e">
        <f>VLOOKUP(Data_Discontinuities[[#This Row],[Hole ID]],Data_Log[],2,FALSE)</f>
        <v>#N/A</v>
      </c>
      <c r="C770" s="8"/>
      <c r="D770" s="8"/>
      <c r="E770" s="7"/>
      <c r="F770" s="7"/>
      <c r="G770" s="7"/>
      <c r="H770" s="118"/>
      <c r="I770" s="7"/>
      <c r="J770" s="7"/>
      <c r="K770" s="7"/>
      <c r="L770" s="7"/>
      <c r="M770" s="7"/>
      <c r="N770" s="7"/>
      <c r="O770" s="84" t="e" cm="1">
        <f t="array" ref="O770">_xlfn.XLOOKUP(1,(A770=Geotech!$A$4:$A$10094)*(Data_Discontinuities[[#This Row],[Depth (m)]]&gt;=Geotech!$C$4:$C$10094)*(Data_Discontinuities[[#This Row],[Depth (m)]]&lt;Geotech!$D$4:$D$10094),Geotech!$M$4:$M$10094)</f>
        <v>#N/A</v>
      </c>
      <c r="P770" s="84"/>
      <c r="Q770" s="84"/>
      <c r="R770" s="84"/>
      <c r="S7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0" s="71" t="str">
        <f>IFERROR(Data_Discontinuities[[#This Row],[Joint roughness]]/Data_Discontinuities[[#This Row],[Joint alteration]],"")</f>
        <v/>
      </c>
      <c r="V7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0" s="87"/>
    </row>
    <row r="771" spans="2:23" ht="15" customHeight="1" x14ac:dyDescent="0.25">
      <c r="B771" s="17" t="e">
        <f>VLOOKUP(Data_Discontinuities[[#This Row],[Hole ID]],Data_Log[],2,FALSE)</f>
        <v>#N/A</v>
      </c>
      <c r="C771" s="8"/>
      <c r="D771" s="8"/>
      <c r="E771" s="7"/>
      <c r="F771" s="7"/>
      <c r="G771" s="7"/>
      <c r="H771" s="118"/>
      <c r="I771" s="7"/>
      <c r="J771" s="7"/>
      <c r="K771" s="7"/>
      <c r="L771" s="7"/>
      <c r="M771" s="7"/>
      <c r="N771" s="7"/>
      <c r="O771" s="84" t="e" cm="1">
        <f t="array" ref="O771">_xlfn.XLOOKUP(1,(A771=Geotech!$A$4:$A$10094)*(Data_Discontinuities[[#This Row],[Depth (m)]]&gt;=Geotech!$C$4:$C$10094)*(Data_Discontinuities[[#This Row],[Depth (m)]]&lt;Geotech!$D$4:$D$10094),Geotech!$M$4:$M$10094)</f>
        <v>#N/A</v>
      </c>
      <c r="P771" s="84"/>
      <c r="Q771" s="84"/>
      <c r="R771" s="84"/>
      <c r="S7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1" s="71" t="str">
        <f>IFERROR(Data_Discontinuities[[#This Row],[Joint roughness]]/Data_Discontinuities[[#This Row],[Joint alteration]],"")</f>
        <v/>
      </c>
      <c r="V7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1" s="87"/>
    </row>
    <row r="772" spans="2:23" ht="15" customHeight="1" x14ac:dyDescent="0.25">
      <c r="B772" s="17" t="e">
        <f>VLOOKUP(Data_Discontinuities[[#This Row],[Hole ID]],Data_Log[],2,FALSE)</f>
        <v>#N/A</v>
      </c>
      <c r="C772" s="8"/>
      <c r="D772" s="8"/>
      <c r="E772" s="7"/>
      <c r="F772" s="7"/>
      <c r="G772" s="7"/>
      <c r="H772" s="118"/>
      <c r="I772" s="7"/>
      <c r="J772" s="7"/>
      <c r="K772" s="7"/>
      <c r="L772" s="7"/>
      <c r="M772" s="7"/>
      <c r="N772" s="7"/>
      <c r="O772" s="84" t="e" cm="1">
        <f t="array" ref="O772">_xlfn.XLOOKUP(1,(A772=Geotech!$A$4:$A$10094)*(Data_Discontinuities[[#This Row],[Depth (m)]]&gt;=Geotech!$C$4:$C$10094)*(Data_Discontinuities[[#This Row],[Depth (m)]]&lt;Geotech!$D$4:$D$10094),Geotech!$M$4:$M$10094)</f>
        <v>#N/A</v>
      </c>
      <c r="P772" s="84"/>
      <c r="Q772" s="84"/>
      <c r="R772" s="84"/>
      <c r="S7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2" s="71" t="str">
        <f>IFERROR(Data_Discontinuities[[#This Row],[Joint roughness]]/Data_Discontinuities[[#This Row],[Joint alteration]],"")</f>
        <v/>
      </c>
      <c r="V7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2" s="87"/>
    </row>
    <row r="773" spans="2:23" ht="15" customHeight="1" x14ac:dyDescent="0.25">
      <c r="B773" s="17" t="e">
        <f>VLOOKUP(Data_Discontinuities[[#This Row],[Hole ID]],Data_Log[],2,FALSE)</f>
        <v>#N/A</v>
      </c>
      <c r="C773" s="8"/>
      <c r="D773" s="8"/>
      <c r="E773" s="7"/>
      <c r="F773" s="7"/>
      <c r="G773" s="7"/>
      <c r="H773" s="118"/>
      <c r="I773" s="7"/>
      <c r="J773" s="7"/>
      <c r="K773" s="7"/>
      <c r="L773" s="7"/>
      <c r="M773" s="7"/>
      <c r="N773" s="7"/>
      <c r="O773" s="84" t="e" cm="1">
        <f t="array" ref="O773">_xlfn.XLOOKUP(1,(A773=Geotech!$A$4:$A$10094)*(Data_Discontinuities[[#This Row],[Depth (m)]]&gt;=Geotech!$C$4:$C$10094)*(Data_Discontinuities[[#This Row],[Depth (m)]]&lt;Geotech!$D$4:$D$10094),Geotech!$M$4:$M$10094)</f>
        <v>#N/A</v>
      </c>
      <c r="P773" s="84"/>
      <c r="Q773" s="84"/>
      <c r="R773" s="84"/>
      <c r="S7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3" s="71" t="str">
        <f>IFERROR(Data_Discontinuities[[#This Row],[Joint roughness]]/Data_Discontinuities[[#This Row],[Joint alteration]],"")</f>
        <v/>
      </c>
      <c r="V7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3" s="87"/>
    </row>
    <row r="774" spans="2:23" ht="15" customHeight="1" x14ac:dyDescent="0.25">
      <c r="B774" s="17" t="e">
        <f>VLOOKUP(Data_Discontinuities[[#This Row],[Hole ID]],Data_Log[],2,FALSE)</f>
        <v>#N/A</v>
      </c>
      <c r="C774" s="8"/>
      <c r="D774" s="8"/>
      <c r="E774" s="7"/>
      <c r="F774" s="7"/>
      <c r="G774" s="7"/>
      <c r="H774" s="118"/>
      <c r="I774" s="7"/>
      <c r="J774" s="7"/>
      <c r="K774" s="7"/>
      <c r="L774" s="7"/>
      <c r="M774" s="7"/>
      <c r="N774" s="7"/>
      <c r="O774" s="84" t="e" cm="1">
        <f t="array" ref="O774">_xlfn.XLOOKUP(1,(A774=Geotech!$A$4:$A$10094)*(Data_Discontinuities[[#This Row],[Depth (m)]]&gt;=Geotech!$C$4:$C$10094)*(Data_Discontinuities[[#This Row],[Depth (m)]]&lt;Geotech!$D$4:$D$10094),Geotech!$M$4:$M$10094)</f>
        <v>#N/A</v>
      </c>
      <c r="P774" s="84"/>
      <c r="Q774" s="84"/>
      <c r="R774" s="84"/>
      <c r="S7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4" s="71" t="str">
        <f>IFERROR(Data_Discontinuities[[#This Row],[Joint roughness]]/Data_Discontinuities[[#This Row],[Joint alteration]],"")</f>
        <v/>
      </c>
      <c r="V7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4" s="87"/>
    </row>
    <row r="775" spans="2:23" ht="15" customHeight="1" x14ac:dyDescent="0.25">
      <c r="B775" s="17" t="e">
        <f>VLOOKUP(Data_Discontinuities[[#This Row],[Hole ID]],Data_Log[],2,FALSE)</f>
        <v>#N/A</v>
      </c>
      <c r="C775" s="8"/>
      <c r="D775" s="8"/>
      <c r="E775" s="7"/>
      <c r="F775" s="7"/>
      <c r="G775" s="7"/>
      <c r="H775" s="118"/>
      <c r="I775" s="7"/>
      <c r="J775" s="7"/>
      <c r="K775" s="7"/>
      <c r="L775" s="7"/>
      <c r="M775" s="7"/>
      <c r="N775" s="7"/>
      <c r="O775" s="84" t="e" cm="1">
        <f t="array" ref="O775">_xlfn.XLOOKUP(1,(A775=Geotech!$A$4:$A$10094)*(Data_Discontinuities[[#This Row],[Depth (m)]]&gt;=Geotech!$C$4:$C$10094)*(Data_Discontinuities[[#This Row],[Depth (m)]]&lt;Geotech!$D$4:$D$10094),Geotech!$M$4:$M$10094)</f>
        <v>#N/A</v>
      </c>
      <c r="P775" s="84"/>
      <c r="Q775" s="84"/>
      <c r="R775" s="84"/>
      <c r="S7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5" s="71" t="str">
        <f>IFERROR(Data_Discontinuities[[#This Row],[Joint roughness]]/Data_Discontinuities[[#This Row],[Joint alteration]],"")</f>
        <v/>
      </c>
      <c r="V7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5" s="87"/>
    </row>
    <row r="776" spans="2:23" ht="15" customHeight="1" x14ac:dyDescent="0.25">
      <c r="B776" s="17" t="e">
        <f>VLOOKUP(Data_Discontinuities[[#This Row],[Hole ID]],Data_Log[],2,FALSE)</f>
        <v>#N/A</v>
      </c>
      <c r="C776" s="8"/>
      <c r="D776" s="8"/>
      <c r="E776" s="7"/>
      <c r="F776" s="7"/>
      <c r="G776" s="7"/>
      <c r="H776" s="118"/>
      <c r="I776" s="7"/>
      <c r="J776" s="7"/>
      <c r="K776" s="7"/>
      <c r="L776" s="7"/>
      <c r="M776" s="7"/>
      <c r="N776" s="7"/>
      <c r="O776" s="84" t="e" cm="1">
        <f t="array" ref="O776">_xlfn.XLOOKUP(1,(A776=Geotech!$A$4:$A$10094)*(Data_Discontinuities[[#This Row],[Depth (m)]]&gt;=Geotech!$C$4:$C$10094)*(Data_Discontinuities[[#This Row],[Depth (m)]]&lt;Geotech!$D$4:$D$10094),Geotech!$M$4:$M$10094)</f>
        <v>#N/A</v>
      </c>
      <c r="P776" s="84"/>
      <c r="Q776" s="84"/>
      <c r="R776" s="84"/>
      <c r="S7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6" s="71" t="str">
        <f>IFERROR(Data_Discontinuities[[#This Row],[Joint roughness]]/Data_Discontinuities[[#This Row],[Joint alteration]],"")</f>
        <v/>
      </c>
      <c r="V7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6" s="87"/>
    </row>
    <row r="777" spans="2:23" ht="15" customHeight="1" x14ac:dyDescent="0.25">
      <c r="B777" s="17" t="e">
        <f>VLOOKUP(Data_Discontinuities[[#This Row],[Hole ID]],Data_Log[],2,FALSE)</f>
        <v>#N/A</v>
      </c>
      <c r="C777" s="8"/>
      <c r="D777" s="8"/>
      <c r="E777" s="7"/>
      <c r="F777" s="7"/>
      <c r="G777" s="7"/>
      <c r="H777" s="118"/>
      <c r="I777" s="7"/>
      <c r="J777" s="7"/>
      <c r="K777" s="7"/>
      <c r="L777" s="7"/>
      <c r="M777" s="7"/>
      <c r="N777" s="7"/>
      <c r="O777" s="84" t="e" cm="1">
        <f t="array" ref="O777">_xlfn.XLOOKUP(1,(A777=Geotech!$A$4:$A$10094)*(Data_Discontinuities[[#This Row],[Depth (m)]]&gt;=Geotech!$C$4:$C$10094)*(Data_Discontinuities[[#This Row],[Depth (m)]]&lt;Geotech!$D$4:$D$10094),Geotech!$M$4:$M$10094)</f>
        <v>#N/A</v>
      </c>
      <c r="P777" s="84"/>
      <c r="Q777" s="84"/>
      <c r="R777" s="84"/>
      <c r="S7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7" s="71" t="str">
        <f>IFERROR(Data_Discontinuities[[#This Row],[Joint roughness]]/Data_Discontinuities[[#This Row],[Joint alteration]],"")</f>
        <v/>
      </c>
      <c r="V7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7" s="87"/>
    </row>
    <row r="778" spans="2:23" ht="15" customHeight="1" x14ac:dyDescent="0.25">
      <c r="B778" s="17" t="e">
        <f>VLOOKUP(Data_Discontinuities[[#This Row],[Hole ID]],Data_Log[],2,FALSE)</f>
        <v>#N/A</v>
      </c>
      <c r="C778" s="8"/>
      <c r="D778" s="8"/>
      <c r="E778" s="7"/>
      <c r="F778" s="7"/>
      <c r="G778" s="7"/>
      <c r="H778" s="118"/>
      <c r="I778" s="7"/>
      <c r="J778" s="7"/>
      <c r="K778" s="7"/>
      <c r="L778" s="7"/>
      <c r="M778" s="7"/>
      <c r="N778" s="7"/>
      <c r="O778" s="84" t="e" cm="1">
        <f t="array" ref="O778">_xlfn.XLOOKUP(1,(A778=Geotech!$A$4:$A$10094)*(Data_Discontinuities[[#This Row],[Depth (m)]]&gt;=Geotech!$C$4:$C$10094)*(Data_Discontinuities[[#This Row],[Depth (m)]]&lt;Geotech!$D$4:$D$10094),Geotech!$M$4:$M$10094)</f>
        <v>#N/A</v>
      </c>
      <c r="P778" s="84"/>
      <c r="Q778" s="84"/>
      <c r="R778" s="84"/>
      <c r="S7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8" s="71" t="str">
        <f>IFERROR(Data_Discontinuities[[#This Row],[Joint roughness]]/Data_Discontinuities[[#This Row],[Joint alteration]],"")</f>
        <v/>
      </c>
      <c r="V7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8" s="87"/>
    </row>
    <row r="779" spans="2:23" ht="15" customHeight="1" x14ac:dyDescent="0.25">
      <c r="B779" s="17" t="e">
        <f>VLOOKUP(Data_Discontinuities[[#This Row],[Hole ID]],Data_Log[],2,FALSE)</f>
        <v>#N/A</v>
      </c>
      <c r="C779" s="8"/>
      <c r="D779" s="8"/>
      <c r="E779" s="7"/>
      <c r="F779" s="7"/>
      <c r="G779" s="7"/>
      <c r="H779" s="118"/>
      <c r="I779" s="7"/>
      <c r="J779" s="7"/>
      <c r="K779" s="7"/>
      <c r="L779" s="7"/>
      <c r="M779" s="7"/>
      <c r="N779" s="7"/>
      <c r="O779" s="84" t="e" cm="1">
        <f t="array" ref="O779">_xlfn.XLOOKUP(1,(A779=Geotech!$A$4:$A$10094)*(Data_Discontinuities[[#This Row],[Depth (m)]]&gt;=Geotech!$C$4:$C$10094)*(Data_Discontinuities[[#This Row],[Depth (m)]]&lt;Geotech!$D$4:$D$10094),Geotech!$M$4:$M$10094)</f>
        <v>#N/A</v>
      </c>
      <c r="P779" s="84"/>
      <c r="Q779" s="84"/>
      <c r="R779" s="84"/>
      <c r="S7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79" s="71" t="str">
        <f>IFERROR(Data_Discontinuities[[#This Row],[Joint roughness]]/Data_Discontinuities[[#This Row],[Joint alteration]],"")</f>
        <v/>
      </c>
      <c r="V7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79" s="87"/>
    </row>
    <row r="780" spans="2:23" ht="15" customHeight="1" x14ac:dyDescent="0.25">
      <c r="B780" s="17" t="e">
        <f>VLOOKUP(Data_Discontinuities[[#This Row],[Hole ID]],Data_Log[],2,FALSE)</f>
        <v>#N/A</v>
      </c>
      <c r="C780" s="8"/>
      <c r="D780" s="8"/>
      <c r="E780" s="7"/>
      <c r="F780" s="7"/>
      <c r="G780" s="7"/>
      <c r="H780" s="118"/>
      <c r="I780" s="7"/>
      <c r="J780" s="7"/>
      <c r="K780" s="7"/>
      <c r="L780" s="7"/>
      <c r="M780" s="7"/>
      <c r="N780" s="7"/>
      <c r="O780" s="84" t="e" cm="1">
        <f t="array" ref="O780">_xlfn.XLOOKUP(1,(A780=Geotech!$A$4:$A$10094)*(Data_Discontinuities[[#This Row],[Depth (m)]]&gt;=Geotech!$C$4:$C$10094)*(Data_Discontinuities[[#This Row],[Depth (m)]]&lt;Geotech!$D$4:$D$10094),Geotech!$M$4:$M$10094)</f>
        <v>#N/A</v>
      </c>
      <c r="P780" s="84"/>
      <c r="Q780" s="84"/>
      <c r="R780" s="84"/>
      <c r="S7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0" s="71" t="str">
        <f>IFERROR(Data_Discontinuities[[#This Row],[Joint roughness]]/Data_Discontinuities[[#This Row],[Joint alteration]],"")</f>
        <v/>
      </c>
      <c r="V7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0" s="87"/>
    </row>
    <row r="781" spans="2:23" ht="15" customHeight="1" x14ac:dyDescent="0.25">
      <c r="B781" s="17" t="e">
        <f>VLOOKUP(Data_Discontinuities[[#This Row],[Hole ID]],Data_Log[],2,FALSE)</f>
        <v>#N/A</v>
      </c>
      <c r="C781" s="8"/>
      <c r="D781" s="8"/>
      <c r="E781" s="7"/>
      <c r="F781" s="7"/>
      <c r="G781" s="7"/>
      <c r="H781" s="118"/>
      <c r="I781" s="7"/>
      <c r="J781" s="7"/>
      <c r="K781" s="7"/>
      <c r="L781" s="7"/>
      <c r="M781" s="7"/>
      <c r="N781" s="7"/>
      <c r="O781" s="84" t="e" cm="1">
        <f t="array" ref="O781">_xlfn.XLOOKUP(1,(A781=Geotech!$A$4:$A$10094)*(Data_Discontinuities[[#This Row],[Depth (m)]]&gt;=Geotech!$C$4:$C$10094)*(Data_Discontinuities[[#This Row],[Depth (m)]]&lt;Geotech!$D$4:$D$10094),Geotech!$M$4:$M$10094)</f>
        <v>#N/A</v>
      </c>
      <c r="P781" s="84"/>
      <c r="Q781" s="84"/>
      <c r="R781" s="84"/>
      <c r="S7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1" s="71" t="str">
        <f>IFERROR(Data_Discontinuities[[#This Row],[Joint roughness]]/Data_Discontinuities[[#This Row],[Joint alteration]],"")</f>
        <v/>
      </c>
      <c r="V7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1" s="87"/>
    </row>
    <row r="782" spans="2:23" ht="15" customHeight="1" x14ac:dyDescent="0.25">
      <c r="B782" s="17" t="e">
        <f>VLOOKUP(Data_Discontinuities[[#This Row],[Hole ID]],Data_Log[],2,FALSE)</f>
        <v>#N/A</v>
      </c>
      <c r="C782" s="8"/>
      <c r="D782" s="8"/>
      <c r="E782" s="7"/>
      <c r="F782" s="7"/>
      <c r="G782" s="7"/>
      <c r="H782" s="118"/>
      <c r="I782" s="7"/>
      <c r="J782" s="7"/>
      <c r="K782" s="7"/>
      <c r="L782" s="7"/>
      <c r="M782" s="7"/>
      <c r="N782" s="7"/>
      <c r="O782" s="84" t="e" cm="1">
        <f t="array" ref="O782">_xlfn.XLOOKUP(1,(A782=Geotech!$A$4:$A$10094)*(Data_Discontinuities[[#This Row],[Depth (m)]]&gt;=Geotech!$C$4:$C$10094)*(Data_Discontinuities[[#This Row],[Depth (m)]]&lt;Geotech!$D$4:$D$10094),Geotech!$M$4:$M$10094)</f>
        <v>#N/A</v>
      </c>
      <c r="P782" s="84"/>
      <c r="Q782" s="84"/>
      <c r="R782" s="84"/>
      <c r="S7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2" s="71" t="str">
        <f>IFERROR(Data_Discontinuities[[#This Row],[Joint roughness]]/Data_Discontinuities[[#This Row],[Joint alteration]],"")</f>
        <v/>
      </c>
      <c r="V7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2" s="87"/>
    </row>
    <row r="783" spans="2:23" ht="15" customHeight="1" x14ac:dyDescent="0.25">
      <c r="B783" s="17" t="e">
        <f>VLOOKUP(Data_Discontinuities[[#This Row],[Hole ID]],Data_Log[],2,FALSE)</f>
        <v>#N/A</v>
      </c>
      <c r="C783" s="8"/>
      <c r="D783" s="8"/>
      <c r="E783" s="7"/>
      <c r="F783" s="7"/>
      <c r="G783" s="7"/>
      <c r="H783" s="118"/>
      <c r="I783" s="7"/>
      <c r="J783" s="7"/>
      <c r="K783" s="7"/>
      <c r="L783" s="7"/>
      <c r="M783" s="7"/>
      <c r="N783" s="7"/>
      <c r="O783" s="84" t="e" cm="1">
        <f t="array" ref="O783">_xlfn.XLOOKUP(1,(A783=Geotech!$A$4:$A$10094)*(Data_Discontinuities[[#This Row],[Depth (m)]]&gt;=Geotech!$C$4:$C$10094)*(Data_Discontinuities[[#This Row],[Depth (m)]]&lt;Geotech!$D$4:$D$10094),Geotech!$M$4:$M$10094)</f>
        <v>#N/A</v>
      </c>
      <c r="P783" s="84"/>
      <c r="Q783" s="84"/>
      <c r="R783" s="84"/>
      <c r="S7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3" s="71" t="str">
        <f>IFERROR(Data_Discontinuities[[#This Row],[Joint roughness]]/Data_Discontinuities[[#This Row],[Joint alteration]],"")</f>
        <v/>
      </c>
      <c r="V7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3" s="87"/>
    </row>
    <row r="784" spans="2:23" ht="15" customHeight="1" x14ac:dyDescent="0.25">
      <c r="B784" s="17" t="e">
        <f>VLOOKUP(Data_Discontinuities[[#This Row],[Hole ID]],Data_Log[],2,FALSE)</f>
        <v>#N/A</v>
      </c>
      <c r="C784" s="8"/>
      <c r="D784" s="8"/>
      <c r="E784" s="7"/>
      <c r="F784" s="7"/>
      <c r="G784" s="7"/>
      <c r="H784" s="118"/>
      <c r="I784" s="7"/>
      <c r="J784" s="7"/>
      <c r="K784" s="7"/>
      <c r="L784" s="7"/>
      <c r="M784" s="7"/>
      <c r="N784" s="7"/>
      <c r="O784" s="84" t="e" cm="1">
        <f t="array" ref="O784">_xlfn.XLOOKUP(1,(A784=Geotech!$A$4:$A$10094)*(Data_Discontinuities[[#This Row],[Depth (m)]]&gt;=Geotech!$C$4:$C$10094)*(Data_Discontinuities[[#This Row],[Depth (m)]]&lt;Geotech!$D$4:$D$10094),Geotech!$M$4:$M$10094)</f>
        <v>#N/A</v>
      </c>
      <c r="P784" s="84"/>
      <c r="Q784" s="84"/>
      <c r="R784" s="84"/>
      <c r="S7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4" s="71" t="str">
        <f>IFERROR(Data_Discontinuities[[#This Row],[Joint roughness]]/Data_Discontinuities[[#This Row],[Joint alteration]],"")</f>
        <v/>
      </c>
      <c r="V7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4" s="87"/>
    </row>
    <row r="785" spans="2:23" ht="15" customHeight="1" x14ac:dyDescent="0.25">
      <c r="B785" s="17" t="e">
        <f>VLOOKUP(Data_Discontinuities[[#This Row],[Hole ID]],Data_Log[],2,FALSE)</f>
        <v>#N/A</v>
      </c>
      <c r="C785" s="8"/>
      <c r="D785" s="8"/>
      <c r="E785" s="7"/>
      <c r="F785" s="7"/>
      <c r="G785" s="7"/>
      <c r="H785" s="118"/>
      <c r="I785" s="7"/>
      <c r="J785" s="7"/>
      <c r="K785" s="7"/>
      <c r="L785" s="7"/>
      <c r="M785" s="7"/>
      <c r="N785" s="7"/>
      <c r="O785" s="84" t="e" cm="1">
        <f t="array" ref="O785">_xlfn.XLOOKUP(1,(A785=Geotech!$A$4:$A$10094)*(Data_Discontinuities[[#This Row],[Depth (m)]]&gt;=Geotech!$C$4:$C$10094)*(Data_Discontinuities[[#This Row],[Depth (m)]]&lt;Geotech!$D$4:$D$10094),Geotech!$M$4:$M$10094)</f>
        <v>#N/A</v>
      </c>
      <c r="P785" s="84"/>
      <c r="Q785" s="84"/>
      <c r="R785" s="84"/>
      <c r="S7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5" s="71" t="str">
        <f>IFERROR(Data_Discontinuities[[#This Row],[Joint roughness]]/Data_Discontinuities[[#This Row],[Joint alteration]],"")</f>
        <v/>
      </c>
      <c r="V7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5" s="87"/>
    </row>
    <row r="786" spans="2:23" ht="15" customHeight="1" x14ac:dyDescent="0.25">
      <c r="B786" s="17" t="e">
        <f>VLOOKUP(Data_Discontinuities[[#This Row],[Hole ID]],Data_Log[],2,FALSE)</f>
        <v>#N/A</v>
      </c>
      <c r="C786" s="8"/>
      <c r="D786" s="8"/>
      <c r="E786" s="7"/>
      <c r="F786" s="7"/>
      <c r="G786" s="7"/>
      <c r="H786" s="118"/>
      <c r="I786" s="7"/>
      <c r="J786" s="7"/>
      <c r="K786" s="7"/>
      <c r="L786" s="7"/>
      <c r="M786" s="7"/>
      <c r="N786" s="7"/>
      <c r="O786" s="84" t="e" cm="1">
        <f t="array" ref="O786">_xlfn.XLOOKUP(1,(A786=Geotech!$A$4:$A$10094)*(Data_Discontinuities[[#This Row],[Depth (m)]]&gt;=Geotech!$C$4:$C$10094)*(Data_Discontinuities[[#This Row],[Depth (m)]]&lt;Geotech!$D$4:$D$10094),Geotech!$M$4:$M$10094)</f>
        <v>#N/A</v>
      </c>
      <c r="P786" s="84"/>
      <c r="Q786" s="84"/>
      <c r="R786" s="84"/>
      <c r="S7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6" s="71" t="str">
        <f>IFERROR(Data_Discontinuities[[#This Row],[Joint roughness]]/Data_Discontinuities[[#This Row],[Joint alteration]],"")</f>
        <v/>
      </c>
      <c r="V7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6" s="87"/>
    </row>
    <row r="787" spans="2:23" ht="15" customHeight="1" x14ac:dyDescent="0.25">
      <c r="B787" s="17" t="e">
        <f>VLOOKUP(Data_Discontinuities[[#This Row],[Hole ID]],Data_Log[],2,FALSE)</f>
        <v>#N/A</v>
      </c>
      <c r="C787" s="8"/>
      <c r="D787" s="8"/>
      <c r="E787" s="7"/>
      <c r="F787" s="7"/>
      <c r="G787" s="7"/>
      <c r="H787" s="118"/>
      <c r="I787" s="7"/>
      <c r="J787" s="7"/>
      <c r="K787" s="7"/>
      <c r="L787" s="7"/>
      <c r="M787" s="7"/>
      <c r="N787" s="7"/>
      <c r="O787" s="84" t="e" cm="1">
        <f t="array" ref="O787">_xlfn.XLOOKUP(1,(A787=Geotech!$A$4:$A$10094)*(Data_Discontinuities[[#This Row],[Depth (m)]]&gt;=Geotech!$C$4:$C$10094)*(Data_Discontinuities[[#This Row],[Depth (m)]]&lt;Geotech!$D$4:$D$10094),Geotech!$M$4:$M$10094)</f>
        <v>#N/A</v>
      </c>
      <c r="P787" s="84"/>
      <c r="Q787" s="84"/>
      <c r="R787" s="84"/>
      <c r="S7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7" s="71" t="str">
        <f>IFERROR(Data_Discontinuities[[#This Row],[Joint roughness]]/Data_Discontinuities[[#This Row],[Joint alteration]],"")</f>
        <v/>
      </c>
      <c r="V7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7" s="87"/>
    </row>
    <row r="788" spans="2:23" ht="15" customHeight="1" x14ac:dyDescent="0.25">
      <c r="B788" s="17" t="e">
        <f>VLOOKUP(Data_Discontinuities[[#This Row],[Hole ID]],Data_Log[],2,FALSE)</f>
        <v>#N/A</v>
      </c>
      <c r="C788" s="8"/>
      <c r="D788" s="8"/>
      <c r="E788" s="7"/>
      <c r="F788" s="7"/>
      <c r="G788" s="7"/>
      <c r="H788" s="118"/>
      <c r="I788" s="7"/>
      <c r="J788" s="7"/>
      <c r="K788" s="7"/>
      <c r="L788" s="7"/>
      <c r="M788" s="7"/>
      <c r="N788" s="7"/>
      <c r="O788" s="84" t="e" cm="1">
        <f t="array" ref="O788">_xlfn.XLOOKUP(1,(A788=Geotech!$A$4:$A$10094)*(Data_Discontinuities[[#This Row],[Depth (m)]]&gt;=Geotech!$C$4:$C$10094)*(Data_Discontinuities[[#This Row],[Depth (m)]]&lt;Geotech!$D$4:$D$10094),Geotech!$M$4:$M$10094)</f>
        <v>#N/A</v>
      </c>
      <c r="P788" s="84"/>
      <c r="Q788" s="84"/>
      <c r="R788" s="84"/>
      <c r="S7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8" s="71" t="str">
        <f>IFERROR(Data_Discontinuities[[#This Row],[Joint roughness]]/Data_Discontinuities[[#This Row],[Joint alteration]],"")</f>
        <v/>
      </c>
      <c r="V7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8" s="87"/>
    </row>
    <row r="789" spans="2:23" ht="15" customHeight="1" x14ac:dyDescent="0.25">
      <c r="B789" s="17" t="e">
        <f>VLOOKUP(Data_Discontinuities[[#This Row],[Hole ID]],Data_Log[],2,FALSE)</f>
        <v>#N/A</v>
      </c>
      <c r="C789" s="8"/>
      <c r="D789" s="8"/>
      <c r="E789" s="7"/>
      <c r="F789" s="7"/>
      <c r="G789" s="7"/>
      <c r="H789" s="118"/>
      <c r="I789" s="7"/>
      <c r="J789" s="7"/>
      <c r="K789" s="7"/>
      <c r="L789" s="7"/>
      <c r="M789" s="7"/>
      <c r="N789" s="7"/>
      <c r="O789" s="84" t="e" cm="1">
        <f t="array" ref="O789">_xlfn.XLOOKUP(1,(A789=Geotech!$A$4:$A$10094)*(Data_Discontinuities[[#This Row],[Depth (m)]]&gt;=Geotech!$C$4:$C$10094)*(Data_Discontinuities[[#This Row],[Depth (m)]]&lt;Geotech!$D$4:$D$10094),Geotech!$M$4:$M$10094)</f>
        <v>#N/A</v>
      </c>
      <c r="P789" s="84"/>
      <c r="Q789" s="84"/>
      <c r="R789" s="84"/>
      <c r="S7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89" s="71" t="str">
        <f>IFERROR(Data_Discontinuities[[#This Row],[Joint roughness]]/Data_Discontinuities[[#This Row],[Joint alteration]],"")</f>
        <v/>
      </c>
      <c r="V7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89" s="87"/>
    </row>
    <row r="790" spans="2:23" ht="15" customHeight="1" x14ac:dyDescent="0.25">
      <c r="B790" s="17" t="e">
        <f>VLOOKUP(Data_Discontinuities[[#This Row],[Hole ID]],Data_Log[],2,FALSE)</f>
        <v>#N/A</v>
      </c>
      <c r="C790" s="8"/>
      <c r="D790" s="8"/>
      <c r="E790" s="7"/>
      <c r="F790" s="7"/>
      <c r="G790" s="7"/>
      <c r="H790" s="118"/>
      <c r="I790" s="7"/>
      <c r="J790" s="7"/>
      <c r="K790" s="7"/>
      <c r="L790" s="7"/>
      <c r="M790" s="7"/>
      <c r="N790" s="7"/>
      <c r="O790" s="84" t="e" cm="1">
        <f t="array" ref="O790">_xlfn.XLOOKUP(1,(A790=Geotech!$A$4:$A$10094)*(Data_Discontinuities[[#This Row],[Depth (m)]]&gt;=Geotech!$C$4:$C$10094)*(Data_Discontinuities[[#This Row],[Depth (m)]]&lt;Geotech!$D$4:$D$10094),Geotech!$M$4:$M$10094)</f>
        <v>#N/A</v>
      </c>
      <c r="P790" s="84"/>
      <c r="Q790" s="84"/>
      <c r="R790" s="84"/>
      <c r="S7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0" s="71" t="str">
        <f>IFERROR(Data_Discontinuities[[#This Row],[Joint roughness]]/Data_Discontinuities[[#This Row],[Joint alteration]],"")</f>
        <v/>
      </c>
      <c r="V7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0" s="87"/>
    </row>
    <row r="791" spans="2:23" ht="15" customHeight="1" x14ac:dyDescent="0.25">
      <c r="B791" s="17" t="e">
        <f>VLOOKUP(Data_Discontinuities[[#This Row],[Hole ID]],Data_Log[],2,FALSE)</f>
        <v>#N/A</v>
      </c>
      <c r="C791" s="8"/>
      <c r="D791" s="8"/>
      <c r="E791" s="7"/>
      <c r="F791" s="7"/>
      <c r="G791" s="7"/>
      <c r="H791" s="118"/>
      <c r="I791" s="7"/>
      <c r="J791" s="7"/>
      <c r="K791" s="7"/>
      <c r="L791" s="7"/>
      <c r="M791" s="7"/>
      <c r="N791" s="7"/>
      <c r="O791" s="84" t="e" cm="1">
        <f t="array" ref="O791">_xlfn.XLOOKUP(1,(A791=Geotech!$A$4:$A$10094)*(Data_Discontinuities[[#This Row],[Depth (m)]]&gt;=Geotech!$C$4:$C$10094)*(Data_Discontinuities[[#This Row],[Depth (m)]]&lt;Geotech!$D$4:$D$10094),Geotech!$M$4:$M$10094)</f>
        <v>#N/A</v>
      </c>
      <c r="P791" s="84"/>
      <c r="Q791" s="84"/>
      <c r="R791" s="84"/>
      <c r="S7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1" s="71" t="str">
        <f>IFERROR(Data_Discontinuities[[#This Row],[Joint roughness]]/Data_Discontinuities[[#This Row],[Joint alteration]],"")</f>
        <v/>
      </c>
      <c r="V7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1" s="87"/>
    </row>
    <row r="792" spans="2:23" ht="15" customHeight="1" x14ac:dyDescent="0.25">
      <c r="B792" s="17" t="e">
        <f>VLOOKUP(Data_Discontinuities[[#This Row],[Hole ID]],Data_Log[],2,FALSE)</f>
        <v>#N/A</v>
      </c>
      <c r="C792" s="8"/>
      <c r="D792" s="8"/>
      <c r="E792" s="7"/>
      <c r="F792" s="7"/>
      <c r="G792" s="7"/>
      <c r="H792" s="118"/>
      <c r="I792" s="7"/>
      <c r="J792" s="7"/>
      <c r="K792" s="7"/>
      <c r="L792" s="7"/>
      <c r="M792" s="7"/>
      <c r="N792" s="7"/>
      <c r="O792" s="84" t="e" cm="1">
        <f t="array" ref="O792">_xlfn.XLOOKUP(1,(A792=Geotech!$A$4:$A$10094)*(Data_Discontinuities[[#This Row],[Depth (m)]]&gt;=Geotech!$C$4:$C$10094)*(Data_Discontinuities[[#This Row],[Depth (m)]]&lt;Geotech!$D$4:$D$10094),Geotech!$M$4:$M$10094)</f>
        <v>#N/A</v>
      </c>
      <c r="P792" s="84"/>
      <c r="Q792" s="84"/>
      <c r="R792" s="84"/>
      <c r="S7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2" s="71" t="str">
        <f>IFERROR(Data_Discontinuities[[#This Row],[Joint roughness]]/Data_Discontinuities[[#This Row],[Joint alteration]],"")</f>
        <v/>
      </c>
      <c r="V7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2" s="87"/>
    </row>
    <row r="793" spans="2:23" ht="15" customHeight="1" x14ac:dyDescent="0.25">
      <c r="B793" s="17" t="e">
        <f>VLOOKUP(Data_Discontinuities[[#This Row],[Hole ID]],Data_Log[],2,FALSE)</f>
        <v>#N/A</v>
      </c>
      <c r="C793" s="8"/>
      <c r="D793" s="8"/>
      <c r="E793" s="7"/>
      <c r="F793" s="7"/>
      <c r="G793" s="7"/>
      <c r="H793" s="118"/>
      <c r="I793" s="7"/>
      <c r="J793" s="7"/>
      <c r="K793" s="7"/>
      <c r="L793" s="7"/>
      <c r="M793" s="7"/>
      <c r="N793" s="7"/>
      <c r="O793" s="84" t="e" cm="1">
        <f t="array" ref="O793">_xlfn.XLOOKUP(1,(A793=Geotech!$A$4:$A$10094)*(Data_Discontinuities[[#This Row],[Depth (m)]]&gt;=Geotech!$C$4:$C$10094)*(Data_Discontinuities[[#This Row],[Depth (m)]]&lt;Geotech!$D$4:$D$10094),Geotech!$M$4:$M$10094)</f>
        <v>#N/A</v>
      </c>
      <c r="P793" s="84"/>
      <c r="Q793" s="84"/>
      <c r="R793" s="84"/>
      <c r="S7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3" s="71" t="str">
        <f>IFERROR(Data_Discontinuities[[#This Row],[Joint roughness]]/Data_Discontinuities[[#This Row],[Joint alteration]],"")</f>
        <v/>
      </c>
      <c r="V7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3" s="87"/>
    </row>
    <row r="794" spans="2:23" ht="15" customHeight="1" x14ac:dyDescent="0.25">
      <c r="B794" s="17" t="e">
        <f>VLOOKUP(Data_Discontinuities[[#This Row],[Hole ID]],Data_Log[],2,FALSE)</f>
        <v>#N/A</v>
      </c>
      <c r="C794" s="8"/>
      <c r="D794" s="8"/>
      <c r="E794" s="7"/>
      <c r="F794" s="7"/>
      <c r="G794" s="7"/>
      <c r="H794" s="118"/>
      <c r="I794" s="7"/>
      <c r="J794" s="7"/>
      <c r="K794" s="7"/>
      <c r="L794" s="7"/>
      <c r="M794" s="7"/>
      <c r="N794" s="7"/>
      <c r="O794" s="84" t="e" cm="1">
        <f t="array" ref="O794">_xlfn.XLOOKUP(1,(A794=Geotech!$A$4:$A$10094)*(Data_Discontinuities[[#This Row],[Depth (m)]]&gt;=Geotech!$C$4:$C$10094)*(Data_Discontinuities[[#This Row],[Depth (m)]]&lt;Geotech!$D$4:$D$10094),Geotech!$M$4:$M$10094)</f>
        <v>#N/A</v>
      </c>
      <c r="P794" s="84"/>
      <c r="Q794" s="84"/>
      <c r="R794" s="84"/>
      <c r="S7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4" s="71" t="str">
        <f>IFERROR(Data_Discontinuities[[#This Row],[Joint roughness]]/Data_Discontinuities[[#This Row],[Joint alteration]],"")</f>
        <v/>
      </c>
      <c r="V7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4" s="87"/>
    </row>
    <row r="795" spans="2:23" ht="15" customHeight="1" x14ac:dyDescent="0.25">
      <c r="B795" s="17" t="e">
        <f>VLOOKUP(Data_Discontinuities[[#This Row],[Hole ID]],Data_Log[],2,FALSE)</f>
        <v>#N/A</v>
      </c>
      <c r="C795" s="8"/>
      <c r="D795" s="8"/>
      <c r="E795" s="7"/>
      <c r="F795" s="7"/>
      <c r="G795" s="7"/>
      <c r="H795" s="118"/>
      <c r="I795" s="7"/>
      <c r="J795" s="7"/>
      <c r="K795" s="7"/>
      <c r="L795" s="7"/>
      <c r="M795" s="7"/>
      <c r="N795" s="7"/>
      <c r="O795" s="84" t="e" cm="1">
        <f t="array" ref="O795">_xlfn.XLOOKUP(1,(A795=Geotech!$A$4:$A$10094)*(Data_Discontinuities[[#This Row],[Depth (m)]]&gt;=Geotech!$C$4:$C$10094)*(Data_Discontinuities[[#This Row],[Depth (m)]]&lt;Geotech!$D$4:$D$10094),Geotech!$M$4:$M$10094)</f>
        <v>#N/A</v>
      </c>
      <c r="P795" s="84"/>
      <c r="Q795" s="84"/>
      <c r="R795" s="84"/>
      <c r="S7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5" s="71" t="str">
        <f>IFERROR(Data_Discontinuities[[#This Row],[Joint roughness]]/Data_Discontinuities[[#This Row],[Joint alteration]],"")</f>
        <v/>
      </c>
      <c r="V7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5" s="87"/>
    </row>
    <row r="796" spans="2:23" ht="15" customHeight="1" x14ac:dyDescent="0.25">
      <c r="B796" s="17" t="e">
        <f>VLOOKUP(Data_Discontinuities[[#This Row],[Hole ID]],Data_Log[],2,FALSE)</f>
        <v>#N/A</v>
      </c>
      <c r="C796" s="8"/>
      <c r="D796" s="8"/>
      <c r="E796" s="7"/>
      <c r="F796" s="7"/>
      <c r="G796" s="7"/>
      <c r="H796" s="118"/>
      <c r="I796" s="7"/>
      <c r="J796" s="7"/>
      <c r="K796" s="7"/>
      <c r="L796" s="7"/>
      <c r="M796" s="7"/>
      <c r="N796" s="7"/>
      <c r="O796" s="84" t="e" cm="1">
        <f t="array" ref="O796">_xlfn.XLOOKUP(1,(A796=Geotech!$A$4:$A$10094)*(Data_Discontinuities[[#This Row],[Depth (m)]]&gt;=Geotech!$C$4:$C$10094)*(Data_Discontinuities[[#This Row],[Depth (m)]]&lt;Geotech!$D$4:$D$10094),Geotech!$M$4:$M$10094)</f>
        <v>#N/A</v>
      </c>
      <c r="P796" s="84"/>
      <c r="Q796" s="84"/>
      <c r="R796" s="84"/>
      <c r="S7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6" s="71" t="str">
        <f>IFERROR(Data_Discontinuities[[#This Row],[Joint roughness]]/Data_Discontinuities[[#This Row],[Joint alteration]],"")</f>
        <v/>
      </c>
      <c r="V7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6" s="87"/>
    </row>
    <row r="797" spans="2:23" ht="15" customHeight="1" x14ac:dyDescent="0.25">
      <c r="B797" s="17" t="e">
        <f>VLOOKUP(Data_Discontinuities[[#This Row],[Hole ID]],Data_Log[],2,FALSE)</f>
        <v>#N/A</v>
      </c>
      <c r="C797" s="8"/>
      <c r="D797" s="8"/>
      <c r="E797" s="7"/>
      <c r="F797" s="7"/>
      <c r="G797" s="7"/>
      <c r="H797" s="118"/>
      <c r="I797" s="7"/>
      <c r="J797" s="7"/>
      <c r="K797" s="7"/>
      <c r="L797" s="7"/>
      <c r="M797" s="7"/>
      <c r="N797" s="7"/>
      <c r="O797" s="84" t="e" cm="1">
        <f t="array" ref="O797">_xlfn.XLOOKUP(1,(A797=Geotech!$A$4:$A$10094)*(Data_Discontinuities[[#This Row],[Depth (m)]]&gt;=Geotech!$C$4:$C$10094)*(Data_Discontinuities[[#This Row],[Depth (m)]]&lt;Geotech!$D$4:$D$10094),Geotech!$M$4:$M$10094)</f>
        <v>#N/A</v>
      </c>
      <c r="P797" s="84"/>
      <c r="Q797" s="84"/>
      <c r="R797" s="84"/>
      <c r="S7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7" s="71" t="str">
        <f>IFERROR(Data_Discontinuities[[#This Row],[Joint roughness]]/Data_Discontinuities[[#This Row],[Joint alteration]],"")</f>
        <v/>
      </c>
      <c r="V7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7" s="87"/>
    </row>
    <row r="798" spans="2:23" ht="15" customHeight="1" x14ac:dyDescent="0.25">
      <c r="B798" s="17" t="e">
        <f>VLOOKUP(Data_Discontinuities[[#This Row],[Hole ID]],Data_Log[],2,FALSE)</f>
        <v>#N/A</v>
      </c>
      <c r="C798" s="8"/>
      <c r="D798" s="8"/>
      <c r="E798" s="7"/>
      <c r="F798" s="7"/>
      <c r="G798" s="7"/>
      <c r="H798" s="118"/>
      <c r="I798" s="7"/>
      <c r="J798" s="7"/>
      <c r="K798" s="7"/>
      <c r="L798" s="7"/>
      <c r="M798" s="7"/>
      <c r="N798" s="7"/>
      <c r="O798" s="84" t="e" cm="1">
        <f t="array" ref="O798">_xlfn.XLOOKUP(1,(A798=Geotech!$A$4:$A$10094)*(Data_Discontinuities[[#This Row],[Depth (m)]]&gt;=Geotech!$C$4:$C$10094)*(Data_Discontinuities[[#This Row],[Depth (m)]]&lt;Geotech!$D$4:$D$10094),Geotech!$M$4:$M$10094)</f>
        <v>#N/A</v>
      </c>
      <c r="P798" s="84"/>
      <c r="Q798" s="84"/>
      <c r="R798" s="84"/>
      <c r="S7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8" s="71" t="str">
        <f>IFERROR(Data_Discontinuities[[#This Row],[Joint roughness]]/Data_Discontinuities[[#This Row],[Joint alteration]],"")</f>
        <v/>
      </c>
      <c r="V7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8" s="87"/>
    </row>
    <row r="799" spans="2:23" ht="15" customHeight="1" x14ac:dyDescent="0.25">
      <c r="B799" s="17" t="e">
        <f>VLOOKUP(Data_Discontinuities[[#This Row],[Hole ID]],Data_Log[],2,FALSE)</f>
        <v>#N/A</v>
      </c>
      <c r="C799" s="8"/>
      <c r="D799" s="8"/>
      <c r="E799" s="7"/>
      <c r="F799" s="7"/>
      <c r="G799" s="7"/>
      <c r="H799" s="118"/>
      <c r="I799" s="7"/>
      <c r="J799" s="7"/>
      <c r="K799" s="7"/>
      <c r="L799" s="7"/>
      <c r="M799" s="7"/>
      <c r="N799" s="7"/>
      <c r="O799" s="84" t="e" cm="1">
        <f t="array" ref="O799">_xlfn.XLOOKUP(1,(A799=Geotech!$A$4:$A$10094)*(Data_Discontinuities[[#This Row],[Depth (m)]]&gt;=Geotech!$C$4:$C$10094)*(Data_Discontinuities[[#This Row],[Depth (m)]]&lt;Geotech!$D$4:$D$10094),Geotech!$M$4:$M$10094)</f>
        <v>#N/A</v>
      </c>
      <c r="P799" s="84"/>
      <c r="Q799" s="84"/>
      <c r="R799" s="84"/>
      <c r="S7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7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799" s="71" t="str">
        <f>IFERROR(Data_Discontinuities[[#This Row],[Joint roughness]]/Data_Discontinuities[[#This Row],[Joint alteration]],"")</f>
        <v/>
      </c>
      <c r="V7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799" s="87"/>
    </row>
    <row r="800" spans="2:23" ht="15" customHeight="1" x14ac:dyDescent="0.25">
      <c r="B800" s="17" t="e">
        <f>VLOOKUP(Data_Discontinuities[[#This Row],[Hole ID]],Data_Log[],2,FALSE)</f>
        <v>#N/A</v>
      </c>
      <c r="C800" s="8"/>
      <c r="D800" s="8"/>
      <c r="E800" s="7"/>
      <c r="F800" s="7"/>
      <c r="G800" s="7"/>
      <c r="H800" s="118"/>
      <c r="I800" s="7"/>
      <c r="J800" s="7"/>
      <c r="K800" s="7"/>
      <c r="L800" s="7"/>
      <c r="M800" s="7"/>
      <c r="N800" s="7"/>
      <c r="O800" s="84" t="e" cm="1">
        <f t="array" ref="O800">_xlfn.XLOOKUP(1,(A800=Geotech!$A$4:$A$10094)*(Data_Discontinuities[[#This Row],[Depth (m)]]&gt;=Geotech!$C$4:$C$10094)*(Data_Discontinuities[[#This Row],[Depth (m)]]&lt;Geotech!$D$4:$D$10094),Geotech!$M$4:$M$10094)</f>
        <v>#N/A</v>
      </c>
      <c r="P800" s="84"/>
      <c r="Q800" s="84"/>
      <c r="R800" s="84"/>
      <c r="S8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0" s="71" t="str">
        <f>IFERROR(Data_Discontinuities[[#This Row],[Joint roughness]]/Data_Discontinuities[[#This Row],[Joint alteration]],"")</f>
        <v/>
      </c>
      <c r="V8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0" s="87"/>
    </row>
    <row r="801" spans="2:23" ht="15" customHeight="1" x14ac:dyDescent="0.25">
      <c r="B801" s="17" t="e">
        <f>VLOOKUP(Data_Discontinuities[[#This Row],[Hole ID]],Data_Log[],2,FALSE)</f>
        <v>#N/A</v>
      </c>
      <c r="C801" s="8"/>
      <c r="D801" s="8"/>
      <c r="E801" s="7"/>
      <c r="F801" s="7"/>
      <c r="G801" s="7"/>
      <c r="H801" s="118"/>
      <c r="I801" s="7"/>
      <c r="J801" s="7"/>
      <c r="K801" s="7"/>
      <c r="L801" s="7"/>
      <c r="M801" s="7"/>
      <c r="N801" s="7"/>
      <c r="O801" s="84" t="e" cm="1">
        <f t="array" ref="O801">_xlfn.XLOOKUP(1,(A801=Geotech!$A$4:$A$10094)*(Data_Discontinuities[[#This Row],[Depth (m)]]&gt;=Geotech!$C$4:$C$10094)*(Data_Discontinuities[[#This Row],[Depth (m)]]&lt;Geotech!$D$4:$D$10094),Geotech!$M$4:$M$10094)</f>
        <v>#N/A</v>
      </c>
      <c r="P801" s="84"/>
      <c r="Q801" s="84"/>
      <c r="R801" s="84"/>
      <c r="S8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1" s="71" t="str">
        <f>IFERROR(Data_Discontinuities[[#This Row],[Joint roughness]]/Data_Discontinuities[[#This Row],[Joint alteration]],"")</f>
        <v/>
      </c>
      <c r="V8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1" s="87"/>
    </row>
    <row r="802" spans="2:23" ht="15" customHeight="1" x14ac:dyDescent="0.25">
      <c r="B802" s="17" t="e">
        <f>VLOOKUP(Data_Discontinuities[[#This Row],[Hole ID]],Data_Log[],2,FALSE)</f>
        <v>#N/A</v>
      </c>
      <c r="C802" s="8"/>
      <c r="D802" s="8"/>
      <c r="E802" s="7"/>
      <c r="F802" s="7"/>
      <c r="G802" s="7"/>
      <c r="H802" s="118"/>
      <c r="I802" s="7"/>
      <c r="J802" s="7"/>
      <c r="K802" s="7"/>
      <c r="L802" s="7"/>
      <c r="M802" s="7"/>
      <c r="N802" s="7"/>
      <c r="O802" s="84" t="e" cm="1">
        <f t="array" ref="O802">_xlfn.XLOOKUP(1,(A802=Geotech!$A$4:$A$10094)*(Data_Discontinuities[[#This Row],[Depth (m)]]&gt;=Geotech!$C$4:$C$10094)*(Data_Discontinuities[[#This Row],[Depth (m)]]&lt;Geotech!$D$4:$D$10094),Geotech!$M$4:$M$10094)</f>
        <v>#N/A</v>
      </c>
      <c r="P802" s="84"/>
      <c r="Q802" s="84"/>
      <c r="R802" s="84"/>
      <c r="S8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2" s="71" t="str">
        <f>IFERROR(Data_Discontinuities[[#This Row],[Joint roughness]]/Data_Discontinuities[[#This Row],[Joint alteration]],"")</f>
        <v/>
      </c>
      <c r="V8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2" s="87"/>
    </row>
    <row r="803" spans="2:23" ht="15" customHeight="1" x14ac:dyDescent="0.25">
      <c r="B803" s="17" t="e">
        <f>VLOOKUP(Data_Discontinuities[[#This Row],[Hole ID]],Data_Log[],2,FALSE)</f>
        <v>#N/A</v>
      </c>
      <c r="C803" s="8"/>
      <c r="D803" s="8"/>
      <c r="E803" s="7"/>
      <c r="F803" s="7"/>
      <c r="G803" s="7"/>
      <c r="H803" s="118"/>
      <c r="I803" s="7"/>
      <c r="J803" s="7"/>
      <c r="K803" s="7"/>
      <c r="L803" s="7"/>
      <c r="M803" s="7"/>
      <c r="N803" s="7"/>
      <c r="O803" s="84" t="e" cm="1">
        <f t="array" ref="O803">_xlfn.XLOOKUP(1,(A803=Geotech!$A$4:$A$10094)*(Data_Discontinuities[[#This Row],[Depth (m)]]&gt;=Geotech!$C$4:$C$10094)*(Data_Discontinuities[[#This Row],[Depth (m)]]&lt;Geotech!$D$4:$D$10094),Geotech!$M$4:$M$10094)</f>
        <v>#N/A</v>
      </c>
      <c r="P803" s="84"/>
      <c r="Q803" s="84"/>
      <c r="R803" s="84"/>
      <c r="S8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3" s="71" t="str">
        <f>IFERROR(Data_Discontinuities[[#This Row],[Joint roughness]]/Data_Discontinuities[[#This Row],[Joint alteration]],"")</f>
        <v/>
      </c>
      <c r="V8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3" s="87"/>
    </row>
    <row r="804" spans="2:23" ht="15" customHeight="1" x14ac:dyDescent="0.25">
      <c r="B804" s="17" t="e">
        <f>VLOOKUP(Data_Discontinuities[[#This Row],[Hole ID]],Data_Log[],2,FALSE)</f>
        <v>#N/A</v>
      </c>
      <c r="C804" s="8"/>
      <c r="D804" s="8"/>
      <c r="E804" s="7"/>
      <c r="F804" s="7"/>
      <c r="G804" s="7"/>
      <c r="H804" s="118"/>
      <c r="I804" s="7"/>
      <c r="J804" s="7"/>
      <c r="K804" s="7"/>
      <c r="L804" s="7"/>
      <c r="M804" s="7"/>
      <c r="N804" s="7"/>
      <c r="O804" s="84" t="e" cm="1">
        <f t="array" ref="O804">_xlfn.XLOOKUP(1,(A804=Geotech!$A$4:$A$10094)*(Data_Discontinuities[[#This Row],[Depth (m)]]&gt;=Geotech!$C$4:$C$10094)*(Data_Discontinuities[[#This Row],[Depth (m)]]&lt;Geotech!$D$4:$D$10094),Geotech!$M$4:$M$10094)</f>
        <v>#N/A</v>
      </c>
      <c r="P804" s="84"/>
      <c r="Q804" s="84"/>
      <c r="R804" s="84"/>
      <c r="S8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4" s="71" t="str">
        <f>IFERROR(Data_Discontinuities[[#This Row],[Joint roughness]]/Data_Discontinuities[[#This Row],[Joint alteration]],"")</f>
        <v/>
      </c>
      <c r="V8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4" s="87"/>
    </row>
    <row r="805" spans="2:23" ht="15" customHeight="1" x14ac:dyDescent="0.25">
      <c r="B805" s="17" t="e">
        <f>VLOOKUP(Data_Discontinuities[[#This Row],[Hole ID]],Data_Log[],2,FALSE)</f>
        <v>#N/A</v>
      </c>
      <c r="C805" s="8"/>
      <c r="D805" s="8"/>
      <c r="E805" s="7"/>
      <c r="F805" s="7"/>
      <c r="G805" s="7"/>
      <c r="H805" s="118"/>
      <c r="I805" s="7"/>
      <c r="J805" s="7"/>
      <c r="K805" s="7"/>
      <c r="L805" s="7"/>
      <c r="M805" s="7"/>
      <c r="N805" s="7"/>
      <c r="O805" s="84" t="e" cm="1">
        <f t="array" ref="O805">_xlfn.XLOOKUP(1,(A805=Geotech!$A$4:$A$10094)*(Data_Discontinuities[[#This Row],[Depth (m)]]&gt;=Geotech!$C$4:$C$10094)*(Data_Discontinuities[[#This Row],[Depth (m)]]&lt;Geotech!$D$4:$D$10094),Geotech!$M$4:$M$10094)</f>
        <v>#N/A</v>
      </c>
      <c r="P805" s="84"/>
      <c r="Q805" s="84"/>
      <c r="R805" s="84"/>
      <c r="S8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5" s="71" t="str">
        <f>IFERROR(Data_Discontinuities[[#This Row],[Joint roughness]]/Data_Discontinuities[[#This Row],[Joint alteration]],"")</f>
        <v/>
      </c>
      <c r="V8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5" s="87"/>
    </row>
    <row r="806" spans="2:23" ht="15" customHeight="1" x14ac:dyDescent="0.25">
      <c r="B806" s="17" t="e">
        <f>VLOOKUP(Data_Discontinuities[[#This Row],[Hole ID]],Data_Log[],2,FALSE)</f>
        <v>#N/A</v>
      </c>
      <c r="C806" s="8"/>
      <c r="D806" s="8"/>
      <c r="E806" s="7"/>
      <c r="F806" s="7"/>
      <c r="G806" s="7"/>
      <c r="H806" s="118"/>
      <c r="I806" s="7"/>
      <c r="J806" s="7"/>
      <c r="K806" s="7"/>
      <c r="L806" s="7"/>
      <c r="M806" s="7"/>
      <c r="N806" s="7"/>
      <c r="O806" s="84" t="e" cm="1">
        <f t="array" ref="O806">_xlfn.XLOOKUP(1,(A806=Geotech!$A$4:$A$10094)*(Data_Discontinuities[[#This Row],[Depth (m)]]&gt;=Geotech!$C$4:$C$10094)*(Data_Discontinuities[[#This Row],[Depth (m)]]&lt;Geotech!$D$4:$D$10094),Geotech!$M$4:$M$10094)</f>
        <v>#N/A</v>
      </c>
      <c r="P806" s="84"/>
      <c r="Q806" s="84"/>
      <c r="R806" s="84"/>
      <c r="S8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6" s="71" t="str">
        <f>IFERROR(Data_Discontinuities[[#This Row],[Joint roughness]]/Data_Discontinuities[[#This Row],[Joint alteration]],"")</f>
        <v/>
      </c>
      <c r="V8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6" s="87"/>
    </row>
    <row r="807" spans="2:23" ht="15" customHeight="1" x14ac:dyDescent="0.25">
      <c r="B807" s="17" t="e">
        <f>VLOOKUP(Data_Discontinuities[[#This Row],[Hole ID]],Data_Log[],2,FALSE)</f>
        <v>#N/A</v>
      </c>
      <c r="C807" s="8"/>
      <c r="D807" s="8"/>
      <c r="E807" s="7"/>
      <c r="F807" s="7"/>
      <c r="G807" s="7"/>
      <c r="H807" s="118"/>
      <c r="I807" s="7"/>
      <c r="J807" s="7"/>
      <c r="K807" s="7"/>
      <c r="L807" s="7"/>
      <c r="M807" s="7"/>
      <c r="N807" s="7"/>
      <c r="O807" s="84" t="e" cm="1">
        <f t="array" ref="O807">_xlfn.XLOOKUP(1,(A807=Geotech!$A$4:$A$10094)*(Data_Discontinuities[[#This Row],[Depth (m)]]&gt;=Geotech!$C$4:$C$10094)*(Data_Discontinuities[[#This Row],[Depth (m)]]&lt;Geotech!$D$4:$D$10094),Geotech!$M$4:$M$10094)</f>
        <v>#N/A</v>
      </c>
      <c r="P807" s="84"/>
      <c r="Q807" s="84"/>
      <c r="R807" s="84"/>
      <c r="S8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7" s="71" t="str">
        <f>IFERROR(Data_Discontinuities[[#This Row],[Joint roughness]]/Data_Discontinuities[[#This Row],[Joint alteration]],"")</f>
        <v/>
      </c>
      <c r="V8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7" s="87"/>
    </row>
    <row r="808" spans="2:23" ht="15" customHeight="1" x14ac:dyDescent="0.25">
      <c r="B808" s="17" t="e">
        <f>VLOOKUP(Data_Discontinuities[[#This Row],[Hole ID]],Data_Log[],2,FALSE)</f>
        <v>#N/A</v>
      </c>
      <c r="C808" s="8"/>
      <c r="D808" s="8"/>
      <c r="E808" s="7"/>
      <c r="F808" s="7"/>
      <c r="G808" s="7"/>
      <c r="H808" s="118"/>
      <c r="I808" s="7"/>
      <c r="J808" s="7"/>
      <c r="K808" s="7"/>
      <c r="L808" s="7"/>
      <c r="M808" s="7"/>
      <c r="N808" s="7"/>
      <c r="O808" s="84" t="e" cm="1">
        <f t="array" ref="O808">_xlfn.XLOOKUP(1,(A808=Geotech!$A$4:$A$10094)*(Data_Discontinuities[[#This Row],[Depth (m)]]&gt;=Geotech!$C$4:$C$10094)*(Data_Discontinuities[[#This Row],[Depth (m)]]&lt;Geotech!$D$4:$D$10094),Geotech!$M$4:$M$10094)</f>
        <v>#N/A</v>
      </c>
      <c r="P808" s="84"/>
      <c r="Q808" s="84"/>
      <c r="R808" s="84"/>
      <c r="S8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8" s="71" t="str">
        <f>IFERROR(Data_Discontinuities[[#This Row],[Joint roughness]]/Data_Discontinuities[[#This Row],[Joint alteration]],"")</f>
        <v/>
      </c>
      <c r="V8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8" s="87"/>
    </row>
    <row r="809" spans="2:23" ht="15" customHeight="1" x14ac:dyDescent="0.25">
      <c r="B809" s="17" t="e">
        <f>VLOOKUP(Data_Discontinuities[[#This Row],[Hole ID]],Data_Log[],2,FALSE)</f>
        <v>#N/A</v>
      </c>
      <c r="C809" s="8"/>
      <c r="D809" s="8"/>
      <c r="E809" s="7"/>
      <c r="F809" s="7"/>
      <c r="G809" s="7"/>
      <c r="H809" s="118"/>
      <c r="I809" s="7"/>
      <c r="J809" s="7"/>
      <c r="K809" s="7"/>
      <c r="L809" s="7"/>
      <c r="M809" s="7"/>
      <c r="N809" s="7"/>
      <c r="O809" s="84" t="e" cm="1">
        <f t="array" ref="O809">_xlfn.XLOOKUP(1,(A809=Geotech!$A$4:$A$10094)*(Data_Discontinuities[[#This Row],[Depth (m)]]&gt;=Geotech!$C$4:$C$10094)*(Data_Discontinuities[[#This Row],[Depth (m)]]&lt;Geotech!$D$4:$D$10094),Geotech!$M$4:$M$10094)</f>
        <v>#N/A</v>
      </c>
      <c r="P809" s="84"/>
      <c r="Q809" s="84"/>
      <c r="R809" s="84"/>
      <c r="S8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09" s="71" t="str">
        <f>IFERROR(Data_Discontinuities[[#This Row],[Joint roughness]]/Data_Discontinuities[[#This Row],[Joint alteration]],"")</f>
        <v/>
      </c>
      <c r="V8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09" s="87"/>
    </row>
    <row r="810" spans="2:23" ht="15" customHeight="1" x14ac:dyDescent="0.25">
      <c r="B810" s="17" t="e">
        <f>VLOOKUP(Data_Discontinuities[[#This Row],[Hole ID]],Data_Log[],2,FALSE)</f>
        <v>#N/A</v>
      </c>
      <c r="C810" s="8"/>
      <c r="D810" s="8"/>
      <c r="E810" s="7"/>
      <c r="F810" s="7"/>
      <c r="G810" s="7"/>
      <c r="H810" s="118"/>
      <c r="I810" s="7"/>
      <c r="J810" s="7"/>
      <c r="K810" s="7"/>
      <c r="L810" s="7"/>
      <c r="M810" s="7"/>
      <c r="N810" s="7"/>
      <c r="O810" s="84" t="e" cm="1">
        <f t="array" ref="O810">_xlfn.XLOOKUP(1,(A810=Geotech!$A$4:$A$10094)*(Data_Discontinuities[[#This Row],[Depth (m)]]&gt;=Geotech!$C$4:$C$10094)*(Data_Discontinuities[[#This Row],[Depth (m)]]&lt;Geotech!$D$4:$D$10094),Geotech!$M$4:$M$10094)</f>
        <v>#N/A</v>
      </c>
      <c r="P810" s="84"/>
      <c r="Q810" s="84"/>
      <c r="R810" s="84"/>
      <c r="S8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0" s="71" t="str">
        <f>IFERROR(Data_Discontinuities[[#This Row],[Joint roughness]]/Data_Discontinuities[[#This Row],[Joint alteration]],"")</f>
        <v/>
      </c>
      <c r="V8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0" s="87"/>
    </row>
    <row r="811" spans="2:23" ht="15" customHeight="1" x14ac:dyDescent="0.25">
      <c r="B811" s="17" t="e">
        <f>VLOOKUP(Data_Discontinuities[[#This Row],[Hole ID]],Data_Log[],2,FALSE)</f>
        <v>#N/A</v>
      </c>
      <c r="C811" s="8"/>
      <c r="D811" s="8"/>
      <c r="E811" s="7"/>
      <c r="F811" s="7"/>
      <c r="G811" s="7"/>
      <c r="H811" s="118"/>
      <c r="I811" s="7"/>
      <c r="J811" s="7"/>
      <c r="K811" s="7"/>
      <c r="L811" s="7"/>
      <c r="M811" s="7"/>
      <c r="N811" s="7"/>
      <c r="O811" s="84" t="e" cm="1">
        <f t="array" ref="O811">_xlfn.XLOOKUP(1,(A811=Geotech!$A$4:$A$10094)*(Data_Discontinuities[[#This Row],[Depth (m)]]&gt;=Geotech!$C$4:$C$10094)*(Data_Discontinuities[[#This Row],[Depth (m)]]&lt;Geotech!$D$4:$D$10094),Geotech!$M$4:$M$10094)</f>
        <v>#N/A</v>
      </c>
      <c r="P811" s="84"/>
      <c r="Q811" s="84"/>
      <c r="R811" s="84"/>
      <c r="S8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1" s="71" t="str">
        <f>IFERROR(Data_Discontinuities[[#This Row],[Joint roughness]]/Data_Discontinuities[[#This Row],[Joint alteration]],"")</f>
        <v/>
      </c>
      <c r="V8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1" s="87"/>
    </row>
    <row r="812" spans="2:23" ht="15" customHeight="1" x14ac:dyDescent="0.25">
      <c r="B812" s="17" t="e">
        <f>VLOOKUP(Data_Discontinuities[[#This Row],[Hole ID]],Data_Log[],2,FALSE)</f>
        <v>#N/A</v>
      </c>
      <c r="C812" s="8"/>
      <c r="D812" s="8"/>
      <c r="E812" s="7"/>
      <c r="F812" s="7"/>
      <c r="G812" s="7"/>
      <c r="H812" s="118"/>
      <c r="I812" s="7"/>
      <c r="J812" s="7"/>
      <c r="K812" s="7"/>
      <c r="L812" s="7"/>
      <c r="M812" s="7"/>
      <c r="N812" s="7"/>
      <c r="O812" s="84" t="e" cm="1">
        <f t="array" ref="O812">_xlfn.XLOOKUP(1,(A812=Geotech!$A$4:$A$10094)*(Data_Discontinuities[[#This Row],[Depth (m)]]&gt;=Geotech!$C$4:$C$10094)*(Data_Discontinuities[[#This Row],[Depth (m)]]&lt;Geotech!$D$4:$D$10094),Geotech!$M$4:$M$10094)</f>
        <v>#N/A</v>
      </c>
      <c r="P812" s="84"/>
      <c r="Q812" s="84"/>
      <c r="R812" s="84"/>
      <c r="S8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2" s="71" t="str">
        <f>IFERROR(Data_Discontinuities[[#This Row],[Joint roughness]]/Data_Discontinuities[[#This Row],[Joint alteration]],"")</f>
        <v/>
      </c>
      <c r="V8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2" s="87"/>
    </row>
    <row r="813" spans="2:23" ht="15" customHeight="1" x14ac:dyDescent="0.25">
      <c r="B813" s="17" t="e">
        <f>VLOOKUP(Data_Discontinuities[[#This Row],[Hole ID]],Data_Log[],2,FALSE)</f>
        <v>#N/A</v>
      </c>
      <c r="C813" s="8"/>
      <c r="D813" s="8"/>
      <c r="E813" s="7"/>
      <c r="F813" s="7"/>
      <c r="G813" s="7"/>
      <c r="H813" s="118"/>
      <c r="I813" s="7"/>
      <c r="J813" s="7"/>
      <c r="K813" s="7"/>
      <c r="L813" s="7"/>
      <c r="M813" s="7"/>
      <c r="N813" s="7"/>
      <c r="O813" s="84" t="e" cm="1">
        <f t="array" ref="O813">_xlfn.XLOOKUP(1,(A813=Geotech!$A$4:$A$10094)*(Data_Discontinuities[[#This Row],[Depth (m)]]&gt;=Geotech!$C$4:$C$10094)*(Data_Discontinuities[[#This Row],[Depth (m)]]&lt;Geotech!$D$4:$D$10094),Geotech!$M$4:$M$10094)</f>
        <v>#N/A</v>
      </c>
      <c r="P813" s="84"/>
      <c r="Q813" s="84"/>
      <c r="R813" s="84"/>
      <c r="S8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3" s="71" t="str">
        <f>IFERROR(Data_Discontinuities[[#This Row],[Joint roughness]]/Data_Discontinuities[[#This Row],[Joint alteration]],"")</f>
        <v/>
      </c>
      <c r="V8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3" s="87"/>
    </row>
    <row r="814" spans="2:23" ht="15" customHeight="1" x14ac:dyDescent="0.25">
      <c r="B814" s="17" t="e">
        <f>VLOOKUP(Data_Discontinuities[[#This Row],[Hole ID]],Data_Log[],2,FALSE)</f>
        <v>#N/A</v>
      </c>
      <c r="C814" s="8"/>
      <c r="D814" s="8"/>
      <c r="E814" s="7"/>
      <c r="F814" s="7"/>
      <c r="G814" s="7"/>
      <c r="H814" s="118"/>
      <c r="I814" s="7"/>
      <c r="J814" s="7"/>
      <c r="K814" s="7"/>
      <c r="L814" s="7"/>
      <c r="M814" s="7"/>
      <c r="N814" s="7"/>
      <c r="O814" s="84" t="e" cm="1">
        <f t="array" ref="O814">_xlfn.XLOOKUP(1,(A814=Geotech!$A$4:$A$10094)*(Data_Discontinuities[[#This Row],[Depth (m)]]&gt;=Geotech!$C$4:$C$10094)*(Data_Discontinuities[[#This Row],[Depth (m)]]&lt;Geotech!$D$4:$D$10094),Geotech!$M$4:$M$10094)</f>
        <v>#N/A</v>
      </c>
      <c r="P814" s="84"/>
      <c r="Q814" s="84"/>
      <c r="R814" s="84"/>
      <c r="S8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4" s="71" t="str">
        <f>IFERROR(Data_Discontinuities[[#This Row],[Joint roughness]]/Data_Discontinuities[[#This Row],[Joint alteration]],"")</f>
        <v/>
      </c>
      <c r="V8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4" s="87"/>
    </row>
    <row r="815" spans="2:23" ht="15" customHeight="1" x14ac:dyDescent="0.25">
      <c r="B815" s="17" t="e">
        <f>VLOOKUP(Data_Discontinuities[[#This Row],[Hole ID]],Data_Log[],2,FALSE)</f>
        <v>#N/A</v>
      </c>
      <c r="C815" s="8"/>
      <c r="D815" s="8"/>
      <c r="E815" s="7"/>
      <c r="F815" s="7"/>
      <c r="G815" s="7"/>
      <c r="H815" s="118"/>
      <c r="I815" s="7"/>
      <c r="J815" s="7"/>
      <c r="K815" s="7"/>
      <c r="L815" s="7"/>
      <c r="M815" s="7"/>
      <c r="N815" s="7"/>
      <c r="O815" s="84" t="e" cm="1">
        <f t="array" ref="O815">_xlfn.XLOOKUP(1,(A815=Geotech!$A$4:$A$10094)*(Data_Discontinuities[[#This Row],[Depth (m)]]&gt;=Geotech!$C$4:$C$10094)*(Data_Discontinuities[[#This Row],[Depth (m)]]&lt;Geotech!$D$4:$D$10094),Geotech!$M$4:$M$10094)</f>
        <v>#N/A</v>
      </c>
      <c r="P815" s="84"/>
      <c r="Q815" s="84"/>
      <c r="R815" s="84"/>
      <c r="S8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5" s="71" t="str">
        <f>IFERROR(Data_Discontinuities[[#This Row],[Joint roughness]]/Data_Discontinuities[[#This Row],[Joint alteration]],"")</f>
        <v/>
      </c>
      <c r="V8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5" s="87"/>
    </row>
    <row r="816" spans="2:23" ht="15" customHeight="1" x14ac:dyDescent="0.25">
      <c r="B816" s="17" t="e">
        <f>VLOOKUP(Data_Discontinuities[[#This Row],[Hole ID]],Data_Log[],2,FALSE)</f>
        <v>#N/A</v>
      </c>
      <c r="C816" s="8"/>
      <c r="D816" s="8"/>
      <c r="E816" s="7"/>
      <c r="F816" s="7"/>
      <c r="G816" s="7"/>
      <c r="H816" s="118"/>
      <c r="I816" s="7"/>
      <c r="J816" s="7"/>
      <c r="K816" s="7"/>
      <c r="L816" s="7"/>
      <c r="M816" s="7"/>
      <c r="N816" s="7"/>
      <c r="O816" s="84" t="e" cm="1">
        <f t="array" ref="O816">_xlfn.XLOOKUP(1,(A816=Geotech!$A$4:$A$10094)*(Data_Discontinuities[[#This Row],[Depth (m)]]&gt;=Geotech!$C$4:$C$10094)*(Data_Discontinuities[[#This Row],[Depth (m)]]&lt;Geotech!$D$4:$D$10094),Geotech!$M$4:$M$10094)</f>
        <v>#N/A</v>
      </c>
      <c r="P816" s="84"/>
      <c r="Q816" s="84"/>
      <c r="R816" s="84"/>
      <c r="S8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6" s="71" t="str">
        <f>IFERROR(Data_Discontinuities[[#This Row],[Joint roughness]]/Data_Discontinuities[[#This Row],[Joint alteration]],"")</f>
        <v/>
      </c>
      <c r="V8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6" s="87"/>
    </row>
    <row r="817" spans="2:23" ht="15" customHeight="1" x14ac:dyDescent="0.25">
      <c r="B817" s="17" t="e">
        <f>VLOOKUP(Data_Discontinuities[[#This Row],[Hole ID]],Data_Log[],2,FALSE)</f>
        <v>#N/A</v>
      </c>
      <c r="C817" s="8"/>
      <c r="D817" s="8"/>
      <c r="E817" s="7"/>
      <c r="F817" s="7"/>
      <c r="G817" s="7"/>
      <c r="H817" s="118"/>
      <c r="I817" s="7"/>
      <c r="J817" s="7"/>
      <c r="K817" s="7"/>
      <c r="L817" s="7"/>
      <c r="M817" s="7"/>
      <c r="N817" s="7"/>
      <c r="O817" s="84" t="e" cm="1">
        <f t="array" ref="O817">_xlfn.XLOOKUP(1,(A817=Geotech!$A$4:$A$10094)*(Data_Discontinuities[[#This Row],[Depth (m)]]&gt;=Geotech!$C$4:$C$10094)*(Data_Discontinuities[[#This Row],[Depth (m)]]&lt;Geotech!$D$4:$D$10094),Geotech!$M$4:$M$10094)</f>
        <v>#N/A</v>
      </c>
      <c r="P817" s="84"/>
      <c r="Q817" s="84"/>
      <c r="R817" s="84"/>
      <c r="S8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7" s="71" t="str">
        <f>IFERROR(Data_Discontinuities[[#This Row],[Joint roughness]]/Data_Discontinuities[[#This Row],[Joint alteration]],"")</f>
        <v/>
      </c>
      <c r="V8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7" s="87"/>
    </row>
    <row r="818" spans="2:23" ht="15" customHeight="1" x14ac:dyDescent="0.25">
      <c r="B818" s="17" t="e">
        <f>VLOOKUP(Data_Discontinuities[[#This Row],[Hole ID]],Data_Log[],2,FALSE)</f>
        <v>#N/A</v>
      </c>
      <c r="C818" s="8"/>
      <c r="D818" s="8"/>
      <c r="E818" s="7"/>
      <c r="F818" s="7"/>
      <c r="G818" s="7"/>
      <c r="H818" s="118"/>
      <c r="I818" s="7"/>
      <c r="J818" s="7"/>
      <c r="K818" s="7"/>
      <c r="L818" s="7"/>
      <c r="M818" s="7"/>
      <c r="N818" s="7"/>
      <c r="O818" s="84" t="e" cm="1">
        <f t="array" ref="O818">_xlfn.XLOOKUP(1,(A818=Geotech!$A$4:$A$10094)*(Data_Discontinuities[[#This Row],[Depth (m)]]&gt;=Geotech!$C$4:$C$10094)*(Data_Discontinuities[[#This Row],[Depth (m)]]&lt;Geotech!$D$4:$D$10094),Geotech!$M$4:$M$10094)</f>
        <v>#N/A</v>
      </c>
      <c r="P818" s="84"/>
      <c r="Q818" s="84"/>
      <c r="R818" s="84"/>
      <c r="S8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8" s="71" t="str">
        <f>IFERROR(Data_Discontinuities[[#This Row],[Joint roughness]]/Data_Discontinuities[[#This Row],[Joint alteration]],"")</f>
        <v/>
      </c>
      <c r="V8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8" s="87"/>
    </row>
    <row r="819" spans="2:23" ht="15" customHeight="1" x14ac:dyDescent="0.25">
      <c r="B819" s="17" t="e">
        <f>VLOOKUP(Data_Discontinuities[[#This Row],[Hole ID]],Data_Log[],2,FALSE)</f>
        <v>#N/A</v>
      </c>
      <c r="C819" s="8"/>
      <c r="D819" s="8"/>
      <c r="E819" s="7"/>
      <c r="F819" s="7"/>
      <c r="G819" s="7"/>
      <c r="H819" s="118"/>
      <c r="I819" s="7"/>
      <c r="J819" s="7"/>
      <c r="K819" s="7"/>
      <c r="L819" s="7"/>
      <c r="M819" s="7"/>
      <c r="N819" s="7"/>
      <c r="O819" s="84" t="e" cm="1">
        <f t="array" ref="O819">_xlfn.XLOOKUP(1,(A819=Geotech!$A$4:$A$10094)*(Data_Discontinuities[[#This Row],[Depth (m)]]&gt;=Geotech!$C$4:$C$10094)*(Data_Discontinuities[[#This Row],[Depth (m)]]&lt;Geotech!$D$4:$D$10094),Geotech!$M$4:$M$10094)</f>
        <v>#N/A</v>
      </c>
      <c r="P819" s="84"/>
      <c r="Q819" s="84"/>
      <c r="R819" s="84"/>
      <c r="S8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19" s="71" t="str">
        <f>IFERROR(Data_Discontinuities[[#This Row],[Joint roughness]]/Data_Discontinuities[[#This Row],[Joint alteration]],"")</f>
        <v/>
      </c>
      <c r="V8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19" s="87"/>
    </row>
    <row r="820" spans="2:23" ht="15" customHeight="1" x14ac:dyDescent="0.25">
      <c r="B820" s="17" t="e">
        <f>VLOOKUP(Data_Discontinuities[[#This Row],[Hole ID]],Data_Log[],2,FALSE)</f>
        <v>#N/A</v>
      </c>
      <c r="C820" s="8"/>
      <c r="D820" s="8"/>
      <c r="E820" s="7"/>
      <c r="F820" s="7"/>
      <c r="G820" s="7"/>
      <c r="H820" s="118"/>
      <c r="I820" s="7"/>
      <c r="J820" s="7"/>
      <c r="K820" s="7"/>
      <c r="L820" s="7"/>
      <c r="M820" s="7"/>
      <c r="N820" s="7"/>
      <c r="O820" s="84" t="e" cm="1">
        <f t="array" ref="O820">_xlfn.XLOOKUP(1,(A820=Geotech!$A$4:$A$10094)*(Data_Discontinuities[[#This Row],[Depth (m)]]&gt;=Geotech!$C$4:$C$10094)*(Data_Discontinuities[[#This Row],[Depth (m)]]&lt;Geotech!$D$4:$D$10094),Geotech!$M$4:$M$10094)</f>
        <v>#N/A</v>
      </c>
      <c r="P820" s="84"/>
      <c r="Q820" s="84"/>
      <c r="R820" s="84"/>
      <c r="S8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0" s="71" t="str">
        <f>IFERROR(Data_Discontinuities[[#This Row],[Joint roughness]]/Data_Discontinuities[[#This Row],[Joint alteration]],"")</f>
        <v/>
      </c>
      <c r="V8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0" s="87"/>
    </row>
    <row r="821" spans="2:23" ht="15" customHeight="1" x14ac:dyDescent="0.25">
      <c r="B821" s="17" t="e">
        <f>VLOOKUP(Data_Discontinuities[[#This Row],[Hole ID]],Data_Log[],2,FALSE)</f>
        <v>#N/A</v>
      </c>
      <c r="C821" s="8"/>
      <c r="D821" s="8"/>
      <c r="E821" s="7"/>
      <c r="F821" s="7"/>
      <c r="G821" s="7"/>
      <c r="H821" s="118"/>
      <c r="I821" s="7"/>
      <c r="J821" s="7"/>
      <c r="K821" s="7"/>
      <c r="L821" s="7"/>
      <c r="M821" s="7"/>
      <c r="N821" s="7"/>
      <c r="O821" s="84" t="e" cm="1">
        <f t="array" ref="O821">_xlfn.XLOOKUP(1,(A821=Geotech!$A$4:$A$10094)*(Data_Discontinuities[[#This Row],[Depth (m)]]&gt;=Geotech!$C$4:$C$10094)*(Data_Discontinuities[[#This Row],[Depth (m)]]&lt;Geotech!$D$4:$D$10094),Geotech!$M$4:$M$10094)</f>
        <v>#N/A</v>
      </c>
      <c r="P821" s="84"/>
      <c r="Q821" s="84"/>
      <c r="R821" s="84"/>
      <c r="S8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1" s="71" t="str">
        <f>IFERROR(Data_Discontinuities[[#This Row],[Joint roughness]]/Data_Discontinuities[[#This Row],[Joint alteration]],"")</f>
        <v/>
      </c>
      <c r="V8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1" s="87"/>
    </row>
    <row r="822" spans="2:23" ht="15" customHeight="1" x14ac:dyDescent="0.25">
      <c r="B822" s="17" t="e">
        <f>VLOOKUP(Data_Discontinuities[[#This Row],[Hole ID]],Data_Log[],2,FALSE)</f>
        <v>#N/A</v>
      </c>
      <c r="C822" s="8"/>
      <c r="D822" s="8"/>
      <c r="E822" s="7"/>
      <c r="F822" s="7"/>
      <c r="G822" s="7"/>
      <c r="H822" s="118"/>
      <c r="I822" s="7"/>
      <c r="J822" s="7"/>
      <c r="K822" s="7"/>
      <c r="L822" s="7"/>
      <c r="M822" s="7"/>
      <c r="N822" s="7"/>
      <c r="O822" s="84" t="e" cm="1">
        <f t="array" ref="O822">_xlfn.XLOOKUP(1,(A822=Geotech!$A$4:$A$10094)*(Data_Discontinuities[[#This Row],[Depth (m)]]&gt;=Geotech!$C$4:$C$10094)*(Data_Discontinuities[[#This Row],[Depth (m)]]&lt;Geotech!$D$4:$D$10094),Geotech!$M$4:$M$10094)</f>
        <v>#N/A</v>
      </c>
      <c r="P822" s="84"/>
      <c r="Q822" s="84"/>
      <c r="R822" s="84"/>
      <c r="S8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2" s="71" t="str">
        <f>IFERROR(Data_Discontinuities[[#This Row],[Joint roughness]]/Data_Discontinuities[[#This Row],[Joint alteration]],"")</f>
        <v/>
      </c>
      <c r="V8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2" s="87"/>
    </row>
    <row r="823" spans="2:23" ht="15" customHeight="1" x14ac:dyDescent="0.25">
      <c r="B823" s="17" t="e">
        <f>VLOOKUP(Data_Discontinuities[[#This Row],[Hole ID]],Data_Log[],2,FALSE)</f>
        <v>#N/A</v>
      </c>
      <c r="C823" s="8"/>
      <c r="D823" s="8"/>
      <c r="E823" s="7"/>
      <c r="F823" s="7"/>
      <c r="G823" s="7"/>
      <c r="H823" s="118"/>
      <c r="I823" s="7"/>
      <c r="J823" s="7"/>
      <c r="K823" s="7"/>
      <c r="L823" s="7"/>
      <c r="M823" s="7"/>
      <c r="N823" s="7"/>
      <c r="O823" s="84" t="e" cm="1">
        <f t="array" ref="O823">_xlfn.XLOOKUP(1,(A823=Geotech!$A$4:$A$10094)*(Data_Discontinuities[[#This Row],[Depth (m)]]&gt;=Geotech!$C$4:$C$10094)*(Data_Discontinuities[[#This Row],[Depth (m)]]&lt;Geotech!$D$4:$D$10094),Geotech!$M$4:$M$10094)</f>
        <v>#N/A</v>
      </c>
      <c r="P823" s="84"/>
      <c r="Q823" s="84"/>
      <c r="R823" s="84"/>
      <c r="S8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3" s="71" t="str">
        <f>IFERROR(Data_Discontinuities[[#This Row],[Joint roughness]]/Data_Discontinuities[[#This Row],[Joint alteration]],"")</f>
        <v/>
      </c>
      <c r="V8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3" s="87"/>
    </row>
    <row r="824" spans="2:23" ht="15" customHeight="1" x14ac:dyDescent="0.25">
      <c r="B824" s="17" t="e">
        <f>VLOOKUP(Data_Discontinuities[[#This Row],[Hole ID]],Data_Log[],2,FALSE)</f>
        <v>#N/A</v>
      </c>
      <c r="C824" s="8"/>
      <c r="D824" s="8"/>
      <c r="E824" s="7"/>
      <c r="F824" s="7"/>
      <c r="G824" s="7"/>
      <c r="H824" s="118"/>
      <c r="I824" s="7"/>
      <c r="J824" s="7"/>
      <c r="K824" s="7"/>
      <c r="L824" s="7"/>
      <c r="M824" s="7"/>
      <c r="N824" s="7"/>
      <c r="O824" s="84" t="e" cm="1">
        <f t="array" ref="O824">_xlfn.XLOOKUP(1,(A824=Geotech!$A$4:$A$10094)*(Data_Discontinuities[[#This Row],[Depth (m)]]&gt;=Geotech!$C$4:$C$10094)*(Data_Discontinuities[[#This Row],[Depth (m)]]&lt;Geotech!$D$4:$D$10094),Geotech!$M$4:$M$10094)</f>
        <v>#N/A</v>
      </c>
      <c r="P824" s="84"/>
      <c r="Q824" s="84"/>
      <c r="R824" s="84"/>
      <c r="S8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4" s="71" t="str">
        <f>IFERROR(Data_Discontinuities[[#This Row],[Joint roughness]]/Data_Discontinuities[[#This Row],[Joint alteration]],"")</f>
        <v/>
      </c>
      <c r="V8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4" s="87"/>
    </row>
    <row r="825" spans="2:23" ht="15" customHeight="1" x14ac:dyDescent="0.25">
      <c r="B825" s="17" t="e">
        <f>VLOOKUP(Data_Discontinuities[[#This Row],[Hole ID]],Data_Log[],2,FALSE)</f>
        <v>#N/A</v>
      </c>
      <c r="C825" s="8"/>
      <c r="D825" s="8"/>
      <c r="E825" s="7"/>
      <c r="F825" s="7"/>
      <c r="G825" s="7"/>
      <c r="H825" s="118"/>
      <c r="I825" s="7"/>
      <c r="J825" s="7"/>
      <c r="K825" s="7"/>
      <c r="L825" s="7"/>
      <c r="M825" s="7"/>
      <c r="N825" s="7"/>
      <c r="O825" s="84" t="e" cm="1">
        <f t="array" ref="O825">_xlfn.XLOOKUP(1,(A825=Geotech!$A$4:$A$10094)*(Data_Discontinuities[[#This Row],[Depth (m)]]&gt;=Geotech!$C$4:$C$10094)*(Data_Discontinuities[[#This Row],[Depth (m)]]&lt;Geotech!$D$4:$D$10094),Geotech!$M$4:$M$10094)</f>
        <v>#N/A</v>
      </c>
      <c r="P825" s="84"/>
      <c r="Q825" s="84"/>
      <c r="R825" s="84"/>
      <c r="S8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5" s="71" t="str">
        <f>IFERROR(Data_Discontinuities[[#This Row],[Joint roughness]]/Data_Discontinuities[[#This Row],[Joint alteration]],"")</f>
        <v/>
      </c>
      <c r="V8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5" s="87"/>
    </row>
    <row r="826" spans="2:23" ht="15" customHeight="1" x14ac:dyDescent="0.25">
      <c r="B826" s="17" t="e">
        <f>VLOOKUP(Data_Discontinuities[[#This Row],[Hole ID]],Data_Log[],2,FALSE)</f>
        <v>#N/A</v>
      </c>
      <c r="C826" s="8"/>
      <c r="D826" s="8"/>
      <c r="E826" s="7"/>
      <c r="F826" s="7"/>
      <c r="G826" s="7"/>
      <c r="H826" s="118"/>
      <c r="I826" s="7"/>
      <c r="J826" s="7"/>
      <c r="K826" s="7"/>
      <c r="L826" s="7"/>
      <c r="M826" s="7"/>
      <c r="N826" s="7"/>
      <c r="O826" s="84" t="e" cm="1">
        <f t="array" ref="O826">_xlfn.XLOOKUP(1,(A826=Geotech!$A$4:$A$10094)*(Data_Discontinuities[[#This Row],[Depth (m)]]&gt;=Geotech!$C$4:$C$10094)*(Data_Discontinuities[[#This Row],[Depth (m)]]&lt;Geotech!$D$4:$D$10094),Geotech!$M$4:$M$10094)</f>
        <v>#N/A</v>
      </c>
      <c r="P826" s="84"/>
      <c r="Q826" s="84"/>
      <c r="R826" s="84"/>
      <c r="S8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6" s="71" t="str">
        <f>IFERROR(Data_Discontinuities[[#This Row],[Joint roughness]]/Data_Discontinuities[[#This Row],[Joint alteration]],"")</f>
        <v/>
      </c>
      <c r="V8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6" s="87"/>
    </row>
    <row r="827" spans="2:23" ht="15" customHeight="1" x14ac:dyDescent="0.25">
      <c r="B827" s="17" t="e">
        <f>VLOOKUP(Data_Discontinuities[[#This Row],[Hole ID]],Data_Log[],2,FALSE)</f>
        <v>#N/A</v>
      </c>
      <c r="C827" s="8"/>
      <c r="D827" s="8"/>
      <c r="E827" s="7"/>
      <c r="F827" s="7"/>
      <c r="G827" s="7"/>
      <c r="H827" s="118"/>
      <c r="I827" s="7"/>
      <c r="J827" s="7"/>
      <c r="K827" s="7"/>
      <c r="L827" s="7"/>
      <c r="M827" s="7"/>
      <c r="N827" s="7"/>
      <c r="O827" s="84" t="e" cm="1">
        <f t="array" ref="O827">_xlfn.XLOOKUP(1,(A827=Geotech!$A$4:$A$10094)*(Data_Discontinuities[[#This Row],[Depth (m)]]&gt;=Geotech!$C$4:$C$10094)*(Data_Discontinuities[[#This Row],[Depth (m)]]&lt;Geotech!$D$4:$D$10094),Geotech!$M$4:$M$10094)</f>
        <v>#N/A</v>
      </c>
      <c r="P827" s="84"/>
      <c r="Q827" s="84"/>
      <c r="R827" s="84"/>
      <c r="S8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7" s="71" t="str">
        <f>IFERROR(Data_Discontinuities[[#This Row],[Joint roughness]]/Data_Discontinuities[[#This Row],[Joint alteration]],"")</f>
        <v/>
      </c>
      <c r="V8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7" s="87"/>
    </row>
    <row r="828" spans="2:23" ht="15" customHeight="1" x14ac:dyDescent="0.25">
      <c r="B828" s="17" t="e">
        <f>VLOOKUP(Data_Discontinuities[[#This Row],[Hole ID]],Data_Log[],2,FALSE)</f>
        <v>#N/A</v>
      </c>
      <c r="C828" s="8"/>
      <c r="D828" s="8"/>
      <c r="E828" s="7"/>
      <c r="F828" s="7"/>
      <c r="G828" s="7"/>
      <c r="H828" s="118"/>
      <c r="I828" s="7"/>
      <c r="J828" s="7"/>
      <c r="K828" s="7"/>
      <c r="L828" s="7"/>
      <c r="M828" s="7"/>
      <c r="N828" s="7"/>
      <c r="O828" s="84" t="e" cm="1">
        <f t="array" ref="O828">_xlfn.XLOOKUP(1,(A828=Geotech!$A$4:$A$10094)*(Data_Discontinuities[[#This Row],[Depth (m)]]&gt;=Geotech!$C$4:$C$10094)*(Data_Discontinuities[[#This Row],[Depth (m)]]&lt;Geotech!$D$4:$D$10094),Geotech!$M$4:$M$10094)</f>
        <v>#N/A</v>
      </c>
      <c r="P828" s="84"/>
      <c r="Q828" s="84"/>
      <c r="R828" s="84"/>
      <c r="S8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8" s="71" t="str">
        <f>IFERROR(Data_Discontinuities[[#This Row],[Joint roughness]]/Data_Discontinuities[[#This Row],[Joint alteration]],"")</f>
        <v/>
      </c>
      <c r="V8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8" s="87"/>
    </row>
    <row r="829" spans="2:23" ht="15" customHeight="1" x14ac:dyDescent="0.25">
      <c r="B829" s="17" t="e">
        <f>VLOOKUP(Data_Discontinuities[[#This Row],[Hole ID]],Data_Log[],2,FALSE)</f>
        <v>#N/A</v>
      </c>
      <c r="C829" s="8"/>
      <c r="D829" s="8"/>
      <c r="E829" s="7"/>
      <c r="F829" s="7"/>
      <c r="G829" s="7"/>
      <c r="H829" s="118"/>
      <c r="I829" s="7"/>
      <c r="J829" s="7"/>
      <c r="K829" s="7"/>
      <c r="L829" s="7"/>
      <c r="M829" s="7"/>
      <c r="N829" s="7"/>
      <c r="O829" s="84" t="e" cm="1">
        <f t="array" ref="O829">_xlfn.XLOOKUP(1,(A829=Geotech!$A$4:$A$10094)*(Data_Discontinuities[[#This Row],[Depth (m)]]&gt;=Geotech!$C$4:$C$10094)*(Data_Discontinuities[[#This Row],[Depth (m)]]&lt;Geotech!$D$4:$D$10094),Geotech!$M$4:$M$10094)</f>
        <v>#N/A</v>
      </c>
      <c r="P829" s="84"/>
      <c r="Q829" s="84"/>
      <c r="R829" s="84"/>
      <c r="S8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29" s="71" t="str">
        <f>IFERROR(Data_Discontinuities[[#This Row],[Joint roughness]]/Data_Discontinuities[[#This Row],[Joint alteration]],"")</f>
        <v/>
      </c>
      <c r="V8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29" s="87"/>
    </row>
    <row r="830" spans="2:23" ht="15" customHeight="1" x14ac:dyDescent="0.25">
      <c r="B830" s="17" t="e">
        <f>VLOOKUP(Data_Discontinuities[[#This Row],[Hole ID]],Data_Log[],2,FALSE)</f>
        <v>#N/A</v>
      </c>
      <c r="C830" s="8"/>
      <c r="D830" s="8"/>
      <c r="E830" s="7"/>
      <c r="F830" s="7"/>
      <c r="G830" s="7"/>
      <c r="H830" s="118"/>
      <c r="I830" s="7"/>
      <c r="J830" s="7"/>
      <c r="K830" s="7"/>
      <c r="L830" s="7"/>
      <c r="M830" s="7"/>
      <c r="N830" s="7"/>
      <c r="O830" s="84" t="e" cm="1">
        <f t="array" ref="O830">_xlfn.XLOOKUP(1,(A830=Geotech!$A$4:$A$10094)*(Data_Discontinuities[[#This Row],[Depth (m)]]&gt;=Geotech!$C$4:$C$10094)*(Data_Discontinuities[[#This Row],[Depth (m)]]&lt;Geotech!$D$4:$D$10094),Geotech!$M$4:$M$10094)</f>
        <v>#N/A</v>
      </c>
      <c r="P830" s="84"/>
      <c r="Q830" s="84"/>
      <c r="R830" s="84"/>
      <c r="S8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0" s="71" t="str">
        <f>IFERROR(Data_Discontinuities[[#This Row],[Joint roughness]]/Data_Discontinuities[[#This Row],[Joint alteration]],"")</f>
        <v/>
      </c>
      <c r="V8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0" s="87"/>
    </row>
    <row r="831" spans="2:23" ht="15" customHeight="1" x14ac:dyDescent="0.25">
      <c r="B831" s="17" t="e">
        <f>VLOOKUP(Data_Discontinuities[[#This Row],[Hole ID]],Data_Log[],2,FALSE)</f>
        <v>#N/A</v>
      </c>
      <c r="C831" s="8"/>
      <c r="D831" s="8"/>
      <c r="E831" s="7"/>
      <c r="F831" s="7"/>
      <c r="G831" s="7"/>
      <c r="H831" s="118"/>
      <c r="I831" s="7"/>
      <c r="J831" s="7"/>
      <c r="K831" s="7"/>
      <c r="L831" s="7"/>
      <c r="M831" s="7"/>
      <c r="N831" s="7"/>
      <c r="O831" s="84" t="e" cm="1">
        <f t="array" ref="O831">_xlfn.XLOOKUP(1,(A831=Geotech!$A$4:$A$10094)*(Data_Discontinuities[[#This Row],[Depth (m)]]&gt;=Geotech!$C$4:$C$10094)*(Data_Discontinuities[[#This Row],[Depth (m)]]&lt;Geotech!$D$4:$D$10094),Geotech!$M$4:$M$10094)</f>
        <v>#N/A</v>
      </c>
      <c r="P831" s="84"/>
      <c r="Q831" s="84"/>
      <c r="R831" s="84"/>
      <c r="S8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1" s="71" t="str">
        <f>IFERROR(Data_Discontinuities[[#This Row],[Joint roughness]]/Data_Discontinuities[[#This Row],[Joint alteration]],"")</f>
        <v/>
      </c>
      <c r="V8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1" s="87"/>
    </row>
    <row r="832" spans="2:23" ht="15" customHeight="1" x14ac:dyDescent="0.25">
      <c r="B832" s="17" t="e">
        <f>VLOOKUP(Data_Discontinuities[[#This Row],[Hole ID]],Data_Log[],2,FALSE)</f>
        <v>#N/A</v>
      </c>
      <c r="C832" s="8"/>
      <c r="D832" s="8"/>
      <c r="E832" s="7"/>
      <c r="F832" s="7"/>
      <c r="G832" s="7"/>
      <c r="H832" s="118"/>
      <c r="I832" s="7"/>
      <c r="J832" s="7"/>
      <c r="K832" s="7"/>
      <c r="L832" s="7"/>
      <c r="M832" s="7"/>
      <c r="N832" s="7"/>
      <c r="O832" s="84" t="e" cm="1">
        <f t="array" ref="O832">_xlfn.XLOOKUP(1,(A832=Geotech!$A$4:$A$10094)*(Data_Discontinuities[[#This Row],[Depth (m)]]&gt;=Geotech!$C$4:$C$10094)*(Data_Discontinuities[[#This Row],[Depth (m)]]&lt;Geotech!$D$4:$D$10094),Geotech!$M$4:$M$10094)</f>
        <v>#N/A</v>
      </c>
      <c r="P832" s="84"/>
      <c r="Q832" s="84"/>
      <c r="R832" s="84"/>
      <c r="S8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2" s="71" t="str">
        <f>IFERROR(Data_Discontinuities[[#This Row],[Joint roughness]]/Data_Discontinuities[[#This Row],[Joint alteration]],"")</f>
        <v/>
      </c>
      <c r="V8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2" s="87"/>
    </row>
    <row r="833" spans="2:23" ht="15" customHeight="1" x14ac:dyDescent="0.25">
      <c r="B833" s="17" t="e">
        <f>VLOOKUP(Data_Discontinuities[[#This Row],[Hole ID]],Data_Log[],2,FALSE)</f>
        <v>#N/A</v>
      </c>
      <c r="C833" s="8"/>
      <c r="D833" s="8"/>
      <c r="E833" s="7"/>
      <c r="F833" s="7"/>
      <c r="G833" s="7"/>
      <c r="H833" s="118"/>
      <c r="I833" s="7"/>
      <c r="J833" s="7"/>
      <c r="K833" s="7"/>
      <c r="L833" s="7"/>
      <c r="M833" s="7"/>
      <c r="N833" s="7"/>
      <c r="O833" s="84" t="e" cm="1">
        <f t="array" ref="O833">_xlfn.XLOOKUP(1,(A833=Geotech!$A$4:$A$10094)*(Data_Discontinuities[[#This Row],[Depth (m)]]&gt;=Geotech!$C$4:$C$10094)*(Data_Discontinuities[[#This Row],[Depth (m)]]&lt;Geotech!$D$4:$D$10094),Geotech!$M$4:$M$10094)</f>
        <v>#N/A</v>
      </c>
      <c r="P833" s="84"/>
      <c r="Q833" s="84"/>
      <c r="R833" s="84"/>
      <c r="S8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3" s="71" t="str">
        <f>IFERROR(Data_Discontinuities[[#This Row],[Joint roughness]]/Data_Discontinuities[[#This Row],[Joint alteration]],"")</f>
        <v/>
      </c>
      <c r="V8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3" s="87"/>
    </row>
    <row r="834" spans="2:23" ht="15" customHeight="1" x14ac:dyDescent="0.25">
      <c r="B834" s="17" t="e">
        <f>VLOOKUP(Data_Discontinuities[[#This Row],[Hole ID]],Data_Log[],2,FALSE)</f>
        <v>#N/A</v>
      </c>
      <c r="C834" s="8"/>
      <c r="D834" s="8"/>
      <c r="E834" s="7"/>
      <c r="F834" s="7"/>
      <c r="G834" s="7"/>
      <c r="H834" s="118"/>
      <c r="I834" s="7"/>
      <c r="J834" s="7"/>
      <c r="K834" s="7"/>
      <c r="L834" s="7"/>
      <c r="M834" s="7"/>
      <c r="N834" s="7"/>
      <c r="O834" s="84" t="e" cm="1">
        <f t="array" ref="O834">_xlfn.XLOOKUP(1,(A834=Geotech!$A$4:$A$10094)*(Data_Discontinuities[[#This Row],[Depth (m)]]&gt;=Geotech!$C$4:$C$10094)*(Data_Discontinuities[[#This Row],[Depth (m)]]&lt;Geotech!$D$4:$D$10094),Geotech!$M$4:$M$10094)</f>
        <v>#N/A</v>
      </c>
      <c r="P834" s="84"/>
      <c r="Q834" s="84"/>
      <c r="R834" s="84"/>
      <c r="S8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4" s="71" t="str">
        <f>IFERROR(Data_Discontinuities[[#This Row],[Joint roughness]]/Data_Discontinuities[[#This Row],[Joint alteration]],"")</f>
        <v/>
      </c>
      <c r="V8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4" s="87"/>
    </row>
    <row r="835" spans="2:23" ht="15" customHeight="1" x14ac:dyDescent="0.25">
      <c r="B835" s="17" t="e">
        <f>VLOOKUP(Data_Discontinuities[[#This Row],[Hole ID]],Data_Log[],2,FALSE)</f>
        <v>#N/A</v>
      </c>
      <c r="C835" s="8"/>
      <c r="D835" s="8"/>
      <c r="E835" s="7"/>
      <c r="F835" s="7"/>
      <c r="G835" s="7"/>
      <c r="H835" s="118"/>
      <c r="I835" s="7"/>
      <c r="J835" s="7"/>
      <c r="K835" s="7"/>
      <c r="L835" s="7"/>
      <c r="M835" s="7"/>
      <c r="N835" s="7"/>
      <c r="O835" s="84" t="e" cm="1">
        <f t="array" ref="O835">_xlfn.XLOOKUP(1,(A835=Geotech!$A$4:$A$10094)*(Data_Discontinuities[[#This Row],[Depth (m)]]&gt;=Geotech!$C$4:$C$10094)*(Data_Discontinuities[[#This Row],[Depth (m)]]&lt;Geotech!$D$4:$D$10094),Geotech!$M$4:$M$10094)</f>
        <v>#N/A</v>
      </c>
      <c r="P835" s="84"/>
      <c r="Q835" s="84"/>
      <c r="R835" s="84"/>
      <c r="S8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5" s="71" t="str">
        <f>IFERROR(Data_Discontinuities[[#This Row],[Joint roughness]]/Data_Discontinuities[[#This Row],[Joint alteration]],"")</f>
        <v/>
      </c>
      <c r="V8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5" s="87"/>
    </row>
    <row r="836" spans="2:23" ht="15" customHeight="1" x14ac:dyDescent="0.25">
      <c r="B836" s="17" t="e">
        <f>VLOOKUP(Data_Discontinuities[[#This Row],[Hole ID]],Data_Log[],2,FALSE)</f>
        <v>#N/A</v>
      </c>
      <c r="C836" s="8"/>
      <c r="D836" s="8"/>
      <c r="E836" s="7"/>
      <c r="F836" s="7"/>
      <c r="G836" s="7"/>
      <c r="H836" s="118"/>
      <c r="I836" s="7"/>
      <c r="J836" s="7"/>
      <c r="K836" s="7"/>
      <c r="L836" s="7"/>
      <c r="M836" s="7"/>
      <c r="N836" s="7"/>
      <c r="O836" s="84" t="e" cm="1">
        <f t="array" ref="O836">_xlfn.XLOOKUP(1,(A836=Geotech!$A$4:$A$10094)*(Data_Discontinuities[[#This Row],[Depth (m)]]&gt;=Geotech!$C$4:$C$10094)*(Data_Discontinuities[[#This Row],[Depth (m)]]&lt;Geotech!$D$4:$D$10094),Geotech!$M$4:$M$10094)</f>
        <v>#N/A</v>
      </c>
      <c r="P836" s="84"/>
      <c r="Q836" s="84"/>
      <c r="R836" s="84"/>
      <c r="S8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6" s="71" t="str">
        <f>IFERROR(Data_Discontinuities[[#This Row],[Joint roughness]]/Data_Discontinuities[[#This Row],[Joint alteration]],"")</f>
        <v/>
      </c>
      <c r="V8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6" s="87"/>
    </row>
    <row r="837" spans="2:23" ht="15" customHeight="1" x14ac:dyDescent="0.25">
      <c r="B837" s="17" t="e">
        <f>VLOOKUP(Data_Discontinuities[[#This Row],[Hole ID]],Data_Log[],2,FALSE)</f>
        <v>#N/A</v>
      </c>
      <c r="C837" s="8"/>
      <c r="D837" s="8"/>
      <c r="E837" s="7"/>
      <c r="F837" s="7"/>
      <c r="G837" s="7"/>
      <c r="H837" s="118"/>
      <c r="I837" s="7"/>
      <c r="J837" s="7"/>
      <c r="K837" s="7"/>
      <c r="L837" s="7"/>
      <c r="M837" s="7"/>
      <c r="N837" s="7"/>
      <c r="O837" s="84" t="e" cm="1">
        <f t="array" ref="O837">_xlfn.XLOOKUP(1,(A837=Geotech!$A$4:$A$10094)*(Data_Discontinuities[[#This Row],[Depth (m)]]&gt;=Geotech!$C$4:$C$10094)*(Data_Discontinuities[[#This Row],[Depth (m)]]&lt;Geotech!$D$4:$D$10094),Geotech!$M$4:$M$10094)</f>
        <v>#N/A</v>
      </c>
      <c r="P837" s="84"/>
      <c r="Q837" s="84"/>
      <c r="R837" s="84"/>
      <c r="S8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7" s="71" t="str">
        <f>IFERROR(Data_Discontinuities[[#This Row],[Joint roughness]]/Data_Discontinuities[[#This Row],[Joint alteration]],"")</f>
        <v/>
      </c>
      <c r="V8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7" s="87"/>
    </row>
    <row r="838" spans="2:23" ht="15" customHeight="1" x14ac:dyDescent="0.25">
      <c r="B838" s="17" t="e">
        <f>VLOOKUP(Data_Discontinuities[[#This Row],[Hole ID]],Data_Log[],2,FALSE)</f>
        <v>#N/A</v>
      </c>
      <c r="C838" s="8"/>
      <c r="D838" s="8"/>
      <c r="E838" s="7"/>
      <c r="F838" s="7"/>
      <c r="G838" s="7"/>
      <c r="H838" s="118"/>
      <c r="I838" s="7"/>
      <c r="J838" s="7"/>
      <c r="K838" s="7"/>
      <c r="L838" s="7"/>
      <c r="M838" s="7"/>
      <c r="N838" s="7"/>
      <c r="O838" s="84" t="e" cm="1">
        <f t="array" ref="O838">_xlfn.XLOOKUP(1,(A838=Geotech!$A$4:$A$10094)*(Data_Discontinuities[[#This Row],[Depth (m)]]&gt;=Geotech!$C$4:$C$10094)*(Data_Discontinuities[[#This Row],[Depth (m)]]&lt;Geotech!$D$4:$D$10094),Geotech!$M$4:$M$10094)</f>
        <v>#N/A</v>
      </c>
      <c r="P838" s="84"/>
      <c r="Q838" s="84"/>
      <c r="R838" s="84"/>
      <c r="S8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8" s="71" t="str">
        <f>IFERROR(Data_Discontinuities[[#This Row],[Joint roughness]]/Data_Discontinuities[[#This Row],[Joint alteration]],"")</f>
        <v/>
      </c>
      <c r="V8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8" s="87"/>
    </row>
    <row r="839" spans="2:23" ht="15" customHeight="1" x14ac:dyDescent="0.25">
      <c r="B839" s="17" t="e">
        <f>VLOOKUP(Data_Discontinuities[[#This Row],[Hole ID]],Data_Log[],2,FALSE)</f>
        <v>#N/A</v>
      </c>
      <c r="C839" s="8"/>
      <c r="D839" s="8"/>
      <c r="E839" s="7"/>
      <c r="F839" s="7"/>
      <c r="G839" s="7"/>
      <c r="H839" s="118"/>
      <c r="I839" s="7"/>
      <c r="J839" s="7"/>
      <c r="K839" s="7"/>
      <c r="L839" s="7"/>
      <c r="M839" s="7"/>
      <c r="N839" s="7"/>
      <c r="O839" s="84" t="e" cm="1">
        <f t="array" ref="O839">_xlfn.XLOOKUP(1,(A839=Geotech!$A$4:$A$10094)*(Data_Discontinuities[[#This Row],[Depth (m)]]&gt;=Geotech!$C$4:$C$10094)*(Data_Discontinuities[[#This Row],[Depth (m)]]&lt;Geotech!$D$4:$D$10094),Geotech!$M$4:$M$10094)</f>
        <v>#N/A</v>
      </c>
      <c r="P839" s="84"/>
      <c r="Q839" s="84"/>
      <c r="R839" s="84"/>
      <c r="S8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39" s="71" t="str">
        <f>IFERROR(Data_Discontinuities[[#This Row],[Joint roughness]]/Data_Discontinuities[[#This Row],[Joint alteration]],"")</f>
        <v/>
      </c>
      <c r="V8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39" s="87"/>
    </row>
    <row r="840" spans="2:23" ht="15" customHeight="1" x14ac:dyDescent="0.25">
      <c r="B840" s="17" t="e">
        <f>VLOOKUP(Data_Discontinuities[[#This Row],[Hole ID]],Data_Log[],2,FALSE)</f>
        <v>#N/A</v>
      </c>
      <c r="C840" s="8"/>
      <c r="D840" s="8"/>
      <c r="E840" s="7"/>
      <c r="F840" s="7"/>
      <c r="G840" s="7"/>
      <c r="H840" s="118"/>
      <c r="I840" s="7"/>
      <c r="J840" s="7"/>
      <c r="K840" s="7"/>
      <c r="L840" s="7"/>
      <c r="M840" s="7"/>
      <c r="N840" s="7"/>
      <c r="O840" s="84" t="e" cm="1">
        <f t="array" ref="O840">_xlfn.XLOOKUP(1,(A840=Geotech!$A$4:$A$10094)*(Data_Discontinuities[[#This Row],[Depth (m)]]&gt;=Geotech!$C$4:$C$10094)*(Data_Discontinuities[[#This Row],[Depth (m)]]&lt;Geotech!$D$4:$D$10094),Geotech!$M$4:$M$10094)</f>
        <v>#N/A</v>
      </c>
      <c r="P840" s="84"/>
      <c r="Q840" s="84"/>
      <c r="R840" s="84"/>
      <c r="S8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0" s="71" t="str">
        <f>IFERROR(Data_Discontinuities[[#This Row],[Joint roughness]]/Data_Discontinuities[[#This Row],[Joint alteration]],"")</f>
        <v/>
      </c>
      <c r="V8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0" s="87"/>
    </row>
    <row r="841" spans="2:23" ht="15" customHeight="1" x14ac:dyDescent="0.25">
      <c r="B841" s="17" t="e">
        <f>VLOOKUP(Data_Discontinuities[[#This Row],[Hole ID]],Data_Log[],2,FALSE)</f>
        <v>#N/A</v>
      </c>
      <c r="C841" s="8"/>
      <c r="D841" s="8"/>
      <c r="E841" s="7"/>
      <c r="F841" s="7"/>
      <c r="G841" s="7"/>
      <c r="H841" s="118"/>
      <c r="I841" s="7"/>
      <c r="J841" s="7"/>
      <c r="K841" s="7"/>
      <c r="L841" s="7"/>
      <c r="M841" s="7"/>
      <c r="N841" s="7"/>
      <c r="O841" s="84" t="e" cm="1">
        <f t="array" ref="O841">_xlfn.XLOOKUP(1,(A841=Geotech!$A$4:$A$10094)*(Data_Discontinuities[[#This Row],[Depth (m)]]&gt;=Geotech!$C$4:$C$10094)*(Data_Discontinuities[[#This Row],[Depth (m)]]&lt;Geotech!$D$4:$D$10094),Geotech!$M$4:$M$10094)</f>
        <v>#N/A</v>
      </c>
      <c r="P841" s="84"/>
      <c r="Q841" s="84"/>
      <c r="R841" s="84"/>
      <c r="S8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1" s="71" t="str">
        <f>IFERROR(Data_Discontinuities[[#This Row],[Joint roughness]]/Data_Discontinuities[[#This Row],[Joint alteration]],"")</f>
        <v/>
      </c>
      <c r="V8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1" s="87"/>
    </row>
    <row r="842" spans="2:23" ht="15" customHeight="1" x14ac:dyDescent="0.25">
      <c r="B842" s="17" t="e">
        <f>VLOOKUP(Data_Discontinuities[[#This Row],[Hole ID]],Data_Log[],2,FALSE)</f>
        <v>#N/A</v>
      </c>
      <c r="C842" s="8"/>
      <c r="D842" s="8"/>
      <c r="E842" s="7"/>
      <c r="F842" s="7"/>
      <c r="G842" s="7"/>
      <c r="H842" s="118"/>
      <c r="I842" s="7"/>
      <c r="J842" s="7"/>
      <c r="K842" s="7"/>
      <c r="L842" s="7"/>
      <c r="M842" s="7"/>
      <c r="N842" s="7"/>
      <c r="O842" s="84" t="e" cm="1">
        <f t="array" ref="O842">_xlfn.XLOOKUP(1,(A842=Geotech!$A$4:$A$10094)*(Data_Discontinuities[[#This Row],[Depth (m)]]&gt;=Geotech!$C$4:$C$10094)*(Data_Discontinuities[[#This Row],[Depth (m)]]&lt;Geotech!$D$4:$D$10094),Geotech!$M$4:$M$10094)</f>
        <v>#N/A</v>
      </c>
      <c r="P842" s="84"/>
      <c r="Q842" s="84"/>
      <c r="R842" s="84"/>
      <c r="S8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2" s="71" t="str">
        <f>IFERROR(Data_Discontinuities[[#This Row],[Joint roughness]]/Data_Discontinuities[[#This Row],[Joint alteration]],"")</f>
        <v/>
      </c>
      <c r="V8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2" s="87"/>
    </row>
    <row r="843" spans="2:23" ht="15" customHeight="1" x14ac:dyDescent="0.25">
      <c r="B843" s="17" t="e">
        <f>VLOOKUP(Data_Discontinuities[[#This Row],[Hole ID]],Data_Log[],2,FALSE)</f>
        <v>#N/A</v>
      </c>
      <c r="C843" s="8"/>
      <c r="D843" s="8"/>
      <c r="E843" s="7"/>
      <c r="F843" s="7"/>
      <c r="G843" s="7"/>
      <c r="H843" s="118"/>
      <c r="I843" s="7"/>
      <c r="J843" s="7"/>
      <c r="K843" s="7"/>
      <c r="L843" s="7"/>
      <c r="M843" s="7"/>
      <c r="N843" s="7"/>
      <c r="O843" s="84" t="e" cm="1">
        <f t="array" ref="O843">_xlfn.XLOOKUP(1,(A843=Geotech!$A$4:$A$10094)*(Data_Discontinuities[[#This Row],[Depth (m)]]&gt;=Geotech!$C$4:$C$10094)*(Data_Discontinuities[[#This Row],[Depth (m)]]&lt;Geotech!$D$4:$D$10094),Geotech!$M$4:$M$10094)</f>
        <v>#N/A</v>
      </c>
      <c r="P843" s="84"/>
      <c r="Q843" s="84"/>
      <c r="R843" s="84"/>
      <c r="S8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3" s="71" t="str">
        <f>IFERROR(Data_Discontinuities[[#This Row],[Joint roughness]]/Data_Discontinuities[[#This Row],[Joint alteration]],"")</f>
        <v/>
      </c>
      <c r="V8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3" s="87"/>
    </row>
    <row r="844" spans="2:23" ht="15" customHeight="1" x14ac:dyDescent="0.25">
      <c r="B844" s="17" t="e">
        <f>VLOOKUP(Data_Discontinuities[[#This Row],[Hole ID]],Data_Log[],2,FALSE)</f>
        <v>#N/A</v>
      </c>
      <c r="C844" s="8"/>
      <c r="D844" s="8"/>
      <c r="E844" s="7"/>
      <c r="F844" s="7"/>
      <c r="G844" s="7"/>
      <c r="H844" s="118"/>
      <c r="I844" s="7"/>
      <c r="J844" s="7"/>
      <c r="K844" s="7"/>
      <c r="L844" s="7"/>
      <c r="M844" s="7"/>
      <c r="N844" s="7"/>
      <c r="O844" s="84" t="e" cm="1">
        <f t="array" ref="O844">_xlfn.XLOOKUP(1,(A844=Geotech!$A$4:$A$10094)*(Data_Discontinuities[[#This Row],[Depth (m)]]&gt;=Geotech!$C$4:$C$10094)*(Data_Discontinuities[[#This Row],[Depth (m)]]&lt;Geotech!$D$4:$D$10094),Geotech!$M$4:$M$10094)</f>
        <v>#N/A</v>
      </c>
      <c r="P844" s="84"/>
      <c r="Q844" s="84"/>
      <c r="R844" s="84"/>
      <c r="S8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4" s="71" t="str">
        <f>IFERROR(Data_Discontinuities[[#This Row],[Joint roughness]]/Data_Discontinuities[[#This Row],[Joint alteration]],"")</f>
        <v/>
      </c>
      <c r="V8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4" s="87"/>
    </row>
    <row r="845" spans="2:23" ht="15" customHeight="1" x14ac:dyDescent="0.25">
      <c r="B845" s="17" t="e">
        <f>VLOOKUP(Data_Discontinuities[[#This Row],[Hole ID]],Data_Log[],2,FALSE)</f>
        <v>#N/A</v>
      </c>
      <c r="C845" s="8"/>
      <c r="D845" s="8"/>
      <c r="E845" s="7"/>
      <c r="F845" s="7"/>
      <c r="G845" s="7"/>
      <c r="H845" s="118"/>
      <c r="I845" s="7"/>
      <c r="J845" s="7"/>
      <c r="K845" s="7"/>
      <c r="L845" s="7"/>
      <c r="M845" s="7"/>
      <c r="N845" s="7"/>
      <c r="O845" s="84" t="e" cm="1">
        <f t="array" ref="O845">_xlfn.XLOOKUP(1,(A845=Geotech!$A$4:$A$10094)*(Data_Discontinuities[[#This Row],[Depth (m)]]&gt;=Geotech!$C$4:$C$10094)*(Data_Discontinuities[[#This Row],[Depth (m)]]&lt;Geotech!$D$4:$D$10094),Geotech!$M$4:$M$10094)</f>
        <v>#N/A</v>
      </c>
      <c r="P845" s="84"/>
      <c r="Q845" s="84"/>
      <c r="R845" s="84"/>
      <c r="S8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5" s="71" t="str">
        <f>IFERROR(Data_Discontinuities[[#This Row],[Joint roughness]]/Data_Discontinuities[[#This Row],[Joint alteration]],"")</f>
        <v/>
      </c>
      <c r="V8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5" s="87"/>
    </row>
    <row r="846" spans="2:23" ht="15" customHeight="1" x14ac:dyDescent="0.25">
      <c r="B846" s="17" t="e">
        <f>VLOOKUP(Data_Discontinuities[[#This Row],[Hole ID]],Data_Log[],2,FALSE)</f>
        <v>#N/A</v>
      </c>
      <c r="C846" s="8"/>
      <c r="D846" s="8"/>
      <c r="E846" s="7"/>
      <c r="F846" s="7"/>
      <c r="G846" s="7"/>
      <c r="H846" s="118"/>
      <c r="I846" s="7"/>
      <c r="J846" s="7"/>
      <c r="K846" s="7"/>
      <c r="L846" s="7"/>
      <c r="M846" s="7"/>
      <c r="N846" s="7"/>
      <c r="O846" s="84" t="e" cm="1">
        <f t="array" ref="O846">_xlfn.XLOOKUP(1,(A846=Geotech!$A$4:$A$10094)*(Data_Discontinuities[[#This Row],[Depth (m)]]&gt;=Geotech!$C$4:$C$10094)*(Data_Discontinuities[[#This Row],[Depth (m)]]&lt;Geotech!$D$4:$D$10094),Geotech!$M$4:$M$10094)</f>
        <v>#N/A</v>
      </c>
      <c r="P846" s="84"/>
      <c r="Q846" s="84"/>
      <c r="R846" s="84"/>
      <c r="S8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6" s="71" t="str">
        <f>IFERROR(Data_Discontinuities[[#This Row],[Joint roughness]]/Data_Discontinuities[[#This Row],[Joint alteration]],"")</f>
        <v/>
      </c>
      <c r="V8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6" s="87"/>
    </row>
    <row r="847" spans="2:23" ht="15" customHeight="1" x14ac:dyDescent="0.25">
      <c r="B847" s="17" t="e">
        <f>VLOOKUP(Data_Discontinuities[[#This Row],[Hole ID]],Data_Log[],2,FALSE)</f>
        <v>#N/A</v>
      </c>
      <c r="C847" s="8"/>
      <c r="D847" s="8"/>
      <c r="E847" s="7"/>
      <c r="F847" s="7"/>
      <c r="G847" s="7"/>
      <c r="H847" s="118"/>
      <c r="I847" s="7"/>
      <c r="J847" s="7"/>
      <c r="K847" s="7"/>
      <c r="L847" s="7"/>
      <c r="M847" s="7"/>
      <c r="N847" s="7"/>
      <c r="O847" s="84" t="e" cm="1">
        <f t="array" ref="O847">_xlfn.XLOOKUP(1,(A847=Geotech!$A$4:$A$10094)*(Data_Discontinuities[[#This Row],[Depth (m)]]&gt;=Geotech!$C$4:$C$10094)*(Data_Discontinuities[[#This Row],[Depth (m)]]&lt;Geotech!$D$4:$D$10094),Geotech!$M$4:$M$10094)</f>
        <v>#N/A</v>
      </c>
      <c r="P847" s="84"/>
      <c r="Q847" s="84"/>
      <c r="R847" s="84"/>
      <c r="S8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7" s="71" t="str">
        <f>IFERROR(Data_Discontinuities[[#This Row],[Joint roughness]]/Data_Discontinuities[[#This Row],[Joint alteration]],"")</f>
        <v/>
      </c>
      <c r="V8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7" s="87"/>
    </row>
    <row r="848" spans="2:23" ht="15" customHeight="1" x14ac:dyDescent="0.25">
      <c r="B848" s="17" t="e">
        <f>VLOOKUP(Data_Discontinuities[[#This Row],[Hole ID]],Data_Log[],2,FALSE)</f>
        <v>#N/A</v>
      </c>
      <c r="C848" s="8"/>
      <c r="D848" s="8"/>
      <c r="E848" s="7"/>
      <c r="F848" s="7"/>
      <c r="G848" s="7"/>
      <c r="H848" s="118"/>
      <c r="I848" s="7"/>
      <c r="J848" s="7"/>
      <c r="K848" s="7"/>
      <c r="L848" s="7"/>
      <c r="M848" s="7"/>
      <c r="N848" s="7"/>
      <c r="O848" s="84" t="e" cm="1">
        <f t="array" ref="O848">_xlfn.XLOOKUP(1,(A848=Geotech!$A$4:$A$10094)*(Data_Discontinuities[[#This Row],[Depth (m)]]&gt;=Geotech!$C$4:$C$10094)*(Data_Discontinuities[[#This Row],[Depth (m)]]&lt;Geotech!$D$4:$D$10094),Geotech!$M$4:$M$10094)</f>
        <v>#N/A</v>
      </c>
      <c r="P848" s="84"/>
      <c r="Q848" s="84"/>
      <c r="R848" s="84"/>
      <c r="S8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8" s="71" t="str">
        <f>IFERROR(Data_Discontinuities[[#This Row],[Joint roughness]]/Data_Discontinuities[[#This Row],[Joint alteration]],"")</f>
        <v/>
      </c>
      <c r="V8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8" s="87"/>
    </row>
    <row r="849" spans="2:23" ht="15" customHeight="1" x14ac:dyDescent="0.25">
      <c r="B849" s="17" t="e">
        <f>VLOOKUP(Data_Discontinuities[[#This Row],[Hole ID]],Data_Log[],2,FALSE)</f>
        <v>#N/A</v>
      </c>
      <c r="C849" s="8"/>
      <c r="D849" s="8"/>
      <c r="E849" s="7"/>
      <c r="F849" s="7"/>
      <c r="G849" s="7"/>
      <c r="H849" s="118"/>
      <c r="I849" s="7"/>
      <c r="J849" s="7"/>
      <c r="K849" s="7"/>
      <c r="L849" s="7"/>
      <c r="M849" s="7"/>
      <c r="N849" s="7"/>
      <c r="O849" s="84" t="e" cm="1">
        <f t="array" ref="O849">_xlfn.XLOOKUP(1,(A849=Geotech!$A$4:$A$10094)*(Data_Discontinuities[[#This Row],[Depth (m)]]&gt;=Geotech!$C$4:$C$10094)*(Data_Discontinuities[[#This Row],[Depth (m)]]&lt;Geotech!$D$4:$D$10094),Geotech!$M$4:$M$10094)</f>
        <v>#N/A</v>
      </c>
      <c r="P849" s="84"/>
      <c r="Q849" s="84"/>
      <c r="R849" s="84"/>
      <c r="S8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49" s="71" t="str">
        <f>IFERROR(Data_Discontinuities[[#This Row],[Joint roughness]]/Data_Discontinuities[[#This Row],[Joint alteration]],"")</f>
        <v/>
      </c>
      <c r="V8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49" s="87"/>
    </row>
    <row r="850" spans="2:23" ht="15" customHeight="1" x14ac:dyDescent="0.25">
      <c r="B850" s="17" t="e">
        <f>VLOOKUP(Data_Discontinuities[[#This Row],[Hole ID]],Data_Log[],2,FALSE)</f>
        <v>#N/A</v>
      </c>
      <c r="C850" s="8"/>
      <c r="D850" s="8"/>
      <c r="E850" s="7"/>
      <c r="F850" s="7"/>
      <c r="G850" s="7"/>
      <c r="H850" s="118"/>
      <c r="I850" s="7"/>
      <c r="J850" s="7"/>
      <c r="K850" s="7"/>
      <c r="L850" s="7"/>
      <c r="M850" s="7"/>
      <c r="N850" s="7"/>
      <c r="O850" s="84" t="e" cm="1">
        <f t="array" ref="O850">_xlfn.XLOOKUP(1,(A850=Geotech!$A$4:$A$10094)*(Data_Discontinuities[[#This Row],[Depth (m)]]&gt;=Geotech!$C$4:$C$10094)*(Data_Discontinuities[[#This Row],[Depth (m)]]&lt;Geotech!$D$4:$D$10094),Geotech!$M$4:$M$10094)</f>
        <v>#N/A</v>
      </c>
      <c r="P850" s="84"/>
      <c r="Q850" s="84"/>
      <c r="R850" s="84"/>
      <c r="S8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0" s="71" t="str">
        <f>IFERROR(Data_Discontinuities[[#This Row],[Joint roughness]]/Data_Discontinuities[[#This Row],[Joint alteration]],"")</f>
        <v/>
      </c>
      <c r="V8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0" s="87"/>
    </row>
    <row r="851" spans="2:23" ht="15" customHeight="1" x14ac:dyDescent="0.25">
      <c r="B851" s="17" t="e">
        <f>VLOOKUP(Data_Discontinuities[[#This Row],[Hole ID]],Data_Log[],2,FALSE)</f>
        <v>#N/A</v>
      </c>
      <c r="C851" s="8"/>
      <c r="D851" s="8"/>
      <c r="E851" s="7"/>
      <c r="F851" s="7"/>
      <c r="G851" s="7"/>
      <c r="H851" s="118"/>
      <c r="I851" s="7"/>
      <c r="J851" s="7"/>
      <c r="K851" s="7"/>
      <c r="L851" s="7"/>
      <c r="M851" s="7"/>
      <c r="N851" s="7"/>
      <c r="O851" s="84" t="e" cm="1">
        <f t="array" ref="O851">_xlfn.XLOOKUP(1,(A851=Geotech!$A$4:$A$10094)*(Data_Discontinuities[[#This Row],[Depth (m)]]&gt;=Geotech!$C$4:$C$10094)*(Data_Discontinuities[[#This Row],[Depth (m)]]&lt;Geotech!$D$4:$D$10094),Geotech!$M$4:$M$10094)</f>
        <v>#N/A</v>
      </c>
      <c r="P851" s="84"/>
      <c r="Q851" s="84"/>
      <c r="R851" s="84"/>
      <c r="S8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1" s="71" t="str">
        <f>IFERROR(Data_Discontinuities[[#This Row],[Joint roughness]]/Data_Discontinuities[[#This Row],[Joint alteration]],"")</f>
        <v/>
      </c>
      <c r="V8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1" s="87"/>
    </row>
    <row r="852" spans="2:23" ht="15" customHeight="1" x14ac:dyDescent="0.25">
      <c r="B852" s="17" t="e">
        <f>VLOOKUP(Data_Discontinuities[[#This Row],[Hole ID]],Data_Log[],2,FALSE)</f>
        <v>#N/A</v>
      </c>
      <c r="C852" s="8"/>
      <c r="D852" s="8"/>
      <c r="E852" s="7"/>
      <c r="F852" s="7"/>
      <c r="G852" s="7"/>
      <c r="H852" s="118"/>
      <c r="I852" s="7"/>
      <c r="J852" s="7"/>
      <c r="K852" s="7"/>
      <c r="L852" s="7"/>
      <c r="M852" s="7"/>
      <c r="N852" s="7"/>
      <c r="O852" s="84" t="e" cm="1">
        <f t="array" ref="O852">_xlfn.XLOOKUP(1,(A852=Geotech!$A$4:$A$10094)*(Data_Discontinuities[[#This Row],[Depth (m)]]&gt;=Geotech!$C$4:$C$10094)*(Data_Discontinuities[[#This Row],[Depth (m)]]&lt;Geotech!$D$4:$D$10094),Geotech!$M$4:$M$10094)</f>
        <v>#N/A</v>
      </c>
      <c r="P852" s="84"/>
      <c r="Q852" s="84"/>
      <c r="R852" s="84"/>
      <c r="S8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2" s="71" t="str">
        <f>IFERROR(Data_Discontinuities[[#This Row],[Joint roughness]]/Data_Discontinuities[[#This Row],[Joint alteration]],"")</f>
        <v/>
      </c>
      <c r="V8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2" s="87"/>
    </row>
    <row r="853" spans="2:23" ht="15" customHeight="1" x14ac:dyDescent="0.25">
      <c r="B853" s="17" t="e">
        <f>VLOOKUP(Data_Discontinuities[[#This Row],[Hole ID]],Data_Log[],2,FALSE)</f>
        <v>#N/A</v>
      </c>
      <c r="C853" s="8"/>
      <c r="D853" s="8"/>
      <c r="E853" s="7"/>
      <c r="F853" s="7"/>
      <c r="G853" s="7"/>
      <c r="H853" s="118"/>
      <c r="I853" s="7"/>
      <c r="J853" s="7"/>
      <c r="K853" s="7"/>
      <c r="L853" s="7"/>
      <c r="M853" s="7"/>
      <c r="N853" s="7"/>
      <c r="O853" s="84" t="e" cm="1">
        <f t="array" ref="O853">_xlfn.XLOOKUP(1,(A853=Geotech!$A$4:$A$10094)*(Data_Discontinuities[[#This Row],[Depth (m)]]&gt;=Geotech!$C$4:$C$10094)*(Data_Discontinuities[[#This Row],[Depth (m)]]&lt;Geotech!$D$4:$D$10094),Geotech!$M$4:$M$10094)</f>
        <v>#N/A</v>
      </c>
      <c r="P853" s="84"/>
      <c r="Q853" s="84"/>
      <c r="R853" s="84"/>
      <c r="S8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3" s="71" t="str">
        <f>IFERROR(Data_Discontinuities[[#This Row],[Joint roughness]]/Data_Discontinuities[[#This Row],[Joint alteration]],"")</f>
        <v/>
      </c>
      <c r="V8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3" s="87"/>
    </row>
    <row r="854" spans="2:23" ht="15" customHeight="1" x14ac:dyDescent="0.25">
      <c r="B854" s="17" t="e">
        <f>VLOOKUP(Data_Discontinuities[[#This Row],[Hole ID]],Data_Log[],2,FALSE)</f>
        <v>#N/A</v>
      </c>
      <c r="C854" s="8"/>
      <c r="D854" s="8"/>
      <c r="E854" s="7"/>
      <c r="F854" s="7"/>
      <c r="G854" s="7"/>
      <c r="H854" s="118"/>
      <c r="I854" s="7"/>
      <c r="J854" s="7"/>
      <c r="K854" s="7"/>
      <c r="L854" s="7"/>
      <c r="M854" s="7"/>
      <c r="N854" s="7"/>
      <c r="O854" s="84" t="e" cm="1">
        <f t="array" ref="O854">_xlfn.XLOOKUP(1,(A854=Geotech!$A$4:$A$10094)*(Data_Discontinuities[[#This Row],[Depth (m)]]&gt;=Geotech!$C$4:$C$10094)*(Data_Discontinuities[[#This Row],[Depth (m)]]&lt;Geotech!$D$4:$D$10094),Geotech!$M$4:$M$10094)</f>
        <v>#N/A</v>
      </c>
      <c r="P854" s="84"/>
      <c r="Q854" s="84"/>
      <c r="R854" s="84"/>
      <c r="S8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4" s="71" t="str">
        <f>IFERROR(Data_Discontinuities[[#This Row],[Joint roughness]]/Data_Discontinuities[[#This Row],[Joint alteration]],"")</f>
        <v/>
      </c>
      <c r="V8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4" s="87"/>
    </row>
    <row r="855" spans="2:23" ht="15" customHeight="1" x14ac:dyDescent="0.25">
      <c r="B855" s="17" t="e">
        <f>VLOOKUP(Data_Discontinuities[[#This Row],[Hole ID]],Data_Log[],2,FALSE)</f>
        <v>#N/A</v>
      </c>
      <c r="C855" s="8"/>
      <c r="D855" s="8"/>
      <c r="E855" s="7"/>
      <c r="F855" s="7"/>
      <c r="G855" s="7"/>
      <c r="H855" s="118"/>
      <c r="I855" s="7"/>
      <c r="J855" s="7"/>
      <c r="K855" s="7"/>
      <c r="L855" s="7"/>
      <c r="M855" s="7"/>
      <c r="N855" s="7"/>
      <c r="O855" s="84" t="e" cm="1">
        <f t="array" ref="O855">_xlfn.XLOOKUP(1,(A855=Geotech!$A$4:$A$10094)*(Data_Discontinuities[[#This Row],[Depth (m)]]&gt;=Geotech!$C$4:$C$10094)*(Data_Discontinuities[[#This Row],[Depth (m)]]&lt;Geotech!$D$4:$D$10094),Geotech!$M$4:$M$10094)</f>
        <v>#N/A</v>
      </c>
      <c r="P855" s="84"/>
      <c r="Q855" s="84"/>
      <c r="R855" s="84"/>
      <c r="S8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5" s="71" t="str">
        <f>IFERROR(Data_Discontinuities[[#This Row],[Joint roughness]]/Data_Discontinuities[[#This Row],[Joint alteration]],"")</f>
        <v/>
      </c>
      <c r="V8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5" s="87"/>
    </row>
    <row r="856" spans="2:23" ht="15" customHeight="1" x14ac:dyDescent="0.25">
      <c r="B856" s="17" t="e">
        <f>VLOOKUP(Data_Discontinuities[[#This Row],[Hole ID]],Data_Log[],2,FALSE)</f>
        <v>#N/A</v>
      </c>
      <c r="C856" s="8"/>
      <c r="D856" s="8"/>
      <c r="E856" s="7"/>
      <c r="F856" s="7"/>
      <c r="G856" s="7"/>
      <c r="H856" s="118"/>
      <c r="I856" s="7"/>
      <c r="J856" s="7"/>
      <c r="K856" s="7"/>
      <c r="L856" s="7"/>
      <c r="M856" s="7"/>
      <c r="N856" s="7"/>
      <c r="O856" s="84" t="e" cm="1">
        <f t="array" ref="O856">_xlfn.XLOOKUP(1,(A856=Geotech!$A$4:$A$10094)*(Data_Discontinuities[[#This Row],[Depth (m)]]&gt;=Geotech!$C$4:$C$10094)*(Data_Discontinuities[[#This Row],[Depth (m)]]&lt;Geotech!$D$4:$D$10094),Geotech!$M$4:$M$10094)</f>
        <v>#N/A</v>
      </c>
      <c r="P856" s="84"/>
      <c r="Q856" s="84"/>
      <c r="R856" s="84"/>
      <c r="S8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6" s="71" t="str">
        <f>IFERROR(Data_Discontinuities[[#This Row],[Joint roughness]]/Data_Discontinuities[[#This Row],[Joint alteration]],"")</f>
        <v/>
      </c>
      <c r="V8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6" s="87"/>
    </row>
    <row r="857" spans="2:23" ht="15" customHeight="1" x14ac:dyDescent="0.25">
      <c r="B857" s="17" t="e">
        <f>VLOOKUP(Data_Discontinuities[[#This Row],[Hole ID]],Data_Log[],2,FALSE)</f>
        <v>#N/A</v>
      </c>
      <c r="C857" s="8"/>
      <c r="D857" s="8"/>
      <c r="E857" s="7"/>
      <c r="F857" s="7"/>
      <c r="G857" s="7"/>
      <c r="H857" s="118"/>
      <c r="I857" s="7"/>
      <c r="J857" s="7"/>
      <c r="K857" s="7"/>
      <c r="L857" s="7"/>
      <c r="M857" s="7"/>
      <c r="N857" s="7"/>
      <c r="O857" s="84" t="e" cm="1">
        <f t="array" ref="O857">_xlfn.XLOOKUP(1,(A857=Geotech!$A$4:$A$10094)*(Data_Discontinuities[[#This Row],[Depth (m)]]&gt;=Geotech!$C$4:$C$10094)*(Data_Discontinuities[[#This Row],[Depth (m)]]&lt;Geotech!$D$4:$D$10094),Geotech!$M$4:$M$10094)</f>
        <v>#N/A</v>
      </c>
      <c r="P857" s="84"/>
      <c r="Q857" s="84"/>
      <c r="R857" s="84"/>
      <c r="S8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7" s="71" t="str">
        <f>IFERROR(Data_Discontinuities[[#This Row],[Joint roughness]]/Data_Discontinuities[[#This Row],[Joint alteration]],"")</f>
        <v/>
      </c>
      <c r="V8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7" s="87"/>
    </row>
    <row r="858" spans="2:23" ht="15" customHeight="1" x14ac:dyDescent="0.25">
      <c r="B858" s="17" t="e">
        <f>VLOOKUP(Data_Discontinuities[[#This Row],[Hole ID]],Data_Log[],2,FALSE)</f>
        <v>#N/A</v>
      </c>
      <c r="C858" s="8"/>
      <c r="D858" s="8"/>
      <c r="E858" s="7"/>
      <c r="F858" s="7"/>
      <c r="G858" s="7"/>
      <c r="H858" s="118"/>
      <c r="I858" s="7"/>
      <c r="J858" s="7"/>
      <c r="K858" s="7"/>
      <c r="L858" s="7"/>
      <c r="M858" s="7"/>
      <c r="N858" s="7"/>
      <c r="O858" s="84" t="e" cm="1">
        <f t="array" ref="O858">_xlfn.XLOOKUP(1,(A858=Geotech!$A$4:$A$10094)*(Data_Discontinuities[[#This Row],[Depth (m)]]&gt;=Geotech!$C$4:$C$10094)*(Data_Discontinuities[[#This Row],[Depth (m)]]&lt;Geotech!$D$4:$D$10094),Geotech!$M$4:$M$10094)</f>
        <v>#N/A</v>
      </c>
      <c r="P858" s="84"/>
      <c r="Q858" s="84"/>
      <c r="R858" s="84"/>
      <c r="S8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8" s="71" t="str">
        <f>IFERROR(Data_Discontinuities[[#This Row],[Joint roughness]]/Data_Discontinuities[[#This Row],[Joint alteration]],"")</f>
        <v/>
      </c>
      <c r="V8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8" s="87"/>
    </row>
    <row r="859" spans="2:23" ht="15" customHeight="1" x14ac:dyDescent="0.25">
      <c r="B859" s="17" t="e">
        <f>VLOOKUP(Data_Discontinuities[[#This Row],[Hole ID]],Data_Log[],2,FALSE)</f>
        <v>#N/A</v>
      </c>
      <c r="C859" s="8"/>
      <c r="D859" s="8"/>
      <c r="E859" s="7"/>
      <c r="F859" s="7"/>
      <c r="G859" s="7"/>
      <c r="H859" s="118"/>
      <c r="I859" s="7"/>
      <c r="J859" s="7"/>
      <c r="K859" s="7"/>
      <c r="L859" s="7"/>
      <c r="M859" s="7"/>
      <c r="N859" s="7"/>
      <c r="O859" s="84" t="e" cm="1">
        <f t="array" ref="O859">_xlfn.XLOOKUP(1,(A859=Geotech!$A$4:$A$10094)*(Data_Discontinuities[[#This Row],[Depth (m)]]&gt;=Geotech!$C$4:$C$10094)*(Data_Discontinuities[[#This Row],[Depth (m)]]&lt;Geotech!$D$4:$D$10094),Geotech!$M$4:$M$10094)</f>
        <v>#N/A</v>
      </c>
      <c r="P859" s="84"/>
      <c r="Q859" s="84"/>
      <c r="R859" s="84"/>
      <c r="S8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59" s="71" t="str">
        <f>IFERROR(Data_Discontinuities[[#This Row],[Joint roughness]]/Data_Discontinuities[[#This Row],[Joint alteration]],"")</f>
        <v/>
      </c>
      <c r="V8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59" s="87"/>
    </row>
    <row r="860" spans="2:23" ht="15" customHeight="1" x14ac:dyDescent="0.25">
      <c r="B860" s="17" t="e">
        <f>VLOOKUP(Data_Discontinuities[[#This Row],[Hole ID]],Data_Log[],2,FALSE)</f>
        <v>#N/A</v>
      </c>
      <c r="C860" s="8"/>
      <c r="D860" s="8"/>
      <c r="E860" s="7"/>
      <c r="F860" s="7"/>
      <c r="G860" s="7"/>
      <c r="H860" s="118"/>
      <c r="I860" s="7"/>
      <c r="J860" s="7"/>
      <c r="K860" s="7"/>
      <c r="L860" s="7"/>
      <c r="M860" s="7"/>
      <c r="N860" s="7"/>
      <c r="O860" s="84" t="e" cm="1">
        <f t="array" ref="O860">_xlfn.XLOOKUP(1,(A860=Geotech!$A$4:$A$10094)*(Data_Discontinuities[[#This Row],[Depth (m)]]&gt;=Geotech!$C$4:$C$10094)*(Data_Discontinuities[[#This Row],[Depth (m)]]&lt;Geotech!$D$4:$D$10094),Geotech!$M$4:$M$10094)</f>
        <v>#N/A</v>
      </c>
      <c r="P860" s="84"/>
      <c r="Q860" s="84"/>
      <c r="R860" s="84"/>
      <c r="S8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0" s="71" t="str">
        <f>IFERROR(Data_Discontinuities[[#This Row],[Joint roughness]]/Data_Discontinuities[[#This Row],[Joint alteration]],"")</f>
        <v/>
      </c>
      <c r="V8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0" s="87"/>
    </row>
    <row r="861" spans="2:23" ht="15" customHeight="1" x14ac:dyDescent="0.25">
      <c r="B861" s="17" t="e">
        <f>VLOOKUP(Data_Discontinuities[[#This Row],[Hole ID]],Data_Log[],2,FALSE)</f>
        <v>#N/A</v>
      </c>
      <c r="C861" s="8"/>
      <c r="D861" s="8"/>
      <c r="E861" s="7"/>
      <c r="F861" s="7"/>
      <c r="G861" s="7"/>
      <c r="H861" s="118"/>
      <c r="I861" s="7"/>
      <c r="J861" s="7"/>
      <c r="K861" s="7"/>
      <c r="L861" s="7"/>
      <c r="M861" s="7"/>
      <c r="N861" s="7"/>
      <c r="O861" s="84" t="e" cm="1">
        <f t="array" ref="O861">_xlfn.XLOOKUP(1,(A861=Geotech!$A$4:$A$10094)*(Data_Discontinuities[[#This Row],[Depth (m)]]&gt;=Geotech!$C$4:$C$10094)*(Data_Discontinuities[[#This Row],[Depth (m)]]&lt;Geotech!$D$4:$D$10094),Geotech!$M$4:$M$10094)</f>
        <v>#N/A</v>
      </c>
      <c r="P861" s="84"/>
      <c r="Q861" s="84"/>
      <c r="R861" s="84"/>
      <c r="S8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1" s="71" t="str">
        <f>IFERROR(Data_Discontinuities[[#This Row],[Joint roughness]]/Data_Discontinuities[[#This Row],[Joint alteration]],"")</f>
        <v/>
      </c>
      <c r="V8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1" s="87"/>
    </row>
    <row r="862" spans="2:23" ht="15" customHeight="1" x14ac:dyDescent="0.25">
      <c r="B862" s="17" t="e">
        <f>VLOOKUP(Data_Discontinuities[[#This Row],[Hole ID]],Data_Log[],2,FALSE)</f>
        <v>#N/A</v>
      </c>
      <c r="C862" s="8"/>
      <c r="D862" s="8"/>
      <c r="E862" s="7"/>
      <c r="F862" s="7"/>
      <c r="G862" s="7"/>
      <c r="H862" s="118"/>
      <c r="I862" s="7"/>
      <c r="J862" s="7"/>
      <c r="K862" s="7"/>
      <c r="L862" s="7"/>
      <c r="M862" s="7"/>
      <c r="N862" s="7"/>
      <c r="O862" s="84" t="e" cm="1">
        <f t="array" ref="O862">_xlfn.XLOOKUP(1,(A862=Geotech!$A$4:$A$10094)*(Data_Discontinuities[[#This Row],[Depth (m)]]&gt;=Geotech!$C$4:$C$10094)*(Data_Discontinuities[[#This Row],[Depth (m)]]&lt;Geotech!$D$4:$D$10094),Geotech!$M$4:$M$10094)</f>
        <v>#N/A</v>
      </c>
      <c r="P862" s="84"/>
      <c r="Q862" s="84"/>
      <c r="R862" s="84"/>
      <c r="S8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2" s="71" t="str">
        <f>IFERROR(Data_Discontinuities[[#This Row],[Joint roughness]]/Data_Discontinuities[[#This Row],[Joint alteration]],"")</f>
        <v/>
      </c>
      <c r="V8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2" s="87"/>
    </row>
    <row r="863" spans="2:23" ht="15" customHeight="1" x14ac:dyDescent="0.25">
      <c r="B863" s="17" t="e">
        <f>VLOOKUP(Data_Discontinuities[[#This Row],[Hole ID]],Data_Log[],2,FALSE)</f>
        <v>#N/A</v>
      </c>
      <c r="C863" s="8"/>
      <c r="D863" s="8"/>
      <c r="E863" s="7"/>
      <c r="F863" s="7"/>
      <c r="G863" s="7"/>
      <c r="H863" s="118"/>
      <c r="I863" s="7"/>
      <c r="J863" s="7"/>
      <c r="K863" s="7"/>
      <c r="L863" s="7"/>
      <c r="M863" s="7"/>
      <c r="N863" s="7"/>
      <c r="O863" s="84" t="e" cm="1">
        <f t="array" ref="O863">_xlfn.XLOOKUP(1,(A863=Geotech!$A$4:$A$10094)*(Data_Discontinuities[[#This Row],[Depth (m)]]&gt;=Geotech!$C$4:$C$10094)*(Data_Discontinuities[[#This Row],[Depth (m)]]&lt;Geotech!$D$4:$D$10094),Geotech!$M$4:$M$10094)</f>
        <v>#N/A</v>
      </c>
      <c r="P863" s="84"/>
      <c r="Q863" s="84"/>
      <c r="R863" s="84"/>
      <c r="S8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3" s="71" t="str">
        <f>IFERROR(Data_Discontinuities[[#This Row],[Joint roughness]]/Data_Discontinuities[[#This Row],[Joint alteration]],"")</f>
        <v/>
      </c>
      <c r="V8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3" s="87"/>
    </row>
    <row r="864" spans="2:23" ht="15" customHeight="1" x14ac:dyDescent="0.25">
      <c r="B864" s="17" t="e">
        <f>VLOOKUP(Data_Discontinuities[[#This Row],[Hole ID]],Data_Log[],2,FALSE)</f>
        <v>#N/A</v>
      </c>
      <c r="C864" s="8"/>
      <c r="D864" s="8"/>
      <c r="E864" s="7"/>
      <c r="F864" s="7"/>
      <c r="G864" s="7"/>
      <c r="H864" s="118"/>
      <c r="I864" s="7"/>
      <c r="J864" s="7"/>
      <c r="K864" s="7"/>
      <c r="L864" s="7"/>
      <c r="M864" s="7"/>
      <c r="N864" s="7"/>
      <c r="O864" s="84" t="e" cm="1">
        <f t="array" ref="O864">_xlfn.XLOOKUP(1,(A864=Geotech!$A$4:$A$10094)*(Data_Discontinuities[[#This Row],[Depth (m)]]&gt;=Geotech!$C$4:$C$10094)*(Data_Discontinuities[[#This Row],[Depth (m)]]&lt;Geotech!$D$4:$D$10094),Geotech!$M$4:$M$10094)</f>
        <v>#N/A</v>
      </c>
      <c r="P864" s="84"/>
      <c r="Q864" s="84"/>
      <c r="R864" s="84"/>
      <c r="S8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4" s="71" t="str">
        <f>IFERROR(Data_Discontinuities[[#This Row],[Joint roughness]]/Data_Discontinuities[[#This Row],[Joint alteration]],"")</f>
        <v/>
      </c>
      <c r="V8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4" s="87"/>
    </row>
    <row r="865" spans="2:23" ht="15" customHeight="1" x14ac:dyDescent="0.25">
      <c r="B865" s="17" t="e">
        <f>VLOOKUP(Data_Discontinuities[[#This Row],[Hole ID]],Data_Log[],2,FALSE)</f>
        <v>#N/A</v>
      </c>
      <c r="C865" s="8"/>
      <c r="D865" s="8"/>
      <c r="E865" s="7"/>
      <c r="F865" s="7"/>
      <c r="G865" s="7"/>
      <c r="H865" s="118"/>
      <c r="I865" s="7"/>
      <c r="J865" s="7"/>
      <c r="K865" s="7"/>
      <c r="L865" s="7"/>
      <c r="M865" s="7"/>
      <c r="N865" s="7"/>
      <c r="O865" s="84" t="e" cm="1">
        <f t="array" ref="O865">_xlfn.XLOOKUP(1,(A865=Geotech!$A$4:$A$10094)*(Data_Discontinuities[[#This Row],[Depth (m)]]&gt;=Geotech!$C$4:$C$10094)*(Data_Discontinuities[[#This Row],[Depth (m)]]&lt;Geotech!$D$4:$D$10094),Geotech!$M$4:$M$10094)</f>
        <v>#N/A</v>
      </c>
      <c r="P865" s="84"/>
      <c r="Q865" s="84"/>
      <c r="R865" s="84"/>
      <c r="S8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5" s="71" t="str">
        <f>IFERROR(Data_Discontinuities[[#This Row],[Joint roughness]]/Data_Discontinuities[[#This Row],[Joint alteration]],"")</f>
        <v/>
      </c>
      <c r="V8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5" s="87"/>
    </row>
    <row r="866" spans="2:23" ht="15" customHeight="1" x14ac:dyDescent="0.25">
      <c r="B866" s="17" t="e">
        <f>VLOOKUP(Data_Discontinuities[[#This Row],[Hole ID]],Data_Log[],2,FALSE)</f>
        <v>#N/A</v>
      </c>
      <c r="C866" s="8"/>
      <c r="D866" s="8"/>
      <c r="E866" s="7"/>
      <c r="F866" s="7"/>
      <c r="G866" s="7"/>
      <c r="H866" s="118"/>
      <c r="I866" s="7"/>
      <c r="J866" s="7"/>
      <c r="K866" s="7"/>
      <c r="L866" s="7"/>
      <c r="M866" s="7"/>
      <c r="N866" s="7"/>
      <c r="O866" s="84" t="e" cm="1">
        <f t="array" ref="O866">_xlfn.XLOOKUP(1,(A866=Geotech!$A$4:$A$10094)*(Data_Discontinuities[[#This Row],[Depth (m)]]&gt;=Geotech!$C$4:$C$10094)*(Data_Discontinuities[[#This Row],[Depth (m)]]&lt;Geotech!$D$4:$D$10094),Geotech!$M$4:$M$10094)</f>
        <v>#N/A</v>
      </c>
      <c r="P866" s="84"/>
      <c r="Q866" s="84"/>
      <c r="R866" s="84"/>
      <c r="S8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6" s="71" t="str">
        <f>IFERROR(Data_Discontinuities[[#This Row],[Joint roughness]]/Data_Discontinuities[[#This Row],[Joint alteration]],"")</f>
        <v/>
      </c>
      <c r="V8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6" s="87"/>
    </row>
    <row r="867" spans="2:23" ht="15" customHeight="1" x14ac:dyDescent="0.25">
      <c r="B867" s="17" t="e">
        <f>VLOOKUP(Data_Discontinuities[[#This Row],[Hole ID]],Data_Log[],2,FALSE)</f>
        <v>#N/A</v>
      </c>
      <c r="C867" s="8"/>
      <c r="D867" s="8"/>
      <c r="E867" s="7"/>
      <c r="F867" s="7"/>
      <c r="G867" s="7"/>
      <c r="H867" s="118"/>
      <c r="I867" s="7"/>
      <c r="J867" s="7"/>
      <c r="K867" s="7"/>
      <c r="L867" s="7"/>
      <c r="M867" s="7"/>
      <c r="N867" s="7"/>
      <c r="O867" s="84" t="e" cm="1">
        <f t="array" ref="O867">_xlfn.XLOOKUP(1,(A867=Geotech!$A$4:$A$10094)*(Data_Discontinuities[[#This Row],[Depth (m)]]&gt;=Geotech!$C$4:$C$10094)*(Data_Discontinuities[[#This Row],[Depth (m)]]&lt;Geotech!$D$4:$D$10094),Geotech!$M$4:$M$10094)</f>
        <v>#N/A</v>
      </c>
      <c r="P867" s="84"/>
      <c r="Q867" s="84"/>
      <c r="R867" s="84"/>
      <c r="S8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7" s="71" t="str">
        <f>IFERROR(Data_Discontinuities[[#This Row],[Joint roughness]]/Data_Discontinuities[[#This Row],[Joint alteration]],"")</f>
        <v/>
      </c>
      <c r="V8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7" s="87"/>
    </row>
    <row r="868" spans="2:23" ht="15" customHeight="1" x14ac:dyDescent="0.25">
      <c r="B868" s="17" t="e">
        <f>VLOOKUP(Data_Discontinuities[[#This Row],[Hole ID]],Data_Log[],2,FALSE)</f>
        <v>#N/A</v>
      </c>
      <c r="C868" s="8"/>
      <c r="D868" s="8"/>
      <c r="E868" s="7"/>
      <c r="F868" s="7"/>
      <c r="G868" s="7"/>
      <c r="H868" s="118"/>
      <c r="I868" s="7"/>
      <c r="J868" s="7"/>
      <c r="K868" s="7"/>
      <c r="L868" s="7"/>
      <c r="M868" s="7"/>
      <c r="N868" s="7"/>
      <c r="O868" s="84" t="e" cm="1">
        <f t="array" ref="O868">_xlfn.XLOOKUP(1,(A868=Geotech!$A$4:$A$10094)*(Data_Discontinuities[[#This Row],[Depth (m)]]&gt;=Geotech!$C$4:$C$10094)*(Data_Discontinuities[[#This Row],[Depth (m)]]&lt;Geotech!$D$4:$D$10094),Geotech!$M$4:$M$10094)</f>
        <v>#N/A</v>
      </c>
      <c r="P868" s="84"/>
      <c r="Q868" s="84"/>
      <c r="R868" s="84"/>
      <c r="S8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8" s="71" t="str">
        <f>IFERROR(Data_Discontinuities[[#This Row],[Joint roughness]]/Data_Discontinuities[[#This Row],[Joint alteration]],"")</f>
        <v/>
      </c>
      <c r="V8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8" s="87"/>
    </row>
    <row r="869" spans="2:23" ht="15" customHeight="1" x14ac:dyDescent="0.25">
      <c r="B869" s="17" t="e">
        <f>VLOOKUP(Data_Discontinuities[[#This Row],[Hole ID]],Data_Log[],2,FALSE)</f>
        <v>#N/A</v>
      </c>
      <c r="C869" s="8"/>
      <c r="D869" s="8"/>
      <c r="E869" s="7"/>
      <c r="F869" s="7"/>
      <c r="G869" s="7"/>
      <c r="H869" s="118"/>
      <c r="I869" s="7"/>
      <c r="J869" s="7"/>
      <c r="K869" s="7"/>
      <c r="L869" s="7"/>
      <c r="M869" s="7"/>
      <c r="N869" s="7"/>
      <c r="O869" s="84" t="e" cm="1">
        <f t="array" ref="O869">_xlfn.XLOOKUP(1,(A869=Geotech!$A$4:$A$10094)*(Data_Discontinuities[[#This Row],[Depth (m)]]&gt;=Geotech!$C$4:$C$10094)*(Data_Discontinuities[[#This Row],[Depth (m)]]&lt;Geotech!$D$4:$D$10094),Geotech!$M$4:$M$10094)</f>
        <v>#N/A</v>
      </c>
      <c r="P869" s="84"/>
      <c r="Q869" s="84"/>
      <c r="R869" s="84"/>
      <c r="S8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69" s="71" t="str">
        <f>IFERROR(Data_Discontinuities[[#This Row],[Joint roughness]]/Data_Discontinuities[[#This Row],[Joint alteration]],"")</f>
        <v/>
      </c>
      <c r="V8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69" s="87"/>
    </row>
    <row r="870" spans="2:23" ht="15" customHeight="1" x14ac:dyDescent="0.25">
      <c r="B870" s="17" t="e">
        <f>VLOOKUP(Data_Discontinuities[[#This Row],[Hole ID]],Data_Log[],2,FALSE)</f>
        <v>#N/A</v>
      </c>
      <c r="C870" s="8"/>
      <c r="D870" s="8"/>
      <c r="E870" s="7"/>
      <c r="F870" s="7"/>
      <c r="G870" s="7"/>
      <c r="H870" s="118"/>
      <c r="I870" s="7"/>
      <c r="J870" s="7"/>
      <c r="K870" s="7"/>
      <c r="L870" s="7"/>
      <c r="M870" s="7"/>
      <c r="N870" s="7"/>
      <c r="O870" s="84" t="e" cm="1">
        <f t="array" ref="O870">_xlfn.XLOOKUP(1,(A870=Geotech!$A$4:$A$10094)*(Data_Discontinuities[[#This Row],[Depth (m)]]&gt;=Geotech!$C$4:$C$10094)*(Data_Discontinuities[[#This Row],[Depth (m)]]&lt;Geotech!$D$4:$D$10094),Geotech!$M$4:$M$10094)</f>
        <v>#N/A</v>
      </c>
      <c r="P870" s="84"/>
      <c r="Q870" s="84"/>
      <c r="R870" s="84"/>
      <c r="S8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0" s="71" t="str">
        <f>IFERROR(Data_Discontinuities[[#This Row],[Joint roughness]]/Data_Discontinuities[[#This Row],[Joint alteration]],"")</f>
        <v/>
      </c>
      <c r="V8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0" s="87"/>
    </row>
    <row r="871" spans="2:23" ht="15" customHeight="1" x14ac:dyDescent="0.25">
      <c r="B871" s="17" t="e">
        <f>VLOOKUP(Data_Discontinuities[[#This Row],[Hole ID]],Data_Log[],2,FALSE)</f>
        <v>#N/A</v>
      </c>
      <c r="C871" s="8"/>
      <c r="D871" s="8"/>
      <c r="E871" s="7"/>
      <c r="F871" s="7"/>
      <c r="G871" s="7"/>
      <c r="H871" s="118"/>
      <c r="I871" s="7"/>
      <c r="J871" s="7"/>
      <c r="K871" s="7"/>
      <c r="L871" s="7"/>
      <c r="M871" s="7"/>
      <c r="N871" s="7"/>
      <c r="O871" s="84" t="e" cm="1">
        <f t="array" ref="O871">_xlfn.XLOOKUP(1,(A871=Geotech!$A$4:$A$10094)*(Data_Discontinuities[[#This Row],[Depth (m)]]&gt;=Geotech!$C$4:$C$10094)*(Data_Discontinuities[[#This Row],[Depth (m)]]&lt;Geotech!$D$4:$D$10094),Geotech!$M$4:$M$10094)</f>
        <v>#N/A</v>
      </c>
      <c r="P871" s="84"/>
      <c r="Q871" s="84"/>
      <c r="R871" s="84"/>
      <c r="S8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1" s="71" t="str">
        <f>IFERROR(Data_Discontinuities[[#This Row],[Joint roughness]]/Data_Discontinuities[[#This Row],[Joint alteration]],"")</f>
        <v/>
      </c>
      <c r="V8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1" s="87"/>
    </row>
    <row r="872" spans="2:23" ht="15" customHeight="1" x14ac:dyDescent="0.25">
      <c r="B872" s="17" t="e">
        <f>VLOOKUP(Data_Discontinuities[[#This Row],[Hole ID]],Data_Log[],2,FALSE)</f>
        <v>#N/A</v>
      </c>
      <c r="C872" s="8"/>
      <c r="D872" s="8"/>
      <c r="E872" s="7"/>
      <c r="F872" s="7"/>
      <c r="G872" s="7"/>
      <c r="H872" s="118"/>
      <c r="I872" s="7"/>
      <c r="J872" s="7"/>
      <c r="K872" s="7"/>
      <c r="L872" s="7"/>
      <c r="M872" s="7"/>
      <c r="N872" s="7"/>
      <c r="O872" s="84" t="e" cm="1">
        <f t="array" ref="O872">_xlfn.XLOOKUP(1,(A872=Geotech!$A$4:$A$10094)*(Data_Discontinuities[[#This Row],[Depth (m)]]&gt;=Geotech!$C$4:$C$10094)*(Data_Discontinuities[[#This Row],[Depth (m)]]&lt;Geotech!$D$4:$D$10094),Geotech!$M$4:$M$10094)</f>
        <v>#N/A</v>
      </c>
      <c r="P872" s="84"/>
      <c r="Q872" s="84"/>
      <c r="R872" s="84"/>
      <c r="S8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2" s="71" t="str">
        <f>IFERROR(Data_Discontinuities[[#This Row],[Joint roughness]]/Data_Discontinuities[[#This Row],[Joint alteration]],"")</f>
        <v/>
      </c>
      <c r="V8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2" s="87"/>
    </row>
    <row r="873" spans="2:23" ht="15" customHeight="1" x14ac:dyDescent="0.25">
      <c r="B873" s="17" t="e">
        <f>VLOOKUP(Data_Discontinuities[[#This Row],[Hole ID]],Data_Log[],2,FALSE)</f>
        <v>#N/A</v>
      </c>
      <c r="C873" s="8"/>
      <c r="D873" s="8"/>
      <c r="E873" s="7"/>
      <c r="F873" s="7"/>
      <c r="G873" s="7"/>
      <c r="H873" s="118"/>
      <c r="I873" s="7"/>
      <c r="J873" s="7"/>
      <c r="K873" s="7"/>
      <c r="L873" s="7"/>
      <c r="M873" s="7"/>
      <c r="N873" s="7"/>
      <c r="O873" s="84" t="e" cm="1">
        <f t="array" ref="O873">_xlfn.XLOOKUP(1,(A873=Geotech!$A$4:$A$10094)*(Data_Discontinuities[[#This Row],[Depth (m)]]&gt;=Geotech!$C$4:$C$10094)*(Data_Discontinuities[[#This Row],[Depth (m)]]&lt;Geotech!$D$4:$D$10094),Geotech!$M$4:$M$10094)</f>
        <v>#N/A</v>
      </c>
      <c r="P873" s="84"/>
      <c r="Q873" s="84"/>
      <c r="R873" s="84"/>
      <c r="S8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3" s="71" t="str">
        <f>IFERROR(Data_Discontinuities[[#This Row],[Joint roughness]]/Data_Discontinuities[[#This Row],[Joint alteration]],"")</f>
        <v/>
      </c>
      <c r="V8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3" s="87"/>
    </row>
    <row r="874" spans="2:23" ht="15" customHeight="1" x14ac:dyDescent="0.25">
      <c r="B874" s="17" t="e">
        <f>VLOOKUP(Data_Discontinuities[[#This Row],[Hole ID]],Data_Log[],2,FALSE)</f>
        <v>#N/A</v>
      </c>
      <c r="C874" s="8"/>
      <c r="D874" s="8"/>
      <c r="E874" s="7"/>
      <c r="F874" s="7"/>
      <c r="G874" s="7"/>
      <c r="H874" s="118"/>
      <c r="I874" s="7"/>
      <c r="J874" s="7"/>
      <c r="K874" s="7"/>
      <c r="L874" s="7"/>
      <c r="M874" s="7"/>
      <c r="N874" s="7"/>
      <c r="O874" s="84" t="e" cm="1">
        <f t="array" ref="O874">_xlfn.XLOOKUP(1,(A874=Geotech!$A$4:$A$10094)*(Data_Discontinuities[[#This Row],[Depth (m)]]&gt;=Geotech!$C$4:$C$10094)*(Data_Discontinuities[[#This Row],[Depth (m)]]&lt;Geotech!$D$4:$D$10094),Geotech!$M$4:$M$10094)</f>
        <v>#N/A</v>
      </c>
      <c r="P874" s="84"/>
      <c r="Q874" s="84"/>
      <c r="R874" s="84"/>
      <c r="S8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4" s="71" t="str">
        <f>IFERROR(Data_Discontinuities[[#This Row],[Joint roughness]]/Data_Discontinuities[[#This Row],[Joint alteration]],"")</f>
        <v/>
      </c>
      <c r="V8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4" s="87"/>
    </row>
    <row r="875" spans="2:23" ht="15" customHeight="1" x14ac:dyDescent="0.25">
      <c r="B875" s="17" t="e">
        <f>VLOOKUP(Data_Discontinuities[[#This Row],[Hole ID]],Data_Log[],2,FALSE)</f>
        <v>#N/A</v>
      </c>
      <c r="C875" s="8"/>
      <c r="D875" s="8"/>
      <c r="E875" s="7"/>
      <c r="F875" s="7"/>
      <c r="G875" s="7"/>
      <c r="H875" s="118"/>
      <c r="I875" s="7"/>
      <c r="J875" s="7"/>
      <c r="K875" s="7"/>
      <c r="L875" s="7"/>
      <c r="M875" s="7"/>
      <c r="N875" s="7"/>
      <c r="O875" s="84" t="e" cm="1">
        <f t="array" ref="O875">_xlfn.XLOOKUP(1,(A875=Geotech!$A$4:$A$10094)*(Data_Discontinuities[[#This Row],[Depth (m)]]&gt;=Geotech!$C$4:$C$10094)*(Data_Discontinuities[[#This Row],[Depth (m)]]&lt;Geotech!$D$4:$D$10094),Geotech!$M$4:$M$10094)</f>
        <v>#N/A</v>
      </c>
      <c r="P875" s="84"/>
      <c r="Q875" s="84"/>
      <c r="R875" s="84"/>
      <c r="S8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5" s="71" t="str">
        <f>IFERROR(Data_Discontinuities[[#This Row],[Joint roughness]]/Data_Discontinuities[[#This Row],[Joint alteration]],"")</f>
        <v/>
      </c>
      <c r="V8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5" s="87"/>
    </row>
    <row r="876" spans="2:23" ht="15" customHeight="1" x14ac:dyDescent="0.25">
      <c r="B876" s="17" t="e">
        <f>VLOOKUP(Data_Discontinuities[[#This Row],[Hole ID]],Data_Log[],2,FALSE)</f>
        <v>#N/A</v>
      </c>
      <c r="C876" s="8"/>
      <c r="D876" s="8"/>
      <c r="E876" s="7"/>
      <c r="F876" s="7"/>
      <c r="G876" s="7"/>
      <c r="H876" s="118"/>
      <c r="I876" s="7"/>
      <c r="J876" s="7"/>
      <c r="K876" s="7"/>
      <c r="L876" s="7"/>
      <c r="M876" s="7"/>
      <c r="N876" s="7"/>
      <c r="O876" s="84" t="e" cm="1">
        <f t="array" ref="O876">_xlfn.XLOOKUP(1,(A876=Geotech!$A$4:$A$10094)*(Data_Discontinuities[[#This Row],[Depth (m)]]&gt;=Geotech!$C$4:$C$10094)*(Data_Discontinuities[[#This Row],[Depth (m)]]&lt;Geotech!$D$4:$D$10094),Geotech!$M$4:$M$10094)</f>
        <v>#N/A</v>
      </c>
      <c r="P876" s="84"/>
      <c r="Q876" s="84"/>
      <c r="R876" s="84"/>
      <c r="S8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6" s="71" t="str">
        <f>IFERROR(Data_Discontinuities[[#This Row],[Joint roughness]]/Data_Discontinuities[[#This Row],[Joint alteration]],"")</f>
        <v/>
      </c>
      <c r="V8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6" s="87"/>
    </row>
    <row r="877" spans="2:23" ht="15" customHeight="1" x14ac:dyDescent="0.25">
      <c r="B877" s="17" t="e">
        <f>VLOOKUP(Data_Discontinuities[[#This Row],[Hole ID]],Data_Log[],2,FALSE)</f>
        <v>#N/A</v>
      </c>
      <c r="C877" s="8"/>
      <c r="D877" s="8"/>
      <c r="E877" s="7"/>
      <c r="F877" s="7"/>
      <c r="G877" s="7"/>
      <c r="H877" s="118"/>
      <c r="I877" s="7"/>
      <c r="J877" s="7"/>
      <c r="K877" s="7"/>
      <c r="L877" s="7"/>
      <c r="M877" s="7"/>
      <c r="N877" s="7"/>
      <c r="O877" s="84" t="e" cm="1">
        <f t="array" ref="O877">_xlfn.XLOOKUP(1,(A877=Geotech!$A$4:$A$10094)*(Data_Discontinuities[[#This Row],[Depth (m)]]&gt;=Geotech!$C$4:$C$10094)*(Data_Discontinuities[[#This Row],[Depth (m)]]&lt;Geotech!$D$4:$D$10094),Geotech!$M$4:$M$10094)</f>
        <v>#N/A</v>
      </c>
      <c r="P877" s="84"/>
      <c r="Q877" s="84"/>
      <c r="R877" s="84"/>
      <c r="S8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7" s="71" t="str">
        <f>IFERROR(Data_Discontinuities[[#This Row],[Joint roughness]]/Data_Discontinuities[[#This Row],[Joint alteration]],"")</f>
        <v/>
      </c>
      <c r="V8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7" s="87"/>
    </row>
    <row r="878" spans="2:23" ht="15" customHeight="1" x14ac:dyDescent="0.25">
      <c r="B878" s="17" t="e">
        <f>VLOOKUP(Data_Discontinuities[[#This Row],[Hole ID]],Data_Log[],2,FALSE)</f>
        <v>#N/A</v>
      </c>
      <c r="C878" s="8"/>
      <c r="D878" s="8"/>
      <c r="E878" s="7"/>
      <c r="F878" s="7"/>
      <c r="G878" s="7"/>
      <c r="H878" s="118"/>
      <c r="I878" s="7"/>
      <c r="J878" s="7"/>
      <c r="K878" s="7"/>
      <c r="L878" s="7"/>
      <c r="M878" s="7"/>
      <c r="N878" s="7"/>
      <c r="O878" s="84" t="e" cm="1">
        <f t="array" ref="O878">_xlfn.XLOOKUP(1,(A878=Geotech!$A$4:$A$10094)*(Data_Discontinuities[[#This Row],[Depth (m)]]&gt;=Geotech!$C$4:$C$10094)*(Data_Discontinuities[[#This Row],[Depth (m)]]&lt;Geotech!$D$4:$D$10094),Geotech!$M$4:$M$10094)</f>
        <v>#N/A</v>
      </c>
      <c r="P878" s="84"/>
      <c r="Q878" s="84"/>
      <c r="R878" s="84"/>
      <c r="S8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8" s="71" t="str">
        <f>IFERROR(Data_Discontinuities[[#This Row],[Joint roughness]]/Data_Discontinuities[[#This Row],[Joint alteration]],"")</f>
        <v/>
      </c>
      <c r="V8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8" s="87"/>
    </row>
    <row r="879" spans="2:23" ht="15" customHeight="1" x14ac:dyDescent="0.25">
      <c r="B879" s="17" t="e">
        <f>VLOOKUP(Data_Discontinuities[[#This Row],[Hole ID]],Data_Log[],2,FALSE)</f>
        <v>#N/A</v>
      </c>
      <c r="C879" s="8"/>
      <c r="D879" s="8"/>
      <c r="E879" s="7"/>
      <c r="F879" s="7"/>
      <c r="G879" s="7"/>
      <c r="H879" s="118"/>
      <c r="I879" s="7"/>
      <c r="J879" s="7"/>
      <c r="K879" s="7"/>
      <c r="L879" s="7"/>
      <c r="M879" s="7"/>
      <c r="N879" s="7"/>
      <c r="O879" s="84" t="e" cm="1">
        <f t="array" ref="O879">_xlfn.XLOOKUP(1,(A879=Geotech!$A$4:$A$10094)*(Data_Discontinuities[[#This Row],[Depth (m)]]&gt;=Geotech!$C$4:$C$10094)*(Data_Discontinuities[[#This Row],[Depth (m)]]&lt;Geotech!$D$4:$D$10094),Geotech!$M$4:$M$10094)</f>
        <v>#N/A</v>
      </c>
      <c r="P879" s="84"/>
      <c r="Q879" s="84"/>
      <c r="R879" s="84"/>
      <c r="S8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79" s="71" t="str">
        <f>IFERROR(Data_Discontinuities[[#This Row],[Joint roughness]]/Data_Discontinuities[[#This Row],[Joint alteration]],"")</f>
        <v/>
      </c>
      <c r="V8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79" s="87"/>
    </row>
    <row r="880" spans="2:23" ht="15" customHeight="1" x14ac:dyDescent="0.25">
      <c r="B880" s="17" t="e">
        <f>VLOOKUP(Data_Discontinuities[[#This Row],[Hole ID]],Data_Log[],2,FALSE)</f>
        <v>#N/A</v>
      </c>
      <c r="C880" s="8"/>
      <c r="D880" s="8"/>
      <c r="E880" s="7"/>
      <c r="F880" s="7"/>
      <c r="G880" s="7"/>
      <c r="H880" s="118"/>
      <c r="I880" s="7"/>
      <c r="J880" s="7"/>
      <c r="K880" s="7"/>
      <c r="L880" s="7"/>
      <c r="M880" s="7"/>
      <c r="N880" s="7"/>
      <c r="O880" s="84" t="e" cm="1">
        <f t="array" ref="O880">_xlfn.XLOOKUP(1,(A880=Geotech!$A$4:$A$10094)*(Data_Discontinuities[[#This Row],[Depth (m)]]&gt;=Geotech!$C$4:$C$10094)*(Data_Discontinuities[[#This Row],[Depth (m)]]&lt;Geotech!$D$4:$D$10094),Geotech!$M$4:$M$10094)</f>
        <v>#N/A</v>
      </c>
      <c r="P880" s="84"/>
      <c r="Q880" s="84"/>
      <c r="R880" s="84"/>
      <c r="S8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0" s="71" t="str">
        <f>IFERROR(Data_Discontinuities[[#This Row],[Joint roughness]]/Data_Discontinuities[[#This Row],[Joint alteration]],"")</f>
        <v/>
      </c>
      <c r="V8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0" s="87"/>
    </row>
    <row r="881" spans="2:23" ht="15" customHeight="1" x14ac:dyDescent="0.25">
      <c r="B881" s="17" t="e">
        <f>VLOOKUP(Data_Discontinuities[[#This Row],[Hole ID]],Data_Log[],2,FALSE)</f>
        <v>#N/A</v>
      </c>
      <c r="C881" s="8"/>
      <c r="D881" s="8"/>
      <c r="E881" s="7"/>
      <c r="F881" s="7"/>
      <c r="G881" s="7"/>
      <c r="H881" s="118"/>
      <c r="I881" s="7"/>
      <c r="J881" s="7"/>
      <c r="K881" s="7"/>
      <c r="L881" s="7"/>
      <c r="M881" s="7"/>
      <c r="N881" s="7"/>
      <c r="O881" s="84" t="e" cm="1">
        <f t="array" ref="O881">_xlfn.XLOOKUP(1,(A881=Geotech!$A$4:$A$10094)*(Data_Discontinuities[[#This Row],[Depth (m)]]&gt;=Geotech!$C$4:$C$10094)*(Data_Discontinuities[[#This Row],[Depth (m)]]&lt;Geotech!$D$4:$D$10094),Geotech!$M$4:$M$10094)</f>
        <v>#N/A</v>
      </c>
      <c r="P881" s="84"/>
      <c r="Q881" s="84"/>
      <c r="R881" s="84"/>
      <c r="S8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1" s="71" t="str">
        <f>IFERROR(Data_Discontinuities[[#This Row],[Joint roughness]]/Data_Discontinuities[[#This Row],[Joint alteration]],"")</f>
        <v/>
      </c>
      <c r="V8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1" s="87"/>
    </row>
    <row r="882" spans="2:23" ht="15" customHeight="1" x14ac:dyDescent="0.25">
      <c r="B882" s="17" t="e">
        <f>VLOOKUP(Data_Discontinuities[[#This Row],[Hole ID]],Data_Log[],2,FALSE)</f>
        <v>#N/A</v>
      </c>
      <c r="C882" s="8"/>
      <c r="D882" s="8"/>
      <c r="E882" s="7"/>
      <c r="F882" s="7"/>
      <c r="G882" s="7"/>
      <c r="H882" s="118"/>
      <c r="I882" s="7"/>
      <c r="J882" s="7"/>
      <c r="K882" s="7"/>
      <c r="L882" s="7"/>
      <c r="M882" s="7"/>
      <c r="N882" s="7"/>
      <c r="O882" s="84" t="e" cm="1">
        <f t="array" ref="O882">_xlfn.XLOOKUP(1,(A882=Geotech!$A$4:$A$10094)*(Data_Discontinuities[[#This Row],[Depth (m)]]&gt;=Geotech!$C$4:$C$10094)*(Data_Discontinuities[[#This Row],[Depth (m)]]&lt;Geotech!$D$4:$D$10094),Geotech!$M$4:$M$10094)</f>
        <v>#N/A</v>
      </c>
      <c r="P882" s="84"/>
      <c r="Q882" s="84"/>
      <c r="R882" s="84"/>
      <c r="S8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2" s="71" t="str">
        <f>IFERROR(Data_Discontinuities[[#This Row],[Joint roughness]]/Data_Discontinuities[[#This Row],[Joint alteration]],"")</f>
        <v/>
      </c>
      <c r="V8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2" s="87"/>
    </row>
    <row r="883" spans="2:23" ht="15" customHeight="1" x14ac:dyDescent="0.25">
      <c r="B883" s="17" t="e">
        <f>VLOOKUP(Data_Discontinuities[[#This Row],[Hole ID]],Data_Log[],2,FALSE)</f>
        <v>#N/A</v>
      </c>
      <c r="C883" s="8"/>
      <c r="D883" s="8"/>
      <c r="E883" s="7"/>
      <c r="F883" s="7"/>
      <c r="G883" s="7"/>
      <c r="H883" s="118"/>
      <c r="I883" s="7"/>
      <c r="J883" s="7"/>
      <c r="K883" s="7"/>
      <c r="L883" s="7"/>
      <c r="M883" s="7"/>
      <c r="N883" s="7"/>
      <c r="O883" s="84" t="e" cm="1">
        <f t="array" ref="O883">_xlfn.XLOOKUP(1,(A883=Geotech!$A$4:$A$10094)*(Data_Discontinuities[[#This Row],[Depth (m)]]&gt;=Geotech!$C$4:$C$10094)*(Data_Discontinuities[[#This Row],[Depth (m)]]&lt;Geotech!$D$4:$D$10094),Geotech!$M$4:$M$10094)</f>
        <v>#N/A</v>
      </c>
      <c r="P883" s="84"/>
      <c r="Q883" s="84"/>
      <c r="R883" s="84"/>
      <c r="S8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3" s="71" t="str">
        <f>IFERROR(Data_Discontinuities[[#This Row],[Joint roughness]]/Data_Discontinuities[[#This Row],[Joint alteration]],"")</f>
        <v/>
      </c>
      <c r="V8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3" s="87"/>
    </row>
    <row r="884" spans="2:23" ht="15" customHeight="1" x14ac:dyDescent="0.25">
      <c r="B884" s="17" t="e">
        <f>VLOOKUP(Data_Discontinuities[[#This Row],[Hole ID]],Data_Log[],2,FALSE)</f>
        <v>#N/A</v>
      </c>
      <c r="C884" s="8"/>
      <c r="D884" s="8"/>
      <c r="E884" s="7"/>
      <c r="F884" s="7"/>
      <c r="G884" s="7"/>
      <c r="H884" s="118"/>
      <c r="I884" s="7"/>
      <c r="J884" s="7"/>
      <c r="K884" s="7"/>
      <c r="L884" s="7"/>
      <c r="M884" s="7"/>
      <c r="N884" s="7"/>
      <c r="O884" s="84" t="e" cm="1">
        <f t="array" ref="O884">_xlfn.XLOOKUP(1,(A884=Geotech!$A$4:$A$10094)*(Data_Discontinuities[[#This Row],[Depth (m)]]&gt;=Geotech!$C$4:$C$10094)*(Data_Discontinuities[[#This Row],[Depth (m)]]&lt;Geotech!$D$4:$D$10094),Geotech!$M$4:$M$10094)</f>
        <v>#N/A</v>
      </c>
      <c r="P884" s="84"/>
      <c r="Q884" s="84"/>
      <c r="R884" s="84"/>
      <c r="S8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4" s="71" t="str">
        <f>IFERROR(Data_Discontinuities[[#This Row],[Joint roughness]]/Data_Discontinuities[[#This Row],[Joint alteration]],"")</f>
        <v/>
      </c>
      <c r="V8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4" s="87"/>
    </row>
    <row r="885" spans="2:23" ht="15" customHeight="1" x14ac:dyDescent="0.25">
      <c r="B885" s="17" t="e">
        <f>VLOOKUP(Data_Discontinuities[[#This Row],[Hole ID]],Data_Log[],2,FALSE)</f>
        <v>#N/A</v>
      </c>
      <c r="C885" s="8"/>
      <c r="D885" s="8"/>
      <c r="E885" s="7"/>
      <c r="F885" s="7"/>
      <c r="G885" s="7"/>
      <c r="H885" s="118"/>
      <c r="I885" s="7"/>
      <c r="J885" s="7"/>
      <c r="K885" s="7"/>
      <c r="L885" s="7"/>
      <c r="M885" s="7"/>
      <c r="N885" s="7"/>
      <c r="O885" s="84" t="e" cm="1">
        <f t="array" ref="O885">_xlfn.XLOOKUP(1,(A885=Geotech!$A$4:$A$10094)*(Data_Discontinuities[[#This Row],[Depth (m)]]&gt;=Geotech!$C$4:$C$10094)*(Data_Discontinuities[[#This Row],[Depth (m)]]&lt;Geotech!$D$4:$D$10094),Geotech!$M$4:$M$10094)</f>
        <v>#N/A</v>
      </c>
      <c r="P885" s="84"/>
      <c r="Q885" s="84"/>
      <c r="R885" s="84"/>
      <c r="S8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5" s="71" t="str">
        <f>IFERROR(Data_Discontinuities[[#This Row],[Joint roughness]]/Data_Discontinuities[[#This Row],[Joint alteration]],"")</f>
        <v/>
      </c>
      <c r="V8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5" s="87"/>
    </row>
    <row r="886" spans="2:23" ht="15" customHeight="1" x14ac:dyDescent="0.25">
      <c r="B886" s="17" t="e">
        <f>VLOOKUP(Data_Discontinuities[[#This Row],[Hole ID]],Data_Log[],2,FALSE)</f>
        <v>#N/A</v>
      </c>
      <c r="C886" s="8"/>
      <c r="D886" s="8"/>
      <c r="E886" s="7"/>
      <c r="F886" s="7"/>
      <c r="G886" s="7"/>
      <c r="H886" s="118"/>
      <c r="I886" s="7"/>
      <c r="J886" s="7"/>
      <c r="K886" s="7"/>
      <c r="L886" s="7"/>
      <c r="M886" s="7"/>
      <c r="N886" s="7"/>
      <c r="O886" s="84" t="e" cm="1">
        <f t="array" ref="O886">_xlfn.XLOOKUP(1,(A886=Geotech!$A$4:$A$10094)*(Data_Discontinuities[[#This Row],[Depth (m)]]&gt;=Geotech!$C$4:$C$10094)*(Data_Discontinuities[[#This Row],[Depth (m)]]&lt;Geotech!$D$4:$D$10094),Geotech!$M$4:$M$10094)</f>
        <v>#N/A</v>
      </c>
      <c r="P886" s="84"/>
      <c r="Q886" s="84"/>
      <c r="R886" s="84"/>
      <c r="S8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6" s="71" t="str">
        <f>IFERROR(Data_Discontinuities[[#This Row],[Joint roughness]]/Data_Discontinuities[[#This Row],[Joint alteration]],"")</f>
        <v/>
      </c>
      <c r="V8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6" s="87"/>
    </row>
    <row r="887" spans="2:23" ht="15" customHeight="1" x14ac:dyDescent="0.25">
      <c r="B887" s="17" t="e">
        <f>VLOOKUP(Data_Discontinuities[[#This Row],[Hole ID]],Data_Log[],2,FALSE)</f>
        <v>#N/A</v>
      </c>
      <c r="C887" s="8"/>
      <c r="D887" s="8"/>
      <c r="E887" s="7"/>
      <c r="F887" s="7"/>
      <c r="G887" s="7"/>
      <c r="H887" s="118"/>
      <c r="I887" s="7"/>
      <c r="J887" s="7"/>
      <c r="K887" s="7"/>
      <c r="L887" s="7"/>
      <c r="M887" s="7"/>
      <c r="N887" s="7"/>
      <c r="O887" s="84" t="e" cm="1">
        <f t="array" ref="O887">_xlfn.XLOOKUP(1,(A887=Geotech!$A$4:$A$10094)*(Data_Discontinuities[[#This Row],[Depth (m)]]&gt;=Geotech!$C$4:$C$10094)*(Data_Discontinuities[[#This Row],[Depth (m)]]&lt;Geotech!$D$4:$D$10094),Geotech!$M$4:$M$10094)</f>
        <v>#N/A</v>
      </c>
      <c r="P887" s="84"/>
      <c r="Q887" s="84"/>
      <c r="R887" s="84"/>
      <c r="S8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7" s="71" t="str">
        <f>IFERROR(Data_Discontinuities[[#This Row],[Joint roughness]]/Data_Discontinuities[[#This Row],[Joint alteration]],"")</f>
        <v/>
      </c>
      <c r="V8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7" s="87"/>
    </row>
    <row r="888" spans="2:23" ht="15" customHeight="1" x14ac:dyDescent="0.25">
      <c r="B888" s="17" t="e">
        <f>VLOOKUP(Data_Discontinuities[[#This Row],[Hole ID]],Data_Log[],2,FALSE)</f>
        <v>#N/A</v>
      </c>
      <c r="C888" s="8"/>
      <c r="D888" s="8"/>
      <c r="E888" s="7"/>
      <c r="F888" s="7"/>
      <c r="G888" s="7"/>
      <c r="H888" s="118"/>
      <c r="I888" s="7"/>
      <c r="J888" s="7"/>
      <c r="K888" s="7"/>
      <c r="L888" s="7"/>
      <c r="M888" s="7"/>
      <c r="N888" s="7"/>
      <c r="O888" s="84" t="e" cm="1">
        <f t="array" ref="O888">_xlfn.XLOOKUP(1,(A888=Geotech!$A$4:$A$10094)*(Data_Discontinuities[[#This Row],[Depth (m)]]&gt;=Geotech!$C$4:$C$10094)*(Data_Discontinuities[[#This Row],[Depth (m)]]&lt;Geotech!$D$4:$D$10094),Geotech!$M$4:$M$10094)</f>
        <v>#N/A</v>
      </c>
      <c r="P888" s="84"/>
      <c r="Q888" s="84"/>
      <c r="R888" s="84"/>
      <c r="S8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8" s="71" t="str">
        <f>IFERROR(Data_Discontinuities[[#This Row],[Joint roughness]]/Data_Discontinuities[[#This Row],[Joint alteration]],"")</f>
        <v/>
      </c>
      <c r="V8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8" s="87"/>
    </row>
    <row r="889" spans="2:23" ht="15" customHeight="1" x14ac:dyDescent="0.25">
      <c r="B889" s="17" t="e">
        <f>VLOOKUP(Data_Discontinuities[[#This Row],[Hole ID]],Data_Log[],2,FALSE)</f>
        <v>#N/A</v>
      </c>
      <c r="C889" s="8"/>
      <c r="D889" s="8"/>
      <c r="E889" s="7"/>
      <c r="F889" s="7"/>
      <c r="G889" s="7"/>
      <c r="H889" s="118"/>
      <c r="I889" s="7"/>
      <c r="J889" s="7"/>
      <c r="K889" s="7"/>
      <c r="L889" s="7"/>
      <c r="M889" s="7"/>
      <c r="N889" s="7"/>
      <c r="O889" s="84" t="e" cm="1">
        <f t="array" ref="O889">_xlfn.XLOOKUP(1,(A889=Geotech!$A$4:$A$10094)*(Data_Discontinuities[[#This Row],[Depth (m)]]&gt;=Geotech!$C$4:$C$10094)*(Data_Discontinuities[[#This Row],[Depth (m)]]&lt;Geotech!$D$4:$D$10094),Geotech!$M$4:$M$10094)</f>
        <v>#N/A</v>
      </c>
      <c r="P889" s="84"/>
      <c r="Q889" s="84"/>
      <c r="R889" s="84"/>
      <c r="S8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89" s="71" t="str">
        <f>IFERROR(Data_Discontinuities[[#This Row],[Joint roughness]]/Data_Discontinuities[[#This Row],[Joint alteration]],"")</f>
        <v/>
      </c>
      <c r="V8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89" s="87"/>
    </row>
    <row r="890" spans="2:23" ht="15" customHeight="1" x14ac:dyDescent="0.25">
      <c r="B890" s="17" t="e">
        <f>VLOOKUP(Data_Discontinuities[[#This Row],[Hole ID]],Data_Log[],2,FALSE)</f>
        <v>#N/A</v>
      </c>
      <c r="C890" s="8"/>
      <c r="D890" s="8"/>
      <c r="E890" s="7"/>
      <c r="F890" s="7"/>
      <c r="G890" s="7"/>
      <c r="H890" s="118"/>
      <c r="I890" s="7"/>
      <c r="J890" s="7"/>
      <c r="K890" s="7"/>
      <c r="L890" s="7"/>
      <c r="M890" s="7"/>
      <c r="N890" s="7"/>
      <c r="O890" s="84" t="e" cm="1">
        <f t="array" ref="O890">_xlfn.XLOOKUP(1,(A890=Geotech!$A$4:$A$10094)*(Data_Discontinuities[[#This Row],[Depth (m)]]&gt;=Geotech!$C$4:$C$10094)*(Data_Discontinuities[[#This Row],[Depth (m)]]&lt;Geotech!$D$4:$D$10094),Geotech!$M$4:$M$10094)</f>
        <v>#N/A</v>
      </c>
      <c r="P890" s="84"/>
      <c r="Q890" s="84"/>
      <c r="R890" s="84"/>
      <c r="S8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0" s="71" t="str">
        <f>IFERROR(Data_Discontinuities[[#This Row],[Joint roughness]]/Data_Discontinuities[[#This Row],[Joint alteration]],"")</f>
        <v/>
      </c>
      <c r="V8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0" s="87"/>
    </row>
    <row r="891" spans="2:23" ht="15" customHeight="1" x14ac:dyDescent="0.25">
      <c r="B891" s="17" t="e">
        <f>VLOOKUP(Data_Discontinuities[[#This Row],[Hole ID]],Data_Log[],2,FALSE)</f>
        <v>#N/A</v>
      </c>
      <c r="C891" s="8"/>
      <c r="D891" s="8"/>
      <c r="E891" s="7"/>
      <c r="F891" s="7"/>
      <c r="G891" s="7"/>
      <c r="H891" s="118"/>
      <c r="I891" s="7"/>
      <c r="J891" s="7"/>
      <c r="K891" s="7"/>
      <c r="L891" s="7"/>
      <c r="M891" s="7"/>
      <c r="N891" s="7"/>
      <c r="O891" s="84" t="e" cm="1">
        <f t="array" ref="O891">_xlfn.XLOOKUP(1,(A891=Geotech!$A$4:$A$10094)*(Data_Discontinuities[[#This Row],[Depth (m)]]&gt;=Geotech!$C$4:$C$10094)*(Data_Discontinuities[[#This Row],[Depth (m)]]&lt;Geotech!$D$4:$D$10094),Geotech!$M$4:$M$10094)</f>
        <v>#N/A</v>
      </c>
      <c r="P891" s="84"/>
      <c r="Q891" s="84"/>
      <c r="R891" s="84"/>
      <c r="S8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1" s="71" t="str">
        <f>IFERROR(Data_Discontinuities[[#This Row],[Joint roughness]]/Data_Discontinuities[[#This Row],[Joint alteration]],"")</f>
        <v/>
      </c>
      <c r="V8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1" s="87"/>
    </row>
    <row r="892" spans="2:23" ht="15" customHeight="1" x14ac:dyDescent="0.25">
      <c r="B892" s="17" t="e">
        <f>VLOOKUP(Data_Discontinuities[[#This Row],[Hole ID]],Data_Log[],2,FALSE)</f>
        <v>#N/A</v>
      </c>
      <c r="C892" s="8"/>
      <c r="D892" s="8"/>
      <c r="E892" s="7"/>
      <c r="F892" s="7"/>
      <c r="G892" s="7"/>
      <c r="H892" s="118"/>
      <c r="I892" s="7"/>
      <c r="J892" s="7"/>
      <c r="K892" s="7"/>
      <c r="L892" s="7"/>
      <c r="M892" s="7"/>
      <c r="N892" s="7"/>
      <c r="O892" s="84" t="e" cm="1">
        <f t="array" ref="O892">_xlfn.XLOOKUP(1,(A892=Geotech!$A$4:$A$10094)*(Data_Discontinuities[[#This Row],[Depth (m)]]&gt;=Geotech!$C$4:$C$10094)*(Data_Discontinuities[[#This Row],[Depth (m)]]&lt;Geotech!$D$4:$D$10094),Geotech!$M$4:$M$10094)</f>
        <v>#N/A</v>
      </c>
      <c r="P892" s="84"/>
      <c r="Q892" s="84"/>
      <c r="R892" s="84"/>
      <c r="S8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2" s="71" t="str">
        <f>IFERROR(Data_Discontinuities[[#This Row],[Joint roughness]]/Data_Discontinuities[[#This Row],[Joint alteration]],"")</f>
        <v/>
      </c>
      <c r="V8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2" s="87"/>
    </row>
    <row r="893" spans="2:23" ht="15" customHeight="1" x14ac:dyDescent="0.25">
      <c r="B893" s="17" t="e">
        <f>VLOOKUP(Data_Discontinuities[[#This Row],[Hole ID]],Data_Log[],2,FALSE)</f>
        <v>#N/A</v>
      </c>
      <c r="C893" s="8"/>
      <c r="D893" s="8"/>
      <c r="E893" s="7"/>
      <c r="F893" s="7"/>
      <c r="G893" s="7"/>
      <c r="H893" s="118"/>
      <c r="I893" s="7"/>
      <c r="J893" s="7"/>
      <c r="K893" s="7"/>
      <c r="L893" s="7"/>
      <c r="M893" s="7"/>
      <c r="N893" s="7"/>
      <c r="O893" s="84" t="e" cm="1">
        <f t="array" ref="O893">_xlfn.XLOOKUP(1,(A893=Geotech!$A$4:$A$10094)*(Data_Discontinuities[[#This Row],[Depth (m)]]&gt;=Geotech!$C$4:$C$10094)*(Data_Discontinuities[[#This Row],[Depth (m)]]&lt;Geotech!$D$4:$D$10094),Geotech!$M$4:$M$10094)</f>
        <v>#N/A</v>
      </c>
      <c r="P893" s="84"/>
      <c r="Q893" s="84"/>
      <c r="R893" s="84"/>
      <c r="S8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3" s="71" t="str">
        <f>IFERROR(Data_Discontinuities[[#This Row],[Joint roughness]]/Data_Discontinuities[[#This Row],[Joint alteration]],"")</f>
        <v/>
      </c>
      <c r="V8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3" s="87"/>
    </row>
    <row r="894" spans="2:23" ht="15" customHeight="1" x14ac:dyDescent="0.25">
      <c r="B894" s="17" t="e">
        <f>VLOOKUP(Data_Discontinuities[[#This Row],[Hole ID]],Data_Log[],2,FALSE)</f>
        <v>#N/A</v>
      </c>
      <c r="C894" s="8"/>
      <c r="D894" s="8"/>
      <c r="E894" s="7"/>
      <c r="F894" s="7"/>
      <c r="G894" s="7"/>
      <c r="H894" s="118"/>
      <c r="I894" s="7"/>
      <c r="J894" s="7"/>
      <c r="K894" s="7"/>
      <c r="L894" s="7"/>
      <c r="M894" s="7"/>
      <c r="N894" s="7"/>
      <c r="O894" s="84" t="e" cm="1">
        <f t="array" ref="O894">_xlfn.XLOOKUP(1,(A894=Geotech!$A$4:$A$10094)*(Data_Discontinuities[[#This Row],[Depth (m)]]&gt;=Geotech!$C$4:$C$10094)*(Data_Discontinuities[[#This Row],[Depth (m)]]&lt;Geotech!$D$4:$D$10094),Geotech!$M$4:$M$10094)</f>
        <v>#N/A</v>
      </c>
      <c r="P894" s="84"/>
      <c r="Q894" s="84"/>
      <c r="R894" s="84"/>
      <c r="S8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4" s="71" t="str">
        <f>IFERROR(Data_Discontinuities[[#This Row],[Joint roughness]]/Data_Discontinuities[[#This Row],[Joint alteration]],"")</f>
        <v/>
      </c>
      <c r="V8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4" s="87"/>
    </row>
    <row r="895" spans="2:23" ht="15" customHeight="1" x14ac:dyDescent="0.25">
      <c r="B895" s="17" t="e">
        <f>VLOOKUP(Data_Discontinuities[[#This Row],[Hole ID]],Data_Log[],2,FALSE)</f>
        <v>#N/A</v>
      </c>
      <c r="C895" s="8"/>
      <c r="D895" s="8"/>
      <c r="E895" s="7"/>
      <c r="F895" s="7"/>
      <c r="G895" s="7"/>
      <c r="H895" s="118"/>
      <c r="I895" s="7"/>
      <c r="J895" s="7"/>
      <c r="K895" s="7"/>
      <c r="L895" s="7"/>
      <c r="M895" s="7"/>
      <c r="N895" s="7"/>
      <c r="O895" s="84" t="e" cm="1">
        <f t="array" ref="O895">_xlfn.XLOOKUP(1,(A895=Geotech!$A$4:$A$10094)*(Data_Discontinuities[[#This Row],[Depth (m)]]&gt;=Geotech!$C$4:$C$10094)*(Data_Discontinuities[[#This Row],[Depth (m)]]&lt;Geotech!$D$4:$D$10094),Geotech!$M$4:$M$10094)</f>
        <v>#N/A</v>
      </c>
      <c r="P895" s="84"/>
      <c r="Q895" s="84"/>
      <c r="R895" s="84"/>
      <c r="S8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5" s="71" t="str">
        <f>IFERROR(Data_Discontinuities[[#This Row],[Joint roughness]]/Data_Discontinuities[[#This Row],[Joint alteration]],"")</f>
        <v/>
      </c>
      <c r="V8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5" s="87"/>
    </row>
    <row r="896" spans="2:23" ht="15" customHeight="1" x14ac:dyDescent="0.25">
      <c r="B896" s="17" t="e">
        <f>VLOOKUP(Data_Discontinuities[[#This Row],[Hole ID]],Data_Log[],2,FALSE)</f>
        <v>#N/A</v>
      </c>
      <c r="C896" s="8"/>
      <c r="D896" s="8"/>
      <c r="E896" s="7"/>
      <c r="F896" s="7"/>
      <c r="G896" s="7"/>
      <c r="H896" s="118"/>
      <c r="I896" s="7"/>
      <c r="J896" s="7"/>
      <c r="K896" s="7"/>
      <c r="L896" s="7"/>
      <c r="M896" s="7"/>
      <c r="N896" s="7"/>
      <c r="O896" s="84" t="e" cm="1">
        <f t="array" ref="O896">_xlfn.XLOOKUP(1,(A896=Geotech!$A$4:$A$10094)*(Data_Discontinuities[[#This Row],[Depth (m)]]&gt;=Geotech!$C$4:$C$10094)*(Data_Discontinuities[[#This Row],[Depth (m)]]&lt;Geotech!$D$4:$D$10094),Geotech!$M$4:$M$10094)</f>
        <v>#N/A</v>
      </c>
      <c r="P896" s="84"/>
      <c r="Q896" s="84"/>
      <c r="R896" s="84"/>
      <c r="S8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6" s="71" t="str">
        <f>IFERROR(Data_Discontinuities[[#This Row],[Joint roughness]]/Data_Discontinuities[[#This Row],[Joint alteration]],"")</f>
        <v/>
      </c>
      <c r="V8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6" s="87"/>
    </row>
    <row r="897" spans="2:23" ht="15" customHeight="1" x14ac:dyDescent="0.25">
      <c r="B897" s="17" t="e">
        <f>VLOOKUP(Data_Discontinuities[[#This Row],[Hole ID]],Data_Log[],2,FALSE)</f>
        <v>#N/A</v>
      </c>
      <c r="C897" s="8"/>
      <c r="D897" s="8"/>
      <c r="E897" s="7"/>
      <c r="F897" s="7"/>
      <c r="G897" s="7"/>
      <c r="H897" s="118"/>
      <c r="I897" s="7"/>
      <c r="J897" s="7"/>
      <c r="K897" s="7"/>
      <c r="L897" s="7"/>
      <c r="M897" s="7"/>
      <c r="N897" s="7"/>
      <c r="O897" s="84" t="e" cm="1">
        <f t="array" ref="O897">_xlfn.XLOOKUP(1,(A897=Geotech!$A$4:$A$10094)*(Data_Discontinuities[[#This Row],[Depth (m)]]&gt;=Geotech!$C$4:$C$10094)*(Data_Discontinuities[[#This Row],[Depth (m)]]&lt;Geotech!$D$4:$D$10094),Geotech!$M$4:$M$10094)</f>
        <v>#N/A</v>
      </c>
      <c r="P897" s="84"/>
      <c r="Q897" s="84"/>
      <c r="R897" s="84"/>
      <c r="S8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7" s="71" t="str">
        <f>IFERROR(Data_Discontinuities[[#This Row],[Joint roughness]]/Data_Discontinuities[[#This Row],[Joint alteration]],"")</f>
        <v/>
      </c>
      <c r="V8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7" s="87"/>
    </row>
    <row r="898" spans="2:23" ht="15" customHeight="1" x14ac:dyDescent="0.25">
      <c r="B898" s="17" t="e">
        <f>VLOOKUP(Data_Discontinuities[[#This Row],[Hole ID]],Data_Log[],2,FALSE)</f>
        <v>#N/A</v>
      </c>
      <c r="C898" s="8"/>
      <c r="D898" s="8"/>
      <c r="E898" s="7"/>
      <c r="F898" s="7"/>
      <c r="G898" s="7"/>
      <c r="H898" s="118"/>
      <c r="I898" s="7"/>
      <c r="J898" s="7"/>
      <c r="K898" s="7"/>
      <c r="L898" s="7"/>
      <c r="M898" s="7"/>
      <c r="N898" s="7"/>
      <c r="O898" s="84" t="e" cm="1">
        <f t="array" ref="O898">_xlfn.XLOOKUP(1,(A898=Geotech!$A$4:$A$10094)*(Data_Discontinuities[[#This Row],[Depth (m)]]&gt;=Geotech!$C$4:$C$10094)*(Data_Discontinuities[[#This Row],[Depth (m)]]&lt;Geotech!$D$4:$D$10094),Geotech!$M$4:$M$10094)</f>
        <v>#N/A</v>
      </c>
      <c r="P898" s="84"/>
      <c r="Q898" s="84"/>
      <c r="R898" s="84"/>
      <c r="S8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8" s="71" t="str">
        <f>IFERROR(Data_Discontinuities[[#This Row],[Joint roughness]]/Data_Discontinuities[[#This Row],[Joint alteration]],"")</f>
        <v/>
      </c>
      <c r="V8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8" s="87"/>
    </row>
    <row r="899" spans="2:23" ht="15" customHeight="1" x14ac:dyDescent="0.25">
      <c r="B899" s="17" t="e">
        <f>VLOOKUP(Data_Discontinuities[[#This Row],[Hole ID]],Data_Log[],2,FALSE)</f>
        <v>#N/A</v>
      </c>
      <c r="C899" s="8"/>
      <c r="D899" s="8"/>
      <c r="E899" s="7"/>
      <c r="F899" s="7"/>
      <c r="G899" s="7"/>
      <c r="H899" s="118"/>
      <c r="I899" s="7"/>
      <c r="J899" s="7"/>
      <c r="K899" s="7"/>
      <c r="L899" s="7"/>
      <c r="M899" s="7"/>
      <c r="N899" s="7"/>
      <c r="O899" s="84" t="e" cm="1">
        <f t="array" ref="O899">_xlfn.XLOOKUP(1,(A899=Geotech!$A$4:$A$10094)*(Data_Discontinuities[[#This Row],[Depth (m)]]&gt;=Geotech!$C$4:$C$10094)*(Data_Discontinuities[[#This Row],[Depth (m)]]&lt;Geotech!$D$4:$D$10094),Geotech!$M$4:$M$10094)</f>
        <v>#N/A</v>
      </c>
      <c r="P899" s="84"/>
      <c r="Q899" s="84"/>
      <c r="R899" s="84"/>
      <c r="S8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8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899" s="71" t="str">
        <f>IFERROR(Data_Discontinuities[[#This Row],[Joint roughness]]/Data_Discontinuities[[#This Row],[Joint alteration]],"")</f>
        <v/>
      </c>
      <c r="V8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899" s="87"/>
    </row>
    <row r="900" spans="2:23" ht="15" customHeight="1" x14ac:dyDescent="0.25">
      <c r="B900" s="17" t="e">
        <f>VLOOKUP(Data_Discontinuities[[#This Row],[Hole ID]],Data_Log[],2,FALSE)</f>
        <v>#N/A</v>
      </c>
      <c r="C900" s="8"/>
      <c r="D900" s="8"/>
      <c r="E900" s="7"/>
      <c r="F900" s="7"/>
      <c r="G900" s="7"/>
      <c r="H900" s="118"/>
      <c r="I900" s="7"/>
      <c r="J900" s="7"/>
      <c r="K900" s="7"/>
      <c r="L900" s="7"/>
      <c r="M900" s="7"/>
      <c r="N900" s="7"/>
      <c r="O900" s="84" t="e" cm="1">
        <f t="array" ref="O900">_xlfn.XLOOKUP(1,(A900=Geotech!$A$4:$A$10094)*(Data_Discontinuities[[#This Row],[Depth (m)]]&gt;=Geotech!$C$4:$C$10094)*(Data_Discontinuities[[#This Row],[Depth (m)]]&lt;Geotech!$D$4:$D$10094),Geotech!$M$4:$M$10094)</f>
        <v>#N/A</v>
      </c>
      <c r="P900" s="84"/>
      <c r="Q900" s="84"/>
      <c r="R900" s="84"/>
      <c r="S9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0" s="71" t="str">
        <f>IFERROR(Data_Discontinuities[[#This Row],[Joint roughness]]/Data_Discontinuities[[#This Row],[Joint alteration]],"")</f>
        <v/>
      </c>
      <c r="V9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0" s="87"/>
    </row>
    <row r="901" spans="2:23" ht="15" customHeight="1" x14ac:dyDescent="0.25">
      <c r="B901" s="17" t="e">
        <f>VLOOKUP(Data_Discontinuities[[#This Row],[Hole ID]],Data_Log[],2,FALSE)</f>
        <v>#N/A</v>
      </c>
      <c r="C901" s="8"/>
      <c r="D901" s="8"/>
      <c r="E901" s="7"/>
      <c r="F901" s="7"/>
      <c r="G901" s="7"/>
      <c r="H901" s="118"/>
      <c r="I901" s="7"/>
      <c r="J901" s="7"/>
      <c r="K901" s="7"/>
      <c r="L901" s="7"/>
      <c r="M901" s="7"/>
      <c r="N901" s="7"/>
      <c r="O901" s="84" t="e" cm="1">
        <f t="array" ref="O901">_xlfn.XLOOKUP(1,(A901=Geotech!$A$4:$A$10094)*(Data_Discontinuities[[#This Row],[Depth (m)]]&gt;=Geotech!$C$4:$C$10094)*(Data_Discontinuities[[#This Row],[Depth (m)]]&lt;Geotech!$D$4:$D$10094),Geotech!$M$4:$M$10094)</f>
        <v>#N/A</v>
      </c>
      <c r="P901" s="84"/>
      <c r="Q901" s="84"/>
      <c r="R901" s="84"/>
      <c r="S9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1" s="71" t="str">
        <f>IFERROR(Data_Discontinuities[[#This Row],[Joint roughness]]/Data_Discontinuities[[#This Row],[Joint alteration]],"")</f>
        <v/>
      </c>
      <c r="V9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1" s="87"/>
    </row>
    <row r="902" spans="2:23" ht="15" customHeight="1" x14ac:dyDescent="0.25">
      <c r="B902" s="17" t="e">
        <f>VLOOKUP(Data_Discontinuities[[#This Row],[Hole ID]],Data_Log[],2,FALSE)</f>
        <v>#N/A</v>
      </c>
      <c r="C902" s="8"/>
      <c r="D902" s="8"/>
      <c r="E902" s="7"/>
      <c r="F902" s="7"/>
      <c r="G902" s="7"/>
      <c r="H902" s="118"/>
      <c r="I902" s="7"/>
      <c r="J902" s="7"/>
      <c r="K902" s="7"/>
      <c r="L902" s="7"/>
      <c r="M902" s="7"/>
      <c r="N902" s="7"/>
      <c r="O902" s="84" t="e" cm="1">
        <f t="array" ref="O902">_xlfn.XLOOKUP(1,(A902=Geotech!$A$4:$A$10094)*(Data_Discontinuities[[#This Row],[Depth (m)]]&gt;=Geotech!$C$4:$C$10094)*(Data_Discontinuities[[#This Row],[Depth (m)]]&lt;Geotech!$D$4:$D$10094),Geotech!$M$4:$M$10094)</f>
        <v>#N/A</v>
      </c>
      <c r="P902" s="84"/>
      <c r="Q902" s="84"/>
      <c r="R902" s="84"/>
      <c r="S9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2" s="71" t="str">
        <f>IFERROR(Data_Discontinuities[[#This Row],[Joint roughness]]/Data_Discontinuities[[#This Row],[Joint alteration]],"")</f>
        <v/>
      </c>
      <c r="V9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2" s="87"/>
    </row>
    <row r="903" spans="2:23" ht="15" customHeight="1" x14ac:dyDescent="0.25">
      <c r="B903" s="17" t="e">
        <f>VLOOKUP(Data_Discontinuities[[#This Row],[Hole ID]],Data_Log[],2,FALSE)</f>
        <v>#N/A</v>
      </c>
      <c r="C903" s="8"/>
      <c r="D903" s="8"/>
      <c r="E903" s="7"/>
      <c r="F903" s="7"/>
      <c r="G903" s="7"/>
      <c r="H903" s="118"/>
      <c r="I903" s="7"/>
      <c r="J903" s="7"/>
      <c r="K903" s="7"/>
      <c r="L903" s="7"/>
      <c r="M903" s="7"/>
      <c r="N903" s="7"/>
      <c r="O903" s="84" t="e" cm="1">
        <f t="array" ref="O903">_xlfn.XLOOKUP(1,(A903=Geotech!$A$4:$A$10094)*(Data_Discontinuities[[#This Row],[Depth (m)]]&gt;=Geotech!$C$4:$C$10094)*(Data_Discontinuities[[#This Row],[Depth (m)]]&lt;Geotech!$D$4:$D$10094),Geotech!$M$4:$M$10094)</f>
        <v>#N/A</v>
      </c>
      <c r="P903" s="84"/>
      <c r="Q903" s="84"/>
      <c r="R903" s="84"/>
      <c r="S9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3" s="71" t="str">
        <f>IFERROR(Data_Discontinuities[[#This Row],[Joint roughness]]/Data_Discontinuities[[#This Row],[Joint alteration]],"")</f>
        <v/>
      </c>
      <c r="V9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3" s="87"/>
    </row>
    <row r="904" spans="2:23" ht="15" customHeight="1" x14ac:dyDescent="0.25">
      <c r="B904" s="17" t="e">
        <f>VLOOKUP(Data_Discontinuities[[#This Row],[Hole ID]],Data_Log[],2,FALSE)</f>
        <v>#N/A</v>
      </c>
      <c r="C904" s="8"/>
      <c r="D904" s="8"/>
      <c r="E904" s="7"/>
      <c r="F904" s="7"/>
      <c r="G904" s="7"/>
      <c r="H904" s="118"/>
      <c r="I904" s="7"/>
      <c r="J904" s="7"/>
      <c r="K904" s="7"/>
      <c r="L904" s="7"/>
      <c r="M904" s="7"/>
      <c r="N904" s="7"/>
      <c r="O904" s="84" t="e" cm="1">
        <f t="array" ref="O904">_xlfn.XLOOKUP(1,(A904=Geotech!$A$4:$A$10094)*(Data_Discontinuities[[#This Row],[Depth (m)]]&gt;=Geotech!$C$4:$C$10094)*(Data_Discontinuities[[#This Row],[Depth (m)]]&lt;Geotech!$D$4:$D$10094),Geotech!$M$4:$M$10094)</f>
        <v>#N/A</v>
      </c>
      <c r="P904" s="84"/>
      <c r="Q904" s="84"/>
      <c r="R904" s="84"/>
      <c r="S9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4" s="71" t="str">
        <f>IFERROR(Data_Discontinuities[[#This Row],[Joint roughness]]/Data_Discontinuities[[#This Row],[Joint alteration]],"")</f>
        <v/>
      </c>
      <c r="V9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4" s="87"/>
    </row>
    <row r="905" spans="2:23" ht="15" customHeight="1" x14ac:dyDescent="0.25">
      <c r="B905" s="17" t="e">
        <f>VLOOKUP(Data_Discontinuities[[#This Row],[Hole ID]],Data_Log[],2,FALSE)</f>
        <v>#N/A</v>
      </c>
      <c r="C905" s="8"/>
      <c r="D905" s="8"/>
      <c r="E905" s="7"/>
      <c r="F905" s="7"/>
      <c r="G905" s="7"/>
      <c r="H905" s="118"/>
      <c r="I905" s="7"/>
      <c r="J905" s="7"/>
      <c r="K905" s="7"/>
      <c r="L905" s="7"/>
      <c r="M905" s="7"/>
      <c r="N905" s="7"/>
      <c r="O905" s="84" t="e" cm="1">
        <f t="array" ref="O905">_xlfn.XLOOKUP(1,(A905=Geotech!$A$4:$A$10094)*(Data_Discontinuities[[#This Row],[Depth (m)]]&gt;=Geotech!$C$4:$C$10094)*(Data_Discontinuities[[#This Row],[Depth (m)]]&lt;Geotech!$D$4:$D$10094),Geotech!$M$4:$M$10094)</f>
        <v>#N/A</v>
      </c>
      <c r="P905" s="84"/>
      <c r="Q905" s="84"/>
      <c r="R905" s="84"/>
      <c r="S9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5" s="71" t="str">
        <f>IFERROR(Data_Discontinuities[[#This Row],[Joint roughness]]/Data_Discontinuities[[#This Row],[Joint alteration]],"")</f>
        <v/>
      </c>
      <c r="V9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5" s="87"/>
    </row>
    <row r="906" spans="2:23" ht="15" customHeight="1" x14ac:dyDescent="0.25">
      <c r="B906" s="17" t="e">
        <f>VLOOKUP(Data_Discontinuities[[#This Row],[Hole ID]],Data_Log[],2,FALSE)</f>
        <v>#N/A</v>
      </c>
      <c r="C906" s="8"/>
      <c r="D906" s="8"/>
      <c r="E906" s="7"/>
      <c r="F906" s="7"/>
      <c r="G906" s="7"/>
      <c r="H906" s="118"/>
      <c r="I906" s="7"/>
      <c r="J906" s="7"/>
      <c r="K906" s="7"/>
      <c r="L906" s="7"/>
      <c r="M906" s="7"/>
      <c r="N906" s="7"/>
      <c r="O906" s="84" t="e" cm="1">
        <f t="array" ref="O906">_xlfn.XLOOKUP(1,(A906=Geotech!$A$4:$A$10094)*(Data_Discontinuities[[#This Row],[Depth (m)]]&gt;=Geotech!$C$4:$C$10094)*(Data_Discontinuities[[#This Row],[Depth (m)]]&lt;Geotech!$D$4:$D$10094),Geotech!$M$4:$M$10094)</f>
        <v>#N/A</v>
      </c>
      <c r="P906" s="84"/>
      <c r="Q906" s="84"/>
      <c r="R906" s="84"/>
      <c r="S9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6" s="71" t="str">
        <f>IFERROR(Data_Discontinuities[[#This Row],[Joint roughness]]/Data_Discontinuities[[#This Row],[Joint alteration]],"")</f>
        <v/>
      </c>
      <c r="V9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6" s="87"/>
    </row>
    <row r="907" spans="2:23" ht="15" customHeight="1" x14ac:dyDescent="0.25">
      <c r="B907" s="17" t="e">
        <f>VLOOKUP(Data_Discontinuities[[#This Row],[Hole ID]],Data_Log[],2,FALSE)</f>
        <v>#N/A</v>
      </c>
      <c r="C907" s="8"/>
      <c r="D907" s="8"/>
      <c r="E907" s="7"/>
      <c r="F907" s="7"/>
      <c r="G907" s="7"/>
      <c r="H907" s="118"/>
      <c r="I907" s="7"/>
      <c r="J907" s="7"/>
      <c r="K907" s="7"/>
      <c r="L907" s="7"/>
      <c r="M907" s="7"/>
      <c r="N907" s="7"/>
      <c r="O907" s="84" t="e" cm="1">
        <f t="array" ref="O907">_xlfn.XLOOKUP(1,(A907=Geotech!$A$4:$A$10094)*(Data_Discontinuities[[#This Row],[Depth (m)]]&gt;=Geotech!$C$4:$C$10094)*(Data_Discontinuities[[#This Row],[Depth (m)]]&lt;Geotech!$D$4:$D$10094),Geotech!$M$4:$M$10094)</f>
        <v>#N/A</v>
      </c>
      <c r="P907" s="84"/>
      <c r="Q907" s="84"/>
      <c r="R907" s="84"/>
      <c r="S9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7" s="71" t="str">
        <f>IFERROR(Data_Discontinuities[[#This Row],[Joint roughness]]/Data_Discontinuities[[#This Row],[Joint alteration]],"")</f>
        <v/>
      </c>
      <c r="V9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7" s="87"/>
    </row>
    <row r="908" spans="2:23" ht="15" customHeight="1" x14ac:dyDescent="0.25">
      <c r="B908" s="17" t="e">
        <f>VLOOKUP(Data_Discontinuities[[#This Row],[Hole ID]],Data_Log[],2,FALSE)</f>
        <v>#N/A</v>
      </c>
      <c r="C908" s="8"/>
      <c r="D908" s="8"/>
      <c r="E908" s="7"/>
      <c r="F908" s="7"/>
      <c r="G908" s="7"/>
      <c r="H908" s="118"/>
      <c r="I908" s="7"/>
      <c r="J908" s="7"/>
      <c r="K908" s="7"/>
      <c r="L908" s="7"/>
      <c r="M908" s="7"/>
      <c r="N908" s="7"/>
      <c r="O908" s="84" t="e" cm="1">
        <f t="array" ref="O908">_xlfn.XLOOKUP(1,(A908=Geotech!$A$4:$A$10094)*(Data_Discontinuities[[#This Row],[Depth (m)]]&gt;=Geotech!$C$4:$C$10094)*(Data_Discontinuities[[#This Row],[Depth (m)]]&lt;Geotech!$D$4:$D$10094),Geotech!$M$4:$M$10094)</f>
        <v>#N/A</v>
      </c>
      <c r="P908" s="84"/>
      <c r="Q908" s="84"/>
      <c r="R908" s="84"/>
      <c r="S9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8" s="71" t="str">
        <f>IFERROR(Data_Discontinuities[[#This Row],[Joint roughness]]/Data_Discontinuities[[#This Row],[Joint alteration]],"")</f>
        <v/>
      </c>
      <c r="V9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8" s="87"/>
    </row>
    <row r="909" spans="2:23" ht="15" customHeight="1" x14ac:dyDescent="0.25">
      <c r="B909" s="17" t="e">
        <f>VLOOKUP(Data_Discontinuities[[#This Row],[Hole ID]],Data_Log[],2,FALSE)</f>
        <v>#N/A</v>
      </c>
      <c r="C909" s="8"/>
      <c r="D909" s="8"/>
      <c r="E909" s="7"/>
      <c r="F909" s="7"/>
      <c r="G909" s="7"/>
      <c r="H909" s="118"/>
      <c r="I909" s="7"/>
      <c r="J909" s="7"/>
      <c r="K909" s="7"/>
      <c r="L909" s="7"/>
      <c r="M909" s="7"/>
      <c r="N909" s="7"/>
      <c r="O909" s="84" t="e" cm="1">
        <f t="array" ref="O909">_xlfn.XLOOKUP(1,(A909=Geotech!$A$4:$A$10094)*(Data_Discontinuities[[#This Row],[Depth (m)]]&gt;=Geotech!$C$4:$C$10094)*(Data_Discontinuities[[#This Row],[Depth (m)]]&lt;Geotech!$D$4:$D$10094),Geotech!$M$4:$M$10094)</f>
        <v>#N/A</v>
      </c>
      <c r="P909" s="84"/>
      <c r="Q909" s="84"/>
      <c r="R909" s="84"/>
      <c r="S9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09" s="71" t="str">
        <f>IFERROR(Data_Discontinuities[[#This Row],[Joint roughness]]/Data_Discontinuities[[#This Row],[Joint alteration]],"")</f>
        <v/>
      </c>
      <c r="V9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09" s="87"/>
    </row>
    <row r="910" spans="2:23" ht="15" customHeight="1" x14ac:dyDescent="0.25">
      <c r="B910" s="17" t="e">
        <f>VLOOKUP(Data_Discontinuities[[#This Row],[Hole ID]],Data_Log[],2,FALSE)</f>
        <v>#N/A</v>
      </c>
      <c r="C910" s="8"/>
      <c r="D910" s="8"/>
      <c r="E910" s="7"/>
      <c r="F910" s="7"/>
      <c r="G910" s="7"/>
      <c r="H910" s="118"/>
      <c r="I910" s="7"/>
      <c r="J910" s="7"/>
      <c r="K910" s="7"/>
      <c r="L910" s="7"/>
      <c r="M910" s="7"/>
      <c r="N910" s="7"/>
      <c r="O910" s="84" t="e" cm="1">
        <f t="array" ref="O910">_xlfn.XLOOKUP(1,(A910=Geotech!$A$4:$A$10094)*(Data_Discontinuities[[#This Row],[Depth (m)]]&gt;=Geotech!$C$4:$C$10094)*(Data_Discontinuities[[#This Row],[Depth (m)]]&lt;Geotech!$D$4:$D$10094),Geotech!$M$4:$M$10094)</f>
        <v>#N/A</v>
      </c>
      <c r="P910" s="84"/>
      <c r="Q910" s="84"/>
      <c r="R910" s="84"/>
      <c r="S9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0" s="71" t="str">
        <f>IFERROR(Data_Discontinuities[[#This Row],[Joint roughness]]/Data_Discontinuities[[#This Row],[Joint alteration]],"")</f>
        <v/>
      </c>
      <c r="V9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0" s="87"/>
    </row>
    <row r="911" spans="2:23" ht="15" customHeight="1" x14ac:dyDescent="0.25">
      <c r="B911" s="17" t="e">
        <f>VLOOKUP(Data_Discontinuities[[#This Row],[Hole ID]],Data_Log[],2,FALSE)</f>
        <v>#N/A</v>
      </c>
      <c r="C911" s="8"/>
      <c r="D911" s="8"/>
      <c r="E911" s="7"/>
      <c r="F911" s="7"/>
      <c r="G911" s="7"/>
      <c r="H911" s="118"/>
      <c r="I911" s="7"/>
      <c r="J911" s="7"/>
      <c r="K911" s="7"/>
      <c r="L911" s="7"/>
      <c r="M911" s="7"/>
      <c r="N911" s="7"/>
      <c r="O911" s="84" t="e" cm="1">
        <f t="array" ref="O911">_xlfn.XLOOKUP(1,(A911=Geotech!$A$4:$A$10094)*(Data_Discontinuities[[#This Row],[Depth (m)]]&gt;=Geotech!$C$4:$C$10094)*(Data_Discontinuities[[#This Row],[Depth (m)]]&lt;Geotech!$D$4:$D$10094),Geotech!$M$4:$M$10094)</f>
        <v>#N/A</v>
      </c>
      <c r="P911" s="84"/>
      <c r="Q911" s="84"/>
      <c r="R911" s="84"/>
      <c r="S9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1" s="71" t="str">
        <f>IFERROR(Data_Discontinuities[[#This Row],[Joint roughness]]/Data_Discontinuities[[#This Row],[Joint alteration]],"")</f>
        <v/>
      </c>
      <c r="V9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1" s="87"/>
    </row>
    <row r="912" spans="2:23" ht="15" customHeight="1" x14ac:dyDescent="0.25">
      <c r="B912" s="17" t="e">
        <f>VLOOKUP(Data_Discontinuities[[#This Row],[Hole ID]],Data_Log[],2,FALSE)</f>
        <v>#N/A</v>
      </c>
      <c r="C912" s="8"/>
      <c r="D912" s="8"/>
      <c r="E912" s="7"/>
      <c r="F912" s="7"/>
      <c r="G912" s="7"/>
      <c r="H912" s="118"/>
      <c r="I912" s="7"/>
      <c r="J912" s="7"/>
      <c r="K912" s="7"/>
      <c r="L912" s="7"/>
      <c r="M912" s="7"/>
      <c r="N912" s="7"/>
      <c r="O912" s="84" t="e" cm="1">
        <f t="array" ref="O912">_xlfn.XLOOKUP(1,(A912=Geotech!$A$4:$A$10094)*(Data_Discontinuities[[#This Row],[Depth (m)]]&gt;=Geotech!$C$4:$C$10094)*(Data_Discontinuities[[#This Row],[Depth (m)]]&lt;Geotech!$D$4:$D$10094),Geotech!$M$4:$M$10094)</f>
        <v>#N/A</v>
      </c>
      <c r="P912" s="84"/>
      <c r="Q912" s="84"/>
      <c r="R912" s="84"/>
      <c r="S9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2" s="71" t="str">
        <f>IFERROR(Data_Discontinuities[[#This Row],[Joint roughness]]/Data_Discontinuities[[#This Row],[Joint alteration]],"")</f>
        <v/>
      </c>
      <c r="V9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2" s="87"/>
    </row>
    <row r="913" spans="2:23" ht="15" customHeight="1" x14ac:dyDescent="0.25">
      <c r="B913" s="17" t="e">
        <f>VLOOKUP(Data_Discontinuities[[#This Row],[Hole ID]],Data_Log[],2,FALSE)</f>
        <v>#N/A</v>
      </c>
      <c r="C913" s="8"/>
      <c r="D913" s="8"/>
      <c r="E913" s="7"/>
      <c r="F913" s="7"/>
      <c r="G913" s="7"/>
      <c r="H913" s="118"/>
      <c r="I913" s="7"/>
      <c r="J913" s="7"/>
      <c r="K913" s="7"/>
      <c r="L913" s="7"/>
      <c r="M913" s="7"/>
      <c r="N913" s="7"/>
      <c r="O913" s="84" t="e" cm="1">
        <f t="array" ref="O913">_xlfn.XLOOKUP(1,(A913=Geotech!$A$4:$A$10094)*(Data_Discontinuities[[#This Row],[Depth (m)]]&gt;=Geotech!$C$4:$C$10094)*(Data_Discontinuities[[#This Row],[Depth (m)]]&lt;Geotech!$D$4:$D$10094),Geotech!$M$4:$M$10094)</f>
        <v>#N/A</v>
      </c>
      <c r="P913" s="84"/>
      <c r="Q913" s="84"/>
      <c r="R913" s="84"/>
      <c r="S9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3" s="71" t="str">
        <f>IFERROR(Data_Discontinuities[[#This Row],[Joint roughness]]/Data_Discontinuities[[#This Row],[Joint alteration]],"")</f>
        <v/>
      </c>
      <c r="V9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3" s="87"/>
    </row>
    <row r="914" spans="2:23" ht="15" customHeight="1" x14ac:dyDescent="0.25">
      <c r="B914" s="17" t="e">
        <f>VLOOKUP(Data_Discontinuities[[#This Row],[Hole ID]],Data_Log[],2,FALSE)</f>
        <v>#N/A</v>
      </c>
      <c r="C914" s="8"/>
      <c r="D914" s="8"/>
      <c r="E914" s="7"/>
      <c r="F914" s="7"/>
      <c r="G914" s="7"/>
      <c r="H914" s="118"/>
      <c r="I914" s="7"/>
      <c r="J914" s="7"/>
      <c r="K914" s="7"/>
      <c r="L914" s="7"/>
      <c r="M914" s="7"/>
      <c r="N914" s="7"/>
      <c r="O914" s="84" t="e" cm="1">
        <f t="array" ref="O914">_xlfn.XLOOKUP(1,(A914=Geotech!$A$4:$A$10094)*(Data_Discontinuities[[#This Row],[Depth (m)]]&gt;=Geotech!$C$4:$C$10094)*(Data_Discontinuities[[#This Row],[Depth (m)]]&lt;Geotech!$D$4:$D$10094),Geotech!$M$4:$M$10094)</f>
        <v>#N/A</v>
      </c>
      <c r="P914" s="84"/>
      <c r="Q914" s="84"/>
      <c r="R914" s="84"/>
      <c r="S9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4" s="71" t="str">
        <f>IFERROR(Data_Discontinuities[[#This Row],[Joint roughness]]/Data_Discontinuities[[#This Row],[Joint alteration]],"")</f>
        <v/>
      </c>
      <c r="V9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4" s="87"/>
    </row>
    <row r="915" spans="2:23" ht="15" customHeight="1" x14ac:dyDescent="0.25">
      <c r="B915" s="17" t="e">
        <f>VLOOKUP(Data_Discontinuities[[#This Row],[Hole ID]],Data_Log[],2,FALSE)</f>
        <v>#N/A</v>
      </c>
      <c r="C915" s="8"/>
      <c r="D915" s="8"/>
      <c r="E915" s="7"/>
      <c r="F915" s="7"/>
      <c r="G915" s="7"/>
      <c r="H915" s="118"/>
      <c r="I915" s="7"/>
      <c r="J915" s="7"/>
      <c r="K915" s="7"/>
      <c r="L915" s="7"/>
      <c r="M915" s="7"/>
      <c r="N915" s="7"/>
      <c r="O915" s="84" t="e" cm="1">
        <f t="array" ref="O915">_xlfn.XLOOKUP(1,(A915=Geotech!$A$4:$A$10094)*(Data_Discontinuities[[#This Row],[Depth (m)]]&gt;=Geotech!$C$4:$C$10094)*(Data_Discontinuities[[#This Row],[Depth (m)]]&lt;Geotech!$D$4:$D$10094),Geotech!$M$4:$M$10094)</f>
        <v>#N/A</v>
      </c>
      <c r="P915" s="84"/>
      <c r="Q915" s="84"/>
      <c r="R915" s="84"/>
      <c r="S9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5" s="71" t="str">
        <f>IFERROR(Data_Discontinuities[[#This Row],[Joint roughness]]/Data_Discontinuities[[#This Row],[Joint alteration]],"")</f>
        <v/>
      </c>
      <c r="V9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5" s="87"/>
    </row>
    <row r="916" spans="2:23" ht="15" customHeight="1" x14ac:dyDescent="0.25">
      <c r="B916" s="17" t="e">
        <f>VLOOKUP(Data_Discontinuities[[#This Row],[Hole ID]],Data_Log[],2,FALSE)</f>
        <v>#N/A</v>
      </c>
      <c r="C916" s="8"/>
      <c r="D916" s="8"/>
      <c r="E916" s="7"/>
      <c r="F916" s="7"/>
      <c r="G916" s="7"/>
      <c r="H916" s="118"/>
      <c r="I916" s="7"/>
      <c r="J916" s="7"/>
      <c r="K916" s="7"/>
      <c r="L916" s="7"/>
      <c r="M916" s="7"/>
      <c r="N916" s="7"/>
      <c r="O916" s="84" t="e" cm="1">
        <f t="array" ref="O916">_xlfn.XLOOKUP(1,(A916=Geotech!$A$4:$A$10094)*(Data_Discontinuities[[#This Row],[Depth (m)]]&gt;=Geotech!$C$4:$C$10094)*(Data_Discontinuities[[#This Row],[Depth (m)]]&lt;Geotech!$D$4:$D$10094),Geotech!$M$4:$M$10094)</f>
        <v>#N/A</v>
      </c>
      <c r="P916" s="84"/>
      <c r="Q916" s="84"/>
      <c r="R916" s="84"/>
      <c r="S9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6" s="71" t="str">
        <f>IFERROR(Data_Discontinuities[[#This Row],[Joint roughness]]/Data_Discontinuities[[#This Row],[Joint alteration]],"")</f>
        <v/>
      </c>
      <c r="V9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6" s="87"/>
    </row>
    <row r="917" spans="2:23" ht="15" customHeight="1" x14ac:dyDescent="0.25">
      <c r="B917" s="17" t="e">
        <f>VLOOKUP(Data_Discontinuities[[#This Row],[Hole ID]],Data_Log[],2,FALSE)</f>
        <v>#N/A</v>
      </c>
      <c r="C917" s="8"/>
      <c r="D917" s="8"/>
      <c r="E917" s="7"/>
      <c r="F917" s="7"/>
      <c r="G917" s="7"/>
      <c r="H917" s="118"/>
      <c r="I917" s="7"/>
      <c r="J917" s="7"/>
      <c r="K917" s="7"/>
      <c r="L917" s="7"/>
      <c r="M917" s="7"/>
      <c r="N917" s="7"/>
      <c r="O917" s="84" t="e" cm="1">
        <f t="array" ref="O917">_xlfn.XLOOKUP(1,(A917=Geotech!$A$4:$A$10094)*(Data_Discontinuities[[#This Row],[Depth (m)]]&gt;=Geotech!$C$4:$C$10094)*(Data_Discontinuities[[#This Row],[Depth (m)]]&lt;Geotech!$D$4:$D$10094),Geotech!$M$4:$M$10094)</f>
        <v>#N/A</v>
      </c>
      <c r="P917" s="84"/>
      <c r="Q917" s="84"/>
      <c r="R917" s="84"/>
      <c r="S9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7" s="71" t="str">
        <f>IFERROR(Data_Discontinuities[[#This Row],[Joint roughness]]/Data_Discontinuities[[#This Row],[Joint alteration]],"")</f>
        <v/>
      </c>
      <c r="V9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7" s="87"/>
    </row>
    <row r="918" spans="2:23" ht="15" customHeight="1" x14ac:dyDescent="0.25">
      <c r="B918" s="17" t="e">
        <f>VLOOKUP(Data_Discontinuities[[#This Row],[Hole ID]],Data_Log[],2,FALSE)</f>
        <v>#N/A</v>
      </c>
      <c r="C918" s="8"/>
      <c r="D918" s="8"/>
      <c r="E918" s="7"/>
      <c r="F918" s="7"/>
      <c r="G918" s="7"/>
      <c r="H918" s="118"/>
      <c r="I918" s="7"/>
      <c r="J918" s="7"/>
      <c r="K918" s="7"/>
      <c r="L918" s="7"/>
      <c r="M918" s="7"/>
      <c r="N918" s="7"/>
      <c r="O918" s="84" t="e" cm="1">
        <f t="array" ref="O918">_xlfn.XLOOKUP(1,(A918=Geotech!$A$4:$A$10094)*(Data_Discontinuities[[#This Row],[Depth (m)]]&gt;=Geotech!$C$4:$C$10094)*(Data_Discontinuities[[#This Row],[Depth (m)]]&lt;Geotech!$D$4:$D$10094),Geotech!$M$4:$M$10094)</f>
        <v>#N/A</v>
      </c>
      <c r="P918" s="84"/>
      <c r="Q918" s="84"/>
      <c r="R918" s="84"/>
      <c r="S9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8" s="71" t="str">
        <f>IFERROR(Data_Discontinuities[[#This Row],[Joint roughness]]/Data_Discontinuities[[#This Row],[Joint alteration]],"")</f>
        <v/>
      </c>
      <c r="V9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8" s="87"/>
    </row>
    <row r="919" spans="2:23" ht="15" customHeight="1" x14ac:dyDescent="0.25">
      <c r="B919" s="17" t="e">
        <f>VLOOKUP(Data_Discontinuities[[#This Row],[Hole ID]],Data_Log[],2,FALSE)</f>
        <v>#N/A</v>
      </c>
      <c r="C919" s="8"/>
      <c r="D919" s="8"/>
      <c r="E919" s="7"/>
      <c r="F919" s="7"/>
      <c r="G919" s="7"/>
      <c r="H919" s="118"/>
      <c r="I919" s="7"/>
      <c r="J919" s="7"/>
      <c r="K919" s="7"/>
      <c r="L919" s="7"/>
      <c r="M919" s="7"/>
      <c r="N919" s="7"/>
      <c r="O919" s="84" t="e" cm="1">
        <f t="array" ref="O919">_xlfn.XLOOKUP(1,(A919=Geotech!$A$4:$A$10094)*(Data_Discontinuities[[#This Row],[Depth (m)]]&gt;=Geotech!$C$4:$C$10094)*(Data_Discontinuities[[#This Row],[Depth (m)]]&lt;Geotech!$D$4:$D$10094),Geotech!$M$4:$M$10094)</f>
        <v>#N/A</v>
      </c>
      <c r="P919" s="84"/>
      <c r="Q919" s="84"/>
      <c r="R919" s="84"/>
      <c r="S9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19" s="71" t="str">
        <f>IFERROR(Data_Discontinuities[[#This Row],[Joint roughness]]/Data_Discontinuities[[#This Row],[Joint alteration]],"")</f>
        <v/>
      </c>
      <c r="V9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19" s="87"/>
    </row>
    <row r="920" spans="2:23" ht="15" customHeight="1" x14ac:dyDescent="0.25">
      <c r="B920" s="17" t="e">
        <f>VLOOKUP(Data_Discontinuities[[#This Row],[Hole ID]],Data_Log[],2,FALSE)</f>
        <v>#N/A</v>
      </c>
      <c r="C920" s="8"/>
      <c r="D920" s="8"/>
      <c r="E920" s="7"/>
      <c r="F920" s="7"/>
      <c r="G920" s="7"/>
      <c r="H920" s="118"/>
      <c r="I920" s="7"/>
      <c r="J920" s="7"/>
      <c r="K920" s="7"/>
      <c r="L920" s="7"/>
      <c r="M920" s="7"/>
      <c r="N920" s="7"/>
      <c r="O920" s="84" t="e" cm="1">
        <f t="array" ref="O920">_xlfn.XLOOKUP(1,(A920=Geotech!$A$4:$A$10094)*(Data_Discontinuities[[#This Row],[Depth (m)]]&gt;=Geotech!$C$4:$C$10094)*(Data_Discontinuities[[#This Row],[Depth (m)]]&lt;Geotech!$D$4:$D$10094),Geotech!$M$4:$M$10094)</f>
        <v>#N/A</v>
      </c>
      <c r="P920" s="84"/>
      <c r="Q920" s="84"/>
      <c r="R920" s="84"/>
      <c r="S9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0" s="71" t="str">
        <f>IFERROR(Data_Discontinuities[[#This Row],[Joint roughness]]/Data_Discontinuities[[#This Row],[Joint alteration]],"")</f>
        <v/>
      </c>
      <c r="V9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0" s="87"/>
    </row>
    <row r="921" spans="2:23" ht="15" customHeight="1" x14ac:dyDescent="0.25">
      <c r="B921" s="17" t="e">
        <f>VLOOKUP(Data_Discontinuities[[#This Row],[Hole ID]],Data_Log[],2,FALSE)</f>
        <v>#N/A</v>
      </c>
      <c r="C921" s="8"/>
      <c r="D921" s="8"/>
      <c r="E921" s="7"/>
      <c r="F921" s="7"/>
      <c r="G921" s="7"/>
      <c r="H921" s="118"/>
      <c r="I921" s="7"/>
      <c r="J921" s="7"/>
      <c r="K921" s="7"/>
      <c r="L921" s="7"/>
      <c r="M921" s="7"/>
      <c r="N921" s="7"/>
      <c r="O921" s="84" t="e" cm="1">
        <f t="array" ref="O921">_xlfn.XLOOKUP(1,(A921=Geotech!$A$4:$A$10094)*(Data_Discontinuities[[#This Row],[Depth (m)]]&gt;=Geotech!$C$4:$C$10094)*(Data_Discontinuities[[#This Row],[Depth (m)]]&lt;Geotech!$D$4:$D$10094),Geotech!$M$4:$M$10094)</f>
        <v>#N/A</v>
      </c>
      <c r="P921" s="84"/>
      <c r="Q921" s="84"/>
      <c r="R921" s="84"/>
      <c r="S9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1" s="71" t="str">
        <f>IFERROR(Data_Discontinuities[[#This Row],[Joint roughness]]/Data_Discontinuities[[#This Row],[Joint alteration]],"")</f>
        <v/>
      </c>
      <c r="V9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1" s="87"/>
    </row>
    <row r="922" spans="2:23" ht="15" customHeight="1" x14ac:dyDescent="0.25">
      <c r="B922" s="17" t="e">
        <f>VLOOKUP(Data_Discontinuities[[#This Row],[Hole ID]],Data_Log[],2,FALSE)</f>
        <v>#N/A</v>
      </c>
      <c r="C922" s="8"/>
      <c r="D922" s="8"/>
      <c r="E922" s="7"/>
      <c r="F922" s="7"/>
      <c r="G922" s="7"/>
      <c r="H922" s="118"/>
      <c r="I922" s="7"/>
      <c r="J922" s="7"/>
      <c r="K922" s="7"/>
      <c r="L922" s="7"/>
      <c r="M922" s="7"/>
      <c r="N922" s="7"/>
      <c r="O922" s="84" t="e" cm="1">
        <f t="array" ref="O922">_xlfn.XLOOKUP(1,(A922=Geotech!$A$4:$A$10094)*(Data_Discontinuities[[#This Row],[Depth (m)]]&gt;=Geotech!$C$4:$C$10094)*(Data_Discontinuities[[#This Row],[Depth (m)]]&lt;Geotech!$D$4:$D$10094),Geotech!$M$4:$M$10094)</f>
        <v>#N/A</v>
      </c>
      <c r="P922" s="84"/>
      <c r="Q922" s="84"/>
      <c r="R922" s="84"/>
      <c r="S9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2" s="71" t="str">
        <f>IFERROR(Data_Discontinuities[[#This Row],[Joint roughness]]/Data_Discontinuities[[#This Row],[Joint alteration]],"")</f>
        <v/>
      </c>
      <c r="V9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2" s="87"/>
    </row>
    <row r="923" spans="2:23" ht="15" customHeight="1" x14ac:dyDescent="0.25">
      <c r="B923" s="17" t="e">
        <f>VLOOKUP(Data_Discontinuities[[#This Row],[Hole ID]],Data_Log[],2,FALSE)</f>
        <v>#N/A</v>
      </c>
      <c r="C923" s="8"/>
      <c r="D923" s="8"/>
      <c r="E923" s="7"/>
      <c r="F923" s="7"/>
      <c r="G923" s="7"/>
      <c r="H923" s="118"/>
      <c r="I923" s="7"/>
      <c r="J923" s="7"/>
      <c r="K923" s="7"/>
      <c r="L923" s="7"/>
      <c r="M923" s="7"/>
      <c r="N923" s="7"/>
      <c r="O923" s="84" t="e" cm="1">
        <f t="array" ref="O923">_xlfn.XLOOKUP(1,(A923=Geotech!$A$4:$A$10094)*(Data_Discontinuities[[#This Row],[Depth (m)]]&gt;=Geotech!$C$4:$C$10094)*(Data_Discontinuities[[#This Row],[Depth (m)]]&lt;Geotech!$D$4:$D$10094),Geotech!$M$4:$M$10094)</f>
        <v>#N/A</v>
      </c>
      <c r="P923" s="84"/>
      <c r="Q923" s="84"/>
      <c r="R923" s="84"/>
      <c r="S9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3" s="71" t="str">
        <f>IFERROR(Data_Discontinuities[[#This Row],[Joint roughness]]/Data_Discontinuities[[#This Row],[Joint alteration]],"")</f>
        <v/>
      </c>
      <c r="V9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3" s="87"/>
    </row>
    <row r="924" spans="2:23" ht="15" customHeight="1" x14ac:dyDescent="0.25">
      <c r="B924" s="17" t="e">
        <f>VLOOKUP(Data_Discontinuities[[#This Row],[Hole ID]],Data_Log[],2,FALSE)</f>
        <v>#N/A</v>
      </c>
      <c r="C924" s="8"/>
      <c r="D924" s="8"/>
      <c r="E924" s="7"/>
      <c r="F924" s="7"/>
      <c r="G924" s="7"/>
      <c r="H924" s="118"/>
      <c r="I924" s="7"/>
      <c r="J924" s="7"/>
      <c r="K924" s="7"/>
      <c r="L924" s="7"/>
      <c r="M924" s="7"/>
      <c r="N924" s="7"/>
      <c r="O924" s="84" t="e" cm="1">
        <f t="array" ref="O924">_xlfn.XLOOKUP(1,(A924=Geotech!$A$4:$A$10094)*(Data_Discontinuities[[#This Row],[Depth (m)]]&gt;=Geotech!$C$4:$C$10094)*(Data_Discontinuities[[#This Row],[Depth (m)]]&lt;Geotech!$D$4:$D$10094),Geotech!$M$4:$M$10094)</f>
        <v>#N/A</v>
      </c>
      <c r="P924" s="84"/>
      <c r="Q924" s="84"/>
      <c r="R924" s="84"/>
      <c r="S9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4" s="71" t="str">
        <f>IFERROR(Data_Discontinuities[[#This Row],[Joint roughness]]/Data_Discontinuities[[#This Row],[Joint alteration]],"")</f>
        <v/>
      </c>
      <c r="V9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4" s="87"/>
    </row>
    <row r="925" spans="2:23" ht="15" customHeight="1" x14ac:dyDescent="0.25">
      <c r="B925" s="17" t="e">
        <f>VLOOKUP(Data_Discontinuities[[#This Row],[Hole ID]],Data_Log[],2,FALSE)</f>
        <v>#N/A</v>
      </c>
      <c r="C925" s="8"/>
      <c r="D925" s="8"/>
      <c r="E925" s="7"/>
      <c r="F925" s="7"/>
      <c r="G925" s="7"/>
      <c r="H925" s="118"/>
      <c r="I925" s="7"/>
      <c r="J925" s="7"/>
      <c r="K925" s="7"/>
      <c r="L925" s="7"/>
      <c r="M925" s="7"/>
      <c r="N925" s="7"/>
      <c r="O925" s="84" t="e" cm="1">
        <f t="array" ref="O925">_xlfn.XLOOKUP(1,(A925=Geotech!$A$4:$A$10094)*(Data_Discontinuities[[#This Row],[Depth (m)]]&gt;=Geotech!$C$4:$C$10094)*(Data_Discontinuities[[#This Row],[Depth (m)]]&lt;Geotech!$D$4:$D$10094),Geotech!$M$4:$M$10094)</f>
        <v>#N/A</v>
      </c>
      <c r="P925" s="84"/>
      <c r="Q925" s="84"/>
      <c r="R925" s="84"/>
      <c r="S9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5" s="71" t="str">
        <f>IFERROR(Data_Discontinuities[[#This Row],[Joint roughness]]/Data_Discontinuities[[#This Row],[Joint alteration]],"")</f>
        <v/>
      </c>
      <c r="V9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5" s="87"/>
    </row>
    <row r="926" spans="2:23" ht="15" customHeight="1" x14ac:dyDescent="0.25">
      <c r="B926" s="17" t="e">
        <f>VLOOKUP(Data_Discontinuities[[#This Row],[Hole ID]],Data_Log[],2,FALSE)</f>
        <v>#N/A</v>
      </c>
      <c r="C926" s="8"/>
      <c r="D926" s="8"/>
      <c r="E926" s="7"/>
      <c r="F926" s="7"/>
      <c r="G926" s="7"/>
      <c r="H926" s="118"/>
      <c r="I926" s="7"/>
      <c r="J926" s="7"/>
      <c r="K926" s="7"/>
      <c r="L926" s="7"/>
      <c r="M926" s="7"/>
      <c r="N926" s="7"/>
      <c r="O926" s="84" t="e" cm="1">
        <f t="array" ref="O926">_xlfn.XLOOKUP(1,(A926=Geotech!$A$4:$A$10094)*(Data_Discontinuities[[#This Row],[Depth (m)]]&gt;=Geotech!$C$4:$C$10094)*(Data_Discontinuities[[#This Row],[Depth (m)]]&lt;Geotech!$D$4:$D$10094),Geotech!$M$4:$M$10094)</f>
        <v>#N/A</v>
      </c>
      <c r="P926" s="84"/>
      <c r="Q926" s="84"/>
      <c r="R926" s="84"/>
      <c r="S9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6" s="71" t="str">
        <f>IFERROR(Data_Discontinuities[[#This Row],[Joint roughness]]/Data_Discontinuities[[#This Row],[Joint alteration]],"")</f>
        <v/>
      </c>
      <c r="V9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6" s="87"/>
    </row>
    <row r="927" spans="2:23" ht="15" customHeight="1" x14ac:dyDescent="0.25">
      <c r="B927" s="17" t="e">
        <f>VLOOKUP(Data_Discontinuities[[#This Row],[Hole ID]],Data_Log[],2,FALSE)</f>
        <v>#N/A</v>
      </c>
      <c r="C927" s="8"/>
      <c r="D927" s="8"/>
      <c r="E927" s="7"/>
      <c r="F927" s="7"/>
      <c r="G927" s="7"/>
      <c r="H927" s="118"/>
      <c r="I927" s="7"/>
      <c r="J927" s="7"/>
      <c r="K927" s="7"/>
      <c r="L927" s="7"/>
      <c r="M927" s="7"/>
      <c r="N927" s="7"/>
      <c r="O927" s="84" t="e" cm="1">
        <f t="array" ref="O927">_xlfn.XLOOKUP(1,(A927=Geotech!$A$4:$A$10094)*(Data_Discontinuities[[#This Row],[Depth (m)]]&gt;=Geotech!$C$4:$C$10094)*(Data_Discontinuities[[#This Row],[Depth (m)]]&lt;Geotech!$D$4:$D$10094),Geotech!$M$4:$M$10094)</f>
        <v>#N/A</v>
      </c>
      <c r="P927" s="84"/>
      <c r="Q927" s="84"/>
      <c r="R927" s="84"/>
      <c r="S9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7" s="71" t="str">
        <f>IFERROR(Data_Discontinuities[[#This Row],[Joint roughness]]/Data_Discontinuities[[#This Row],[Joint alteration]],"")</f>
        <v/>
      </c>
      <c r="V9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7" s="87"/>
    </row>
    <row r="928" spans="2:23" ht="15" customHeight="1" x14ac:dyDescent="0.25">
      <c r="B928" s="17" t="e">
        <f>VLOOKUP(Data_Discontinuities[[#This Row],[Hole ID]],Data_Log[],2,FALSE)</f>
        <v>#N/A</v>
      </c>
      <c r="C928" s="8"/>
      <c r="D928" s="8"/>
      <c r="E928" s="7"/>
      <c r="F928" s="7"/>
      <c r="G928" s="7"/>
      <c r="H928" s="118"/>
      <c r="I928" s="7"/>
      <c r="J928" s="7"/>
      <c r="K928" s="7"/>
      <c r="L928" s="7"/>
      <c r="M928" s="7"/>
      <c r="N928" s="7"/>
      <c r="O928" s="84" t="e" cm="1">
        <f t="array" ref="O928">_xlfn.XLOOKUP(1,(A928=Geotech!$A$4:$A$10094)*(Data_Discontinuities[[#This Row],[Depth (m)]]&gt;=Geotech!$C$4:$C$10094)*(Data_Discontinuities[[#This Row],[Depth (m)]]&lt;Geotech!$D$4:$D$10094),Geotech!$M$4:$M$10094)</f>
        <v>#N/A</v>
      </c>
      <c r="P928" s="84"/>
      <c r="Q928" s="84"/>
      <c r="R928" s="84"/>
      <c r="S9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8" s="71" t="str">
        <f>IFERROR(Data_Discontinuities[[#This Row],[Joint roughness]]/Data_Discontinuities[[#This Row],[Joint alteration]],"")</f>
        <v/>
      </c>
      <c r="V9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8" s="87"/>
    </row>
    <row r="929" spans="2:23" ht="15" customHeight="1" x14ac:dyDescent="0.25">
      <c r="B929" s="17" t="e">
        <f>VLOOKUP(Data_Discontinuities[[#This Row],[Hole ID]],Data_Log[],2,FALSE)</f>
        <v>#N/A</v>
      </c>
      <c r="C929" s="8"/>
      <c r="D929" s="8"/>
      <c r="E929" s="7"/>
      <c r="F929" s="7"/>
      <c r="G929" s="7"/>
      <c r="H929" s="118"/>
      <c r="I929" s="7"/>
      <c r="J929" s="7"/>
      <c r="K929" s="7"/>
      <c r="L929" s="7"/>
      <c r="M929" s="7"/>
      <c r="N929" s="7"/>
      <c r="O929" s="84" t="e" cm="1">
        <f t="array" ref="O929">_xlfn.XLOOKUP(1,(A929=Geotech!$A$4:$A$10094)*(Data_Discontinuities[[#This Row],[Depth (m)]]&gt;=Geotech!$C$4:$C$10094)*(Data_Discontinuities[[#This Row],[Depth (m)]]&lt;Geotech!$D$4:$D$10094),Geotech!$M$4:$M$10094)</f>
        <v>#N/A</v>
      </c>
      <c r="P929" s="84"/>
      <c r="Q929" s="84"/>
      <c r="R929" s="84"/>
      <c r="S9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29" s="71" t="str">
        <f>IFERROR(Data_Discontinuities[[#This Row],[Joint roughness]]/Data_Discontinuities[[#This Row],[Joint alteration]],"")</f>
        <v/>
      </c>
      <c r="V9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29" s="87"/>
    </row>
    <row r="930" spans="2:23" ht="15" customHeight="1" x14ac:dyDescent="0.25">
      <c r="B930" s="17" t="e">
        <f>VLOOKUP(Data_Discontinuities[[#This Row],[Hole ID]],Data_Log[],2,FALSE)</f>
        <v>#N/A</v>
      </c>
      <c r="C930" s="8"/>
      <c r="D930" s="8"/>
      <c r="E930" s="7"/>
      <c r="F930" s="7"/>
      <c r="G930" s="7"/>
      <c r="H930" s="118"/>
      <c r="I930" s="7"/>
      <c r="J930" s="7"/>
      <c r="K930" s="7"/>
      <c r="L930" s="7"/>
      <c r="M930" s="7"/>
      <c r="N930" s="7"/>
      <c r="O930" s="84" t="e" cm="1">
        <f t="array" ref="O930">_xlfn.XLOOKUP(1,(A930=Geotech!$A$4:$A$10094)*(Data_Discontinuities[[#This Row],[Depth (m)]]&gt;=Geotech!$C$4:$C$10094)*(Data_Discontinuities[[#This Row],[Depth (m)]]&lt;Geotech!$D$4:$D$10094),Geotech!$M$4:$M$10094)</f>
        <v>#N/A</v>
      </c>
      <c r="P930" s="84"/>
      <c r="Q930" s="84"/>
      <c r="R930" s="84"/>
      <c r="S9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0" s="71" t="str">
        <f>IFERROR(Data_Discontinuities[[#This Row],[Joint roughness]]/Data_Discontinuities[[#This Row],[Joint alteration]],"")</f>
        <v/>
      </c>
      <c r="V9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0" s="87"/>
    </row>
    <row r="931" spans="2:23" ht="15" customHeight="1" x14ac:dyDescent="0.25">
      <c r="B931" s="17" t="e">
        <f>VLOOKUP(Data_Discontinuities[[#This Row],[Hole ID]],Data_Log[],2,FALSE)</f>
        <v>#N/A</v>
      </c>
      <c r="C931" s="8"/>
      <c r="D931" s="8"/>
      <c r="E931" s="7"/>
      <c r="F931" s="7"/>
      <c r="G931" s="7"/>
      <c r="H931" s="118"/>
      <c r="I931" s="7"/>
      <c r="J931" s="7"/>
      <c r="K931" s="7"/>
      <c r="L931" s="7"/>
      <c r="M931" s="7"/>
      <c r="N931" s="7"/>
      <c r="O931" s="84" t="e" cm="1">
        <f t="array" ref="O931">_xlfn.XLOOKUP(1,(A931=Geotech!$A$4:$A$10094)*(Data_Discontinuities[[#This Row],[Depth (m)]]&gt;=Geotech!$C$4:$C$10094)*(Data_Discontinuities[[#This Row],[Depth (m)]]&lt;Geotech!$D$4:$D$10094),Geotech!$M$4:$M$10094)</f>
        <v>#N/A</v>
      </c>
      <c r="P931" s="84"/>
      <c r="Q931" s="84"/>
      <c r="R931" s="84"/>
      <c r="S9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1" s="71" t="str">
        <f>IFERROR(Data_Discontinuities[[#This Row],[Joint roughness]]/Data_Discontinuities[[#This Row],[Joint alteration]],"")</f>
        <v/>
      </c>
      <c r="V9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1" s="87"/>
    </row>
    <row r="932" spans="2:23" ht="15" customHeight="1" x14ac:dyDescent="0.25">
      <c r="B932" s="17" t="e">
        <f>VLOOKUP(Data_Discontinuities[[#This Row],[Hole ID]],Data_Log[],2,FALSE)</f>
        <v>#N/A</v>
      </c>
      <c r="C932" s="8"/>
      <c r="D932" s="8"/>
      <c r="E932" s="7"/>
      <c r="F932" s="7"/>
      <c r="G932" s="7"/>
      <c r="H932" s="118"/>
      <c r="I932" s="7"/>
      <c r="J932" s="7"/>
      <c r="K932" s="7"/>
      <c r="L932" s="7"/>
      <c r="M932" s="7"/>
      <c r="N932" s="7"/>
      <c r="O932" s="84" t="e" cm="1">
        <f t="array" ref="O932">_xlfn.XLOOKUP(1,(A932=Geotech!$A$4:$A$10094)*(Data_Discontinuities[[#This Row],[Depth (m)]]&gt;=Geotech!$C$4:$C$10094)*(Data_Discontinuities[[#This Row],[Depth (m)]]&lt;Geotech!$D$4:$D$10094),Geotech!$M$4:$M$10094)</f>
        <v>#N/A</v>
      </c>
      <c r="P932" s="84"/>
      <c r="Q932" s="84"/>
      <c r="R932" s="84"/>
      <c r="S9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2" s="71" t="str">
        <f>IFERROR(Data_Discontinuities[[#This Row],[Joint roughness]]/Data_Discontinuities[[#This Row],[Joint alteration]],"")</f>
        <v/>
      </c>
      <c r="V9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2" s="87"/>
    </row>
    <row r="933" spans="2:23" ht="15" customHeight="1" x14ac:dyDescent="0.25">
      <c r="B933" s="17" t="e">
        <f>VLOOKUP(Data_Discontinuities[[#This Row],[Hole ID]],Data_Log[],2,FALSE)</f>
        <v>#N/A</v>
      </c>
      <c r="C933" s="8"/>
      <c r="D933" s="8"/>
      <c r="E933" s="7"/>
      <c r="F933" s="7"/>
      <c r="G933" s="7"/>
      <c r="H933" s="118"/>
      <c r="I933" s="7"/>
      <c r="J933" s="7"/>
      <c r="K933" s="7"/>
      <c r="L933" s="7"/>
      <c r="M933" s="7"/>
      <c r="N933" s="7"/>
      <c r="O933" s="84" t="e" cm="1">
        <f t="array" ref="O933">_xlfn.XLOOKUP(1,(A933=Geotech!$A$4:$A$10094)*(Data_Discontinuities[[#This Row],[Depth (m)]]&gt;=Geotech!$C$4:$C$10094)*(Data_Discontinuities[[#This Row],[Depth (m)]]&lt;Geotech!$D$4:$D$10094),Geotech!$M$4:$M$10094)</f>
        <v>#N/A</v>
      </c>
      <c r="P933" s="84"/>
      <c r="Q933" s="84"/>
      <c r="R933" s="84"/>
      <c r="S9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3" s="71" t="str">
        <f>IFERROR(Data_Discontinuities[[#This Row],[Joint roughness]]/Data_Discontinuities[[#This Row],[Joint alteration]],"")</f>
        <v/>
      </c>
      <c r="V9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3" s="87"/>
    </row>
    <row r="934" spans="2:23" ht="15" customHeight="1" x14ac:dyDescent="0.25">
      <c r="B934" s="17" t="e">
        <f>VLOOKUP(Data_Discontinuities[[#This Row],[Hole ID]],Data_Log[],2,FALSE)</f>
        <v>#N/A</v>
      </c>
      <c r="C934" s="8"/>
      <c r="D934" s="8"/>
      <c r="E934" s="7"/>
      <c r="F934" s="7"/>
      <c r="G934" s="7"/>
      <c r="H934" s="118"/>
      <c r="I934" s="7"/>
      <c r="J934" s="7"/>
      <c r="K934" s="7"/>
      <c r="L934" s="7"/>
      <c r="M934" s="7"/>
      <c r="N934" s="7"/>
      <c r="O934" s="84" t="e" cm="1">
        <f t="array" ref="O934">_xlfn.XLOOKUP(1,(A934=Geotech!$A$4:$A$10094)*(Data_Discontinuities[[#This Row],[Depth (m)]]&gt;=Geotech!$C$4:$C$10094)*(Data_Discontinuities[[#This Row],[Depth (m)]]&lt;Geotech!$D$4:$D$10094),Geotech!$M$4:$M$10094)</f>
        <v>#N/A</v>
      </c>
      <c r="P934" s="84"/>
      <c r="Q934" s="84"/>
      <c r="R934" s="84"/>
      <c r="S9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4" s="71" t="str">
        <f>IFERROR(Data_Discontinuities[[#This Row],[Joint roughness]]/Data_Discontinuities[[#This Row],[Joint alteration]],"")</f>
        <v/>
      </c>
      <c r="V9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4" s="87"/>
    </row>
    <row r="935" spans="2:23" ht="15" customHeight="1" x14ac:dyDescent="0.25">
      <c r="B935" s="17" t="e">
        <f>VLOOKUP(Data_Discontinuities[[#This Row],[Hole ID]],Data_Log[],2,FALSE)</f>
        <v>#N/A</v>
      </c>
      <c r="C935" s="8"/>
      <c r="D935" s="8"/>
      <c r="E935" s="7"/>
      <c r="F935" s="7"/>
      <c r="G935" s="7"/>
      <c r="H935" s="118"/>
      <c r="I935" s="7"/>
      <c r="J935" s="7"/>
      <c r="K935" s="7"/>
      <c r="L935" s="7"/>
      <c r="M935" s="7"/>
      <c r="N935" s="7"/>
      <c r="O935" s="84" t="e" cm="1">
        <f t="array" ref="O935">_xlfn.XLOOKUP(1,(A935=Geotech!$A$4:$A$10094)*(Data_Discontinuities[[#This Row],[Depth (m)]]&gt;=Geotech!$C$4:$C$10094)*(Data_Discontinuities[[#This Row],[Depth (m)]]&lt;Geotech!$D$4:$D$10094),Geotech!$M$4:$M$10094)</f>
        <v>#N/A</v>
      </c>
      <c r="P935" s="84"/>
      <c r="Q935" s="84"/>
      <c r="R935" s="84"/>
      <c r="S9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5" s="71" t="str">
        <f>IFERROR(Data_Discontinuities[[#This Row],[Joint roughness]]/Data_Discontinuities[[#This Row],[Joint alteration]],"")</f>
        <v/>
      </c>
      <c r="V9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5" s="87"/>
    </row>
    <row r="936" spans="2:23" ht="15" customHeight="1" x14ac:dyDescent="0.25">
      <c r="B936" s="17" t="e">
        <f>VLOOKUP(Data_Discontinuities[[#This Row],[Hole ID]],Data_Log[],2,FALSE)</f>
        <v>#N/A</v>
      </c>
      <c r="C936" s="8"/>
      <c r="D936" s="8"/>
      <c r="E936" s="7"/>
      <c r="F936" s="7"/>
      <c r="G936" s="7"/>
      <c r="H936" s="118"/>
      <c r="I936" s="7"/>
      <c r="J936" s="7"/>
      <c r="K936" s="7"/>
      <c r="L936" s="7"/>
      <c r="M936" s="7"/>
      <c r="N936" s="7"/>
      <c r="O936" s="84" t="e" cm="1">
        <f t="array" ref="O936">_xlfn.XLOOKUP(1,(A936=Geotech!$A$4:$A$10094)*(Data_Discontinuities[[#This Row],[Depth (m)]]&gt;=Geotech!$C$4:$C$10094)*(Data_Discontinuities[[#This Row],[Depth (m)]]&lt;Geotech!$D$4:$D$10094),Geotech!$M$4:$M$10094)</f>
        <v>#N/A</v>
      </c>
      <c r="P936" s="84"/>
      <c r="Q936" s="84"/>
      <c r="R936" s="84"/>
      <c r="S9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6" s="71" t="str">
        <f>IFERROR(Data_Discontinuities[[#This Row],[Joint roughness]]/Data_Discontinuities[[#This Row],[Joint alteration]],"")</f>
        <v/>
      </c>
      <c r="V9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6" s="87"/>
    </row>
    <row r="937" spans="2:23" ht="15" customHeight="1" x14ac:dyDescent="0.25">
      <c r="B937" s="17" t="e">
        <f>VLOOKUP(Data_Discontinuities[[#This Row],[Hole ID]],Data_Log[],2,FALSE)</f>
        <v>#N/A</v>
      </c>
      <c r="C937" s="8"/>
      <c r="D937" s="8"/>
      <c r="E937" s="7"/>
      <c r="F937" s="7"/>
      <c r="G937" s="7"/>
      <c r="H937" s="118"/>
      <c r="I937" s="7"/>
      <c r="J937" s="7"/>
      <c r="K937" s="7"/>
      <c r="L937" s="7"/>
      <c r="M937" s="7"/>
      <c r="N937" s="7"/>
      <c r="O937" s="84" t="e" cm="1">
        <f t="array" ref="O937">_xlfn.XLOOKUP(1,(A937=Geotech!$A$4:$A$10094)*(Data_Discontinuities[[#This Row],[Depth (m)]]&gt;=Geotech!$C$4:$C$10094)*(Data_Discontinuities[[#This Row],[Depth (m)]]&lt;Geotech!$D$4:$D$10094),Geotech!$M$4:$M$10094)</f>
        <v>#N/A</v>
      </c>
      <c r="P937" s="84"/>
      <c r="Q937" s="84"/>
      <c r="R937" s="84"/>
      <c r="S9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7" s="71" t="str">
        <f>IFERROR(Data_Discontinuities[[#This Row],[Joint roughness]]/Data_Discontinuities[[#This Row],[Joint alteration]],"")</f>
        <v/>
      </c>
      <c r="V9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7" s="87"/>
    </row>
    <row r="938" spans="2:23" ht="15" customHeight="1" x14ac:dyDescent="0.25">
      <c r="B938" s="17" t="e">
        <f>VLOOKUP(Data_Discontinuities[[#This Row],[Hole ID]],Data_Log[],2,FALSE)</f>
        <v>#N/A</v>
      </c>
      <c r="C938" s="8"/>
      <c r="D938" s="8"/>
      <c r="E938" s="7"/>
      <c r="F938" s="7"/>
      <c r="G938" s="7"/>
      <c r="H938" s="118"/>
      <c r="I938" s="7"/>
      <c r="J938" s="7"/>
      <c r="K938" s="7"/>
      <c r="L938" s="7"/>
      <c r="M938" s="7"/>
      <c r="N938" s="7"/>
      <c r="O938" s="84" t="e" cm="1">
        <f t="array" ref="O938">_xlfn.XLOOKUP(1,(A938=Geotech!$A$4:$A$10094)*(Data_Discontinuities[[#This Row],[Depth (m)]]&gt;=Geotech!$C$4:$C$10094)*(Data_Discontinuities[[#This Row],[Depth (m)]]&lt;Geotech!$D$4:$D$10094),Geotech!$M$4:$M$10094)</f>
        <v>#N/A</v>
      </c>
      <c r="P938" s="84"/>
      <c r="Q938" s="84"/>
      <c r="R938" s="84"/>
      <c r="S9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8" s="71" t="str">
        <f>IFERROR(Data_Discontinuities[[#This Row],[Joint roughness]]/Data_Discontinuities[[#This Row],[Joint alteration]],"")</f>
        <v/>
      </c>
      <c r="V9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8" s="87"/>
    </row>
    <row r="939" spans="2:23" ht="15" customHeight="1" x14ac:dyDescent="0.25">
      <c r="B939" s="17" t="e">
        <f>VLOOKUP(Data_Discontinuities[[#This Row],[Hole ID]],Data_Log[],2,FALSE)</f>
        <v>#N/A</v>
      </c>
      <c r="C939" s="8"/>
      <c r="D939" s="8"/>
      <c r="E939" s="7"/>
      <c r="F939" s="7"/>
      <c r="G939" s="7"/>
      <c r="H939" s="118"/>
      <c r="I939" s="7"/>
      <c r="J939" s="7"/>
      <c r="K939" s="7"/>
      <c r="L939" s="7"/>
      <c r="M939" s="7"/>
      <c r="N939" s="7"/>
      <c r="O939" s="84" t="e" cm="1">
        <f t="array" ref="O939">_xlfn.XLOOKUP(1,(A939=Geotech!$A$4:$A$10094)*(Data_Discontinuities[[#This Row],[Depth (m)]]&gt;=Geotech!$C$4:$C$10094)*(Data_Discontinuities[[#This Row],[Depth (m)]]&lt;Geotech!$D$4:$D$10094),Geotech!$M$4:$M$10094)</f>
        <v>#N/A</v>
      </c>
      <c r="P939" s="84"/>
      <c r="Q939" s="84"/>
      <c r="R939" s="84"/>
      <c r="S9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39" s="71" t="str">
        <f>IFERROR(Data_Discontinuities[[#This Row],[Joint roughness]]/Data_Discontinuities[[#This Row],[Joint alteration]],"")</f>
        <v/>
      </c>
      <c r="V9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39" s="87"/>
    </row>
    <row r="940" spans="2:23" ht="15" customHeight="1" x14ac:dyDescent="0.25">
      <c r="B940" s="17" t="e">
        <f>VLOOKUP(Data_Discontinuities[[#This Row],[Hole ID]],Data_Log[],2,FALSE)</f>
        <v>#N/A</v>
      </c>
      <c r="C940" s="8"/>
      <c r="D940" s="8"/>
      <c r="E940" s="7"/>
      <c r="F940" s="7"/>
      <c r="G940" s="7"/>
      <c r="H940" s="118"/>
      <c r="I940" s="7"/>
      <c r="J940" s="7"/>
      <c r="K940" s="7"/>
      <c r="L940" s="7"/>
      <c r="M940" s="7"/>
      <c r="N940" s="7"/>
      <c r="O940" s="84" t="e" cm="1">
        <f t="array" ref="O940">_xlfn.XLOOKUP(1,(A940=Geotech!$A$4:$A$10094)*(Data_Discontinuities[[#This Row],[Depth (m)]]&gt;=Geotech!$C$4:$C$10094)*(Data_Discontinuities[[#This Row],[Depth (m)]]&lt;Geotech!$D$4:$D$10094),Geotech!$M$4:$M$10094)</f>
        <v>#N/A</v>
      </c>
      <c r="P940" s="84"/>
      <c r="Q940" s="84"/>
      <c r="R940" s="84"/>
      <c r="S9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0" s="71" t="str">
        <f>IFERROR(Data_Discontinuities[[#This Row],[Joint roughness]]/Data_Discontinuities[[#This Row],[Joint alteration]],"")</f>
        <v/>
      </c>
      <c r="V9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0" s="87"/>
    </row>
    <row r="941" spans="2:23" ht="15" customHeight="1" x14ac:dyDescent="0.25">
      <c r="B941" s="17" t="e">
        <f>VLOOKUP(Data_Discontinuities[[#This Row],[Hole ID]],Data_Log[],2,FALSE)</f>
        <v>#N/A</v>
      </c>
      <c r="C941" s="8"/>
      <c r="D941" s="8"/>
      <c r="E941" s="7"/>
      <c r="F941" s="7"/>
      <c r="G941" s="7"/>
      <c r="H941" s="118"/>
      <c r="I941" s="7"/>
      <c r="J941" s="7"/>
      <c r="K941" s="7"/>
      <c r="L941" s="7"/>
      <c r="M941" s="7"/>
      <c r="N941" s="7"/>
      <c r="O941" s="84" t="e" cm="1">
        <f t="array" ref="O941">_xlfn.XLOOKUP(1,(A941=Geotech!$A$4:$A$10094)*(Data_Discontinuities[[#This Row],[Depth (m)]]&gt;=Geotech!$C$4:$C$10094)*(Data_Discontinuities[[#This Row],[Depth (m)]]&lt;Geotech!$D$4:$D$10094),Geotech!$M$4:$M$10094)</f>
        <v>#N/A</v>
      </c>
      <c r="P941" s="84"/>
      <c r="Q941" s="84"/>
      <c r="R941" s="84"/>
      <c r="S9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1" s="71" t="str">
        <f>IFERROR(Data_Discontinuities[[#This Row],[Joint roughness]]/Data_Discontinuities[[#This Row],[Joint alteration]],"")</f>
        <v/>
      </c>
      <c r="V9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1" s="87"/>
    </row>
    <row r="942" spans="2:23" ht="15" customHeight="1" x14ac:dyDescent="0.25">
      <c r="B942" s="17" t="e">
        <f>VLOOKUP(Data_Discontinuities[[#This Row],[Hole ID]],Data_Log[],2,FALSE)</f>
        <v>#N/A</v>
      </c>
      <c r="C942" s="8"/>
      <c r="D942" s="8"/>
      <c r="E942" s="7"/>
      <c r="F942" s="7"/>
      <c r="G942" s="7"/>
      <c r="H942" s="118"/>
      <c r="I942" s="7"/>
      <c r="J942" s="7"/>
      <c r="K942" s="7"/>
      <c r="L942" s="7"/>
      <c r="M942" s="7"/>
      <c r="N942" s="7"/>
      <c r="O942" s="84" t="e" cm="1">
        <f t="array" ref="O942">_xlfn.XLOOKUP(1,(A942=Geotech!$A$4:$A$10094)*(Data_Discontinuities[[#This Row],[Depth (m)]]&gt;=Geotech!$C$4:$C$10094)*(Data_Discontinuities[[#This Row],[Depth (m)]]&lt;Geotech!$D$4:$D$10094),Geotech!$M$4:$M$10094)</f>
        <v>#N/A</v>
      </c>
      <c r="P942" s="84"/>
      <c r="Q942" s="84"/>
      <c r="R942" s="84"/>
      <c r="S9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2" s="71" t="str">
        <f>IFERROR(Data_Discontinuities[[#This Row],[Joint roughness]]/Data_Discontinuities[[#This Row],[Joint alteration]],"")</f>
        <v/>
      </c>
      <c r="V9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2" s="87"/>
    </row>
    <row r="943" spans="2:23" ht="15" customHeight="1" x14ac:dyDescent="0.25">
      <c r="B943" s="17" t="e">
        <f>VLOOKUP(Data_Discontinuities[[#This Row],[Hole ID]],Data_Log[],2,FALSE)</f>
        <v>#N/A</v>
      </c>
      <c r="C943" s="8"/>
      <c r="D943" s="8"/>
      <c r="E943" s="7"/>
      <c r="F943" s="7"/>
      <c r="G943" s="7"/>
      <c r="H943" s="118"/>
      <c r="I943" s="7"/>
      <c r="J943" s="7"/>
      <c r="K943" s="7"/>
      <c r="L943" s="7"/>
      <c r="M943" s="7"/>
      <c r="N943" s="7"/>
      <c r="O943" s="84" t="e" cm="1">
        <f t="array" ref="O943">_xlfn.XLOOKUP(1,(A943=Geotech!$A$4:$A$10094)*(Data_Discontinuities[[#This Row],[Depth (m)]]&gt;=Geotech!$C$4:$C$10094)*(Data_Discontinuities[[#This Row],[Depth (m)]]&lt;Geotech!$D$4:$D$10094),Geotech!$M$4:$M$10094)</f>
        <v>#N/A</v>
      </c>
      <c r="P943" s="84"/>
      <c r="Q943" s="84"/>
      <c r="R943" s="84"/>
      <c r="S9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3" s="71" t="str">
        <f>IFERROR(Data_Discontinuities[[#This Row],[Joint roughness]]/Data_Discontinuities[[#This Row],[Joint alteration]],"")</f>
        <v/>
      </c>
      <c r="V9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3" s="87"/>
    </row>
    <row r="944" spans="2:23" ht="15" customHeight="1" x14ac:dyDescent="0.25">
      <c r="B944" s="17" t="e">
        <f>VLOOKUP(Data_Discontinuities[[#This Row],[Hole ID]],Data_Log[],2,FALSE)</f>
        <v>#N/A</v>
      </c>
      <c r="C944" s="8"/>
      <c r="D944" s="8"/>
      <c r="E944" s="7"/>
      <c r="F944" s="7"/>
      <c r="G944" s="7"/>
      <c r="H944" s="118"/>
      <c r="I944" s="7"/>
      <c r="J944" s="7"/>
      <c r="K944" s="7"/>
      <c r="L944" s="7"/>
      <c r="M944" s="7"/>
      <c r="N944" s="7"/>
      <c r="O944" s="84" t="e" cm="1">
        <f t="array" ref="O944">_xlfn.XLOOKUP(1,(A944=Geotech!$A$4:$A$10094)*(Data_Discontinuities[[#This Row],[Depth (m)]]&gt;=Geotech!$C$4:$C$10094)*(Data_Discontinuities[[#This Row],[Depth (m)]]&lt;Geotech!$D$4:$D$10094),Geotech!$M$4:$M$10094)</f>
        <v>#N/A</v>
      </c>
      <c r="P944" s="84"/>
      <c r="Q944" s="84"/>
      <c r="R944" s="84"/>
      <c r="S9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4" s="71" t="str">
        <f>IFERROR(Data_Discontinuities[[#This Row],[Joint roughness]]/Data_Discontinuities[[#This Row],[Joint alteration]],"")</f>
        <v/>
      </c>
      <c r="V9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4" s="87"/>
    </row>
    <row r="945" spans="2:23" ht="15" customHeight="1" x14ac:dyDescent="0.25">
      <c r="B945" s="17" t="e">
        <f>VLOOKUP(Data_Discontinuities[[#This Row],[Hole ID]],Data_Log[],2,FALSE)</f>
        <v>#N/A</v>
      </c>
      <c r="C945" s="8"/>
      <c r="D945" s="8"/>
      <c r="E945" s="7"/>
      <c r="F945" s="7"/>
      <c r="G945" s="7"/>
      <c r="H945" s="118"/>
      <c r="I945" s="7"/>
      <c r="J945" s="7"/>
      <c r="K945" s="7"/>
      <c r="L945" s="7"/>
      <c r="M945" s="7"/>
      <c r="N945" s="7"/>
      <c r="O945" s="84" t="e" cm="1">
        <f t="array" ref="O945">_xlfn.XLOOKUP(1,(A945=Geotech!$A$4:$A$10094)*(Data_Discontinuities[[#This Row],[Depth (m)]]&gt;=Geotech!$C$4:$C$10094)*(Data_Discontinuities[[#This Row],[Depth (m)]]&lt;Geotech!$D$4:$D$10094),Geotech!$M$4:$M$10094)</f>
        <v>#N/A</v>
      </c>
      <c r="P945" s="84"/>
      <c r="Q945" s="84"/>
      <c r="R945" s="84"/>
      <c r="S9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5" s="71" t="str">
        <f>IFERROR(Data_Discontinuities[[#This Row],[Joint roughness]]/Data_Discontinuities[[#This Row],[Joint alteration]],"")</f>
        <v/>
      </c>
      <c r="V9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5" s="87"/>
    </row>
    <row r="946" spans="2:23" ht="15" customHeight="1" x14ac:dyDescent="0.25">
      <c r="B946" s="17" t="e">
        <f>VLOOKUP(Data_Discontinuities[[#This Row],[Hole ID]],Data_Log[],2,FALSE)</f>
        <v>#N/A</v>
      </c>
      <c r="C946" s="8"/>
      <c r="D946" s="8"/>
      <c r="E946" s="7"/>
      <c r="F946" s="7"/>
      <c r="G946" s="7"/>
      <c r="H946" s="118"/>
      <c r="I946" s="7"/>
      <c r="J946" s="7"/>
      <c r="K946" s="7"/>
      <c r="L946" s="7"/>
      <c r="M946" s="7"/>
      <c r="N946" s="7"/>
      <c r="O946" s="84" t="e" cm="1">
        <f t="array" ref="O946">_xlfn.XLOOKUP(1,(A946=Geotech!$A$4:$A$10094)*(Data_Discontinuities[[#This Row],[Depth (m)]]&gt;=Geotech!$C$4:$C$10094)*(Data_Discontinuities[[#This Row],[Depth (m)]]&lt;Geotech!$D$4:$D$10094),Geotech!$M$4:$M$10094)</f>
        <v>#N/A</v>
      </c>
      <c r="P946" s="84"/>
      <c r="Q946" s="84"/>
      <c r="R946" s="84"/>
      <c r="S9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6" s="71" t="str">
        <f>IFERROR(Data_Discontinuities[[#This Row],[Joint roughness]]/Data_Discontinuities[[#This Row],[Joint alteration]],"")</f>
        <v/>
      </c>
      <c r="V9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6" s="87"/>
    </row>
    <row r="947" spans="2:23" ht="15" customHeight="1" x14ac:dyDescent="0.25">
      <c r="B947" s="17" t="e">
        <f>VLOOKUP(Data_Discontinuities[[#This Row],[Hole ID]],Data_Log[],2,FALSE)</f>
        <v>#N/A</v>
      </c>
      <c r="C947" s="8"/>
      <c r="D947" s="8"/>
      <c r="E947" s="7"/>
      <c r="F947" s="7"/>
      <c r="G947" s="7"/>
      <c r="H947" s="118"/>
      <c r="I947" s="7"/>
      <c r="J947" s="7"/>
      <c r="K947" s="7"/>
      <c r="L947" s="7"/>
      <c r="M947" s="7"/>
      <c r="N947" s="7"/>
      <c r="O947" s="84" t="e" cm="1">
        <f t="array" ref="O947">_xlfn.XLOOKUP(1,(A947=Geotech!$A$4:$A$10094)*(Data_Discontinuities[[#This Row],[Depth (m)]]&gt;=Geotech!$C$4:$C$10094)*(Data_Discontinuities[[#This Row],[Depth (m)]]&lt;Geotech!$D$4:$D$10094),Geotech!$M$4:$M$10094)</f>
        <v>#N/A</v>
      </c>
      <c r="P947" s="84"/>
      <c r="Q947" s="84"/>
      <c r="R947" s="84"/>
      <c r="S9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7" s="71" t="str">
        <f>IFERROR(Data_Discontinuities[[#This Row],[Joint roughness]]/Data_Discontinuities[[#This Row],[Joint alteration]],"")</f>
        <v/>
      </c>
      <c r="V9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7" s="87"/>
    </row>
    <row r="948" spans="2:23" ht="15" customHeight="1" x14ac:dyDescent="0.25">
      <c r="B948" s="17" t="e">
        <f>VLOOKUP(Data_Discontinuities[[#This Row],[Hole ID]],Data_Log[],2,FALSE)</f>
        <v>#N/A</v>
      </c>
      <c r="C948" s="8"/>
      <c r="D948" s="8"/>
      <c r="E948" s="7"/>
      <c r="F948" s="7"/>
      <c r="G948" s="7"/>
      <c r="H948" s="118"/>
      <c r="I948" s="7"/>
      <c r="J948" s="7"/>
      <c r="K948" s="7"/>
      <c r="L948" s="7"/>
      <c r="M948" s="7"/>
      <c r="N948" s="7"/>
      <c r="O948" s="84" t="e" cm="1">
        <f t="array" ref="O948">_xlfn.XLOOKUP(1,(A948=Geotech!$A$4:$A$10094)*(Data_Discontinuities[[#This Row],[Depth (m)]]&gt;=Geotech!$C$4:$C$10094)*(Data_Discontinuities[[#This Row],[Depth (m)]]&lt;Geotech!$D$4:$D$10094),Geotech!$M$4:$M$10094)</f>
        <v>#N/A</v>
      </c>
      <c r="P948" s="84"/>
      <c r="Q948" s="84"/>
      <c r="R948" s="84"/>
      <c r="S9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8" s="71" t="str">
        <f>IFERROR(Data_Discontinuities[[#This Row],[Joint roughness]]/Data_Discontinuities[[#This Row],[Joint alteration]],"")</f>
        <v/>
      </c>
      <c r="V9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8" s="87"/>
    </row>
    <row r="949" spans="2:23" ht="15" customHeight="1" x14ac:dyDescent="0.25">
      <c r="B949" s="17" t="e">
        <f>VLOOKUP(Data_Discontinuities[[#This Row],[Hole ID]],Data_Log[],2,FALSE)</f>
        <v>#N/A</v>
      </c>
      <c r="C949" s="8"/>
      <c r="D949" s="8"/>
      <c r="E949" s="7"/>
      <c r="F949" s="7"/>
      <c r="G949" s="7"/>
      <c r="H949" s="118"/>
      <c r="I949" s="7"/>
      <c r="J949" s="7"/>
      <c r="K949" s="7"/>
      <c r="L949" s="7"/>
      <c r="M949" s="7"/>
      <c r="N949" s="7"/>
      <c r="O949" s="84" t="e" cm="1">
        <f t="array" ref="O949">_xlfn.XLOOKUP(1,(A949=Geotech!$A$4:$A$10094)*(Data_Discontinuities[[#This Row],[Depth (m)]]&gt;=Geotech!$C$4:$C$10094)*(Data_Discontinuities[[#This Row],[Depth (m)]]&lt;Geotech!$D$4:$D$10094),Geotech!$M$4:$M$10094)</f>
        <v>#N/A</v>
      </c>
      <c r="P949" s="84"/>
      <c r="Q949" s="84"/>
      <c r="R949" s="84"/>
      <c r="S9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49" s="71" t="str">
        <f>IFERROR(Data_Discontinuities[[#This Row],[Joint roughness]]/Data_Discontinuities[[#This Row],[Joint alteration]],"")</f>
        <v/>
      </c>
      <c r="V9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49" s="87"/>
    </row>
    <row r="950" spans="2:23" ht="15" customHeight="1" x14ac:dyDescent="0.25">
      <c r="B950" s="17" t="e">
        <f>VLOOKUP(Data_Discontinuities[[#This Row],[Hole ID]],Data_Log[],2,FALSE)</f>
        <v>#N/A</v>
      </c>
      <c r="C950" s="8"/>
      <c r="D950" s="8"/>
      <c r="E950" s="7"/>
      <c r="F950" s="7"/>
      <c r="G950" s="7"/>
      <c r="H950" s="118"/>
      <c r="I950" s="7"/>
      <c r="J950" s="7"/>
      <c r="K950" s="7"/>
      <c r="L950" s="7"/>
      <c r="M950" s="7"/>
      <c r="N950" s="7"/>
      <c r="O950" s="84" t="e" cm="1">
        <f t="array" ref="O950">_xlfn.XLOOKUP(1,(A950=Geotech!$A$4:$A$10094)*(Data_Discontinuities[[#This Row],[Depth (m)]]&gt;=Geotech!$C$4:$C$10094)*(Data_Discontinuities[[#This Row],[Depth (m)]]&lt;Geotech!$D$4:$D$10094),Geotech!$M$4:$M$10094)</f>
        <v>#N/A</v>
      </c>
      <c r="P950" s="84"/>
      <c r="Q950" s="84"/>
      <c r="R950" s="84"/>
      <c r="S9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0" s="71" t="str">
        <f>IFERROR(Data_Discontinuities[[#This Row],[Joint roughness]]/Data_Discontinuities[[#This Row],[Joint alteration]],"")</f>
        <v/>
      </c>
      <c r="V9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0" s="87"/>
    </row>
    <row r="951" spans="2:23" ht="15" customHeight="1" x14ac:dyDescent="0.25">
      <c r="B951" s="17" t="e">
        <f>VLOOKUP(Data_Discontinuities[[#This Row],[Hole ID]],Data_Log[],2,FALSE)</f>
        <v>#N/A</v>
      </c>
      <c r="C951" s="8"/>
      <c r="D951" s="8"/>
      <c r="E951" s="7"/>
      <c r="F951" s="7"/>
      <c r="G951" s="7"/>
      <c r="H951" s="118"/>
      <c r="I951" s="7"/>
      <c r="J951" s="7"/>
      <c r="K951" s="7"/>
      <c r="L951" s="7"/>
      <c r="M951" s="7"/>
      <c r="N951" s="7"/>
      <c r="O951" s="84" t="e" cm="1">
        <f t="array" ref="O951">_xlfn.XLOOKUP(1,(A951=Geotech!$A$4:$A$10094)*(Data_Discontinuities[[#This Row],[Depth (m)]]&gt;=Geotech!$C$4:$C$10094)*(Data_Discontinuities[[#This Row],[Depth (m)]]&lt;Geotech!$D$4:$D$10094),Geotech!$M$4:$M$10094)</f>
        <v>#N/A</v>
      </c>
      <c r="P951" s="84"/>
      <c r="Q951" s="84"/>
      <c r="R951" s="84"/>
      <c r="S9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1" s="71" t="str">
        <f>IFERROR(Data_Discontinuities[[#This Row],[Joint roughness]]/Data_Discontinuities[[#This Row],[Joint alteration]],"")</f>
        <v/>
      </c>
      <c r="V9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1" s="87"/>
    </row>
    <row r="952" spans="2:23" ht="15" customHeight="1" x14ac:dyDescent="0.25">
      <c r="B952" s="17" t="e">
        <f>VLOOKUP(Data_Discontinuities[[#This Row],[Hole ID]],Data_Log[],2,FALSE)</f>
        <v>#N/A</v>
      </c>
      <c r="C952" s="8"/>
      <c r="D952" s="8"/>
      <c r="E952" s="7"/>
      <c r="F952" s="7"/>
      <c r="G952" s="7"/>
      <c r="H952" s="118"/>
      <c r="I952" s="7"/>
      <c r="J952" s="7"/>
      <c r="K952" s="7"/>
      <c r="L952" s="7"/>
      <c r="M952" s="7"/>
      <c r="N952" s="7"/>
      <c r="O952" s="84" t="e" cm="1">
        <f t="array" ref="O952">_xlfn.XLOOKUP(1,(A952=Geotech!$A$4:$A$10094)*(Data_Discontinuities[[#This Row],[Depth (m)]]&gt;=Geotech!$C$4:$C$10094)*(Data_Discontinuities[[#This Row],[Depth (m)]]&lt;Geotech!$D$4:$D$10094),Geotech!$M$4:$M$10094)</f>
        <v>#N/A</v>
      </c>
      <c r="P952" s="84"/>
      <c r="Q952" s="84"/>
      <c r="R952" s="84"/>
      <c r="S9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2" s="71" t="str">
        <f>IFERROR(Data_Discontinuities[[#This Row],[Joint roughness]]/Data_Discontinuities[[#This Row],[Joint alteration]],"")</f>
        <v/>
      </c>
      <c r="V9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2" s="87"/>
    </row>
    <row r="953" spans="2:23" ht="15" customHeight="1" x14ac:dyDescent="0.25">
      <c r="B953" s="17" t="e">
        <f>VLOOKUP(Data_Discontinuities[[#This Row],[Hole ID]],Data_Log[],2,FALSE)</f>
        <v>#N/A</v>
      </c>
      <c r="C953" s="8"/>
      <c r="D953" s="8"/>
      <c r="E953" s="7"/>
      <c r="F953" s="7"/>
      <c r="G953" s="7"/>
      <c r="H953" s="118"/>
      <c r="I953" s="7"/>
      <c r="J953" s="7"/>
      <c r="K953" s="7"/>
      <c r="L953" s="7"/>
      <c r="M953" s="7"/>
      <c r="N953" s="7"/>
      <c r="O953" s="84" t="e" cm="1">
        <f t="array" ref="O953">_xlfn.XLOOKUP(1,(A953=Geotech!$A$4:$A$10094)*(Data_Discontinuities[[#This Row],[Depth (m)]]&gt;=Geotech!$C$4:$C$10094)*(Data_Discontinuities[[#This Row],[Depth (m)]]&lt;Geotech!$D$4:$D$10094),Geotech!$M$4:$M$10094)</f>
        <v>#N/A</v>
      </c>
      <c r="P953" s="84"/>
      <c r="Q953" s="84"/>
      <c r="R953" s="84"/>
      <c r="S9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3" s="71" t="str">
        <f>IFERROR(Data_Discontinuities[[#This Row],[Joint roughness]]/Data_Discontinuities[[#This Row],[Joint alteration]],"")</f>
        <v/>
      </c>
      <c r="V9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3" s="87"/>
    </row>
    <row r="954" spans="2:23" ht="15" customHeight="1" x14ac:dyDescent="0.25">
      <c r="B954" s="17" t="e">
        <f>VLOOKUP(Data_Discontinuities[[#This Row],[Hole ID]],Data_Log[],2,FALSE)</f>
        <v>#N/A</v>
      </c>
      <c r="C954" s="8"/>
      <c r="D954" s="8"/>
      <c r="E954" s="7"/>
      <c r="F954" s="7"/>
      <c r="G954" s="7"/>
      <c r="H954" s="118"/>
      <c r="I954" s="7"/>
      <c r="J954" s="7"/>
      <c r="K954" s="7"/>
      <c r="L954" s="7"/>
      <c r="M954" s="7"/>
      <c r="N954" s="7"/>
      <c r="O954" s="84" t="e" cm="1">
        <f t="array" ref="O954">_xlfn.XLOOKUP(1,(A954=Geotech!$A$4:$A$10094)*(Data_Discontinuities[[#This Row],[Depth (m)]]&gt;=Geotech!$C$4:$C$10094)*(Data_Discontinuities[[#This Row],[Depth (m)]]&lt;Geotech!$D$4:$D$10094),Geotech!$M$4:$M$10094)</f>
        <v>#N/A</v>
      </c>
      <c r="P954" s="84"/>
      <c r="Q954" s="84"/>
      <c r="R954" s="84"/>
      <c r="S9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4" s="71" t="str">
        <f>IFERROR(Data_Discontinuities[[#This Row],[Joint roughness]]/Data_Discontinuities[[#This Row],[Joint alteration]],"")</f>
        <v/>
      </c>
      <c r="V9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4" s="87"/>
    </row>
    <row r="955" spans="2:23" ht="15" customHeight="1" x14ac:dyDescent="0.25">
      <c r="B955" s="17" t="e">
        <f>VLOOKUP(Data_Discontinuities[[#This Row],[Hole ID]],Data_Log[],2,FALSE)</f>
        <v>#N/A</v>
      </c>
      <c r="C955" s="8"/>
      <c r="D955" s="8"/>
      <c r="E955" s="7"/>
      <c r="F955" s="7"/>
      <c r="G955" s="7"/>
      <c r="H955" s="118"/>
      <c r="I955" s="7"/>
      <c r="J955" s="7"/>
      <c r="K955" s="7"/>
      <c r="L955" s="7"/>
      <c r="M955" s="7"/>
      <c r="N955" s="7"/>
      <c r="O955" s="84" t="e" cm="1">
        <f t="array" ref="O955">_xlfn.XLOOKUP(1,(A955=Geotech!$A$4:$A$10094)*(Data_Discontinuities[[#This Row],[Depth (m)]]&gt;=Geotech!$C$4:$C$10094)*(Data_Discontinuities[[#This Row],[Depth (m)]]&lt;Geotech!$D$4:$D$10094),Geotech!$M$4:$M$10094)</f>
        <v>#N/A</v>
      </c>
      <c r="P955" s="84"/>
      <c r="Q955" s="84"/>
      <c r="R955" s="84"/>
      <c r="S9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5" s="71" t="str">
        <f>IFERROR(Data_Discontinuities[[#This Row],[Joint roughness]]/Data_Discontinuities[[#This Row],[Joint alteration]],"")</f>
        <v/>
      </c>
      <c r="V9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5" s="87"/>
    </row>
    <row r="956" spans="2:23" ht="15" customHeight="1" x14ac:dyDescent="0.25">
      <c r="B956" s="17" t="e">
        <f>VLOOKUP(Data_Discontinuities[[#This Row],[Hole ID]],Data_Log[],2,FALSE)</f>
        <v>#N/A</v>
      </c>
      <c r="C956" s="8"/>
      <c r="D956" s="8"/>
      <c r="E956" s="7"/>
      <c r="F956" s="7"/>
      <c r="G956" s="7"/>
      <c r="H956" s="118"/>
      <c r="I956" s="7"/>
      <c r="J956" s="7"/>
      <c r="K956" s="7"/>
      <c r="L956" s="7"/>
      <c r="M956" s="7"/>
      <c r="N956" s="7"/>
      <c r="O956" s="84" t="e" cm="1">
        <f t="array" ref="O956">_xlfn.XLOOKUP(1,(A956=Geotech!$A$4:$A$10094)*(Data_Discontinuities[[#This Row],[Depth (m)]]&gt;=Geotech!$C$4:$C$10094)*(Data_Discontinuities[[#This Row],[Depth (m)]]&lt;Geotech!$D$4:$D$10094),Geotech!$M$4:$M$10094)</f>
        <v>#N/A</v>
      </c>
      <c r="P956" s="84"/>
      <c r="Q956" s="84"/>
      <c r="R956" s="84"/>
      <c r="S9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6" s="71" t="str">
        <f>IFERROR(Data_Discontinuities[[#This Row],[Joint roughness]]/Data_Discontinuities[[#This Row],[Joint alteration]],"")</f>
        <v/>
      </c>
      <c r="V9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6" s="87"/>
    </row>
    <row r="957" spans="2:23" ht="15" customHeight="1" x14ac:dyDescent="0.25">
      <c r="B957" s="17" t="e">
        <f>VLOOKUP(Data_Discontinuities[[#This Row],[Hole ID]],Data_Log[],2,FALSE)</f>
        <v>#N/A</v>
      </c>
      <c r="C957" s="8"/>
      <c r="D957" s="8"/>
      <c r="E957" s="7"/>
      <c r="F957" s="7"/>
      <c r="G957" s="7"/>
      <c r="H957" s="118"/>
      <c r="I957" s="7"/>
      <c r="J957" s="7"/>
      <c r="K957" s="7"/>
      <c r="L957" s="7"/>
      <c r="M957" s="7"/>
      <c r="N957" s="7"/>
      <c r="O957" s="84" t="e" cm="1">
        <f t="array" ref="O957">_xlfn.XLOOKUP(1,(A957=Geotech!$A$4:$A$10094)*(Data_Discontinuities[[#This Row],[Depth (m)]]&gt;=Geotech!$C$4:$C$10094)*(Data_Discontinuities[[#This Row],[Depth (m)]]&lt;Geotech!$D$4:$D$10094),Geotech!$M$4:$M$10094)</f>
        <v>#N/A</v>
      </c>
      <c r="P957" s="84"/>
      <c r="Q957" s="84"/>
      <c r="R957" s="84"/>
      <c r="S9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7" s="71" t="str">
        <f>IFERROR(Data_Discontinuities[[#This Row],[Joint roughness]]/Data_Discontinuities[[#This Row],[Joint alteration]],"")</f>
        <v/>
      </c>
      <c r="V9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7" s="87"/>
    </row>
    <row r="958" spans="2:23" ht="15" customHeight="1" x14ac:dyDescent="0.25">
      <c r="B958" s="17" t="e">
        <f>VLOOKUP(Data_Discontinuities[[#This Row],[Hole ID]],Data_Log[],2,FALSE)</f>
        <v>#N/A</v>
      </c>
      <c r="C958" s="8"/>
      <c r="D958" s="8"/>
      <c r="E958" s="7"/>
      <c r="F958" s="7"/>
      <c r="G958" s="7"/>
      <c r="H958" s="118"/>
      <c r="I958" s="7"/>
      <c r="J958" s="7"/>
      <c r="K958" s="7"/>
      <c r="L958" s="7"/>
      <c r="M958" s="7"/>
      <c r="N958" s="7"/>
      <c r="O958" s="84" t="e" cm="1">
        <f t="array" ref="O958">_xlfn.XLOOKUP(1,(A958=Geotech!$A$4:$A$10094)*(Data_Discontinuities[[#This Row],[Depth (m)]]&gt;=Geotech!$C$4:$C$10094)*(Data_Discontinuities[[#This Row],[Depth (m)]]&lt;Geotech!$D$4:$D$10094),Geotech!$M$4:$M$10094)</f>
        <v>#N/A</v>
      </c>
      <c r="P958" s="84"/>
      <c r="Q958" s="84"/>
      <c r="R958" s="84"/>
      <c r="S9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8" s="71" t="str">
        <f>IFERROR(Data_Discontinuities[[#This Row],[Joint roughness]]/Data_Discontinuities[[#This Row],[Joint alteration]],"")</f>
        <v/>
      </c>
      <c r="V9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8" s="87"/>
    </row>
    <row r="959" spans="2:23" ht="15" customHeight="1" x14ac:dyDescent="0.25">
      <c r="B959" s="17" t="e">
        <f>VLOOKUP(Data_Discontinuities[[#This Row],[Hole ID]],Data_Log[],2,FALSE)</f>
        <v>#N/A</v>
      </c>
      <c r="C959" s="8"/>
      <c r="D959" s="8"/>
      <c r="E959" s="7"/>
      <c r="F959" s="7"/>
      <c r="G959" s="7"/>
      <c r="H959" s="118"/>
      <c r="I959" s="7"/>
      <c r="J959" s="7"/>
      <c r="K959" s="7"/>
      <c r="L959" s="7"/>
      <c r="M959" s="7"/>
      <c r="N959" s="7"/>
      <c r="O959" s="84" t="e" cm="1">
        <f t="array" ref="O959">_xlfn.XLOOKUP(1,(A959=Geotech!$A$4:$A$10094)*(Data_Discontinuities[[#This Row],[Depth (m)]]&gt;=Geotech!$C$4:$C$10094)*(Data_Discontinuities[[#This Row],[Depth (m)]]&lt;Geotech!$D$4:$D$10094),Geotech!$M$4:$M$10094)</f>
        <v>#N/A</v>
      </c>
      <c r="P959" s="84"/>
      <c r="Q959" s="84"/>
      <c r="R959" s="84"/>
      <c r="S9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59" s="71" t="str">
        <f>IFERROR(Data_Discontinuities[[#This Row],[Joint roughness]]/Data_Discontinuities[[#This Row],[Joint alteration]],"")</f>
        <v/>
      </c>
      <c r="V9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59" s="87"/>
    </row>
    <row r="960" spans="2:23" ht="15" customHeight="1" x14ac:dyDescent="0.25">
      <c r="B960" s="17" t="e">
        <f>VLOOKUP(Data_Discontinuities[[#This Row],[Hole ID]],Data_Log[],2,FALSE)</f>
        <v>#N/A</v>
      </c>
      <c r="C960" s="8"/>
      <c r="D960" s="8"/>
      <c r="E960" s="7"/>
      <c r="F960" s="7"/>
      <c r="G960" s="7"/>
      <c r="H960" s="118"/>
      <c r="I960" s="7"/>
      <c r="J960" s="7"/>
      <c r="K960" s="7"/>
      <c r="L960" s="7"/>
      <c r="M960" s="7"/>
      <c r="N960" s="7"/>
      <c r="O960" s="84" t="e" cm="1">
        <f t="array" ref="O960">_xlfn.XLOOKUP(1,(A960=Geotech!$A$4:$A$10094)*(Data_Discontinuities[[#This Row],[Depth (m)]]&gt;=Geotech!$C$4:$C$10094)*(Data_Discontinuities[[#This Row],[Depth (m)]]&lt;Geotech!$D$4:$D$10094),Geotech!$M$4:$M$10094)</f>
        <v>#N/A</v>
      </c>
      <c r="P960" s="84"/>
      <c r="Q960" s="84"/>
      <c r="R960" s="84"/>
      <c r="S9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0" s="71" t="str">
        <f>IFERROR(Data_Discontinuities[[#This Row],[Joint roughness]]/Data_Discontinuities[[#This Row],[Joint alteration]],"")</f>
        <v/>
      </c>
      <c r="V9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0" s="87"/>
    </row>
    <row r="961" spans="1:23" ht="15" customHeight="1" x14ac:dyDescent="0.25">
      <c r="B961" s="17" t="e">
        <f>VLOOKUP(Data_Discontinuities[[#This Row],[Hole ID]],Data_Log[],2,FALSE)</f>
        <v>#N/A</v>
      </c>
      <c r="C961" s="8"/>
      <c r="D961" s="8"/>
      <c r="E961" s="7"/>
      <c r="F961" s="7"/>
      <c r="G961" s="7"/>
      <c r="H961" s="118"/>
      <c r="I961" s="7"/>
      <c r="J961" s="7"/>
      <c r="K961" s="7"/>
      <c r="L961" s="7"/>
      <c r="M961" s="7"/>
      <c r="N961" s="7"/>
      <c r="O961" s="84" t="e" cm="1">
        <f t="array" ref="O961">_xlfn.XLOOKUP(1,(A961=Geotech!$A$4:$A$10094)*(Data_Discontinuities[[#This Row],[Depth (m)]]&gt;=Geotech!$C$4:$C$10094)*(Data_Discontinuities[[#This Row],[Depth (m)]]&lt;Geotech!$D$4:$D$10094),Geotech!$M$4:$M$10094)</f>
        <v>#N/A</v>
      </c>
      <c r="P961" s="84"/>
      <c r="Q961" s="84"/>
      <c r="R961" s="84"/>
      <c r="S9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1" s="71" t="str">
        <f>IFERROR(Data_Discontinuities[[#This Row],[Joint roughness]]/Data_Discontinuities[[#This Row],[Joint alteration]],"")</f>
        <v/>
      </c>
      <c r="V9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1" s="87"/>
    </row>
    <row r="962" spans="1:23" ht="15" customHeight="1" x14ac:dyDescent="0.25">
      <c r="B962" s="17" t="e">
        <f>VLOOKUP(Data_Discontinuities[[#This Row],[Hole ID]],Data_Log[],2,FALSE)</f>
        <v>#N/A</v>
      </c>
      <c r="C962" s="8"/>
      <c r="D962" s="8"/>
      <c r="E962" s="7"/>
      <c r="F962" s="7"/>
      <c r="G962" s="7"/>
      <c r="H962" s="118"/>
      <c r="I962" s="7"/>
      <c r="J962" s="7"/>
      <c r="K962" s="7"/>
      <c r="L962" s="7"/>
      <c r="M962" s="7"/>
      <c r="N962" s="7"/>
      <c r="O962" s="84" t="e" cm="1">
        <f t="array" ref="O962">_xlfn.XLOOKUP(1,(A962=Geotech!$A$4:$A$10094)*(Data_Discontinuities[[#This Row],[Depth (m)]]&gt;=Geotech!$C$4:$C$10094)*(Data_Discontinuities[[#This Row],[Depth (m)]]&lt;Geotech!$D$4:$D$10094),Geotech!$M$4:$M$10094)</f>
        <v>#N/A</v>
      </c>
      <c r="P962" s="84"/>
      <c r="Q962" s="84"/>
      <c r="R962" s="84"/>
      <c r="S9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2" s="71" t="str">
        <f>IFERROR(Data_Discontinuities[[#This Row],[Joint roughness]]/Data_Discontinuities[[#This Row],[Joint alteration]],"")</f>
        <v/>
      </c>
      <c r="V9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2" s="87"/>
    </row>
    <row r="963" spans="1:23" ht="15" customHeight="1" x14ac:dyDescent="0.25">
      <c r="B963" s="17" t="e">
        <f>VLOOKUP(Data_Discontinuities[[#This Row],[Hole ID]],Data_Log[],2,FALSE)</f>
        <v>#N/A</v>
      </c>
      <c r="C963" s="8"/>
      <c r="D963" s="8"/>
      <c r="E963" s="7"/>
      <c r="F963" s="7"/>
      <c r="G963" s="7"/>
      <c r="H963" s="118"/>
      <c r="I963" s="7"/>
      <c r="J963" s="7"/>
      <c r="K963" s="7"/>
      <c r="L963" s="7"/>
      <c r="M963" s="7"/>
      <c r="N963" s="7"/>
      <c r="O963" s="84" t="e" cm="1">
        <f t="array" ref="O963">_xlfn.XLOOKUP(1,(A963=Geotech!$A$4:$A$10094)*(Data_Discontinuities[[#This Row],[Depth (m)]]&gt;=Geotech!$C$4:$C$10094)*(Data_Discontinuities[[#This Row],[Depth (m)]]&lt;Geotech!$D$4:$D$10094),Geotech!$M$4:$M$10094)</f>
        <v>#N/A</v>
      </c>
      <c r="P963" s="84"/>
      <c r="Q963" s="84"/>
      <c r="R963" s="84"/>
      <c r="S9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3" s="71" t="str">
        <f>IFERROR(Data_Discontinuities[[#This Row],[Joint roughness]]/Data_Discontinuities[[#This Row],[Joint alteration]],"")</f>
        <v/>
      </c>
      <c r="V9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3" s="87"/>
    </row>
    <row r="964" spans="1:23" ht="15" customHeight="1" x14ac:dyDescent="0.25">
      <c r="B964" s="17" t="e">
        <f>VLOOKUP(Data_Discontinuities[[#This Row],[Hole ID]],Data_Log[],2,FALSE)</f>
        <v>#N/A</v>
      </c>
      <c r="C964" s="8"/>
      <c r="D964" s="8"/>
      <c r="E964" s="7"/>
      <c r="F964" s="7"/>
      <c r="G964" s="7"/>
      <c r="H964" s="118"/>
      <c r="I964" s="7"/>
      <c r="J964" s="7"/>
      <c r="K964" s="7"/>
      <c r="L964" s="7"/>
      <c r="M964" s="7"/>
      <c r="N964" s="7"/>
      <c r="O964" s="84" t="e" cm="1">
        <f t="array" ref="O964">_xlfn.XLOOKUP(1,(A964=Geotech!$A$4:$A$10094)*(Data_Discontinuities[[#This Row],[Depth (m)]]&gt;=Geotech!$C$4:$C$10094)*(Data_Discontinuities[[#This Row],[Depth (m)]]&lt;Geotech!$D$4:$D$10094),Geotech!$M$4:$M$10094)</f>
        <v>#N/A</v>
      </c>
      <c r="P964" s="84"/>
      <c r="Q964" s="84"/>
      <c r="R964" s="84"/>
      <c r="S9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4" s="71" t="str">
        <f>IFERROR(Data_Discontinuities[[#This Row],[Joint roughness]]/Data_Discontinuities[[#This Row],[Joint alteration]],"")</f>
        <v/>
      </c>
      <c r="V9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4" s="87"/>
    </row>
    <row r="965" spans="1:23" ht="15" customHeight="1" x14ac:dyDescent="0.25">
      <c r="B965" s="17" t="e">
        <f>VLOOKUP(Data_Discontinuities[[#This Row],[Hole ID]],Data_Log[],2,FALSE)</f>
        <v>#N/A</v>
      </c>
      <c r="C965" s="8"/>
      <c r="D965" s="8"/>
      <c r="E965" s="7"/>
      <c r="F965" s="7"/>
      <c r="G965" s="7"/>
      <c r="H965" s="118"/>
      <c r="I965" s="7"/>
      <c r="J965" s="7"/>
      <c r="K965" s="7"/>
      <c r="L965" s="7"/>
      <c r="M965" s="7"/>
      <c r="N965" s="7"/>
      <c r="O965" s="84" t="e" cm="1">
        <f t="array" ref="O965">_xlfn.XLOOKUP(1,(A965=Geotech!$A$4:$A$10094)*(Data_Discontinuities[[#This Row],[Depth (m)]]&gt;=Geotech!$C$4:$C$10094)*(Data_Discontinuities[[#This Row],[Depth (m)]]&lt;Geotech!$D$4:$D$10094),Geotech!$M$4:$M$10094)</f>
        <v>#N/A</v>
      </c>
      <c r="P965" s="84"/>
      <c r="Q965" s="84"/>
      <c r="R965" s="84"/>
      <c r="S9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5" s="71" t="str">
        <f>IFERROR(Data_Discontinuities[[#This Row],[Joint roughness]]/Data_Discontinuities[[#This Row],[Joint alteration]],"")</f>
        <v/>
      </c>
      <c r="V9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5" s="87"/>
    </row>
    <row r="966" spans="1:23" ht="15" customHeight="1" x14ac:dyDescent="0.25">
      <c r="B966" s="17" t="e">
        <f>VLOOKUP(Data_Discontinuities[[#This Row],[Hole ID]],Data_Log[],2,FALSE)</f>
        <v>#N/A</v>
      </c>
      <c r="C966" s="8"/>
      <c r="D966" s="8"/>
      <c r="E966" s="7"/>
      <c r="F966" s="7"/>
      <c r="G966" s="7"/>
      <c r="H966" s="118"/>
      <c r="I966" s="7"/>
      <c r="J966" s="7"/>
      <c r="K966" s="7"/>
      <c r="L966" s="7"/>
      <c r="M966" s="7"/>
      <c r="N966" s="7"/>
      <c r="O966" s="84" t="e" cm="1">
        <f t="array" ref="O966">_xlfn.XLOOKUP(1,(A966=Geotech!$A$4:$A$10094)*(Data_Discontinuities[[#This Row],[Depth (m)]]&gt;=Geotech!$C$4:$C$10094)*(Data_Discontinuities[[#This Row],[Depth (m)]]&lt;Geotech!$D$4:$D$10094),Geotech!$M$4:$M$10094)</f>
        <v>#N/A</v>
      </c>
      <c r="P966" s="84"/>
      <c r="Q966" s="84"/>
      <c r="R966" s="84"/>
      <c r="S9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6" s="71" t="str">
        <f>IFERROR(Data_Discontinuities[[#This Row],[Joint roughness]]/Data_Discontinuities[[#This Row],[Joint alteration]],"")</f>
        <v/>
      </c>
      <c r="V9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6" s="87"/>
    </row>
    <row r="967" spans="1:23" ht="15" customHeight="1" x14ac:dyDescent="0.25">
      <c r="B967" s="17" t="e">
        <f>VLOOKUP(Data_Discontinuities[[#This Row],[Hole ID]],Data_Log[],2,FALSE)</f>
        <v>#N/A</v>
      </c>
      <c r="C967" s="8"/>
      <c r="D967" s="8"/>
      <c r="E967" s="7"/>
      <c r="F967" s="7"/>
      <c r="G967" s="7"/>
      <c r="H967" s="118"/>
      <c r="I967" s="7"/>
      <c r="J967" s="7"/>
      <c r="K967" s="7"/>
      <c r="L967" s="7"/>
      <c r="M967" s="7"/>
      <c r="N967" s="7"/>
      <c r="O967" s="84" t="e" cm="1">
        <f t="array" ref="O967">_xlfn.XLOOKUP(1,(A967=Geotech!$A$4:$A$10094)*(Data_Discontinuities[[#This Row],[Depth (m)]]&gt;=Geotech!$C$4:$C$10094)*(Data_Discontinuities[[#This Row],[Depth (m)]]&lt;Geotech!$D$4:$D$10094),Geotech!$M$4:$M$10094)</f>
        <v>#N/A</v>
      </c>
      <c r="P967" s="84"/>
      <c r="Q967" s="84"/>
      <c r="R967" s="84"/>
      <c r="S9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7" s="71" t="str">
        <f>IFERROR(Data_Discontinuities[[#This Row],[Joint roughness]]/Data_Discontinuities[[#This Row],[Joint alteration]],"")</f>
        <v/>
      </c>
      <c r="V9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7" s="87"/>
    </row>
    <row r="968" spans="1:23" ht="15" customHeight="1" x14ac:dyDescent="0.25">
      <c r="B968" s="17" t="e">
        <f>VLOOKUP(Data_Discontinuities[[#This Row],[Hole ID]],Data_Log[],2,FALSE)</f>
        <v>#N/A</v>
      </c>
      <c r="C968" s="8"/>
      <c r="D968" s="8"/>
      <c r="E968" s="7"/>
      <c r="F968" s="7"/>
      <c r="G968" s="7"/>
      <c r="H968" s="118"/>
      <c r="I968" s="7"/>
      <c r="J968" s="7"/>
      <c r="K968" s="7"/>
      <c r="L968" s="7"/>
      <c r="M968" s="7"/>
      <c r="N968" s="7"/>
      <c r="O968" s="84" t="e" cm="1">
        <f t="array" ref="O968">_xlfn.XLOOKUP(1,(A968=Geotech!$A$4:$A$10094)*(Data_Discontinuities[[#This Row],[Depth (m)]]&gt;=Geotech!$C$4:$C$10094)*(Data_Discontinuities[[#This Row],[Depth (m)]]&lt;Geotech!$D$4:$D$10094),Geotech!$M$4:$M$10094)</f>
        <v>#N/A</v>
      </c>
      <c r="P968" s="84"/>
      <c r="Q968" s="84"/>
      <c r="R968" s="84"/>
      <c r="S9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8" s="71" t="str">
        <f>IFERROR(Data_Discontinuities[[#This Row],[Joint roughness]]/Data_Discontinuities[[#This Row],[Joint alteration]],"")</f>
        <v/>
      </c>
      <c r="V9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8" s="87"/>
    </row>
    <row r="969" spans="1:23" ht="15" customHeight="1" x14ac:dyDescent="0.25">
      <c r="B969" s="17" t="e">
        <f>VLOOKUP(Data_Discontinuities[[#This Row],[Hole ID]],Data_Log[],2,FALSE)</f>
        <v>#N/A</v>
      </c>
      <c r="C969" s="8"/>
      <c r="D969" s="8"/>
      <c r="E969" s="7"/>
      <c r="F969" s="7"/>
      <c r="G969" s="7"/>
      <c r="H969" s="118"/>
      <c r="I969" s="7"/>
      <c r="J969" s="7"/>
      <c r="K969" s="7"/>
      <c r="L969" s="7"/>
      <c r="M969" s="7"/>
      <c r="N969" s="7"/>
      <c r="O969" s="84" t="e" cm="1">
        <f t="array" ref="O969">_xlfn.XLOOKUP(1,(A969=Geotech!$A$4:$A$10094)*(Data_Discontinuities[[#This Row],[Depth (m)]]&gt;=Geotech!$C$4:$C$10094)*(Data_Discontinuities[[#This Row],[Depth (m)]]&lt;Geotech!$D$4:$D$10094),Geotech!$M$4:$M$10094)</f>
        <v>#N/A</v>
      </c>
      <c r="P969" s="84"/>
      <c r="Q969" s="84"/>
      <c r="R969" s="84"/>
      <c r="S9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69" s="71" t="str">
        <f>IFERROR(Data_Discontinuities[[#This Row],[Joint roughness]]/Data_Discontinuities[[#This Row],[Joint alteration]],"")</f>
        <v/>
      </c>
      <c r="V9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69" s="87"/>
    </row>
    <row r="970" spans="1:23" ht="15" customHeight="1" x14ac:dyDescent="0.25">
      <c r="B970" s="17" t="e">
        <f>VLOOKUP(Data_Discontinuities[[#This Row],[Hole ID]],Data_Log[],2,FALSE)</f>
        <v>#N/A</v>
      </c>
      <c r="C970" s="8"/>
      <c r="D970" s="8"/>
      <c r="E970" s="7"/>
      <c r="F970" s="7"/>
      <c r="G970" s="7"/>
      <c r="H970" s="118"/>
      <c r="I970" s="7"/>
      <c r="J970" s="7"/>
      <c r="K970" s="7"/>
      <c r="L970" s="7"/>
      <c r="M970" s="7"/>
      <c r="N970" s="7"/>
      <c r="O970" s="84" t="e" cm="1">
        <f t="array" ref="O970">_xlfn.XLOOKUP(1,(A970=Geotech!$A$4:$A$10094)*(Data_Discontinuities[[#This Row],[Depth (m)]]&gt;=Geotech!$C$4:$C$10094)*(Data_Discontinuities[[#This Row],[Depth (m)]]&lt;Geotech!$D$4:$D$10094),Geotech!$M$4:$M$10094)</f>
        <v>#N/A</v>
      </c>
      <c r="P970" s="84"/>
      <c r="Q970" s="84"/>
      <c r="R970" s="84"/>
      <c r="S9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0" s="71" t="str">
        <f>IFERROR(Data_Discontinuities[[#This Row],[Joint roughness]]/Data_Discontinuities[[#This Row],[Joint alteration]],"")</f>
        <v/>
      </c>
      <c r="V9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0" s="87"/>
    </row>
    <row r="971" spans="1:23" ht="15" customHeight="1" x14ac:dyDescent="0.25">
      <c r="B971" s="17" t="e">
        <f>VLOOKUP(Data_Discontinuities[[#This Row],[Hole ID]],Data_Log[],2,FALSE)</f>
        <v>#N/A</v>
      </c>
      <c r="C971" s="8"/>
      <c r="D971" s="8"/>
      <c r="E971" s="7"/>
      <c r="F971" s="7"/>
      <c r="G971" s="7"/>
      <c r="H971" s="118"/>
      <c r="I971" s="7"/>
      <c r="J971" s="7"/>
      <c r="K971" s="7"/>
      <c r="L971" s="7"/>
      <c r="M971" s="7"/>
      <c r="N971" s="7"/>
      <c r="O971" s="84" t="e" cm="1">
        <f t="array" ref="O971">_xlfn.XLOOKUP(1,(A971=Geotech!$A$4:$A$10094)*(Data_Discontinuities[[#This Row],[Depth (m)]]&gt;=Geotech!$C$4:$C$10094)*(Data_Discontinuities[[#This Row],[Depth (m)]]&lt;Geotech!$D$4:$D$10094),Geotech!$M$4:$M$10094)</f>
        <v>#N/A</v>
      </c>
      <c r="P971" s="84"/>
      <c r="Q971" s="84"/>
      <c r="R971" s="84"/>
      <c r="S9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1" s="71" t="str">
        <f>IFERROR(Data_Discontinuities[[#This Row],[Joint roughness]]/Data_Discontinuities[[#This Row],[Joint alteration]],"")</f>
        <v/>
      </c>
      <c r="V9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1" s="87"/>
    </row>
    <row r="972" spans="1:23" ht="15" customHeight="1" x14ac:dyDescent="0.25">
      <c r="B972" s="17" t="e">
        <f>VLOOKUP(Data_Discontinuities[[#This Row],[Hole ID]],Data_Log[],2,FALSE)</f>
        <v>#N/A</v>
      </c>
      <c r="C972" s="8"/>
      <c r="D972" s="8"/>
      <c r="E972" s="7"/>
      <c r="F972" s="7"/>
      <c r="G972" s="7"/>
      <c r="H972" s="118"/>
      <c r="I972" s="7"/>
      <c r="J972" s="7"/>
      <c r="K972" s="7"/>
      <c r="L972" s="7"/>
      <c r="M972" s="7"/>
      <c r="N972" s="7"/>
      <c r="O972" s="84" t="e" cm="1">
        <f t="array" ref="O972">_xlfn.XLOOKUP(1,(A972=Geotech!$A$4:$A$10094)*(Data_Discontinuities[[#This Row],[Depth (m)]]&gt;=Geotech!$C$4:$C$10094)*(Data_Discontinuities[[#This Row],[Depth (m)]]&lt;Geotech!$D$4:$D$10094),Geotech!$M$4:$M$10094)</f>
        <v>#N/A</v>
      </c>
      <c r="P972" s="84"/>
      <c r="Q972" s="84"/>
      <c r="R972" s="84"/>
      <c r="S9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2" s="71" t="str">
        <f>IFERROR(Data_Discontinuities[[#This Row],[Joint roughness]]/Data_Discontinuities[[#This Row],[Joint alteration]],"")</f>
        <v/>
      </c>
      <c r="V9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2" s="87"/>
    </row>
    <row r="973" spans="1:23" ht="15" customHeight="1" x14ac:dyDescent="0.25">
      <c r="B973" s="17" t="e">
        <f>VLOOKUP(Data_Discontinuities[[#This Row],[Hole ID]],Data_Log[],2,FALSE)</f>
        <v>#N/A</v>
      </c>
      <c r="C973" s="8"/>
      <c r="D973" s="8"/>
      <c r="E973" s="7"/>
      <c r="F973" s="7"/>
      <c r="G973" s="7"/>
      <c r="H973" s="118"/>
      <c r="I973" s="7"/>
      <c r="J973" s="7"/>
      <c r="K973" s="7"/>
      <c r="L973" s="7"/>
      <c r="M973" s="7"/>
      <c r="N973" s="7"/>
      <c r="O973" s="84" t="e" cm="1">
        <f t="array" ref="O973">_xlfn.XLOOKUP(1,(A973=Geotech!$A$4:$A$10094)*(Data_Discontinuities[[#This Row],[Depth (m)]]&gt;=Geotech!$C$4:$C$10094)*(Data_Discontinuities[[#This Row],[Depth (m)]]&lt;Geotech!$D$4:$D$10094),Geotech!$M$4:$M$10094)</f>
        <v>#N/A</v>
      </c>
      <c r="P973" s="84"/>
      <c r="Q973" s="84"/>
      <c r="R973" s="84"/>
      <c r="S9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3" s="71" t="str">
        <f>IFERROR(Data_Discontinuities[[#This Row],[Joint roughness]]/Data_Discontinuities[[#This Row],[Joint alteration]],"")</f>
        <v/>
      </c>
      <c r="V9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3" s="87"/>
    </row>
    <row r="974" spans="1:23" ht="15" customHeight="1" x14ac:dyDescent="0.25">
      <c r="B974" s="17" t="e">
        <f>VLOOKUP(Data_Discontinuities[[#This Row],[Hole ID]],Data_Log[],2,FALSE)</f>
        <v>#N/A</v>
      </c>
      <c r="C974" s="8"/>
      <c r="D974" s="8"/>
      <c r="E974" s="7"/>
      <c r="F974" s="7"/>
      <c r="G974" s="7"/>
      <c r="H974" s="118"/>
      <c r="I974" s="7"/>
      <c r="J974" s="7"/>
      <c r="K974" s="7"/>
      <c r="L974" s="7"/>
      <c r="M974" s="7"/>
      <c r="N974" s="7"/>
      <c r="O974" s="84" t="e" cm="1">
        <f t="array" ref="O974">_xlfn.XLOOKUP(1,(A974=Geotech!$A$4:$A$10094)*(Data_Discontinuities[[#This Row],[Depth (m)]]&gt;=Geotech!$C$4:$C$10094)*(Data_Discontinuities[[#This Row],[Depth (m)]]&lt;Geotech!$D$4:$D$10094),Geotech!$M$4:$M$10094)</f>
        <v>#N/A</v>
      </c>
      <c r="P974" s="84"/>
      <c r="Q974" s="84"/>
      <c r="R974" s="84"/>
      <c r="S9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4" s="71" t="str">
        <f>IFERROR(Data_Discontinuities[[#This Row],[Joint roughness]]/Data_Discontinuities[[#This Row],[Joint alteration]],"")</f>
        <v/>
      </c>
      <c r="V9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4" s="87"/>
    </row>
    <row r="975" spans="1:23" ht="15" customHeight="1" x14ac:dyDescent="0.25">
      <c r="A975" s="90"/>
      <c r="B975" s="17" t="e">
        <f>VLOOKUP(Data_Discontinuities[[#This Row],[Hole ID]],Data_Log[],2,FALSE)</f>
        <v>#N/A</v>
      </c>
      <c r="C975" s="8"/>
      <c r="D975" s="8"/>
      <c r="E975" s="7"/>
      <c r="F975" s="7"/>
      <c r="G975" s="7"/>
      <c r="H975" s="118"/>
      <c r="I975" s="7"/>
      <c r="J975" s="7"/>
      <c r="K975" s="7"/>
      <c r="L975" s="7"/>
      <c r="M975" s="7"/>
      <c r="N975" s="7"/>
      <c r="O975" s="84" t="e" cm="1">
        <f t="array" ref="O975">_xlfn.XLOOKUP(1,(A975=Geotech!$A$4:$A$10094)*(Data_Discontinuities[[#This Row],[Depth (m)]]&gt;=Geotech!$C$4:$C$10094)*(Data_Discontinuities[[#This Row],[Depth (m)]]&lt;Geotech!$D$4:$D$10094),Geotech!$M$4:$M$10094)</f>
        <v>#N/A</v>
      </c>
      <c r="P975" s="84"/>
      <c r="Q975" s="84"/>
      <c r="R975" s="84"/>
      <c r="S9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5" s="71" t="str">
        <f>IFERROR(Data_Discontinuities[[#This Row],[Joint roughness]]/Data_Discontinuities[[#This Row],[Joint alteration]],"")</f>
        <v/>
      </c>
      <c r="V9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5" s="87"/>
    </row>
    <row r="976" spans="1:23" ht="15" customHeight="1" x14ac:dyDescent="0.25">
      <c r="A976" s="90"/>
      <c r="B976" s="17" t="e">
        <f>VLOOKUP(Data_Discontinuities[[#This Row],[Hole ID]],Data_Log[],2,FALSE)</f>
        <v>#N/A</v>
      </c>
      <c r="C976" s="8"/>
      <c r="D976" s="8"/>
      <c r="E976" s="7"/>
      <c r="F976" s="7"/>
      <c r="G976" s="7"/>
      <c r="H976" s="118"/>
      <c r="I976" s="7"/>
      <c r="J976" s="7"/>
      <c r="K976" s="7"/>
      <c r="L976" s="7"/>
      <c r="M976" s="7"/>
      <c r="N976" s="7"/>
      <c r="O976" s="84" t="e" cm="1">
        <f t="array" ref="O976">_xlfn.XLOOKUP(1,(A976=Geotech!$A$4:$A$10094)*(Data_Discontinuities[[#This Row],[Depth (m)]]&gt;=Geotech!$C$4:$C$10094)*(Data_Discontinuities[[#This Row],[Depth (m)]]&lt;Geotech!$D$4:$D$10094),Geotech!$M$4:$M$10094)</f>
        <v>#N/A</v>
      </c>
      <c r="P976" s="84"/>
      <c r="Q976" s="84"/>
      <c r="R976" s="84"/>
      <c r="S9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6" s="71" t="str">
        <f>IFERROR(Data_Discontinuities[[#This Row],[Joint roughness]]/Data_Discontinuities[[#This Row],[Joint alteration]],"")</f>
        <v/>
      </c>
      <c r="V9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6" s="87"/>
    </row>
    <row r="977" spans="1:23" ht="15" customHeight="1" x14ac:dyDescent="0.25">
      <c r="A977" s="90"/>
      <c r="B977" s="17" t="e">
        <f>VLOOKUP(Data_Discontinuities[[#This Row],[Hole ID]],Data_Log[],2,FALSE)</f>
        <v>#N/A</v>
      </c>
      <c r="C977" s="8"/>
      <c r="D977" s="8"/>
      <c r="E977" s="7"/>
      <c r="F977" s="7"/>
      <c r="G977" s="7"/>
      <c r="H977" s="118"/>
      <c r="I977" s="7"/>
      <c r="J977" s="7"/>
      <c r="K977" s="7"/>
      <c r="L977" s="7"/>
      <c r="M977" s="7"/>
      <c r="N977" s="7"/>
      <c r="O977" s="84" t="e" cm="1">
        <f t="array" ref="O977">_xlfn.XLOOKUP(1,(A977=Geotech!$A$4:$A$10094)*(Data_Discontinuities[[#This Row],[Depth (m)]]&gt;=Geotech!$C$4:$C$10094)*(Data_Discontinuities[[#This Row],[Depth (m)]]&lt;Geotech!$D$4:$D$10094),Geotech!$M$4:$M$10094)</f>
        <v>#N/A</v>
      </c>
      <c r="P977" s="84"/>
      <c r="Q977" s="84"/>
      <c r="R977" s="84"/>
      <c r="S9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7" s="71" t="str">
        <f>IFERROR(Data_Discontinuities[[#This Row],[Joint roughness]]/Data_Discontinuities[[#This Row],[Joint alteration]],"")</f>
        <v/>
      </c>
      <c r="V9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7" s="87"/>
    </row>
    <row r="978" spans="1:23" ht="15" customHeight="1" x14ac:dyDescent="0.25">
      <c r="A978" s="90"/>
      <c r="B978" s="17" t="e">
        <f>VLOOKUP(Data_Discontinuities[[#This Row],[Hole ID]],Data_Log[],2,FALSE)</f>
        <v>#N/A</v>
      </c>
      <c r="C978" s="8"/>
      <c r="D978" s="8"/>
      <c r="E978" s="7"/>
      <c r="F978" s="7"/>
      <c r="G978" s="7"/>
      <c r="H978" s="118"/>
      <c r="I978" s="7"/>
      <c r="J978" s="7"/>
      <c r="K978" s="7"/>
      <c r="L978" s="7"/>
      <c r="M978" s="7"/>
      <c r="N978" s="7"/>
      <c r="O978" s="84" t="e" cm="1">
        <f t="array" ref="O978">_xlfn.XLOOKUP(1,(A978=Geotech!$A$4:$A$10094)*(Data_Discontinuities[[#This Row],[Depth (m)]]&gt;=Geotech!$C$4:$C$10094)*(Data_Discontinuities[[#This Row],[Depth (m)]]&lt;Geotech!$D$4:$D$10094),Geotech!$M$4:$M$10094)</f>
        <v>#N/A</v>
      </c>
      <c r="P978" s="84"/>
      <c r="Q978" s="84"/>
      <c r="R978" s="84"/>
      <c r="S9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8" s="71" t="str">
        <f>IFERROR(Data_Discontinuities[[#This Row],[Joint roughness]]/Data_Discontinuities[[#This Row],[Joint alteration]],"")</f>
        <v/>
      </c>
      <c r="V9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8" s="87"/>
    </row>
    <row r="979" spans="1:23" ht="15" customHeight="1" x14ac:dyDescent="0.25">
      <c r="A979" s="90"/>
      <c r="B979" s="17" t="e">
        <f>VLOOKUP(Data_Discontinuities[[#This Row],[Hole ID]],Data_Log[],2,FALSE)</f>
        <v>#N/A</v>
      </c>
      <c r="C979" s="8"/>
      <c r="D979" s="8"/>
      <c r="E979" s="7"/>
      <c r="F979" s="7"/>
      <c r="G979" s="7"/>
      <c r="H979" s="118"/>
      <c r="I979" s="7"/>
      <c r="J979" s="7"/>
      <c r="K979" s="7"/>
      <c r="L979" s="7"/>
      <c r="M979" s="7"/>
      <c r="N979" s="7"/>
      <c r="O979" s="84" t="e" cm="1">
        <f t="array" ref="O979">_xlfn.XLOOKUP(1,(A979=Geotech!$A$4:$A$10094)*(Data_Discontinuities[[#This Row],[Depth (m)]]&gt;=Geotech!$C$4:$C$10094)*(Data_Discontinuities[[#This Row],[Depth (m)]]&lt;Geotech!$D$4:$D$10094),Geotech!$M$4:$M$10094)</f>
        <v>#N/A</v>
      </c>
      <c r="P979" s="84"/>
      <c r="Q979" s="84"/>
      <c r="R979" s="84"/>
      <c r="S9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79" s="71" t="str">
        <f>IFERROR(Data_Discontinuities[[#This Row],[Joint roughness]]/Data_Discontinuities[[#This Row],[Joint alteration]],"")</f>
        <v/>
      </c>
      <c r="V9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79" s="87"/>
    </row>
    <row r="980" spans="1:23" ht="15" customHeight="1" x14ac:dyDescent="0.25">
      <c r="A980" s="90"/>
      <c r="B980" s="17" t="e">
        <f>VLOOKUP(Data_Discontinuities[[#This Row],[Hole ID]],Data_Log[],2,FALSE)</f>
        <v>#N/A</v>
      </c>
      <c r="C980" s="8"/>
      <c r="D980" s="8"/>
      <c r="E980" s="7"/>
      <c r="F980" s="7"/>
      <c r="G980" s="7"/>
      <c r="H980" s="118"/>
      <c r="I980" s="7"/>
      <c r="J980" s="7"/>
      <c r="K980" s="7"/>
      <c r="L980" s="7"/>
      <c r="M980" s="7"/>
      <c r="N980" s="7"/>
      <c r="O980" s="84" t="e" cm="1">
        <f t="array" ref="O980">_xlfn.XLOOKUP(1,(A980=Geotech!$A$4:$A$10094)*(Data_Discontinuities[[#This Row],[Depth (m)]]&gt;=Geotech!$C$4:$C$10094)*(Data_Discontinuities[[#This Row],[Depth (m)]]&lt;Geotech!$D$4:$D$10094),Geotech!$M$4:$M$10094)</f>
        <v>#N/A</v>
      </c>
      <c r="P980" s="84"/>
      <c r="Q980" s="84"/>
      <c r="R980" s="84"/>
      <c r="S9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0" s="71" t="str">
        <f>IFERROR(Data_Discontinuities[[#This Row],[Joint roughness]]/Data_Discontinuities[[#This Row],[Joint alteration]],"")</f>
        <v/>
      </c>
      <c r="V9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0" s="87"/>
    </row>
    <row r="981" spans="1:23" ht="15" customHeight="1" x14ac:dyDescent="0.25">
      <c r="A981" s="90"/>
      <c r="B981" s="17" t="e">
        <f>VLOOKUP(Data_Discontinuities[[#This Row],[Hole ID]],Data_Log[],2,FALSE)</f>
        <v>#N/A</v>
      </c>
      <c r="C981" s="8"/>
      <c r="D981" s="8"/>
      <c r="E981" s="7"/>
      <c r="F981" s="7"/>
      <c r="G981" s="7"/>
      <c r="H981" s="118"/>
      <c r="I981" s="7"/>
      <c r="J981" s="7"/>
      <c r="K981" s="7"/>
      <c r="L981" s="7"/>
      <c r="M981" s="7"/>
      <c r="N981" s="7"/>
      <c r="O981" s="84" t="e" cm="1">
        <f t="array" ref="O981">_xlfn.XLOOKUP(1,(A981=Geotech!$A$4:$A$10094)*(Data_Discontinuities[[#This Row],[Depth (m)]]&gt;=Geotech!$C$4:$C$10094)*(Data_Discontinuities[[#This Row],[Depth (m)]]&lt;Geotech!$D$4:$D$10094),Geotech!$M$4:$M$10094)</f>
        <v>#N/A</v>
      </c>
      <c r="P981" s="84"/>
      <c r="Q981" s="84"/>
      <c r="R981" s="84"/>
      <c r="S9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1" s="71" t="str">
        <f>IFERROR(Data_Discontinuities[[#This Row],[Joint roughness]]/Data_Discontinuities[[#This Row],[Joint alteration]],"")</f>
        <v/>
      </c>
      <c r="V9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1" s="87"/>
    </row>
    <row r="982" spans="1:23" ht="15" customHeight="1" x14ac:dyDescent="0.25">
      <c r="A982" s="90"/>
      <c r="B982" s="17" t="e">
        <f>VLOOKUP(Data_Discontinuities[[#This Row],[Hole ID]],Data_Log[],2,FALSE)</f>
        <v>#N/A</v>
      </c>
      <c r="C982" s="8"/>
      <c r="D982" s="8"/>
      <c r="E982" s="7"/>
      <c r="F982" s="7"/>
      <c r="G982" s="7"/>
      <c r="H982" s="118"/>
      <c r="I982" s="7"/>
      <c r="J982" s="7"/>
      <c r="K982" s="7"/>
      <c r="L982" s="7"/>
      <c r="M982" s="7"/>
      <c r="N982" s="7"/>
      <c r="O982" s="84" t="e" cm="1">
        <f t="array" ref="O982">_xlfn.XLOOKUP(1,(A982=Geotech!$A$4:$A$10094)*(Data_Discontinuities[[#This Row],[Depth (m)]]&gt;=Geotech!$C$4:$C$10094)*(Data_Discontinuities[[#This Row],[Depth (m)]]&lt;Geotech!$D$4:$D$10094),Geotech!$M$4:$M$10094)</f>
        <v>#N/A</v>
      </c>
      <c r="P982" s="84"/>
      <c r="Q982" s="84"/>
      <c r="R982" s="84"/>
      <c r="S9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2" s="71" t="str">
        <f>IFERROR(Data_Discontinuities[[#This Row],[Joint roughness]]/Data_Discontinuities[[#This Row],[Joint alteration]],"")</f>
        <v/>
      </c>
      <c r="V9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2" s="87"/>
    </row>
    <row r="983" spans="1:23" ht="15" customHeight="1" x14ac:dyDescent="0.25">
      <c r="A983" s="90"/>
      <c r="B983" s="17" t="e">
        <f>VLOOKUP(Data_Discontinuities[[#This Row],[Hole ID]],Data_Log[],2,FALSE)</f>
        <v>#N/A</v>
      </c>
      <c r="C983" s="8"/>
      <c r="D983" s="8"/>
      <c r="E983" s="7"/>
      <c r="F983" s="7"/>
      <c r="G983" s="7"/>
      <c r="H983" s="118"/>
      <c r="I983" s="7"/>
      <c r="J983" s="7"/>
      <c r="K983" s="7"/>
      <c r="L983" s="7"/>
      <c r="M983" s="7"/>
      <c r="N983" s="7"/>
      <c r="O983" s="84" t="e" cm="1">
        <f t="array" ref="O983">_xlfn.XLOOKUP(1,(A983=Geotech!$A$4:$A$10094)*(Data_Discontinuities[[#This Row],[Depth (m)]]&gt;=Geotech!$C$4:$C$10094)*(Data_Discontinuities[[#This Row],[Depth (m)]]&lt;Geotech!$D$4:$D$10094),Geotech!$M$4:$M$10094)</f>
        <v>#N/A</v>
      </c>
      <c r="P983" s="84"/>
      <c r="Q983" s="84"/>
      <c r="R983" s="84"/>
      <c r="S9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3" s="71" t="str">
        <f>IFERROR(Data_Discontinuities[[#This Row],[Joint roughness]]/Data_Discontinuities[[#This Row],[Joint alteration]],"")</f>
        <v/>
      </c>
      <c r="V9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3" s="87"/>
    </row>
    <row r="984" spans="1:23" ht="15" customHeight="1" x14ac:dyDescent="0.25">
      <c r="A984" s="90"/>
      <c r="B984" s="17" t="e">
        <f>VLOOKUP(Data_Discontinuities[[#This Row],[Hole ID]],Data_Log[],2,FALSE)</f>
        <v>#N/A</v>
      </c>
      <c r="C984" s="8"/>
      <c r="D984" s="8"/>
      <c r="E984" s="7"/>
      <c r="F984" s="7"/>
      <c r="G984" s="7"/>
      <c r="H984" s="118"/>
      <c r="I984" s="7"/>
      <c r="J984" s="7"/>
      <c r="K984" s="7"/>
      <c r="L984" s="7"/>
      <c r="M984" s="7"/>
      <c r="N984" s="7"/>
      <c r="O984" s="84" t="e" cm="1">
        <f t="array" ref="O984">_xlfn.XLOOKUP(1,(A984=Geotech!$A$4:$A$10094)*(Data_Discontinuities[[#This Row],[Depth (m)]]&gt;=Geotech!$C$4:$C$10094)*(Data_Discontinuities[[#This Row],[Depth (m)]]&lt;Geotech!$D$4:$D$10094),Geotech!$M$4:$M$10094)</f>
        <v>#N/A</v>
      </c>
      <c r="P984" s="84"/>
      <c r="Q984" s="84"/>
      <c r="R984" s="84"/>
      <c r="S9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4" s="71" t="str">
        <f>IFERROR(Data_Discontinuities[[#This Row],[Joint roughness]]/Data_Discontinuities[[#This Row],[Joint alteration]],"")</f>
        <v/>
      </c>
      <c r="V9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4" s="87"/>
    </row>
    <row r="985" spans="1:23" ht="15" customHeight="1" x14ac:dyDescent="0.25">
      <c r="A985" s="90"/>
      <c r="B985" s="17" t="e">
        <f>VLOOKUP(Data_Discontinuities[[#This Row],[Hole ID]],Data_Log[],2,FALSE)</f>
        <v>#N/A</v>
      </c>
      <c r="C985" s="8"/>
      <c r="D985" s="8"/>
      <c r="E985" s="7"/>
      <c r="F985" s="7"/>
      <c r="G985" s="7"/>
      <c r="H985" s="118"/>
      <c r="I985" s="7"/>
      <c r="J985" s="7"/>
      <c r="K985" s="7"/>
      <c r="L985" s="7"/>
      <c r="M985" s="7"/>
      <c r="N985" s="7"/>
      <c r="O985" s="84" t="e" cm="1">
        <f t="array" ref="O985">_xlfn.XLOOKUP(1,(A985=Geotech!$A$4:$A$10094)*(Data_Discontinuities[[#This Row],[Depth (m)]]&gt;=Geotech!$C$4:$C$10094)*(Data_Discontinuities[[#This Row],[Depth (m)]]&lt;Geotech!$D$4:$D$10094),Geotech!$M$4:$M$10094)</f>
        <v>#N/A</v>
      </c>
      <c r="P985" s="84"/>
      <c r="Q985" s="84"/>
      <c r="R985" s="84"/>
      <c r="S9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5" s="71" t="str">
        <f>IFERROR(Data_Discontinuities[[#This Row],[Joint roughness]]/Data_Discontinuities[[#This Row],[Joint alteration]],"")</f>
        <v/>
      </c>
      <c r="V9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5" s="87"/>
    </row>
    <row r="986" spans="1:23" ht="15" customHeight="1" x14ac:dyDescent="0.25">
      <c r="A986" s="90"/>
      <c r="B986" s="17" t="e">
        <f>VLOOKUP(Data_Discontinuities[[#This Row],[Hole ID]],Data_Log[],2,FALSE)</f>
        <v>#N/A</v>
      </c>
      <c r="C986" s="8"/>
      <c r="D986" s="8"/>
      <c r="E986" s="7"/>
      <c r="F986" s="7"/>
      <c r="G986" s="7"/>
      <c r="H986" s="118"/>
      <c r="I986" s="7"/>
      <c r="J986" s="7"/>
      <c r="K986" s="7"/>
      <c r="L986" s="7"/>
      <c r="M986" s="7"/>
      <c r="N986" s="7"/>
      <c r="O986" s="84" t="e" cm="1">
        <f t="array" ref="O986">_xlfn.XLOOKUP(1,(A986=Geotech!$A$4:$A$10094)*(Data_Discontinuities[[#This Row],[Depth (m)]]&gt;=Geotech!$C$4:$C$10094)*(Data_Discontinuities[[#This Row],[Depth (m)]]&lt;Geotech!$D$4:$D$10094),Geotech!$M$4:$M$10094)</f>
        <v>#N/A</v>
      </c>
      <c r="P986" s="84"/>
      <c r="Q986" s="84"/>
      <c r="R986" s="84"/>
      <c r="S9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6" s="71" t="str">
        <f>IFERROR(Data_Discontinuities[[#This Row],[Joint roughness]]/Data_Discontinuities[[#This Row],[Joint alteration]],"")</f>
        <v/>
      </c>
      <c r="V9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6" s="87"/>
    </row>
    <row r="987" spans="1:23" ht="15" customHeight="1" x14ac:dyDescent="0.25">
      <c r="A987" s="90"/>
      <c r="B987" s="17" t="e">
        <f>VLOOKUP(Data_Discontinuities[[#This Row],[Hole ID]],Data_Log[],2,FALSE)</f>
        <v>#N/A</v>
      </c>
      <c r="C987" s="8"/>
      <c r="D987" s="8"/>
      <c r="E987" s="7"/>
      <c r="F987" s="7"/>
      <c r="G987" s="7"/>
      <c r="H987" s="118"/>
      <c r="I987" s="7"/>
      <c r="J987" s="7"/>
      <c r="K987" s="7"/>
      <c r="L987" s="7"/>
      <c r="M987" s="7"/>
      <c r="N987" s="7"/>
      <c r="O987" s="84" t="e" cm="1">
        <f t="array" ref="O987">_xlfn.XLOOKUP(1,(A987=Geotech!$A$4:$A$10094)*(Data_Discontinuities[[#This Row],[Depth (m)]]&gt;=Geotech!$C$4:$C$10094)*(Data_Discontinuities[[#This Row],[Depth (m)]]&lt;Geotech!$D$4:$D$10094),Geotech!$M$4:$M$10094)</f>
        <v>#N/A</v>
      </c>
      <c r="P987" s="84"/>
      <c r="Q987" s="84"/>
      <c r="R987" s="84"/>
      <c r="S9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7" s="71" t="str">
        <f>IFERROR(Data_Discontinuities[[#This Row],[Joint roughness]]/Data_Discontinuities[[#This Row],[Joint alteration]],"")</f>
        <v/>
      </c>
      <c r="V9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7" s="87"/>
    </row>
    <row r="988" spans="1:23" ht="15" customHeight="1" x14ac:dyDescent="0.25">
      <c r="A988" s="90"/>
      <c r="B988" s="17" t="e">
        <f>VLOOKUP(Data_Discontinuities[[#This Row],[Hole ID]],Data_Log[],2,FALSE)</f>
        <v>#N/A</v>
      </c>
      <c r="C988" s="8"/>
      <c r="D988" s="8"/>
      <c r="E988" s="7"/>
      <c r="F988" s="7"/>
      <c r="G988" s="7"/>
      <c r="H988" s="118"/>
      <c r="I988" s="7"/>
      <c r="J988" s="7"/>
      <c r="K988" s="7"/>
      <c r="L988" s="7"/>
      <c r="M988" s="7"/>
      <c r="N988" s="7"/>
      <c r="O988" s="84" t="e" cm="1">
        <f t="array" ref="O988">_xlfn.XLOOKUP(1,(A988=Geotech!$A$4:$A$10094)*(Data_Discontinuities[[#This Row],[Depth (m)]]&gt;=Geotech!$C$4:$C$10094)*(Data_Discontinuities[[#This Row],[Depth (m)]]&lt;Geotech!$D$4:$D$10094),Geotech!$M$4:$M$10094)</f>
        <v>#N/A</v>
      </c>
      <c r="P988" s="84"/>
      <c r="Q988" s="84"/>
      <c r="R988" s="84"/>
      <c r="S9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8" s="71" t="str">
        <f>IFERROR(Data_Discontinuities[[#This Row],[Joint roughness]]/Data_Discontinuities[[#This Row],[Joint alteration]],"")</f>
        <v/>
      </c>
      <c r="V9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8" s="87"/>
    </row>
    <row r="989" spans="1:23" ht="15" customHeight="1" x14ac:dyDescent="0.25">
      <c r="A989" s="90"/>
      <c r="B989" s="17" t="e">
        <f>VLOOKUP(Data_Discontinuities[[#This Row],[Hole ID]],Data_Log[],2,FALSE)</f>
        <v>#N/A</v>
      </c>
      <c r="C989" s="8"/>
      <c r="D989" s="8"/>
      <c r="E989" s="7"/>
      <c r="F989" s="7"/>
      <c r="G989" s="7"/>
      <c r="H989" s="118"/>
      <c r="I989" s="7"/>
      <c r="J989" s="7"/>
      <c r="K989" s="7"/>
      <c r="L989" s="7"/>
      <c r="M989" s="7"/>
      <c r="N989" s="7"/>
      <c r="O989" s="84" t="e" cm="1">
        <f t="array" ref="O989">_xlfn.XLOOKUP(1,(A989=Geotech!$A$4:$A$10094)*(Data_Discontinuities[[#This Row],[Depth (m)]]&gt;=Geotech!$C$4:$C$10094)*(Data_Discontinuities[[#This Row],[Depth (m)]]&lt;Geotech!$D$4:$D$10094),Geotech!$M$4:$M$10094)</f>
        <v>#N/A</v>
      </c>
      <c r="P989" s="84"/>
      <c r="Q989" s="84"/>
      <c r="R989" s="84"/>
      <c r="S9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89" s="71" t="str">
        <f>IFERROR(Data_Discontinuities[[#This Row],[Joint roughness]]/Data_Discontinuities[[#This Row],[Joint alteration]],"")</f>
        <v/>
      </c>
      <c r="V9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89" s="87"/>
    </row>
    <row r="990" spans="1:23" ht="15" customHeight="1" x14ac:dyDescent="0.25">
      <c r="A990" s="90"/>
      <c r="B990" s="17" t="e">
        <f>VLOOKUP(Data_Discontinuities[[#This Row],[Hole ID]],Data_Log[],2,FALSE)</f>
        <v>#N/A</v>
      </c>
      <c r="C990" s="8"/>
      <c r="D990" s="8"/>
      <c r="E990" s="7"/>
      <c r="F990" s="7"/>
      <c r="G990" s="7"/>
      <c r="H990" s="118"/>
      <c r="I990" s="7"/>
      <c r="J990" s="7"/>
      <c r="K990" s="7"/>
      <c r="L990" s="7"/>
      <c r="M990" s="7"/>
      <c r="N990" s="7"/>
      <c r="O990" s="84" t="e" cm="1">
        <f t="array" ref="O990">_xlfn.XLOOKUP(1,(A990=Geotech!$A$4:$A$10094)*(Data_Discontinuities[[#This Row],[Depth (m)]]&gt;=Geotech!$C$4:$C$10094)*(Data_Discontinuities[[#This Row],[Depth (m)]]&lt;Geotech!$D$4:$D$10094),Geotech!$M$4:$M$10094)</f>
        <v>#N/A</v>
      </c>
      <c r="P990" s="84"/>
      <c r="Q990" s="84"/>
      <c r="R990" s="84"/>
      <c r="S9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0" s="71" t="str">
        <f>IFERROR(Data_Discontinuities[[#This Row],[Joint roughness]]/Data_Discontinuities[[#This Row],[Joint alteration]],"")</f>
        <v/>
      </c>
      <c r="V9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0" s="87"/>
    </row>
    <row r="991" spans="1:23" ht="15" customHeight="1" x14ac:dyDescent="0.25">
      <c r="A991" s="90"/>
      <c r="B991" s="17" t="e">
        <f>VLOOKUP(Data_Discontinuities[[#This Row],[Hole ID]],Data_Log[],2,FALSE)</f>
        <v>#N/A</v>
      </c>
      <c r="C991" s="8"/>
      <c r="D991" s="8"/>
      <c r="E991" s="7"/>
      <c r="F991" s="7"/>
      <c r="G991" s="7"/>
      <c r="H991" s="118"/>
      <c r="I991" s="7"/>
      <c r="J991" s="7"/>
      <c r="K991" s="7"/>
      <c r="L991" s="7"/>
      <c r="M991" s="7"/>
      <c r="N991" s="7"/>
      <c r="O991" s="84" t="e" cm="1">
        <f t="array" ref="O991">_xlfn.XLOOKUP(1,(A991=Geotech!$A$4:$A$10094)*(Data_Discontinuities[[#This Row],[Depth (m)]]&gt;=Geotech!$C$4:$C$10094)*(Data_Discontinuities[[#This Row],[Depth (m)]]&lt;Geotech!$D$4:$D$10094),Geotech!$M$4:$M$10094)</f>
        <v>#N/A</v>
      </c>
      <c r="P991" s="84"/>
      <c r="Q991" s="84"/>
      <c r="R991" s="84"/>
      <c r="S9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1" s="71" t="str">
        <f>IFERROR(Data_Discontinuities[[#This Row],[Joint roughness]]/Data_Discontinuities[[#This Row],[Joint alteration]],"")</f>
        <v/>
      </c>
      <c r="V9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1" s="87"/>
    </row>
    <row r="992" spans="1:23" ht="15" customHeight="1" x14ac:dyDescent="0.25">
      <c r="A992" s="90"/>
      <c r="B992" s="17" t="e">
        <f>VLOOKUP(Data_Discontinuities[[#This Row],[Hole ID]],Data_Log[],2,FALSE)</f>
        <v>#N/A</v>
      </c>
      <c r="C992" s="8"/>
      <c r="D992" s="8"/>
      <c r="E992" s="7"/>
      <c r="F992" s="7"/>
      <c r="G992" s="7"/>
      <c r="H992" s="118"/>
      <c r="I992" s="7"/>
      <c r="J992" s="7"/>
      <c r="K992" s="7"/>
      <c r="L992" s="7"/>
      <c r="M992" s="7"/>
      <c r="N992" s="7"/>
      <c r="O992" s="84" t="e" cm="1">
        <f t="array" ref="O992">_xlfn.XLOOKUP(1,(A992=Geotech!$A$4:$A$10094)*(Data_Discontinuities[[#This Row],[Depth (m)]]&gt;=Geotech!$C$4:$C$10094)*(Data_Discontinuities[[#This Row],[Depth (m)]]&lt;Geotech!$D$4:$D$10094),Geotech!$M$4:$M$10094)</f>
        <v>#N/A</v>
      </c>
      <c r="P992" s="84"/>
      <c r="Q992" s="84"/>
      <c r="R992" s="84"/>
      <c r="S9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2" s="71" t="str">
        <f>IFERROR(Data_Discontinuities[[#This Row],[Joint roughness]]/Data_Discontinuities[[#This Row],[Joint alteration]],"")</f>
        <v/>
      </c>
      <c r="V9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2" s="87"/>
    </row>
    <row r="993" spans="1:23" ht="15" customHeight="1" x14ac:dyDescent="0.25">
      <c r="A993" s="90"/>
      <c r="B993" s="17" t="e">
        <f>VLOOKUP(Data_Discontinuities[[#This Row],[Hole ID]],Data_Log[],2,FALSE)</f>
        <v>#N/A</v>
      </c>
      <c r="C993" s="8"/>
      <c r="D993" s="8"/>
      <c r="E993" s="7"/>
      <c r="F993" s="7"/>
      <c r="G993" s="7"/>
      <c r="H993" s="118"/>
      <c r="I993" s="7"/>
      <c r="J993" s="7"/>
      <c r="K993" s="7"/>
      <c r="L993" s="7"/>
      <c r="M993" s="7"/>
      <c r="N993" s="7"/>
      <c r="O993" s="84" t="e" cm="1">
        <f t="array" ref="O993">_xlfn.XLOOKUP(1,(A993=Geotech!$A$4:$A$10094)*(Data_Discontinuities[[#This Row],[Depth (m)]]&gt;=Geotech!$C$4:$C$10094)*(Data_Discontinuities[[#This Row],[Depth (m)]]&lt;Geotech!$D$4:$D$10094),Geotech!$M$4:$M$10094)</f>
        <v>#N/A</v>
      </c>
      <c r="P993" s="84"/>
      <c r="Q993" s="84"/>
      <c r="R993" s="84"/>
      <c r="S9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3" s="71" t="str">
        <f>IFERROR(Data_Discontinuities[[#This Row],[Joint roughness]]/Data_Discontinuities[[#This Row],[Joint alteration]],"")</f>
        <v/>
      </c>
      <c r="V9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3" s="87"/>
    </row>
    <row r="994" spans="1:23" ht="15" customHeight="1" x14ac:dyDescent="0.25">
      <c r="A994" s="90"/>
      <c r="B994" s="17" t="e">
        <f>VLOOKUP(Data_Discontinuities[[#This Row],[Hole ID]],Data_Log[],2,FALSE)</f>
        <v>#N/A</v>
      </c>
      <c r="C994" s="8"/>
      <c r="D994" s="8"/>
      <c r="E994" s="7"/>
      <c r="F994" s="7"/>
      <c r="G994" s="7"/>
      <c r="H994" s="118"/>
      <c r="I994" s="7"/>
      <c r="J994" s="7"/>
      <c r="K994" s="7"/>
      <c r="L994" s="7"/>
      <c r="M994" s="7"/>
      <c r="N994" s="7"/>
      <c r="O994" s="84" t="e" cm="1">
        <f t="array" ref="O994">_xlfn.XLOOKUP(1,(A994=Geotech!$A$4:$A$10094)*(Data_Discontinuities[[#This Row],[Depth (m)]]&gt;=Geotech!$C$4:$C$10094)*(Data_Discontinuities[[#This Row],[Depth (m)]]&lt;Geotech!$D$4:$D$10094),Geotech!$M$4:$M$10094)</f>
        <v>#N/A</v>
      </c>
      <c r="P994" s="84"/>
      <c r="Q994" s="84"/>
      <c r="R994" s="84"/>
      <c r="S9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4" s="71" t="str">
        <f>IFERROR(Data_Discontinuities[[#This Row],[Joint roughness]]/Data_Discontinuities[[#This Row],[Joint alteration]],"")</f>
        <v/>
      </c>
      <c r="V9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4" s="87"/>
    </row>
    <row r="995" spans="1:23" ht="15" customHeight="1" x14ac:dyDescent="0.25">
      <c r="A995" s="90"/>
      <c r="B995" s="17" t="e">
        <f>VLOOKUP(Data_Discontinuities[[#This Row],[Hole ID]],Data_Log[],2,FALSE)</f>
        <v>#N/A</v>
      </c>
      <c r="C995" s="8"/>
      <c r="D995" s="8"/>
      <c r="E995" s="7"/>
      <c r="F995" s="7"/>
      <c r="G995" s="7"/>
      <c r="H995" s="118"/>
      <c r="I995" s="7"/>
      <c r="J995" s="7"/>
      <c r="K995" s="7"/>
      <c r="L995" s="7"/>
      <c r="M995" s="7"/>
      <c r="N995" s="7"/>
      <c r="O995" s="84" t="e" cm="1">
        <f t="array" ref="O995">_xlfn.XLOOKUP(1,(A995=Geotech!$A$4:$A$10094)*(Data_Discontinuities[[#This Row],[Depth (m)]]&gt;=Geotech!$C$4:$C$10094)*(Data_Discontinuities[[#This Row],[Depth (m)]]&lt;Geotech!$D$4:$D$10094),Geotech!$M$4:$M$10094)</f>
        <v>#N/A</v>
      </c>
      <c r="P995" s="84"/>
      <c r="Q995" s="84"/>
      <c r="R995" s="84"/>
      <c r="S9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5" s="71" t="str">
        <f>IFERROR(Data_Discontinuities[[#This Row],[Joint roughness]]/Data_Discontinuities[[#This Row],[Joint alteration]],"")</f>
        <v/>
      </c>
      <c r="V9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5" s="87"/>
    </row>
    <row r="996" spans="1:23" ht="15" customHeight="1" x14ac:dyDescent="0.25">
      <c r="A996" s="90"/>
      <c r="B996" s="17" t="e">
        <f>VLOOKUP(Data_Discontinuities[[#This Row],[Hole ID]],Data_Log[],2,FALSE)</f>
        <v>#N/A</v>
      </c>
      <c r="C996" s="8"/>
      <c r="D996" s="8"/>
      <c r="E996" s="7"/>
      <c r="F996" s="7"/>
      <c r="G996" s="7"/>
      <c r="H996" s="118"/>
      <c r="I996" s="7"/>
      <c r="J996" s="7"/>
      <c r="K996" s="7"/>
      <c r="L996" s="7"/>
      <c r="M996" s="7"/>
      <c r="N996" s="7"/>
      <c r="O996" s="84" t="e" cm="1">
        <f t="array" ref="O996">_xlfn.XLOOKUP(1,(A996=Geotech!$A$4:$A$10094)*(Data_Discontinuities[[#This Row],[Depth (m)]]&gt;=Geotech!$C$4:$C$10094)*(Data_Discontinuities[[#This Row],[Depth (m)]]&lt;Geotech!$D$4:$D$10094),Geotech!$M$4:$M$10094)</f>
        <v>#N/A</v>
      </c>
      <c r="P996" s="84"/>
      <c r="Q996" s="84"/>
      <c r="R996" s="84"/>
      <c r="S9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6" s="71" t="str">
        <f>IFERROR(Data_Discontinuities[[#This Row],[Joint roughness]]/Data_Discontinuities[[#This Row],[Joint alteration]],"")</f>
        <v/>
      </c>
      <c r="V9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6" s="87"/>
    </row>
    <row r="997" spans="1:23" ht="15" customHeight="1" x14ac:dyDescent="0.25">
      <c r="A997" s="90"/>
      <c r="B997" s="17" t="e">
        <f>VLOOKUP(Data_Discontinuities[[#This Row],[Hole ID]],Data_Log[],2,FALSE)</f>
        <v>#N/A</v>
      </c>
      <c r="C997" s="8"/>
      <c r="D997" s="8"/>
      <c r="E997" s="7"/>
      <c r="F997" s="7"/>
      <c r="G997" s="7"/>
      <c r="H997" s="118"/>
      <c r="I997" s="7"/>
      <c r="J997" s="7"/>
      <c r="K997" s="7"/>
      <c r="L997" s="7"/>
      <c r="M997" s="7"/>
      <c r="N997" s="7"/>
      <c r="O997" s="84" t="e" cm="1">
        <f t="array" ref="O997">_xlfn.XLOOKUP(1,(A997=Geotech!$A$4:$A$10094)*(Data_Discontinuities[[#This Row],[Depth (m)]]&gt;=Geotech!$C$4:$C$10094)*(Data_Discontinuities[[#This Row],[Depth (m)]]&lt;Geotech!$D$4:$D$10094),Geotech!$M$4:$M$10094)</f>
        <v>#N/A</v>
      </c>
      <c r="P997" s="84"/>
      <c r="Q997" s="84"/>
      <c r="R997" s="84"/>
      <c r="S9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7" s="71" t="str">
        <f>IFERROR(Data_Discontinuities[[#This Row],[Joint roughness]]/Data_Discontinuities[[#This Row],[Joint alteration]],"")</f>
        <v/>
      </c>
      <c r="V9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7" s="87"/>
    </row>
    <row r="998" spans="1:23" ht="15" customHeight="1" x14ac:dyDescent="0.25">
      <c r="A998" s="90"/>
      <c r="B998" s="17" t="e">
        <f>VLOOKUP(Data_Discontinuities[[#This Row],[Hole ID]],Data_Log[],2,FALSE)</f>
        <v>#N/A</v>
      </c>
      <c r="C998" s="8"/>
      <c r="D998" s="8"/>
      <c r="E998" s="7"/>
      <c r="F998" s="7"/>
      <c r="G998" s="7"/>
      <c r="H998" s="118"/>
      <c r="I998" s="7"/>
      <c r="J998" s="7"/>
      <c r="K998" s="7"/>
      <c r="L998" s="7"/>
      <c r="M998" s="7"/>
      <c r="N998" s="7"/>
      <c r="O998" s="84" t="e" cm="1">
        <f t="array" ref="O998">_xlfn.XLOOKUP(1,(A998=Geotech!$A$4:$A$10094)*(Data_Discontinuities[[#This Row],[Depth (m)]]&gt;=Geotech!$C$4:$C$10094)*(Data_Discontinuities[[#This Row],[Depth (m)]]&lt;Geotech!$D$4:$D$10094),Geotech!$M$4:$M$10094)</f>
        <v>#N/A</v>
      </c>
      <c r="P998" s="84"/>
      <c r="Q998" s="84"/>
      <c r="R998" s="84"/>
      <c r="S9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8" s="71" t="str">
        <f>IFERROR(Data_Discontinuities[[#This Row],[Joint roughness]]/Data_Discontinuities[[#This Row],[Joint alteration]],"")</f>
        <v/>
      </c>
      <c r="V9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8" s="87"/>
    </row>
    <row r="999" spans="1:23" ht="15" customHeight="1" x14ac:dyDescent="0.25">
      <c r="A999" s="90"/>
      <c r="B999" s="17" t="e">
        <f>VLOOKUP(Data_Discontinuities[[#This Row],[Hole ID]],Data_Log[],2,FALSE)</f>
        <v>#N/A</v>
      </c>
      <c r="C999" s="8"/>
      <c r="D999" s="8"/>
      <c r="E999" s="7"/>
      <c r="F999" s="7"/>
      <c r="G999" s="7"/>
      <c r="H999" s="118"/>
      <c r="I999" s="7"/>
      <c r="J999" s="7"/>
      <c r="K999" s="7"/>
      <c r="L999" s="7"/>
      <c r="M999" s="7"/>
      <c r="N999" s="7"/>
      <c r="O999" s="84" t="e" cm="1">
        <f t="array" ref="O999">_xlfn.XLOOKUP(1,(A999=Geotech!$A$4:$A$10094)*(Data_Discontinuities[[#This Row],[Depth (m)]]&gt;=Geotech!$C$4:$C$10094)*(Data_Discontinuities[[#This Row],[Depth (m)]]&lt;Geotech!$D$4:$D$10094),Geotech!$M$4:$M$10094)</f>
        <v>#N/A</v>
      </c>
      <c r="P999" s="84"/>
      <c r="Q999" s="84"/>
      <c r="R999" s="84"/>
      <c r="S9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9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999" s="71" t="str">
        <f>IFERROR(Data_Discontinuities[[#This Row],[Joint roughness]]/Data_Discontinuities[[#This Row],[Joint alteration]],"")</f>
        <v/>
      </c>
      <c r="V9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999" s="87"/>
    </row>
    <row r="1000" spans="1:23" ht="15" customHeight="1" x14ac:dyDescent="0.25">
      <c r="A1000" s="90"/>
      <c r="B1000" s="17" t="e">
        <f>VLOOKUP(Data_Discontinuities[[#This Row],[Hole ID]],Data_Log[],2,FALSE)</f>
        <v>#N/A</v>
      </c>
      <c r="C1000" s="8"/>
      <c r="D1000" s="8"/>
      <c r="E1000" s="7"/>
      <c r="F1000" s="7"/>
      <c r="G1000" s="7"/>
      <c r="H1000" s="118"/>
      <c r="I1000" s="7"/>
      <c r="J1000" s="7"/>
      <c r="K1000" s="7"/>
      <c r="L1000" s="7"/>
      <c r="M1000" s="7"/>
      <c r="N1000" s="7"/>
      <c r="O1000" s="84" t="e" cm="1">
        <f t="array" ref="O1000">_xlfn.XLOOKUP(1,(A1000=Geotech!$A$4:$A$10094)*(Data_Discontinuities[[#This Row],[Depth (m)]]&gt;=Geotech!$C$4:$C$10094)*(Data_Discontinuities[[#This Row],[Depth (m)]]&lt;Geotech!$D$4:$D$10094),Geotech!$M$4:$M$10094)</f>
        <v>#N/A</v>
      </c>
      <c r="P1000" s="84"/>
      <c r="Q1000" s="84"/>
      <c r="R1000" s="84"/>
      <c r="S10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0" s="71" t="str">
        <f>IFERROR(Data_Discontinuities[[#This Row],[Joint roughness]]/Data_Discontinuities[[#This Row],[Joint alteration]],"")</f>
        <v/>
      </c>
      <c r="V10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0" s="87"/>
    </row>
    <row r="1001" spans="1:23" ht="15" customHeight="1" x14ac:dyDescent="0.25">
      <c r="A1001" s="90"/>
      <c r="B1001" s="17" t="e">
        <f>VLOOKUP(Data_Discontinuities[[#This Row],[Hole ID]],Data_Log[],2,FALSE)</f>
        <v>#N/A</v>
      </c>
      <c r="C1001" s="8"/>
      <c r="D1001" s="8"/>
      <c r="E1001" s="7"/>
      <c r="F1001" s="7"/>
      <c r="G1001" s="7"/>
      <c r="H1001" s="118"/>
      <c r="I1001" s="7"/>
      <c r="J1001" s="7"/>
      <c r="K1001" s="7"/>
      <c r="L1001" s="7"/>
      <c r="M1001" s="7"/>
      <c r="N1001" s="7"/>
      <c r="O1001" s="84" t="e" cm="1">
        <f t="array" ref="O1001">_xlfn.XLOOKUP(1,(A1001=Geotech!$A$4:$A$10094)*(Data_Discontinuities[[#This Row],[Depth (m)]]&gt;=Geotech!$C$4:$C$10094)*(Data_Discontinuities[[#This Row],[Depth (m)]]&lt;Geotech!$D$4:$D$10094),Geotech!$M$4:$M$10094)</f>
        <v>#N/A</v>
      </c>
      <c r="P1001" s="84"/>
      <c r="Q1001" s="84"/>
      <c r="R1001" s="84"/>
      <c r="S10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1" s="71" t="str">
        <f>IFERROR(Data_Discontinuities[[#This Row],[Joint roughness]]/Data_Discontinuities[[#This Row],[Joint alteration]],"")</f>
        <v/>
      </c>
      <c r="V10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1" s="87"/>
    </row>
    <row r="1002" spans="1:23" ht="15" customHeight="1" x14ac:dyDescent="0.25">
      <c r="A1002" s="90"/>
      <c r="B1002" s="17" t="e">
        <f>VLOOKUP(Data_Discontinuities[[#This Row],[Hole ID]],Data_Log[],2,FALSE)</f>
        <v>#N/A</v>
      </c>
      <c r="C1002" s="8"/>
      <c r="D1002" s="8"/>
      <c r="E1002" s="7"/>
      <c r="F1002" s="7"/>
      <c r="G1002" s="7"/>
      <c r="H1002" s="118"/>
      <c r="I1002" s="7"/>
      <c r="J1002" s="7"/>
      <c r="K1002" s="7"/>
      <c r="L1002" s="7"/>
      <c r="M1002" s="7"/>
      <c r="N1002" s="7"/>
      <c r="O1002" s="84" t="e" cm="1">
        <f t="array" ref="O1002">_xlfn.XLOOKUP(1,(A1002=Geotech!$A$4:$A$10094)*(Data_Discontinuities[[#This Row],[Depth (m)]]&gt;=Geotech!$C$4:$C$10094)*(Data_Discontinuities[[#This Row],[Depth (m)]]&lt;Geotech!$D$4:$D$10094),Geotech!$M$4:$M$10094)</f>
        <v>#N/A</v>
      </c>
      <c r="P1002" s="84"/>
      <c r="Q1002" s="84"/>
      <c r="R1002" s="84"/>
      <c r="S10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2" s="71" t="str">
        <f>IFERROR(Data_Discontinuities[[#This Row],[Joint roughness]]/Data_Discontinuities[[#This Row],[Joint alteration]],"")</f>
        <v/>
      </c>
      <c r="V10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2" s="87"/>
    </row>
    <row r="1003" spans="1:23" ht="15" customHeight="1" x14ac:dyDescent="0.25">
      <c r="A1003" s="90"/>
      <c r="B1003" s="17" t="e">
        <f>VLOOKUP(Data_Discontinuities[[#This Row],[Hole ID]],Data_Log[],2,FALSE)</f>
        <v>#N/A</v>
      </c>
      <c r="C1003" s="8"/>
      <c r="D1003" s="8"/>
      <c r="E1003" s="7"/>
      <c r="F1003" s="7"/>
      <c r="G1003" s="7"/>
      <c r="H1003" s="118"/>
      <c r="I1003" s="7"/>
      <c r="J1003" s="7"/>
      <c r="K1003" s="7"/>
      <c r="L1003" s="7"/>
      <c r="M1003" s="7"/>
      <c r="N1003" s="7"/>
      <c r="O1003" s="84" t="e" cm="1">
        <f t="array" ref="O1003">_xlfn.XLOOKUP(1,(A1003=Geotech!$A$4:$A$10094)*(Data_Discontinuities[[#This Row],[Depth (m)]]&gt;=Geotech!$C$4:$C$10094)*(Data_Discontinuities[[#This Row],[Depth (m)]]&lt;Geotech!$D$4:$D$10094),Geotech!$M$4:$M$10094)</f>
        <v>#N/A</v>
      </c>
      <c r="P1003" s="84"/>
      <c r="Q1003" s="84"/>
      <c r="R1003" s="84"/>
      <c r="S10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3" s="71" t="str">
        <f>IFERROR(Data_Discontinuities[[#This Row],[Joint roughness]]/Data_Discontinuities[[#This Row],[Joint alteration]],"")</f>
        <v/>
      </c>
      <c r="V10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3" s="87"/>
    </row>
    <row r="1004" spans="1:23" ht="15" customHeight="1" x14ac:dyDescent="0.25">
      <c r="A1004" s="90"/>
      <c r="B1004" s="17" t="e">
        <f>VLOOKUP(Data_Discontinuities[[#This Row],[Hole ID]],Data_Log[],2,FALSE)</f>
        <v>#N/A</v>
      </c>
      <c r="C1004" s="8"/>
      <c r="D1004" s="8"/>
      <c r="E1004" s="7"/>
      <c r="F1004" s="7"/>
      <c r="G1004" s="7"/>
      <c r="H1004" s="118"/>
      <c r="I1004" s="7"/>
      <c r="J1004" s="7"/>
      <c r="K1004" s="7"/>
      <c r="L1004" s="7"/>
      <c r="M1004" s="7"/>
      <c r="N1004" s="7"/>
      <c r="O1004" s="84" t="e" cm="1">
        <f t="array" ref="O1004">_xlfn.XLOOKUP(1,(A1004=Geotech!$A$4:$A$10094)*(Data_Discontinuities[[#This Row],[Depth (m)]]&gt;=Geotech!$C$4:$C$10094)*(Data_Discontinuities[[#This Row],[Depth (m)]]&lt;Geotech!$D$4:$D$10094),Geotech!$M$4:$M$10094)</f>
        <v>#N/A</v>
      </c>
      <c r="P1004" s="84"/>
      <c r="Q1004" s="84"/>
      <c r="R1004" s="84"/>
      <c r="S10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4" s="71" t="str">
        <f>IFERROR(Data_Discontinuities[[#This Row],[Joint roughness]]/Data_Discontinuities[[#This Row],[Joint alteration]],"")</f>
        <v/>
      </c>
      <c r="V10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4" s="87"/>
    </row>
    <row r="1005" spans="1:23" ht="15" customHeight="1" x14ac:dyDescent="0.25">
      <c r="A1005" s="90"/>
      <c r="B1005" s="17" t="e">
        <f>VLOOKUP(Data_Discontinuities[[#This Row],[Hole ID]],Data_Log[],2,FALSE)</f>
        <v>#N/A</v>
      </c>
      <c r="C1005" s="8"/>
      <c r="D1005" s="8"/>
      <c r="E1005" s="7"/>
      <c r="F1005" s="7"/>
      <c r="G1005" s="7"/>
      <c r="H1005" s="118"/>
      <c r="I1005" s="7"/>
      <c r="J1005" s="7"/>
      <c r="K1005" s="7"/>
      <c r="L1005" s="7"/>
      <c r="M1005" s="7"/>
      <c r="N1005" s="7"/>
      <c r="O1005" s="84" t="e" cm="1">
        <f t="array" ref="O1005">_xlfn.XLOOKUP(1,(A1005=Geotech!$A$4:$A$10094)*(Data_Discontinuities[[#This Row],[Depth (m)]]&gt;=Geotech!$C$4:$C$10094)*(Data_Discontinuities[[#This Row],[Depth (m)]]&lt;Geotech!$D$4:$D$10094),Geotech!$M$4:$M$10094)</f>
        <v>#N/A</v>
      </c>
      <c r="P1005" s="84"/>
      <c r="Q1005" s="84"/>
      <c r="R1005" s="84"/>
      <c r="S10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5" s="71" t="str">
        <f>IFERROR(Data_Discontinuities[[#This Row],[Joint roughness]]/Data_Discontinuities[[#This Row],[Joint alteration]],"")</f>
        <v/>
      </c>
      <c r="V10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5" s="87"/>
    </row>
    <row r="1006" spans="1:23" ht="15" customHeight="1" x14ac:dyDescent="0.25">
      <c r="A1006" s="90"/>
      <c r="B1006" s="17" t="e">
        <f>VLOOKUP(Data_Discontinuities[[#This Row],[Hole ID]],Data_Log[],2,FALSE)</f>
        <v>#N/A</v>
      </c>
      <c r="C1006" s="8"/>
      <c r="D1006" s="8"/>
      <c r="E1006" s="7"/>
      <c r="F1006" s="7"/>
      <c r="G1006" s="7"/>
      <c r="H1006" s="118"/>
      <c r="I1006" s="7"/>
      <c r="J1006" s="7"/>
      <c r="K1006" s="7"/>
      <c r="L1006" s="7"/>
      <c r="M1006" s="7"/>
      <c r="N1006" s="7"/>
      <c r="O1006" s="84" t="e" cm="1">
        <f t="array" ref="O1006">_xlfn.XLOOKUP(1,(A1006=Geotech!$A$4:$A$10094)*(Data_Discontinuities[[#This Row],[Depth (m)]]&gt;=Geotech!$C$4:$C$10094)*(Data_Discontinuities[[#This Row],[Depth (m)]]&lt;Geotech!$D$4:$D$10094),Geotech!$M$4:$M$10094)</f>
        <v>#N/A</v>
      </c>
      <c r="P1006" s="84"/>
      <c r="Q1006" s="84"/>
      <c r="R1006" s="84"/>
      <c r="S10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6" s="71" t="str">
        <f>IFERROR(Data_Discontinuities[[#This Row],[Joint roughness]]/Data_Discontinuities[[#This Row],[Joint alteration]],"")</f>
        <v/>
      </c>
      <c r="V10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6" s="87"/>
    </row>
    <row r="1007" spans="1:23" ht="15" customHeight="1" x14ac:dyDescent="0.25">
      <c r="A1007" s="90"/>
      <c r="B1007" s="17" t="e">
        <f>VLOOKUP(Data_Discontinuities[[#This Row],[Hole ID]],Data_Log[],2,FALSE)</f>
        <v>#N/A</v>
      </c>
      <c r="C1007" s="8"/>
      <c r="D1007" s="8"/>
      <c r="E1007" s="7"/>
      <c r="F1007" s="7"/>
      <c r="G1007" s="7"/>
      <c r="H1007" s="118"/>
      <c r="I1007" s="7"/>
      <c r="J1007" s="7"/>
      <c r="K1007" s="7"/>
      <c r="L1007" s="7"/>
      <c r="M1007" s="7"/>
      <c r="N1007" s="7"/>
      <c r="O1007" s="84" t="e" cm="1">
        <f t="array" ref="O1007">_xlfn.XLOOKUP(1,(A1007=Geotech!$A$4:$A$10094)*(Data_Discontinuities[[#This Row],[Depth (m)]]&gt;=Geotech!$C$4:$C$10094)*(Data_Discontinuities[[#This Row],[Depth (m)]]&lt;Geotech!$D$4:$D$10094),Geotech!$M$4:$M$10094)</f>
        <v>#N/A</v>
      </c>
      <c r="P1007" s="84"/>
      <c r="Q1007" s="84"/>
      <c r="R1007" s="84"/>
      <c r="S10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7" s="71" t="str">
        <f>IFERROR(Data_Discontinuities[[#This Row],[Joint roughness]]/Data_Discontinuities[[#This Row],[Joint alteration]],"")</f>
        <v/>
      </c>
      <c r="V10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7" s="87"/>
    </row>
    <row r="1008" spans="1:23" ht="15" customHeight="1" x14ac:dyDescent="0.25">
      <c r="A1008" s="90"/>
      <c r="B1008" s="17" t="e">
        <f>VLOOKUP(Data_Discontinuities[[#This Row],[Hole ID]],Data_Log[],2,FALSE)</f>
        <v>#N/A</v>
      </c>
      <c r="C1008" s="8"/>
      <c r="D1008" s="8"/>
      <c r="E1008" s="7"/>
      <c r="F1008" s="7"/>
      <c r="G1008" s="7"/>
      <c r="H1008" s="118"/>
      <c r="I1008" s="7"/>
      <c r="J1008" s="7"/>
      <c r="K1008" s="7"/>
      <c r="L1008" s="7"/>
      <c r="M1008" s="7"/>
      <c r="N1008" s="7"/>
      <c r="O1008" s="84" t="e" cm="1">
        <f t="array" ref="O1008">_xlfn.XLOOKUP(1,(A1008=Geotech!$A$4:$A$10094)*(Data_Discontinuities[[#This Row],[Depth (m)]]&gt;=Geotech!$C$4:$C$10094)*(Data_Discontinuities[[#This Row],[Depth (m)]]&lt;Geotech!$D$4:$D$10094),Geotech!$M$4:$M$10094)</f>
        <v>#N/A</v>
      </c>
      <c r="P1008" s="84"/>
      <c r="Q1008" s="84"/>
      <c r="R1008" s="84"/>
      <c r="S10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8" s="71" t="str">
        <f>IFERROR(Data_Discontinuities[[#This Row],[Joint roughness]]/Data_Discontinuities[[#This Row],[Joint alteration]],"")</f>
        <v/>
      </c>
      <c r="V10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8" s="87"/>
    </row>
    <row r="1009" spans="1:23" ht="15" customHeight="1" x14ac:dyDescent="0.25">
      <c r="A1009" s="90"/>
      <c r="B1009" s="17" t="e">
        <f>VLOOKUP(Data_Discontinuities[[#This Row],[Hole ID]],Data_Log[],2,FALSE)</f>
        <v>#N/A</v>
      </c>
      <c r="C1009" s="8"/>
      <c r="D1009" s="8"/>
      <c r="E1009" s="7"/>
      <c r="F1009" s="7"/>
      <c r="G1009" s="7"/>
      <c r="H1009" s="118"/>
      <c r="I1009" s="7"/>
      <c r="J1009" s="7"/>
      <c r="K1009" s="7"/>
      <c r="L1009" s="7"/>
      <c r="M1009" s="7"/>
      <c r="N1009" s="7"/>
      <c r="O1009" s="84" t="e" cm="1">
        <f t="array" ref="O1009">_xlfn.XLOOKUP(1,(A1009=Geotech!$A$4:$A$10094)*(Data_Discontinuities[[#This Row],[Depth (m)]]&gt;=Geotech!$C$4:$C$10094)*(Data_Discontinuities[[#This Row],[Depth (m)]]&lt;Geotech!$D$4:$D$10094),Geotech!$M$4:$M$10094)</f>
        <v>#N/A</v>
      </c>
      <c r="P1009" s="84"/>
      <c r="Q1009" s="84"/>
      <c r="R1009" s="84"/>
      <c r="S10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09" s="71" t="str">
        <f>IFERROR(Data_Discontinuities[[#This Row],[Joint roughness]]/Data_Discontinuities[[#This Row],[Joint alteration]],"")</f>
        <v/>
      </c>
      <c r="V10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09" s="87"/>
    </row>
    <row r="1010" spans="1:23" ht="15" customHeight="1" x14ac:dyDescent="0.25">
      <c r="A1010" s="90"/>
      <c r="B1010" s="17" t="e">
        <f>VLOOKUP(Data_Discontinuities[[#This Row],[Hole ID]],Data_Log[],2,FALSE)</f>
        <v>#N/A</v>
      </c>
      <c r="C1010" s="8"/>
      <c r="D1010" s="8"/>
      <c r="E1010" s="7"/>
      <c r="F1010" s="7"/>
      <c r="G1010" s="7"/>
      <c r="H1010" s="118"/>
      <c r="I1010" s="7"/>
      <c r="J1010" s="7"/>
      <c r="K1010" s="7"/>
      <c r="L1010" s="7"/>
      <c r="M1010" s="7"/>
      <c r="N1010" s="7"/>
      <c r="O1010" s="84" t="e" cm="1">
        <f t="array" ref="O1010">_xlfn.XLOOKUP(1,(A1010=Geotech!$A$4:$A$10094)*(Data_Discontinuities[[#This Row],[Depth (m)]]&gt;=Geotech!$C$4:$C$10094)*(Data_Discontinuities[[#This Row],[Depth (m)]]&lt;Geotech!$D$4:$D$10094),Geotech!$M$4:$M$10094)</f>
        <v>#N/A</v>
      </c>
      <c r="P1010" s="84"/>
      <c r="Q1010" s="84"/>
      <c r="R1010" s="84"/>
      <c r="S10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0" s="71" t="str">
        <f>IFERROR(Data_Discontinuities[[#This Row],[Joint roughness]]/Data_Discontinuities[[#This Row],[Joint alteration]],"")</f>
        <v/>
      </c>
      <c r="V10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0" s="87"/>
    </row>
    <row r="1011" spans="1:23" ht="15" customHeight="1" x14ac:dyDescent="0.25">
      <c r="A1011" s="90"/>
      <c r="B1011" s="17" t="e">
        <f>VLOOKUP(Data_Discontinuities[[#This Row],[Hole ID]],Data_Log[],2,FALSE)</f>
        <v>#N/A</v>
      </c>
      <c r="C1011" s="8"/>
      <c r="D1011" s="8"/>
      <c r="E1011" s="7"/>
      <c r="F1011" s="7"/>
      <c r="G1011" s="7"/>
      <c r="H1011" s="118"/>
      <c r="I1011" s="7"/>
      <c r="J1011" s="7"/>
      <c r="K1011" s="7"/>
      <c r="L1011" s="7"/>
      <c r="M1011" s="7"/>
      <c r="N1011" s="7"/>
      <c r="O1011" s="84" t="e" cm="1">
        <f t="array" ref="O1011">_xlfn.XLOOKUP(1,(A1011=Geotech!$A$4:$A$10094)*(Data_Discontinuities[[#This Row],[Depth (m)]]&gt;=Geotech!$C$4:$C$10094)*(Data_Discontinuities[[#This Row],[Depth (m)]]&lt;Geotech!$D$4:$D$10094),Geotech!$M$4:$M$10094)</f>
        <v>#N/A</v>
      </c>
      <c r="P1011" s="84"/>
      <c r="Q1011" s="84"/>
      <c r="R1011" s="84"/>
      <c r="S10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1" s="71" t="str">
        <f>IFERROR(Data_Discontinuities[[#This Row],[Joint roughness]]/Data_Discontinuities[[#This Row],[Joint alteration]],"")</f>
        <v/>
      </c>
      <c r="V10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1" s="87"/>
    </row>
    <row r="1012" spans="1:23" ht="15" customHeight="1" x14ac:dyDescent="0.25">
      <c r="A1012" s="90"/>
      <c r="B1012" s="17" t="e">
        <f>VLOOKUP(Data_Discontinuities[[#This Row],[Hole ID]],Data_Log[],2,FALSE)</f>
        <v>#N/A</v>
      </c>
      <c r="C1012" s="8"/>
      <c r="D1012" s="8"/>
      <c r="E1012" s="7"/>
      <c r="F1012" s="7"/>
      <c r="G1012" s="7"/>
      <c r="H1012" s="118"/>
      <c r="I1012" s="7"/>
      <c r="J1012" s="7"/>
      <c r="K1012" s="7"/>
      <c r="L1012" s="7"/>
      <c r="M1012" s="7"/>
      <c r="N1012" s="7"/>
      <c r="O1012" s="84" t="e" cm="1">
        <f t="array" ref="O1012">_xlfn.XLOOKUP(1,(A1012=Geotech!$A$4:$A$10094)*(Data_Discontinuities[[#This Row],[Depth (m)]]&gt;=Geotech!$C$4:$C$10094)*(Data_Discontinuities[[#This Row],[Depth (m)]]&lt;Geotech!$D$4:$D$10094),Geotech!$M$4:$M$10094)</f>
        <v>#N/A</v>
      </c>
      <c r="P1012" s="84"/>
      <c r="Q1012" s="84"/>
      <c r="R1012" s="84"/>
      <c r="S10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2" s="71" t="str">
        <f>IFERROR(Data_Discontinuities[[#This Row],[Joint roughness]]/Data_Discontinuities[[#This Row],[Joint alteration]],"")</f>
        <v/>
      </c>
      <c r="V10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2" s="87"/>
    </row>
    <row r="1013" spans="1:23" ht="15" customHeight="1" x14ac:dyDescent="0.25">
      <c r="A1013" s="90"/>
      <c r="B1013" s="17" t="e">
        <f>VLOOKUP(Data_Discontinuities[[#This Row],[Hole ID]],Data_Log[],2,FALSE)</f>
        <v>#N/A</v>
      </c>
      <c r="C1013" s="8"/>
      <c r="D1013" s="8"/>
      <c r="E1013" s="7"/>
      <c r="F1013" s="7"/>
      <c r="G1013" s="7"/>
      <c r="H1013" s="118"/>
      <c r="I1013" s="7"/>
      <c r="J1013" s="7"/>
      <c r="K1013" s="7"/>
      <c r="L1013" s="7"/>
      <c r="M1013" s="7"/>
      <c r="N1013" s="7"/>
      <c r="O1013" s="84" t="e" cm="1">
        <f t="array" ref="O1013">_xlfn.XLOOKUP(1,(A1013=Geotech!$A$4:$A$10094)*(Data_Discontinuities[[#This Row],[Depth (m)]]&gt;=Geotech!$C$4:$C$10094)*(Data_Discontinuities[[#This Row],[Depth (m)]]&lt;Geotech!$D$4:$D$10094),Geotech!$M$4:$M$10094)</f>
        <v>#N/A</v>
      </c>
      <c r="P1013" s="84"/>
      <c r="Q1013" s="84"/>
      <c r="R1013" s="84"/>
      <c r="S10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3" s="71" t="str">
        <f>IFERROR(Data_Discontinuities[[#This Row],[Joint roughness]]/Data_Discontinuities[[#This Row],[Joint alteration]],"")</f>
        <v/>
      </c>
      <c r="V10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3" s="87"/>
    </row>
    <row r="1014" spans="1:23" ht="15" customHeight="1" x14ac:dyDescent="0.25">
      <c r="A1014" s="90"/>
      <c r="B1014" s="17" t="e">
        <f>VLOOKUP(Data_Discontinuities[[#This Row],[Hole ID]],Data_Log[],2,FALSE)</f>
        <v>#N/A</v>
      </c>
      <c r="C1014" s="8"/>
      <c r="D1014" s="8"/>
      <c r="E1014" s="7"/>
      <c r="F1014" s="7"/>
      <c r="G1014" s="7"/>
      <c r="H1014" s="118"/>
      <c r="I1014" s="7"/>
      <c r="J1014" s="7"/>
      <c r="K1014" s="7"/>
      <c r="L1014" s="7"/>
      <c r="M1014" s="7"/>
      <c r="N1014" s="7"/>
      <c r="O1014" s="84" t="e" cm="1">
        <f t="array" ref="O1014">_xlfn.XLOOKUP(1,(A1014=Geotech!$A$4:$A$10094)*(Data_Discontinuities[[#This Row],[Depth (m)]]&gt;=Geotech!$C$4:$C$10094)*(Data_Discontinuities[[#This Row],[Depth (m)]]&lt;Geotech!$D$4:$D$10094),Geotech!$M$4:$M$10094)</f>
        <v>#N/A</v>
      </c>
      <c r="P1014" s="84"/>
      <c r="Q1014" s="84"/>
      <c r="R1014" s="84"/>
      <c r="S10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4" s="71" t="str">
        <f>IFERROR(Data_Discontinuities[[#This Row],[Joint roughness]]/Data_Discontinuities[[#This Row],[Joint alteration]],"")</f>
        <v/>
      </c>
      <c r="V10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4" s="87"/>
    </row>
    <row r="1015" spans="1:23" ht="15" customHeight="1" x14ac:dyDescent="0.25">
      <c r="A1015" s="90"/>
      <c r="B1015" s="17" t="e">
        <f>VLOOKUP(Data_Discontinuities[[#This Row],[Hole ID]],Data_Log[],2,FALSE)</f>
        <v>#N/A</v>
      </c>
      <c r="C1015" s="8"/>
      <c r="D1015" s="8"/>
      <c r="E1015" s="7"/>
      <c r="F1015" s="7"/>
      <c r="G1015" s="7"/>
      <c r="H1015" s="118"/>
      <c r="I1015" s="7"/>
      <c r="J1015" s="7"/>
      <c r="K1015" s="7"/>
      <c r="L1015" s="7"/>
      <c r="M1015" s="7"/>
      <c r="N1015" s="7"/>
      <c r="O1015" s="84" t="e" cm="1">
        <f t="array" ref="O1015">_xlfn.XLOOKUP(1,(A1015=Geotech!$A$4:$A$10094)*(Data_Discontinuities[[#This Row],[Depth (m)]]&gt;=Geotech!$C$4:$C$10094)*(Data_Discontinuities[[#This Row],[Depth (m)]]&lt;Geotech!$D$4:$D$10094),Geotech!$M$4:$M$10094)</f>
        <v>#N/A</v>
      </c>
      <c r="P1015" s="84"/>
      <c r="Q1015" s="84"/>
      <c r="R1015" s="84"/>
      <c r="S10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5" s="71" t="str">
        <f>IFERROR(Data_Discontinuities[[#This Row],[Joint roughness]]/Data_Discontinuities[[#This Row],[Joint alteration]],"")</f>
        <v/>
      </c>
      <c r="V10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5" s="87"/>
    </row>
    <row r="1016" spans="1:23" ht="15" customHeight="1" x14ac:dyDescent="0.25">
      <c r="A1016" s="90"/>
      <c r="B1016" s="17" t="e">
        <f>VLOOKUP(Data_Discontinuities[[#This Row],[Hole ID]],Data_Log[],2,FALSE)</f>
        <v>#N/A</v>
      </c>
      <c r="C1016" s="8"/>
      <c r="D1016" s="8"/>
      <c r="E1016" s="7"/>
      <c r="F1016" s="7"/>
      <c r="G1016" s="7"/>
      <c r="H1016" s="118"/>
      <c r="I1016" s="7"/>
      <c r="J1016" s="7"/>
      <c r="K1016" s="7"/>
      <c r="L1016" s="7"/>
      <c r="M1016" s="7"/>
      <c r="N1016" s="7"/>
      <c r="O1016" s="84" t="e" cm="1">
        <f t="array" ref="O1016">_xlfn.XLOOKUP(1,(A1016=Geotech!$A$4:$A$10094)*(Data_Discontinuities[[#This Row],[Depth (m)]]&gt;=Geotech!$C$4:$C$10094)*(Data_Discontinuities[[#This Row],[Depth (m)]]&lt;Geotech!$D$4:$D$10094),Geotech!$M$4:$M$10094)</f>
        <v>#N/A</v>
      </c>
      <c r="P1016" s="84"/>
      <c r="Q1016" s="84"/>
      <c r="R1016" s="84"/>
      <c r="S10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6" s="71" t="str">
        <f>IFERROR(Data_Discontinuities[[#This Row],[Joint roughness]]/Data_Discontinuities[[#This Row],[Joint alteration]],"")</f>
        <v/>
      </c>
      <c r="V10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6" s="87"/>
    </row>
    <row r="1017" spans="1:23" ht="15" customHeight="1" x14ac:dyDescent="0.25">
      <c r="A1017" s="90"/>
      <c r="B1017" s="17" t="e">
        <f>VLOOKUP(Data_Discontinuities[[#This Row],[Hole ID]],Data_Log[],2,FALSE)</f>
        <v>#N/A</v>
      </c>
      <c r="C1017" s="8"/>
      <c r="D1017" s="8"/>
      <c r="E1017" s="7"/>
      <c r="F1017" s="7"/>
      <c r="G1017" s="7"/>
      <c r="H1017" s="118"/>
      <c r="I1017" s="7"/>
      <c r="J1017" s="7"/>
      <c r="K1017" s="7"/>
      <c r="L1017" s="7"/>
      <c r="M1017" s="7"/>
      <c r="N1017" s="7"/>
      <c r="O1017" s="84" t="e" cm="1">
        <f t="array" ref="O1017">_xlfn.XLOOKUP(1,(A1017=Geotech!$A$4:$A$10094)*(Data_Discontinuities[[#This Row],[Depth (m)]]&gt;=Geotech!$C$4:$C$10094)*(Data_Discontinuities[[#This Row],[Depth (m)]]&lt;Geotech!$D$4:$D$10094),Geotech!$M$4:$M$10094)</f>
        <v>#N/A</v>
      </c>
      <c r="P1017" s="84"/>
      <c r="Q1017" s="84"/>
      <c r="R1017" s="84"/>
      <c r="S10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7" s="71" t="str">
        <f>IFERROR(Data_Discontinuities[[#This Row],[Joint roughness]]/Data_Discontinuities[[#This Row],[Joint alteration]],"")</f>
        <v/>
      </c>
      <c r="V10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7" s="87"/>
    </row>
    <row r="1018" spans="1:23" ht="15" customHeight="1" x14ac:dyDescent="0.25">
      <c r="A1018" s="90"/>
      <c r="B1018" s="17" t="e">
        <f>VLOOKUP(Data_Discontinuities[[#This Row],[Hole ID]],Data_Log[],2,FALSE)</f>
        <v>#N/A</v>
      </c>
      <c r="C1018" s="8"/>
      <c r="D1018" s="8"/>
      <c r="E1018" s="7"/>
      <c r="F1018" s="7"/>
      <c r="G1018" s="7"/>
      <c r="H1018" s="118"/>
      <c r="I1018" s="7"/>
      <c r="J1018" s="7"/>
      <c r="K1018" s="7"/>
      <c r="L1018" s="7"/>
      <c r="M1018" s="7"/>
      <c r="N1018" s="7"/>
      <c r="O1018" s="84" t="e" cm="1">
        <f t="array" ref="O1018">_xlfn.XLOOKUP(1,(A1018=Geotech!$A$4:$A$10094)*(Data_Discontinuities[[#This Row],[Depth (m)]]&gt;=Geotech!$C$4:$C$10094)*(Data_Discontinuities[[#This Row],[Depth (m)]]&lt;Geotech!$D$4:$D$10094),Geotech!$M$4:$M$10094)</f>
        <v>#N/A</v>
      </c>
      <c r="P1018" s="84"/>
      <c r="Q1018" s="84"/>
      <c r="R1018" s="84"/>
      <c r="S10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8" s="71" t="str">
        <f>IFERROR(Data_Discontinuities[[#This Row],[Joint roughness]]/Data_Discontinuities[[#This Row],[Joint alteration]],"")</f>
        <v/>
      </c>
      <c r="V10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8" s="87"/>
    </row>
    <row r="1019" spans="1:23" ht="15" customHeight="1" x14ac:dyDescent="0.25">
      <c r="A1019" s="90"/>
      <c r="B1019" s="17" t="e">
        <f>VLOOKUP(Data_Discontinuities[[#This Row],[Hole ID]],Data_Log[],2,FALSE)</f>
        <v>#N/A</v>
      </c>
      <c r="C1019" s="8"/>
      <c r="D1019" s="8"/>
      <c r="E1019" s="7"/>
      <c r="F1019" s="7"/>
      <c r="G1019" s="7"/>
      <c r="H1019" s="118"/>
      <c r="I1019" s="7"/>
      <c r="J1019" s="7"/>
      <c r="K1019" s="7"/>
      <c r="L1019" s="7"/>
      <c r="M1019" s="7"/>
      <c r="N1019" s="7"/>
      <c r="O1019" s="84" t="e" cm="1">
        <f t="array" ref="O1019">_xlfn.XLOOKUP(1,(A1019=Geotech!$A$4:$A$10094)*(Data_Discontinuities[[#This Row],[Depth (m)]]&gt;=Geotech!$C$4:$C$10094)*(Data_Discontinuities[[#This Row],[Depth (m)]]&lt;Geotech!$D$4:$D$10094),Geotech!$M$4:$M$10094)</f>
        <v>#N/A</v>
      </c>
      <c r="P1019" s="84"/>
      <c r="Q1019" s="84"/>
      <c r="R1019" s="84"/>
      <c r="S10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19" s="71" t="str">
        <f>IFERROR(Data_Discontinuities[[#This Row],[Joint roughness]]/Data_Discontinuities[[#This Row],[Joint alteration]],"")</f>
        <v/>
      </c>
      <c r="V10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19" s="87"/>
    </row>
    <row r="1020" spans="1:23" ht="15" customHeight="1" x14ac:dyDescent="0.25">
      <c r="A1020" s="90"/>
      <c r="B1020" s="17" t="e">
        <f>VLOOKUP(Data_Discontinuities[[#This Row],[Hole ID]],Data_Log[],2,FALSE)</f>
        <v>#N/A</v>
      </c>
      <c r="C1020" s="8"/>
      <c r="D1020" s="8"/>
      <c r="E1020" s="7"/>
      <c r="F1020" s="7"/>
      <c r="G1020" s="7"/>
      <c r="H1020" s="118"/>
      <c r="I1020" s="7"/>
      <c r="J1020" s="7"/>
      <c r="K1020" s="7"/>
      <c r="L1020" s="7"/>
      <c r="M1020" s="7"/>
      <c r="N1020" s="7"/>
      <c r="O1020" s="84" t="e" cm="1">
        <f t="array" ref="O1020">_xlfn.XLOOKUP(1,(A1020=Geotech!$A$4:$A$10094)*(Data_Discontinuities[[#This Row],[Depth (m)]]&gt;=Geotech!$C$4:$C$10094)*(Data_Discontinuities[[#This Row],[Depth (m)]]&lt;Geotech!$D$4:$D$10094),Geotech!$M$4:$M$10094)</f>
        <v>#N/A</v>
      </c>
      <c r="P1020" s="84"/>
      <c r="Q1020" s="84"/>
      <c r="R1020" s="84"/>
      <c r="S10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0" s="71" t="str">
        <f>IFERROR(Data_Discontinuities[[#This Row],[Joint roughness]]/Data_Discontinuities[[#This Row],[Joint alteration]],"")</f>
        <v/>
      </c>
      <c r="V10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0" s="87"/>
    </row>
    <row r="1021" spans="1:23" ht="15" customHeight="1" x14ac:dyDescent="0.25">
      <c r="A1021" s="90"/>
      <c r="B1021" s="17" t="e">
        <f>VLOOKUP(Data_Discontinuities[[#This Row],[Hole ID]],Data_Log[],2,FALSE)</f>
        <v>#N/A</v>
      </c>
      <c r="C1021" s="8"/>
      <c r="D1021" s="8"/>
      <c r="E1021" s="7"/>
      <c r="F1021" s="7"/>
      <c r="G1021" s="7"/>
      <c r="H1021" s="118"/>
      <c r="I1021" s="7"/>
      <c r="J1021" s="7"/>
      <c r="K1021" s="7"/>
      <c r="L1021" s="7"/>
      <c r="M1021" s="7"/>
      <c r="N1021" s="7"/>
      <c r="O1021" s="84" t="e" cm="1">
        <f t="array" ref="O1021">_xlfn.XLOOKUP(1,(A1021=Geotech!$A$4:$A$10094)*(Data_Discontinuities[[#This Row],[Depth (m)]]&gt;=Geotech!$C$4:$C$10094)*(Data_Discontinuities[[#This Row],[Depth (m)]]&lt;Geotech!$D$4:$D$10094),Geotech!$M$4:$M$10094)</f>
        <v>#N/A</v>
      </c>
      <c r="P1021" s="84"/>
      <c r="Q1021" s="84"/>
      <c r="R1021" s="84"/>
      <c r="S10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1" s="71" t="str">
        <f>IFERROR(Data_Discontinuities[[#This Row],[Joint roughness]]/Data_Discontinuities[[#This Row],[Joint alteration]],"")</f>
        <v/>
      </c>
      <c r="V10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1" s="87"/>
    </row>
    <row r="1022" spans="1:23" ht="15" customHeight="1" x14ac:dyDescent="0.25">
      <c r="A1022" s="90"/>
      <c r="B1022" s="17" t="e">
        <f>VLOOKUP(Data_Discontinuities[[#This Row],[Hole ID]],Data_Log[],2,FALSE)</f>
        <v>#N/A</v>
      </c>
      <c r="C1022" s="8"/>
      <c r="D1022" s="8"/>
      <c r="E1022" s="7"/>
      <c r="F1022" s="7"/>
      <c r="G1022" s="7"/>
      <c r="H1022" s="118"/>
      <c r="I1022" s="7"/>
      <c r="J1022" s="7"/>
      <c r="K1022" s="7"/>
      <c r="L1022" s="7"/>
      <c r="M1022" s="7"/>
      <c r="N1022" s="7"/>
      <c r="O1022" s="84" t="e" cm="1">
        <f t="array" ref="O1022">_xlfn.XLOOKUP(1,(A1022=Geotech!$A$4:$A$10094)*(Data_Discontinuities[[#This Row],[Depth (m)]]&gt;=Geotech!$C$4:$C$10094)*(Data_Discontinuities[[#This Row],[Depth (m)]]&lt;Geotech!$D$4:$D$10094),Geotech!$M$4:$M$10094)</f>
        <v>#N/A</v>
      </c>
      <c r="P1022" s="84"/>
      <c r="Q1022" s="84"/>
      <c r="R1022" s="84"/>
      <c r="S10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2" s="71" t="str">
        <f>IFERROR(Data_Discontinuities[[#This Row],[Joint roughness]]/Data_Discontinuities[[#This Row],[Joint alteration]],"")</f>
        <v/>
      </c>
      <c r="V10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2" s="87"/>
    </row>
    <row r="1023" spans="1:23" ht="15" customHeight="1" x14ac:dyDescent="0.25">
      <c r="A1023" s="90"/>
      <c r="B1023" s="17" t="e">
        <f>VLOOKUP(Data_Discontinuities[[#This Row],[Hole ID]],Data_Log[],2,FALSE)</f>
        <v>#N/A</v>
      </c>
      <c r="C1023" s="8"/>
      <c r="D1023" s="8"/>
      <c r="E1023" s="7"/>
      <c r="F1023" s="7"/>
      <c r="G1023" s="7"/>
      <c r="H1023" s="118"/>
      <c r="I1023" s="7"/>
      <c r="J1023" s="7"/>
      <c r="K1023" s="7"/>
      <c r="L1023" s="7"/>
      <c r="M1023" s="7"/>
      <c r="N1023" s="7"/>
      <c r="O1023" s="84" t="e" cm="1">
        <f t="array" ref="O1023">_xlfn.XLOOKUP(1,(A1023=Geotech!$A$4:$A$10094)*(Data_Discontinuities[[#This Row],[Depth (m)]]&gt;=Geotech!$C$4:$C$10094)*(Data_Discontinuities[[#This Row],[Depth (m)]]&lt;Geotech!$D$4:$D$10094),Geotech!$M$4:$M$10094)</f>
        <v>#N/A</v>
      </c>
      <c r="P1023" s="84"/>
      <c r="Q1023" s="84"/>
      <c r="R1023" s="84"/>
      <c r="S10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3" s="71" t="str">
        <f>IFERROR(Data_Discontinuities[[#This Row],[Joint roughness]]/Data_Discontinuities[[#This Row],[Joint alteration]],"")</f>
        <v/>
      </c>
      <c r="V10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3" s="87"/>
    </row>
    <row r="1024" spans="1:23" ht="15" customHeight="1" x14ac:dyDescent="0.25">
      <c r="A1024" s="90"/>
      <c r="B1024" s="17" t="e">
        <f>VLOOKUP(Data_Discontinuities[[#This Row],[Hole ID]],Data_Log[],2,FALSE)</f>
        <v>#N/A</v>
      </c>
      <c r="C1024" s="8"/>
      <c r="D1024" s="8"/>
      <c r="E1024" s="7"/>
      <c r="F1024" s="7"/>
      <c r="G1024" s="7"/>
      <c r="H1024" s="118"/>
      <c r="I1024" s="7"/>
      <c r="J1024" s="7"/>
      <c r="K1024" s="7"/>
      <c r="L1024" s="7"/>
      <c r="M1024" s="7"/>
      <c r="N1024" s="7"/>
      <c r="O1024" s="84" t="e" cm="1">
        <f t="array" ref="O1024">_xlfn.XLOOKUP(1,(A1024=Geotech!$A$4:$A$10094)*(Data_Discontinuities[[#This Row],[Depth (m)]]&gt;=Geotech!$C$4:$C$10094)*(Data_Discontinuities[[#This Row],[Depth (m)]]&lt;Geotech!$D$4:$D$10094),Geotech!$M$4:$M$10094)</f>
        <v>#N/A</v>
      </c>
      <c r="P1024" s="84"/>
      <c r="Q1024" s="84"/>
      <c r="R1024" s="84"/>
      <c r="S10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4" s="71" t="str">
        <f>IFERROR(Data_Discontinuities[[#This Row],[Joint roughness]]/Data_Discontinuities[[#This Row],[Joint alteration]],"")</f>
        <v/>
      </c>
      <c r="V10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4" s="87"/>
    </row>
    <row r="1025" spans="1:23" ht="15" customHeight="1" x14ac:dyDescent="0.25">
      <c r="A1025" s="90"/>
      <c r="B1025" s="17" t="e">
        <f>VLOOKUP(Data_Discontinuities[[#This Row],[Hole ID]],Data_Log[],2,FALSE)</f>
        <v>#N/A</v>
      </c>
      <c r="C1025" s="8"/>
      <c r="D1025" s="8"/>
      <c r="E1025" s="7"/>
      <c r="F1025" s="7"/>
      <c r="G1025" s="7"/>
      <c r="H1025" s="118"/>
      <c r="I1025" s="7"/>
      <c r="J1025" s="7"/>
      <c r="K1025" s="7"/>
      <c r="L1025" s="7"/>
      <c r="M1025" s="7"/>
      <c r="N1025" s="7"/>
      <c r="O1025" s="84" t="e" cm="1">
        <f t="array" ref="O1025">_xlfn.XLOOKUP(1,(A1025=Geotech!$A$4:$A$10094)*(Data_Discontinuities[[#This Row],[Depth (m)]]&gt;=Geotech!$C$4:$C$10094)*(Data_Discontinuities[[#This Row],[Depth (m)]]&lt;Geotech!$D$4:$D$10094),Geotech!$M$4:$M$10094)</f>
        <v>#N/A</v>
      </c>
      <c r="P1025" s="84"/>
      <c r="Q1025" s="84"/>
      <c r="R1025" s="84"/>
      <c r="S10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5" s="71" t="str">
        <f>IFERROR(Data_Discontinuities[[#This Row],[Joint roughness]]/Data_Discontinuities[[#This Row],[Joint alteration]],"")</f>
        <v/>
      </c>
      <c r="V10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5" s="87"/>
    </row>
    <row r="1026" spans="1:23" ht="15" customHeight="1" x14ac:dyDescent="0.25">
      <c r="A1026" s="90"/>
      <c r="B1026" s="17" t="e">
        <f>VLOOKUP(Data_Discontinuities[[#This Row],[Hole ID]],Data_Log[],2,FALSE)</f>
        <v>#N/A</v>
      </c>
      <c r="C1026" s="8"/>
      <c r="D1026" s="8"/>
      <c r="E1026" s="7"/>
      <c r="F1026" s="7"/>
      <c r="G1026" s="7"/>
      <c r="H1026" s="118"/>
      <c r="I1026" s="7"/>
      <c r="J1026" s="7"/>
      <c r="K1026" s="7"/>
      <c r="L1026" s="7"/>
      <c r="M1026" s="7"/>
      <c r="N1026" s="7"/>
      <c r="O1026" s="84" t="e" cm="1">
        <f t="array" ref="O1026">_xlfn.XLOOKUP(1,(A1026=Geotech!$A$4:$A$10094)*(Data_Discontinuities[[#This Row],[Depth (m)]]&gt;=Geotech!$C$4:$C$10094)*(Data_Discontinuities[[#This Row],[Depth (m)]]&lt;Geotech!$D$4:$D$10094),Geotech!$M$4:$M$10094)</f>
        <v>#N/A</v>
      </c>
      <c r="P1026" s="84"/>
      <c r="Q1026" s="84"/>
      <c r="R1026" s="84"/>
      <c r="S10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6" s="71" t="str">
        <f>IFERROR(Data_Discontinuities[[#This Row],[Joint roughness]]/Data_Discontinuities[[#This Row],[Joint alteration]],"")</f>
        <v/>
      </c>
      <c r="V10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6" s="87"/>
    </row>
    <row r="1027" spans="1:23" ht="15" customHeight="1" x14ac:dyDescent="0.25">
      <c r="A1027" s="90"/>
      <c r="B1027" s="17" t="e">
        <f>VLOOKUP(Data_Discontinuities[[#This Row],[Hole ID]],Data_Log[],2,FALSE)</f>
        <v>#N/A</v>
      </c>
      <c r="C1027" s="8"/>
      <c r="D1027" s="8"/>
      <c r="E1027" s="7"/>
      <c r="F1027" s="7"/>
      <c r="G1027" s="7"/>
      <c r="H1027" s="118"/>
      <c r="I1027" s="7"/>
      <c r="J1027" s="7"/>
      <c r="K1027" s="7"/>
      <c r="L1027" s="7"/>
      <c r="M1027" s="7"/>
      <c r="N1027" s="7"/>
      <c r="O1027" s="84" t="e" cm="1">
        <f t="array" ref="O1027">_xlfn.XLOOKUP(1,(A1027=Geotech!$A$4:$A$10094)*(Data_Discontinuities[[#This Row],[Depth (m)]]&gt;=Geotech!$C$4:$C$10094)*(Data_Discontinuities[[#This Row],[Depth (m)]]&lt;Geotech!$D$4:$D$10094),Geotech!$M$4:$M$10094)</f>
        <v>#N/A</v>
      </c>
      <c r="P1027" s="84"/>
      <c r="Q1027" s="84"/>
      <c r="R1027" s="84"/>
      <c r="S10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7" s="71" t="str">
        <f>IFERROR(Data_Discontinuities[[#This Row],[Joint roughness]]/Data_Discontinuities[[#This Row],[Joint alteration]],"")</f>
        <v/>
      </c>
      <c r="V10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7" s="87"/>
    </row>
    <row r="1028" spans="1:23" ht="15" customHeight="1" x14ac:dyDescent="0.25">
      <c r="A1028" s="90"/>
      <c r="B1028" s="17" t="e">
        <f>VLOOKUP(Data_Discontinuities[[#This Row],[Hole ID]],Data_Log[],2,FALSE)</f>
        <v>#N/A</v>
      </c>
      <c r="C1028" s="8"/>
      <c r="D1028" s="8"/>
      <c r="E1028" s="7"/>
      <c r="F1028" s="7"/>
      <c r="G1028" s="7"/>
      <c r="H1028" s="118"/>
      <c r="I1028" s="7"/>
      <c r="J1028" s="7"/>
      <c r="K1028" s="7"/>
      <c r="L1028" s="7"/>
      <c r="M1028" s="7"/>
      <c r="N1028" s="7"/>
      <c r="O1028" s="84" t="e" cm="1">
        <f t="array" ref="O1028">_xlfn.XLOOKUP(1,(A1028=Geotech!$A$4:$A$10094)*(Data_Discontinuities[[#This Row],[Depth (m)]]&gt;=Geotech!$C$4:$C$10094)*(Data_Discontinuities[[#This Row],[Depth (m)]]&lt;Geotech!$D$4:$D$10094),Geotech!$M$4:$M$10094)</f>
        <v>#N/A</v>
      </c>
      <c r="P1028" s="84"/>
      <c r="Q1028" s="84"/>
      <c r="R1028" s="84"/>
      <c r="S10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8" s="71" t="str">
        <f>IFERROR(Data_Discontinuities[[#This Row],[Joint roughness]]/Data_Discontinuities[[#This Row],[Joint alteration]],"")</f>
        <v/>
      </c>
      <c r="V10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8" s="87"/>
    </row>
    <row r="1029" spans="1:23" ht="15" customHeight="1" x14ac:dyDescent="0.25">
      <c r="A1029" s="90"/>
      <c r="B1029" s="17" t="e">
        <f>VLOOKUP(Data_Discontinuities[[#This Row],[Hole ID]],Data_Log[],2,FALSE)</f>
        <v>#N/A</v>
      </c>
      <c r="C1029" s="8"/>
      <c r="D1029" s="8"/>
      <c r="E1029" s="7"/>
      <c r="F1029" s="7"/>
      <c r="G1029" s="7"/>
      <c r="H1029" s="118"/>
      <c r="I1029" s="7"/>
      <c r="J1029" s="7"/>
      <c r="K1029" s="7"/>
      <c r="L1029" s="7"/>
      <c r="M1029" s="7"/>
      <c r="N1029" s="7"/>
      <c r="O1029" s="84" t="e" cm="1">
        <f t="array" ref="O1029">_xlfn.XLOOKUP(1,(A1029=Geotech!$A$4:$A$10094)*(Data_Discontinuities[[#This Row],[Depth (m)]]&gt;=Geotech!$C$4:$C$10094)*(Data_Discontinuities[[#This Row],[Depth (m)]]&lt;Geotech!$D$4:$D$10094),Geotech!$M$4:$M$10094)</f>
        <v>#N/A</v>
      </c>
      <c r="P1029" s="84"/>
      <c r="Q1029" s="84"/>
      <c r="R1029" s="84"/>
      <c r="S10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29" s="71" t="str">
        <f>IFERROR(Data_Discontinuities[[#This Row],[Joint roughness]]/Data_Discontinuities[[#This Row],[Joint alteration]],"")</f>
        <v/>
      </c>
      <c r="V10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29" s="87"/>
    </row>
    <row r="1030" spans="1:23" ht="15" customHeight="1" x14ac:dyDescent="0.25">
      <c r="A1030" s="90"/>
      <c r="B1030" s="17" t="e">
        <f>VLOOKUP(Data_Discontinuities[[#This Row],[Hole ID]],Data_Log[],2,FALSE)</f>
        <v>#N/A</v>
      </c>
      <c r="C1030" s="8"/>
      <c r="D1030" s="8"/>
      <c r="E1030" s="7"/>
      <c r="F1030" s="7"/>
      <c r="G1030" s="7"/>
      <c r="H1030" s="118"/>
      <c r="I1030" s="7"/>
      <c r="J1030" s="7"/>
      <c r="K1030" s="7"/>
      <c r="L1030" s="7"/>
      <c r="M1030" s="7"/>
      <c r="N1030" s="7"/>
      <c r="O1030" s="84" t="e" cm="1">
        <f t="array" ref="O1030">_xlfn.XLOOKUP(1,(A1030=Geotech!$A$4:$A$10094)*(Data_Discontinuities[[#This Row],[Depth (m)]]&gt;=Geotech!$C$4:$C$10094)*(Data_Discontinuities[[#This Row],[Depth (m)]]&lt;Geotech!$D$4:$D$10094),Geotech!$M$4:$M$10094)</f>
        <v>#N/A</v>
      </c>
      <c r="P1030" s="84"/>
      <c r="Q1030" s="84"/>
      <c r="R1030" s="84"/>
      <c r="S10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0" s="71" t="str">
        <f>IFERROR(Data_Discontinuities[[#This Row],[Joint roughness]]/Data_Discontinuities[[#This Row],[Joint alteration]],"")</f>
        <v/>
      </c>
      <c r="V10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0" s="87"/>
    </row>
    <row r="1031" spans="1:23" ht="15" customHeight="1" x14ac:dyDescent="0.25">
      <c r="B1031" s="17" t="e">
        <f>VLOOKUP(Data_Discontinuities[[#This Row],[Hole ID]],Data_Log[],2,FALSE)</f>
        <v>#N/A</v>
      </c>
      <c r="C1031" s="8"/>
      <c r="D1031" s="8"/>
      <c r="E1031" s="7"/>
      <c r="F1031" s="7"/>
      <c r="G1031" s="7"/>
      <c r="H1031" s="118"/>
      <c r="I1031" s="7"/>
      <c r="J1031" s="7"/>
      <c r="K1031" s="7"/>
      <c r="L1031" s="7"/>
      <c r="M1031" s="7"/>
      <c r="N1031" s="7"/>
      <c r="O1031" s="84" t="e" cm="1">
        <f t="array" ref="O1031">_xlfn.XLOOKUP(1,(A1031=Geotech!$A$4:$A$10094)*(Data_Discontinuities[[#This Row],[Depth (m)]]&gt;=Geotech!$C$4:$C$10094)*(Data_Discontinuities[[#This Row],[Depth (m)]]&lt;Geotech!$D$4:$D$10094),Geotech!$M$4:$M$10094)</f>
        <v>#N/A</v>
      </c>
      <c r="P1031" s="84"/>
      <c r="Q1031" s="84"/>
      <c r="R1031" s="84"/>
      <c r="S10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1" s="71" t="str">
        <f>IFERROR(Data_Discontinuities[[#This Row],[Joint roughness]]/Data_Discontinuities[[#This Row],[Joint alteration]],"")</f>
        <v/>
      </c>
      <c r="V10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1" s="87"/>
    </row>
    <row r="1032" spans="1:23" ht="15" customHeight="1" x14ac:dyDescent="0.25">
      <c r="B1032" s="17" t="e">
        <f>VLOOKUP(Data_Discontinuities[[#This Row],[Hole ID]],Data_Log[],2,FALSE)</f>
        <v>#N/A</v>
      </c>
      <c r="C1032" s="8"/>
      <c r="D1032" s="8"/>
      <c r="E1032" s="7"/>
      <c r="F1032" s="7"/>
      <c r="G1032" s="7"/>
      <c r="H1032" s="118"/>
      <c r="I1032" s="7"/>
      <c r="J1032" s="7"/>
      <c r="K1032" s="7"/>
      <c r="L1032" s="7"/>
      <c r="M1032" s="7"/>
      <c r="N1032" s="7"/>
      <c r="O1032" s="84" t="e" cm="1">
        <f t="array" ref="O1032">_xlfn.XLOOKUP(1,(A1032=Geotech!$A$4:$A$10094)*(Data_Discontinuities[[#This Row],[Depth (m)]]&gt;=Geotech!$C$4:$C$10094)*(Data_Discontinuities[[#This Row],[Depth (m)]]&lt;Geotech!$D$4:$D$10094),Geotech!$M$4:$M$10094)</f>
        <v>#N/A</v>
      </c>
      <c r="P1032" s="84"/>
      <c r="Q1032" s="84"/>
      <c r="R1032" s="84"/>
      <c r="S10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2" s="71" t="str">
        <f>IFERROR(Data_Discontinuities[[#This Row],[Joint roughness]]/Data_Discontinuities[[#This Row],[Joint alteration]],"")</f>
        <v/>
      </c>
      <c r="V10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2" s="87"/>
    </row>
    <row r="1033" spans="1:23" ht="15" customHeight="1" x14ac:dyDescent="0.25">
      <c r="B1033" s="17" t="e">
        <f>VLOOKUP(Data_Discontinuities[[#This Row],[Hole ID]],Data_Log[],2,FALSE)</f>
        <v>#N/A</v>
      </c>
      <c r="C1033" s="8"/>
      <c r="D1033" s="8"/>
      <c r="E1033" s="7"/>
      <c r="F1033" s="7"/>
      <c r="G1033" s="7"/>
      <c r="H1033" s="118"/>
      <c r="I1033" s="7"/>
      <c r="J1033" s="7"/>
      <c r="K1033" s="7"/>
      <c r="L1033" s="7"/>
      <c r="M1033" s="7"/>
      <c r="N1033" s="7"/>
      <c r="O1033" s="84" t="e" cm="1">
        <f t="array" ref="O1033">_xlfn.XLOOKUP(1,(A1033=Geotech!$A$4:$A$10094)*(Data_Discontinuities[[#This Row],[Depth (m)]]&gt;=Geotech!$C$4:$C$10094)*(Data_Discontinuities[[#This Row],[Depth (m)]]&lt;Geotech!$D$4:$D$10094),Geotech!$M$4:$M$10094)</f>
        <v>#N/A</v>
      </c>
      <c r="P1033" s="84"/>
      <c r="Q1033" s="84"/>
      <c r="R1033" s="84"/>
      <c r="S10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3" s="71" t="str">
        <f>IFERROR(Data_Discontinuities[[#This Row],[Joint roughness]]/Data_Discontinuities[[#This Row],[Joint alteration]],"")</f>
        <v/>
      </c>
      <c r="V10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3" s="87"/>
    </row>
    <row r="1034" spans="1:23" ht="15" customHeight="1" x14ac:dyDescent="0.25">
      <c r="B1034" s="17" t="e">
        <f>VLOOKUP(Data_Discontinuities[[#This Row],[Hole ID]],Data_Log[],2,FALSE)</f>
        <v>#N/A</v>
      </c>
      <c r="C1034" s="8"/>
      <c r="D1034" s="8"/>
      <c r="E1034" s="7"/>
      <c r="F1034" s="7"/>
      <c r="G1034" s="7"/>
      <c r="H1034" s="118"/>
      <c r="I1034" s="7"/>
      <c r="J1034" s="7"/>
      <c r="K1034" s="7"/>
      <c r="L1034" s="7"/>
      <c r="M1034" s="7"/>
      <c r="N1034" s="7"/>
      <c r="O1034" s="84" t="e" cm="1">
        <f t="array" ref="O1034">_xlfn.XLOOKUP(1,(A1034=Geotech!$A$4:$A$10094)*(Data_Discontinuities[[#This Row],[Depth (m)]]&gt;=Geotech!$C$4:$C$10094)*(Data_Discontinuities[[#This Row],[Depth (m)]]&lt;Geotech!$D$4:$D$10094),Geotech!$M$4:$M$10094)</f>
        <v>#N/A</v>
      </c>
      <c r="P1034" s="84"/>
      <c r="Q1034" s="84"/>
      <c r="R1034" s="84"/>
      <c r="S10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4" s="71" t="str">
        <f>IFERROR(Data_Discontinuities[[#This Row],[Joint roughness]]/Data_Discontinuities[[#This Row],[Joint alteration]],"")</f>
        <v/>
      </c>
      <c r="V10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4" s="87"/>
    </row>
    <row r="1035" spans="1:23" ht="15" customHeight="1" x14ac:dyDescent="0.25">
      <c r="B1035" s="17" t="e">
        <f>VLOOKUP(Data_Discontinuities[[#This Row],[Hole ID]],Data_Log[],2,FALSE)</f>
        <v>#N/A</v>
      </c>
      <c r="C1035" s="8"/>
      <c r="D1035" s="8"/>
      <c r="E1035" s="7"/>
      <c r="F1035" s="7"/>
      <c r="G1035" s="7"/>
      <c r="H1035" s="118"/>
      <c r="I1035" s="7"/>
      <c r="J1035" s="7"/>
      <c r="K1035" s="7"/>
      <c r="L1035" s="7"/>
      <c r="M1035" s="7"/>
      <c r="N1035" s="7"/>
      <c r="O1035" s="84" t="e" cm="1">
        <f t="array" ref="O1035">_xlfn.XLOOKUP(1,(A1035=Geotech!$A$4:$A$10094)*(Data_Discontinuities[[#This Row],[Depth (m)]]&gt;=Geotech!$C$4:$C$10094)*(Data_Discontinuities[[#This Row],[Depth (m)]]&lt;Geotech!$D$4:$D$10094),Geotech!$M$4:$M$10094)</f>
        <v>#N/A</v>
      </c>
      <c r="P1035" s="84"/>
      <c r="Q1035" s="84"/>
      <c r="R1035" s="84"/>
      <c r="S10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5" s="71" t="str">
        <f>IFERROR(Data_Discontinuities[[#This Row],[Joint roughness]]/Data_Discontinuities[[#This Row],[Joint alteration]],"")</f>
        <v/>
      </c>
      <c r="V10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5" s="87"/>
    </row>
    <row r="1036" spans="1:23" ht="15" customHeight="1" x14ac:dyDescent="0.25">
      <c r="B1036" s="17" t="e">
        <f>VLOOKUP(Data_Discontinuities[[#This Row],[Hole ID]],Data_Log[],2,FALSE)</f>
        <v>#N/A</v>
      </c>
      <c r="C1036" s="8"/>
      <c r="D1036" s="8"/>
      <c r="E1036" s="7"/>
      <c r="F1036" s="7"/>
      <c r="G1036" s="7"/>
      <c r="H1036" s="118"/>
      <c r="I1036" s="7"/>
      <c r="J1036" s="7"/>
      <c r="K1036" s="7"/>
      <c r="L1036" s="7"/>
      <c r="M1036" s="7"/>
      <c r="N1036" s="7"/>
      <c r="O1036" s="84" t="e" cm="1">
        <f t="array" ref="O1036">_xlfn.XLOOKUP(1,(A1036=Geotech!$A$4:$A$10094)*(Data_Discontinuities[[#This Row],[Depth (m)]]&gt;=Geotech!$C$4:$C$10094)*(Data_Discontinuities[[#This Row],[Depth (m)]]&lt;Geotech!$D$4:$D$10094),Geotech!$M$4:$M$10094)</f>
        <v>#N/A</v>
      </c>
      <c r="P1036" s="84"/>
      <c r="Q1036" s="84"/>
      <c r="R1036" s="84"/>
      <c r="S10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6" s="71" t="str">
        <f>IFERROR(Data_Discontinuities[[#This Row],[Joint roughness]]/Data_Discontinuities[[#This Row],[Joint alteration]],"")</f>
        <v/>
      </c>
      <c r="V10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6" s="87"/>
    </row>
    <row r="1037" spans="1:23" ht="15" customHeight="1" x14ac:dyDescent="0.25">
      <c r="B1037" s="17" t="e">
        <f>VLOOKUP(Data_Discontinuities[[#This Row],[Hole ID]],Data_Log[],2,FALSE)</f>
        <v>#N/A</v>
      </c>
      <c r="C1037" s="8"/>
      <c r="D1037" s="8"/>
      <c r="E1037" s="7"/>
      <c r="F1037" s="7"/>
      <c r="G1037" s="7"/>
      <c r="H1037" s="118"/>
      <c r="I1037" s="7"/>
      <c r="J1037" s="7"/>
      <c r="K1037" s="7"/>
      <c r="L1037" s="7"/>
      <c r="M1037" s="7"/>
      <c r="N1037" s="7"/>
      <c r="O1037" s="84" t="e" cm="1">
        <f t="array" ref="O1037">_xlfn.XLOOKUP(1,(A1037=Geotech!$A$4:$A$10094)*(Data_Discontinuities[[#This Row],[Depth (m)]]&gt;=Geotech!$C$4:$C$10094)*(Data_Discontinuities[[#This Row],[Depth (m)]]&lt;Geotech!$D$4:$D$10094),Geotech!$M$4:$M$10094)</f>
        <v>#N/A</v>
      </c>
      <c r="P1037" s="84"/>
      <c r="Q1037" s="84"/>
      <c r="R1037" s="84"/>
      <c r="S10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7" s="71" t="str">
        <f>IFERROR(Data_Discontinuities[[#This Row],[Joint roughness]]/Data_Discontinuities[[#This Row],[Joint alteration]],"")</f>
        <v/>
      </c>
      <c r="V10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7" s="87"/>
    </row>
    <row r="1038" spans="1:23" ht="15" customHeight="1" x14ac:dyDescent="0.25">
      <c r="B1038" s="17" t="e">
        <f>VLOOKUP(Data_Discontinuities[[#This Row],[Hole ID]],Data_Log[],2,FALSE)</f>
        <v>#N/A</v>
      </c>
      <c r="C1038" s="8"/>
      <c r="D1038" s="8"/>
      <c r="E1038" s="7"/>
      <c r="F1038" s="7"/>
      <c r="G1038" s="7"/>
      <c r="H1038" s="118"/>
      <c r="I1038" s="7"/>
      <c r="J1038" s="7"/>
      <c r="K1038" s="7"/>
      <c r="L1038" s="7"/>
      <c r="M1038" s="7"/>
      <c r="N1038" s="7"/>
      <c r="O1038" s="84" t="e" cm="1">
        <f t="array" ref="O1038">_xlfn.XLOOKUP(1,(A1038=Geotech!$A$4:$A$10094)*(Data_Discontinuities[[#This Row],[Depth (m)]]&gt;=Geotech!$C$4:$C$10094)*(Data_Discontinuities[[#This Row],[Depth (m)]]&lt;Geotech!$D$4:$D$10094),Geotech!$M$4:$M$10094)</f>
        <v>#N/A</v>
      </c>
      <c r="P1038" s="84"/>
      <c r="Q1038" s="84"/>
      <c r="R1038" s="84"/>
      <c r="S10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8" s="71" t="str">
        <f>IFERROR(Data_Discontinuities[[#This Row],[Joint roughness]]/Data_Discontinuities[[#This Row],[Joint alteration]],"")</f>
        <v/>
      </c>
      <c r="V10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8" s="87"/>
    </row>
    <row r="1039" spans="1:23" ht="15" customHeight="1" x14ac:dyDescent="0.25">
      <c r="B1039" s="17" t="e">
        <f>VLOOKUP(Data_Discontinuities[[#This Row],[Hole ID]],Data_Log[],2,FALSE)</f>
        <v>#N/A</v>
      </c>
      <c r="C1039" s="8"/>
      <c r="D1039" s="8"/>
      <c r="E1039" s="7"/>
      <c r="F1039" s="7"/>
      <c r="G1039" s="7"/>
      <c r="H1039" s="118"/>
      <c r="I1039" s="7"/>
      <c r="J1039" s="7"/>
      <c r="K1039" s="7"/>
      <c r="L1039" s="7"/>
      <c r="M1039" s="7"/>
      <c r="N1039" s="7"/>
      <c r="O1039" s="84" t="e" cm="1">
        <f t="array" ref="O1039">_xlfn.XLOOKUP(1,(A1039=Geotech!$A$4:$A$10094)*(Data_Discontinuities[[#This Row],[Depth (m)]]&gt;=Geotech!$C$4:$C$10094)*(Data_Discontinuities[[#This Row],[Depth (m)]]&lt;Geotech!$D$4:$D$10094),Geotech!$M$4:$M$10094)</f>
        <v>#N/A</v>
      </c>
      <c r="P1039" s="84"/>
      <c r="Q1039" s="84"/>
      <c r="R1039" s="84"/>
      <c r="S10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39" s="71" t="str">
        <f>IFERROR(Data_Discontinuities[[#This Row],[Joint roughness]]/Data_Discontinuities[[#This Row],[Joint alteration]],"")</f>
        <v/>
      </c>
      <c r="V10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39" s="87"/>
    </row>
    <row r="1040" spans="1:23" ht="15" customHeight="1" x14ac:dyDescent="0.25">
      <c r="B1040" s="17" t="e">
        <f>VLOOKUP(Data_Discontinuities[[#This Row],[Hole ID]],Data_Log[],2,FALSE)</f>
        <v>#N/A</v>
      </c>
      <c r="C1040" s="8"/>
      <c r="D1040" s="8"/>
      <c r="E1040" s="7"/>
      <c r="F1040" s="7"/>
      <c r="G1040" s="7"/>
      <c r="H1040" s="118"/>
      <c r="I1040" s="7"/>
      <c r="J1040" s="7"/>
      <c r="K1040" s="7"/>
      <c r="L1040" s="7"/>
      <c r="M1040" s="7"/>
      <c r="N1040" s="7"/>
      <c r="O1040" s="84" t="e" cm="1">
        <f t="array" ref="O1040">_xlfn.XLOOKUP(1,(A1040=Geotech!$A$4:$A$10094)*(Data_Discontinuities[[#This Row],[Depth (m)]]&gt;=Geotech!$C$4:$C$10094)*(Data_Discontinuities[[#This Row],[Depth (m)]]&lt;Geotech!$D$4:$D$10094),Geotech!$M$4:$M$10094)</f>
        <v>#N/A</v>
      </c>
      <c r="P1040" s="84"/>
      <c r="Q1040" s="84"/>
      <c r="R1040" s="84"/>
      <c r="S10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0" s="71" t="str">
        <f>IFERROR(Data_Discontinuities[[#This Row],[Joint roughness]]/Data_Discontinuities[[#This Row],[Joint alteration]],"")</f>
        <v/>
      </c>
      <c r="V10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0" s="87"/>
    </row>
    <row r="1041" spans="2:23" ht="15" customHeight="1" x14ac:dyDescent="0.25">
      <c r="B1041" s="17" t="e">
        <f>VLOOKUP(Data_Discontinuities[[#This Row],[Hole ID]],Data_Log[],2,FALSE)</f>
        <v>#N/A</v>
      </c>
      <c r="C1041" s="8"/>
      <c r="D1041" s="8"/>
      <c r="E1041" s="7"/>
      <c r="F1041" s="7"/>
      <c r="G1041" s="7"/>
      <c r="H1041" s="118"/>
      <c r="I1041" s="7"/>
      <c r="J1041" s="7"/>
      <c r="K1041" s="7"/>
      <c r="L1041" s="7"/>
      <c r="M1041" s="7"/>
      <c r="N1041" s="7"/>
      <c r="O1041" s="84" t="e" cm="1">
        <f t="array" ref="O1041">_xlfn.XLOOKUP(1,(A1041=Geotech!$A$4:$A$10094)*(Data_Discontinuities[[#This Row],[Depth (m)]]&gt;=Geotech!$C$4:$C$10094)*(Data_Discontinuities[[#This Row],[Depth (m)]]&lt;Geotech!$D$4:$D$10094),Geotech!$M$4:$M$10094)</f>
        <v>#N/A</v>
      </c>
      <c r="P1041" s="84"/>
      <c r="Q1041" s="84"/>
      <c r="R1041" s="84"/>
      <c r="S10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1" s="71" t="str">
        <f>IFERROR(Data_Discontinuities[[#This Row],[Joint roughness]]/Data_Discontinuities[[#This Row],[Joint alteration]],"")</f>
        <v/>
      </c>
      <c r="V10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1" s="87"/>
    </row>
    <row r="1042" spans="2:23" ht="15" customHeight="1" x14ac:dyDescent="0.25">
      <c r="B1042" s="17" t="e">
        <f>VLOOKUP(Data_Discontinuities[[#This Row],[Hole ID]],Data_Log[],2,FALSE)</f>
        <v>#N/A</v>
      </c>
      <c r="C1042" s="8"/>
      <c r="D1042" s="8"/>
      <c r="E1042" s="7"/>
      <c r="F1042" s="7"/>
      <c r="G1042" s="7"/>
      <c r="H1042" s="118"/>
      <c r="I1042" s="7"/>
      <c r="J1042" s="7"/>
      <c r="K1042" s="7"/>
      <c r="L1042" s="7"/>
      <c r="M1042" s="7"/>
      <c r="N1042" s="7"/>
      <c r="O1042" s="84" t="e" cm="1">
        <f t="array" ref="O1042">_xlfn.XLOOKUP(1,(A1042=Geotech!$A$4:$A$10094)*(Data_Discontinuities[[#This Row],[Depth (m)]]&gt;=Geotech!$C$4:$C$10094)*(Data_Discontinuities[[#This Row],[Depth (m)]]&lt;Geotech!$D$4:$D$10094),Geotech!$M$4:$M$10094)</f>
        <v>#N/A</v>
      </c>
      <c r="P1042" s="84"/>
      <c r="Q1042" s="84"/>
      <c r="R1042" s="84"/>
      <c r="S10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2" s="71" t="str">
        <f>IFERROR(Data_Discontinuities[[#This Row],[Joint roughness]]/Data_Discontinuities[[#This Row],[Joint alteration]],"")</f>
        <v/>
      </c>
      <c r="V10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2" s="87"/>
    </row>
    <row r="1043" spans="2:23" ht="15" customHeight="1" x14ac:dyDescent="0.25">
      <c r="B1043" s="17" t="e">
        <f>VLOOKUP(Data_Discontinuities[[#This Row],[Hole ID]],Data_Log[],2,FALSE)</f>
        <v>#N/A</v>
      </c>
      <c r="C1043" s="8"/>
      <c r="D1043" s="8"/>
      <c r="E1043" s="7"/>
      <c r="F1043" s="7"/>
      <c r="G1043" s="7"/>
      <c r="H1043" s="118"/>
      <c r="I1043" s="7"/>
      <c r="J1043" s="7"/>
      <c r="K1043" s="7"/>
      <c r="L1043" s="7"/>
      <c r="M1043" s="7"/>
      <c r="N1043" s="7"/>
      <c r="O1043" s="84" t="e" cm="1">
        <f t="array" ref="O1043">_xlfn.XLOOKUP(1,(A1043=Geotech!$A$4:$A$10094)*(Data_Discontinuities[[#This Row],[Depth (m)]]&gt;=Geotech!$C$4:$C$10094)*(Data_Discontinuities[[#This Row],[Depth (m)]]&lt;Geotech!$D$4:$D$10094),Geotech!$M$4:$M$10094)</f>
        <v>#N/A</v>
      </c>
      <c r="P1043" s="84"/>
      <c r="Q1043" s="84"/>
      <c r="R1043" s="84"/>
      <c r="S10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3" s="71" t="str">
        <f>IFERROR(Data_Discontinuities[[#This Row],[Joint roughness]]/Data_Discontinuities[[#This Row],[Joint alteration]],"")</f>
        <v/>
      </c>
      <c r="V10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3" s="87"/>
    </row>
    <row r="1044" spans="2:23" ht="15" customHeight="1" x14ac:dyDescent="0.25">
      <c r="B1044" s="17" t="e">
        <f>VLOOKUP(Data_Discontinuities[[#This Row],[Hole ID]],Data_Log[],2,FALSE)</f>
        <v>#N/A</v>
      </c>
      <c r="C1044" s="8"/>
      <c r="D1044" s="8"/>
      <c r="E1044" s="7"/>
      <c r="F1044" s="7"/>
      <c r="G1044" s="7"/>
      <c r="H1044" s="118"/>
      <c r="I1044" s="7"/>
      <c r="J1044" s="7"/>
      <c r="K1044" s="7"/>
      <c r="L1044" s="7"/>
      <c r="M1044" s="7"/>
      <c r="N1044" s="7"/>
      <c r="O1044" s="84" t="e" cm="1">
        <f t="array" ref="O1044">_xlfn.XLOOKUP(1,(A1044=Geotech!$A$4:$A$10094)*(Data_Discontinuities[[#This Row],[Depth (m)]]&gt;=Geotech!$C$4:$C$10094)*(Data_Discontinuities[[#This Row],[Depth (m)]]&lt;Geotech!$D$4:$D$10094),Geotech!$M$4:$M$10094)</f>
        <v>#N/A</v>
      </c>
      <c r="P1044" s="84"/>
      <c r="Q1044" s="84"/>
      <c r="R1044" s="84"/>
      <c r="S10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4" s="71" t="str">
        <f>IFERROR(Data_Discontinuities[[#This Row],[Joint roughness]]/Data_Discontinuities[[#This Row],[Joint alteration]],"")</f>
        <v/>
      </c>
      <c r="V10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4" s="87"/>
    </row>
    <row r="1045" spans="2:23" ht="15" customHeight="1" x14ac:dyDescent="0.25">
      <c r="B1045" s="17" t="e">
        <f>VLOOKUP(Data_Discontinuities[[#This Row],[Hole ID]],Data_Log[],2,FALSE)</f>
        <v>#N/A</v>
      </c>
      <c r="C1045" s="8"/>
      <c r="D1045" s="8"/>
      <c r="E1045" s="7"/>
      <c r="F1045" s="7"/>
      <c r="G1045" s="7"/>
      <c r="H1045" s="118"/>
      <c r="I1045" s="7"/>
      <c r="J1045" s="7"/>
      <c r="K1045" s="7"/>
      <c r="L1045" s="7"/>
      <c r="M1045" s="7"/>
      <c r="N1045" s="7"/>
      <c r="O1045" s="84" t="e" cm="1">
        <f t="array" ref="O1045">_xlfn.XLOOKUP(1,(A1045=Geotech!$A$4:$A$10094)*(Data_Discontinuities[[#This Row],[Depth (m)]]&gt;=Geotech!$C$4:$C$10094)*(Data_Discontinuities[[#This Row],[Depth (m)]]&lt;Geotech!$D$4:$D$10094),Geotech!$M$4:$M$10094)</f>
        <v>#N/A</v>
      </c>
      <c r="P1045" s="84"/>
      <c r="Q1045" s="84"/>
      <c r="R1045" s="84"/>
      <c r="S10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5" s="71" t="str">
        <f>IFERROR(Data_Discontinuities[[#This Row],[Joint roughness]]/Data_Discontinuities[[#This Row],[Joint alteration]],"")</f>
        <v/>
      </c>
      <c r="V10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5" s="87"/>
    </row>
    <row r="1046" spans="2:23" ht="15" customHeight="1" x14ac:dyDescent="0.25">
      <c r="B1046" s="17" t="e">
        <f>VLOOKUP(Data_Discontinuities[[#This Row],[Hole ID]],Data_Log[],2,FALSE)</f>
        <v>#N/A</v>
      </c>
      <c r="C1046" s="8"/>
      <c r="D1046" s="8"/>
      <c r="E1046" s="7"/>
      <c r="F1046" s="7"/>
      <c r="G1046" s="7"/>
      <c r="H1046" s="118"/>
      <c r="I1046" s="7"/>
      <c r="J1046" s="7"/>
      <c r="K1046" s="7"/>
      <c r="L1046" s="7"/>
      <c r="M1046" s="7"/>
      <c r="N1046" s="7"/>
      <c r="O1046" s="84" t="e" cm="1">
        <f t="array" ref="O1046">_xlfn.XLOOKUP(1,(A1046=Geotech!$A$4:$A$10094)*(Data_Discontinuities[[#This Row],[Depth (m)]]&gt;=Geotech!$C$4:$C$10094)*(Data_Discontinuities[[#This Row],[Depth (m)]]&lt;Geotech!$D$4:$D$10094),Geotech!$M$4:$M$10094)</f>
        <v>#N/A</v>
      </c>
      <c r="P1046" s="84"/>
      <c r="Q1046" s="84"/>
      <c r="R1046" s="84"/>
      <c r="S10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6" s="71" t="str">
        <f>IFERROR(Data_Discontinuities[[#This Row],[Joint roughness]]/Data_Discontinuities[[#This Row],[Joint alteration]],"")</f>
        <v/>
      </c>
      <c r="V10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6" s="87"/>
    </row>
    <row r="1047" spans="2:23" ht="15" customHeight="1" x14ac:dyDescent="0.25">
      <c r="B1047" s="17" t="e">
        <f>VLOOKUP(Data_Discontinuities[[#This Row],[Hole ID]],Data_Log[],2,FALSE)</f>
        <v>#N/A</v>
      </c>
      <c r="C1047" s="8"/>
      <c r="D1047" s="8"/>
      <c r="E1047" s="7"/>
      <c r="F1047" s="7"/>
      <c r="G1047" s="7"/>
      <c r="H1047" s="118"/>
      <c r="I1047" s="7"/>
      <c r="J1047" s="7"/>
      <c r="K1047" s="7"/>
      <c r="L1047" s="7"/>
      <c r="M1047" s="7"/>
      <c r="N1047" s="7"/>
      <c r="O1047" s="84" t="e" cm="1">
        <f t="array" ref="O1047">_xlfn.XLOOKUP(1,(A1047=Geotech!$A$4:$A$10094)*(Data_Discontinuities[[#This Row],[Depth (m)]]&gt;=Geotech!$C$4:$C$10094)*(Data_Discontinuities[[#This Row],[Depth (m)]]&lt;Geotech!$D$4:$D$10094),Geotech!$M$4:$M$10094)</f>
        <v>#N/A</v>
      </c>
      <c r="P1047" s="84"/>
      <c r="Q1047" s="84"/>
      <c r="R1047" s="84"/>
      <c r="S10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7" s="71" t="str">
        <f>IFERROR(Data_Discontinuities[[#This Row],[Joint roughness]]/Data_Discontinuities[[#This Row],[Joint alteration]],"")</f>
        <v/>
      </c>
      <c r="V10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7" s="87"/>
    </row>
    <row r="1048" spans="2:23" ht="15" customHeight="1" x14ac:dyDescent="0.25">
      <c r="B1048" s="17" t="e">
        <f>VLOOKUP(Data_Discontinuities[[#This Row],[Hole ID]],Data_Log[],2,FALSE)</f>
        <v>#N/A</v>
      </c>
      <c r="C1048" s="8"/>
      <c r="D1048" s="8"/>
      <c r="E1048" s="7"/>
      <c r="F1048" s="7"/>
      <c r="G1048" s="7"/>
      <c r="H1048" s="118"/>
      <c r="I1048" s="7"/>
      <c r="J1048" s="7"/>
      <c r="K1048" s="7"/>
      <c r="L1048" s="7"/>
      <c r="M1048" s="7"/>
      <c r="N1048" s="7"/>
      <c r="O1048" s="84" t="e" cm="1">
        <f t="array" ref="O1048">_xlfn.XLOOKUP(1,(A1048=Geotech!$A$4:$A$10094)*(Data_Discontinuities[[#This Row],[Depth (m)]]&gt;=Geotech!$C$4:$C$10094)*(Data_Discontinuities[[#This Row],[Depth (m)]]&lt;Geotech!$D$4:$D$10094),Geotech!$M$4:$M$10094)</f>
        <v>#N/A</v>
      </c>
      <c r="P1048" s="84"/>
      <c r="Q1048" s="84"/>
      <c r="R1048" s="84"/>
      <c r="S10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8" s="71" t="str">
        <f>IFERROR(Data_Discontinuities[[#This Row],[Joint roughness]]/Data_Discontinuities[[#This Row],[Joint alteration]],"")</f>
        <v/>
      </c>
      <c r="V10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8" s="87"/>
    </row>
    <row r="1049" spans="2:23" ht="15" customHeight="1" x14ac:dyDescent="0.25">
      <c r="B1049" s="17" t="e">
        <f>VLOOKUP(Data_Discontinuities[[#This Row],[Hole ID]],Data_Log[],2,FALSE)</f>
        <v>#N/A</v>
      </c>
      <c r="C1049" s="8"/>
      <c r="D1049" s="8"/>
      <c r="E1049" s="7"/>
      <c r="F1049" s="7"/>
      <c r="G1049" s="7"/>
      <c r="H1049" s="118"/>
      <c r="I1049" s="7"/>
      <c r="J1049" s="7"/>
      <c r="K1049" s="7"/>
      <c r="L1049" s="7"/>
      <c r="M1049" s="7"/>
      <c r="N1049" s="7"/>
      <c r="O1049" s="84" t="e" cm="1">
        <f t="array" ref="O1049">_xlfn.XLOOKUP(1,(A1049=Geotech!$A$4:$A$10094)*(Data_Discontinuities[[#This Row],[Depth (m)]]&gt;=Geotech!$C$4:$C$10094)*(Data_Discontinuities[[#This Row],[Depth (m)]]&lt;Geotech!$D$4:$D$10094),Geotech!$M$4:$M$10094)</f>
        <v>#N/A</v>
      </c>
      <c r="P1049" s="84"/>
      <c r="Q1049" s="84"/>
      <c r="R1049" s="84"/>
      <c r="S10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49" s="71" t="str">
        <f>IFERROR(Data_Discontinuities[[#This Row],[Joint roughness]]/Data_Discontinuities[[#This Row],[Joint alteration]],"")</f>
        <v/>
      </c>
      <c r="V10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49" s="87"/>
    </row>
    <row r="1050" spans="2:23" ht="15" customHeight="1" x14ac:dyDescent="0.25">
      <c r="B1050" s="17" t="e">
        <f>VLOOKUP(Data_Discontinuities[[#This Row],[Hole ID]],Data_Log[],2,FALSE)</f>
        <v>#N/A</v>
      </c>
      <c r="C1050" s="8"/>
      <c r="D1050" s="8"/>
      <c r="E1050" s="7"/>
      <c r="F1050" s="7"/>
      <c r="G1050" s="7"/>
      <c r="H1050" s="118"/>
      <c r="I1050" s="7"/>
      <c r="J1050" s="7"/>
      <c r="K1050" s="7"/>
      <c r="L1050" s="7"/>
      <c r="M1050" s="7"/>
      <c r="N1050" s="7"/>
      <c r="O1050" s="84" t="e" cm="1">
        <f t="array" ref="O1050">_xlfn.XLOOKUP(1,(A1050=Geotech!$A$4:$A$10094)*(Data_Discontinuities[[#This Row],[Depth (m)]]&gt;=Geotech!$C$4:$C$10094)*(Data_Discontinuities[[#This Row],[Depth (m)]]&lt;Geotech!$D$4:$D$10094),Geotech!$M$4:$M$10094)</f>
        <v>#N/A</v>
      </c>
      <c r="P1050" s="84"/>
      <c r="Q1050" s="84"/>
      <c r="R1050" s="84"/>
      <c r="S10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0" s="71" t="str">
        <f>IFERROR(Data_Discontinuities[[#This Row],[Joint roughness]]/Data_Discontinuities[[#This Row],[Joint alteration]],"")</f>
        <v/>
      </c>
      <c r="V10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0" s="87"/>
    </row>
    <row r="1051" spans="2:23" ht="15" customHeight="1" x14ac:dyDescent="0.25">
      <c r="B1051" s="17" t="e">
        <f>VLOOKUP(Data_Discontinuities[[#This Row],[Hole ID]],Data_Log[],2,FALSE)</f>
        <v>#N/A</v>
      </c>
      <c r="C1051" s="8"/>
      <c r="D1051" s="8"/>
      <c r="E1051" s="7"/>
      <c r="F1051" s="7"/>
      <c r="G1051" s="7"/>
      <c r="H1051" s="118"/>
      <c r="I1051" s="7"/>
      <c r="J1051" s="7"/>
      <c r="K1051" s="7"/>
      <c r="L1051" s="7"/>
      <c r="M1051" s="7"/>
      <c r="N1051" s="7"/>
      <c r="O1051" s="84" t="e" cm="1">
        <f t="array" ref="O1051">_xlfn.XLOOKUP(1,(A1051=Geotech!$A$4:$A$10094)*(Data_Discontinuities[[#This Row],[Depth (m)]]&gt;=Geotech!$C$4:$C$10094)*(Data_Discontinuities[[#This Row],[Depth (m)]]&lt;Geotech!$D$4:$D$10094),Geotech!$M$4:$M$10094)</f>
        <v>#N/A</v>
      </c>
      <c r="P1051" s="84"/>
      <c r="Q1051" s="84"/>
      <c r="R1051" s="84"/>
      <c r="S10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1" s="71" t="str">
        <f>IFERROR(Data_Discontinuities[[#This Row],[Joint roughness]]/Data_Discontinuities[[#This Row],[Joint alteration]],"")</f>
        <v/>
      </c>
      <c r="V10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1" s="87"/>
    </row>
    <row r="1052" spans="2:23" ht="15" customHeight="1" x14ac:dyDescent="0.25">
      <c r="B1052" s="17" t="e">
        <f>VLOOKUP(Data_Discontinuities[[#This Row],[Hole ID]],Data_Log[],2,FALSE)</f>
        <v>#N/A</v>
      </c>
      <c r="C1052" s="8"/>
      <c r="D1052" s="8"/>
      <c r="E1052" s="7"/>
      <c r="F1052" s="7"/>
      <c r="G1052" s="7"/>
      <c r="H1052" s="118"/>
      <c r="I1052" s="7"/>
      <c r="J1052" s="7"/>
      <c r="K1052" s="7"/>
      <c r="L1052" s="7"/>
      <c r="M1052" s="7"/>
      <c r="N1052" s="7"/>
      <c r="O1052" s="84" t="e" cm="1">
        <f t="array" ref="O1052">_xlfn.XLOOKUP(1,(A1052=Geotech!$A$4:$A$10094)*(Data_Discontinuities[[#This Row],[Depth (m)]]&gt;=Geotech!$C$4:$C$10094)*(Data_Discontinuities[[#This Row],[Depth (m)]]&lt;Geotech!$D$4:$D$10094),Geotech!$M$4:$M$10094)</f>
        <v>#N/A</v>
      </c>
      <c r="P1052" s="84"/>
      <c r="Q1052" s="84"/>
      <c r="R1052" s="84"/>
      <c r="S10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2" s="71" t="str">
        <f>IFERROR(Data_Discontinuities[[#This Row],[Joint roughness]]/Data_Discontinuities[[#This Row],[Joint alteration]],"")</f>
        <v/>
      </c>
      <c r="V10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2" s="87"/>
    </row>
    <row r="1053" spans="2:23" ht="15" customHeight="1" x14ac:dyDescent="0.25">
      <c r="B1053" s="17" t="e">
        <f>VLOOKUP(Data_Discontinuities[[#This Row],[Hole ID]],Data_Log[],2,FALSE)</f>
        <v>#N/A</v>
      </c>
      <c r="C1053" s="8"/>
      <c r="D1053" s="8"/>
      <c r="E1053" s="7"/>
      <c r="F1053" s="7"/>
      <c r="G1053" s="7"/>
      <c r="H1053" s="118"/>
      <c r="I1053" s="7"/>
      <c r="J1053" s="7"/>
      <c r="K1053" s="7"/>
      <c r="L1053" s="7"/>
      <c r="M1053" s="7"/>
      <c r="N1053" s="7"/>
      <c r="O1053" s="84" t="e" cm="1">
        <f t="array" ref="O1053">_xlfn.XLOOKUP(1,(A1053=Geotech!$A$4:$A$10094)*(Data_Discontinuities[[#This Row],[Depth (m)]]&gt;=Geotech!$C$4:$C$10094)*(Data_Discontinuities[[#This Row],[Depth (m)]]&lt;Geotech!$D$4:$D$10094),Geotech!$M$4:$M$10094)</f>
        <v>#N/A</v>
      </c>
      <c r="P1053" s="84"/>
      <c r="Q1053" s="84"/>
      <c r="R1053" s="84"/>
      <c r="S10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3" s="71" t="str">
        <f>IFERROR(Data_Discontinuities[[#This Row],[Joint roughness]]/Data_Discontinuities[[#This Row],[Joint alteration]],"")</f>
        <v/>
      </c>
      <c r="V10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3" s="87"/>
    </row>
    <row r="1054" spans="2:23" ht="15" customHeight="1" x14ac:dyDescent="0.25">
      <c r="B1054" s="17" t="e">
        <f>VLOOKUP(Data_Discontinuities[[#This Row],[Hole ID]],Data_Log[],2,FALSE)</f>
        <v>#N/A</v>
      </c>
      <c r="C1054" s="8"/>
      <c r="D1054" s="8"/>
      <c r="E1054" s="7"/>
      <c r="F1054" s="7"/>
      <c r="G1054" s="7"/>
      <c r="H1054" s="118"/>
      <c r="I1054" s="7"/>
      <c r="J1054" s="7"/>
      <c r="K1054" s="7"/>
      <c r="L1054" s="7"/>
      <c r="M1054" s="7"/>
      <c r="N1054" s="7"/>
      <c r="O1054" s="84" t="e" cm="1">
        <f t="array" ref="O1054">_xlfn.XLOOKUP(1,(A1054=Geotech!$A$4:$A$10094)*(Data_Discontinuities[[#This Row],[Depth (m)]]&gt;=Geotech!$C$4:$C$10094)*(Data_Discontinuities[[#This Row],[Depth (m)]]&lt;Geotech!$D$4:$D$10094),Geotech!$M$4:$M$10094)</f>
        <v>#N/A</v>
      </c>
      <c r="P1054" s="84"/>
      <c r="Q1054" s="84"/>
      <c r="R1054" s="84"/>
      <c r="S10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4" s="71" t="str">
        <f>IFERROR(Data_Discontinuities[[#This Row],[Joint roughness]]/Data_Discontinuities[[#This Row],[Joint alteration]],"")</f>
        <v/>
      </c>
      <c r="V10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4" s="87"/>
    </row>
    <row r="1055" spans="2:23" ht="15" customHeight="1" x14ac:dyDescent="0.25">
      <c r="B1055" s="17" t="e">
        <f>VLOOKUP(Data_Discontinuities[[#This Row],[Hole ID]],Data_Log[],2,FALSE)</f>
        <v>#N/A</v>
      </c>
      <c r="C1055" s="8"/>
      <c r="D1055" s="8"/>
      <c r="E1055" s="7"/>
      <c r="F1055" s="7"/>
      <c r="G1055" s="7"/>
      <c r="H1055" s="118"/>
      <c r="I1055" s="7"/>
      <c r="J1055" s="7"/>
      <c r="K1055" s="7"/>
      <c r="L1055" s="7"/>
      <c r="M1055" s="7"/>
      <c r="N1055" s="7"/>
      <c r="O1055" s="84" t="e" cm="1">
        <f t="array" ref="O1055">_xlfn.XLOOKUP(1,(A1055=Geotech!$A$4:$A$10094)*(Data_Discontinuities[[#This Row],[Depth (m)]]&gt;=Geotech!$C$4:$C$10094)*(Data_Discontinuities[[#This Row],[Depth (m)]]&lt;Geotech!$D$4:$D$10094),Geotech!$M$4:$M$10094)</f>
        <v>#N/A</v>
      </c>
      <c r="P1055" s="84"/>
      <c r="Q1055" s="84"/>
      <c r="R1055" s="84"/>
      <c r="S10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5" s="71" t="str">
        <f>IFERROR(Data_Discontinuities[[#This Row],[Joint roughness]]/Data_Discontinuities[[#This Row],[Joint alteration]],"")</f>
        <v/>
      </c>
      <c r="V10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5" s="87"/>
    </row>
    <row r="1056" spans="2:23" ht="15" customHeight="1" x14ac:dyDescent="0.25">
      <c r="B1056" s="17" t="e">
        <f>VLOOKUP(Data_Discontinuities[[#This Row],[Hole ID]],Data_Log[],2,FALSE)</f>
        <v>#N/A</v>
      </c>
      <c r="C1056" s="8"/>
      <c r="D1056" s="8"/>
      <c r="E1056" s="7"/>
      <c r="F1056" s="7"/>
      <c r="G1056" s="7"/>
      <c r="H1056" s="118"/>
      <c r="I1056" s="7"/>
      <c r="J1056" s="7"/>
      <c r="K1056" s="7"/>
      <c r="L1056" s="7"/>
      <c r="M1056" s="7"/>
      <c r="N1056" s="7"/>
      <c r="O1056" s="84" t="e" cm="1">
        <f t="array" ref="O1056">_xlfn.XLOOKUP(1,(A1056=Geotech!$A$4:$A$10094)*(Data_Discontinuities[[#This Row],[Depth (m)]]&gt;=Geotech!$C$4:$C$10094)*(Data_Discontinuities[[#This Row],[Depth (m)]]&lt;Geotech!$D$4:$D$10094),Geotech!$M$4:$M$10094)</f>
        <v>#N/A</v>
      </c>
      <c r="P1056" s="84"/>
      <c r="Q1056" s="84"/>
      <c r="R1056" s="84"/>
      <c r="S10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6" s="71" t="str">
        <f>IFERROR(Data_Discontinuities[[#This Row],[Joint roughness]]/Data_Discontinuities[[#This Row],[Joint alteration]],"")</f>
        <v/>
      </c>
      <c r="V10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6" s="87"/>
    </row>
    <row r="1057" spans="2:23" ht="15" customHeight="1" x14ac:dyDescent="0.25">
      <c r="B1057" s="17" t="e">
        <f>VLOOKUP(Data_Discontinuities[[#This Row],[Hole ID]],Data_Log[],2,FALSE)</f>
        <v>#N/A</v>
      </c>
      <c r="C1057" s="8"/>
      <c r="D1057" s="8"/>
      <c r="E1057" s="7"/>
      <c r="F1057" s="7"/>
      <c r="G1057" s="7"/>
      <c r="H1057" s="118"/>
      <c r="I1057" s="7"/>
      <c r="J1057" s="7"/>
      <c r="K1057" s="7"/>
      <c r="L1057" s="7"/>
      <c r="M1057" s="7"/>
      <c r="N1057" s="7"/>
      <c r="O1057" s="84" t="e" cm="1">
        <f t="array" ref="O1057">_xlfn.XLOOKUP(1,(A1057=Geotech!$A$4:$A$10094)*(Data_Discontinuities[[#This Row],[Depth (m)]]&gt;=Geotech!$C$4:$C$10094)*(Data_Discontinuities[[#This Row],[Depth (m)]]&lt;Geotech!$D$4:$D$10094),Geotech!$M$4:$M$10094)</f>
        <v>#N/A</v>
      </c>
      <c r="P1057" s="84"/>
      <c r="Q1057" s="84"/>
      <c r="R1057" s="84"/>
      <c r="S10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7" s="71" t="str">
        <f>IFERROR(Data_Discontinuities[[#This Row],[Joint roughness]]/Data_Discontinuities[[#This Row],[Joint alteration]],"")</f>
        <v/>
      </c>
      <c r="V10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7" s="87"/>
    </row>
    <row r="1058" spans="2:23" ht="15" customHeight="1" x14ac:dyDescent="0.25">
      <c r="B1058" s="17" t="e">
        <f>VLOOKUP(Data_Discontinuities[[#This Row],[Hole ID]],Data_Log[],2,FALSE)</f>
        <v>#N/A</v>
      </c>
      <c r="C1058" s="8"/>
      <c r="D1058" s="8"/>
      <c r="E1058" s="7"/>
      <c r="F1058" s="7"/>
      <c r="G1058" s="7"/>
      <c r="H1058" s="118"/>
      <c r="I1058" s="7"/>
      <c r="J1058" s="7"/>
      <c r="K1058" s="7"/>
      <c r="L1058" s="7"/>
      <c r="M1058" s="7"/>
      <c r="N1058" s="7"/>
      <c r="O1058" s="84" t="e" cm="1">
        <f t="array" ref="O1058">_xlfn.XLOOKUP(1,(A1058=Geotech!$A$4:$A$10094)*(Data_Discontinuities[[#This Row],[Depth (m)]]&gt;=Geotech!$C$4:$C$10094)*(Data_Discontinuities[[#This Row],[Depth (m)]]&lt;Geotech!$D$4:$D$10094),Geotech!$M$4:$M$10094)</f>
        <v>#N/A</v>
      </c>
      <c r="P1058" s="84"/>
      <c r="Q1058" s="84"/>
      <c r="R1058" s="84"/>
      <c r="S10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8" s="71" t="str">
        <f>IFERROR(Data_Discontinuities[[#This Row],[Joint roughness]]/Data_Discontinuities[[#This Row],[Joint alteration]],"")</f>
        <v/>
      </c>
      <c r="V10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8" s="87"/>
    </row>
    <row r="1059" spans="2:23" ht="15" customHeight="1" x14ac:dyDescent="0.25">
      <c r="B1059" s="17" t="e">
        <f>VLOOKUP(Data_Discontinuities[[#This Row],[Hole ID]],Data_Log[],2,FALSE)</f>
        <v>#N/A</v>
      </c>
      <c r="C1059" s="8"/>
      <c r="D1059" s="8"/>
      <c r="E1059" s="7"/>
      <c r="F1059" s="7"/>
      <c r="G1059" s="7"/>
      <c r="H1059" s="118"/>
      <c r="I1059" s="7"/>
      <c r="J1059" s="7"/>
      <c r="K1059" s="7"/>
      <c r="L1059" s="7"/>
      <c r="M1059" s="7"/>
      <c r="N1059" s="7"/>
      <c r="O1059" s="84" t="e" cm="1">
        <f t="array" ref="O1059">_xlfn.XLOOKUP(1,(A1059=Geotech!$A$4:$A$10094)*(Data_Discontinuities[[#This Row],[Depth (m)]]&gt;=Geotech!$C$4:$C$10094)*(Data_Discontinuities[[#This Row],[Depth (m)]]&lt;Geotech!$D$4:$D$10094),Geotech!$M$4:$M$10094)</f>
        <v>#N/A</v>
      </c>
      <c r="P1059" s="84"/>
      <c r="Q1059" s="84"/>
      <c r="R1059" s="84"/>
      <c r="S10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59" s="71" t="str">
        <f>IFERROR(Data_Discontinuities[[#This Row],[Joint roughness]]/Data_Discontinuities[[#This Row],[Joint alteration]],"")</f>
        <v/>
      </c>
      <c r="V10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59" s="87"/>
    </row>
    <row r="1060" spans="2:23" ht="15" customHeight="1" x14ac:dyDescent="0.25">
      <c r="B1060" s="17" t="e">
        <f>VLOOKUP(Data_Discontinuities[[#This Row],[Hole ID]],Data_Log[],2,FALSE)</f>
        <v>#N/A</v>
      </c>
      <c r="C1060" s="8"/>
      <c r="D1060" s="8"/>
      <c r="E1060" s="7"/>
      <c r="F1060" s="7"/>
      <c r="G1060" s="7"/>
      <c r="H1060" s="118"/>
      <c r="I1060" s="7"/>
      <c r="J1060" s="7"/>
      <c r="K1060" s="7"/>
      <c r="L1060" s="7"/>
      <c r="M1060" s="7"/>
      <c r="N1060" s="7"/>
      <c r="O1060" s="84" t="e" cm="1">
        <f t="array" ref="O1060">_xlfn.XLOOKUP(1,(A1060=Geotech!$A$4:$A$10094)*(Data_Discontinuities[[#This Row],[Depth (m)]]&gt;=Geotech!$C$4:$C$10094)*(Data_Discontinuities[[#This Row],[Depth (m)]]&lt;Geotech!$D$4:$D$10094),Geotech!$M$4:$M$10094)</f>
        <v>#N/A</v>
      </c>
      <c r="P1060" s="84"/>
      <c r="Q1060" s="84"/>
      <c r="R1060" s="84"/>
      <c r="S10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0" s="71" t="str">
        <f>IFERROR(Data_Discontinuities[[#This Row],[Joint roughness]]/Data_Discontinuities[[#This Row],[Joint alteration]],"")</f>
        <v/>
      </c>
      <c r="V10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0" s="87"/>
    </row>
    <row r="1061" spans="2:23" ht="15" customHeight="1" x14ac:dyDescent="0.25">
      <c r="B1061" s="17" t="e">
        <f>VLOOKUP(Data_Discontinuities[[#This Row],[Hole ID]],Data_Log[],2,FALSE)</f>
        <v>#N/A</v>
      </c>
      <c r="C1061" s="8"/>
      <c r="D1061" s="8"/>
      <c r="E1061" s="7"/>
      <c r="F1061" s="7"/>
      <c r="G1061" s="7"/>
      <c r="H1061" s="118"/>
      <c r="I1061" s="7"/>
      <c r="J1061" s="7"/>
      <c r="K1061" s="7"/>
      <c r="L1061" s="7"/>
      <c r="M1061" s="7"/>
      <c r="N1061" s="7"/>
      <c r="O1061" s="84" t="e" cm="1">
        <f t="array" ref="O1061">_xlfn.XLOOKUP(1,(A1061=Geotech!$A$4:$A$10094)*(Data_Discontinuities[[#This Row],[Depth (m)]]&gt;=Geotech!$C$4:$C$10094)*(Data_Discontinuities[[#This Row],[Depth (m)]]&lt;Geotech!$D$4:$D$10094),Geotech!$M$4:$M$10094)</f>
        <v>#N/A</v>
      </c>
      <c r="P1061" s="84"/>
      <c r="Q1061" s="84"/>
      <c r="R1061" s="84"/>
      <c r="S10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1" s="71" t="str">
        <f>IFERROR(Data_Discontinuities[[#This Row],[Joint roughness]]/Data_Discontinuities[[#This Row],[Joint alteration]],"")</f>
        <v/>
      </c>
      <c r="V10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1" s="87"/>
    </row>
    <row r="1062" spans="2:23" ht="15" customHeight="1" x14ac:dyDescent="0.25">
      <c r="B1062" s="17" t="e">
        <f>VLOOKUP(Data_Discontinuities[[#This Row],[Hole ID]],Data_Log[],2,FALSE)</f>
        <v>#N/A</v>
      </c>
      <c r="C1062" s="8"/>
      <c r="D1062" s="8"/>
      <c r="E1062" s="7"/>
      <c r="F1062" s="7"/>
      <c r="G1062" s="7"/>
      <c r="H1062" s="118"/>
      <c r="I1062" s="7"/>
      <c r="J1062" s="7"/>
      <c r="K1062" s="7"/>
      <c r="L1062" s="7"/>
      <c r="M1062" s="7"/>
      <c r="N1062" s="7"/>
      <c r="O1062" s="84" t="e" cm="1">
        <f t="array" ref="O1062">_xlfn.XLOOKUP(1,(A1062=Geotech!$A$4:$A$10094)*(Data_Discontinuities[[#This Row],[Depth (m)]]&gt;=Geotech!$C$4:$C$10094)*(Data_Discontinuities[[#This Row],[Depth (m)]]&lt;Geotech!$D$4:$D$10094),Geotech!$M$4:$M$10094)</f>
        <v>#N/A</v>
      </c>
      <c r="P1062" s="84"/>
      <c r="Q1062" s="84"/>
      <c r="R1062" s="84"/>
      <c r="S10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2" s="71" t="str">
        <f>IFERROR(Data_Discontinuities[[#This Row],[Joint roughness]]/Data_Discontinuities[[#This Row],[Joint alteration]],"")</f>
        <v/>
      </c>
      <c r="V10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2" s="87"/>
    </row>
    <row r="1063" spans="2:23" ht="15" customHeight="1" x14ac:dyDescent="0.25">
      <c r="B1063" s="17" t="e">
        <f>VLOOKUP(Data_Discontinuities[[#This Row],[Hole ID]],Data_Log[],2,FALSE)</f>
        <v>#N/A</v>
      </c>
      <c r="C1063" s="8"/>
      <c r="D1063" s="8"/>
      <c r="E1063" s="7"/>
      <c r="F1063" s="7"/>
      <c r="G1063" s="7"/>
      <c r="H1063" s="118"/>
      <c r="I1063" s="7"/>
      <c r="J1063" s="7"/>
      <c r="K1063" s="7"/>
      <c r="L1063" s="7"/>
      <c r="M1063" s="7"/>
      <c r="N1063" s="7"/>
      <c r="O1063" s="84" t="e" cm="1">
        <f t="array" ref="O1063">_xlfn.XLOOKUP(1,(A1063=Geotech!$A$4:$A$10094)*(Data_Discontinuities[[#This Row],[Depth (m)]]&gt;=Geotech!$C$4:$C$10094)*(Data_Discontinuities[[#This Row],[Depth (m)]]&lt;Geotech!$D$4:$D$10094),Geotech!$M$4:$M$10094)</f>
        <v>#N/A</v>
      </c>
      <c r="P1063" s="84"/>
      <c r="Q1063" s="84"/>
      <c r="R1063" s="84"/>
      <c r="S10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3" s="71" t="str">
        <f>IFERROR(Data_Discontinuities[[#This Row],[Joint roughness]]/Data_Discontinuities[[#This Row],[Joint alteration]],"")</f>
        <v/>
      </c>
      <c r="V10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3" s="87"/>
    </row>
    <row r="1064" spans="2:23" ht="15" customHeight="1" x14ac:dyDescent="0.25">
      <c r="B1064" s="17" t="e">
        <f>VLOOKUP(Data_Discontinuities[[#This Row],[Hole ID]],Data_Log[],2,FALSE)</f>
        <v>#N/A</v>
      </c>
      <c r="C1064" s="8"/>
      <c r="D1064" s="8"/>
      <c r="E1064" s="7"/>
      <c r="F1064" s="7"/>
      <c r="G1064" s="7"/>
      <c r="H1064" s="118"/>
      <c r="I1064" s="7"/>
      <c r="J1064" s="7"/>
      <c r="K1064" s="7"/>
      <c r="L1064" s="7"/>
      <c r="M1064" s="7"/>
      <c r="N1064" s="7"/>
      <c r="O1064" s="84" t="e" cm="1">
        <f t="array" ref="O1064">_xlfn.XLOOKUP(1,(A1064=Geotech!$A$4:$A$10094)*(Data_Discontinuities[[#This Row],[Depth (m)]]&gt;=Geotech!$C$4:$C$10094)*(Data_Discontinuities[[#This Row],[Depth (m)]]&lt;Geotech!$D$4:$D$10094),Geotech!$M$4:$M$10094)</f>
        <v>#N/A</v>
      </c>
      <c r="P1064" s="84"/>
      <c r="Q1064" s="84"/>
      <c r="R1064" s="84"/>
      <c r="S10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4" s="71" t="str">
        <f>IFERROR(Data_Discontinuities[[#This Row],[Joint roughness]]/Data_Discontinuities[[#This Row],[Joint alteration]],"")</f>
        <v/>
      </c>
      <c r="V10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4" s="87"/>
    </row>
    <row r="1065" spans="2:23" ht="15" customHeight="1" x14ac:dyDescent="0.25">
      <c r="B1065" s="17" t="e">
        <f>VLOOKUP(Data_Discontinuities[[#This Row],[Hole ID]],Data_Log[],2,FALSE)</f>
        <v>#N/A</v>
      </c>
      <c r="C1065" s="8"/>
      <c r="D1065" s="8"/>
      <c r="E1065" s="7"/>
      <c r="F1065" s="7"/>
      <c r="G1065" s="7"/>
      <c r="H1065" s="118"/>
      <c r="I1065" s="7"/>
      <c r="J1065" s="7"/>
      <c r="K1065" s="7"/>
      <c r="L1065" s="7"/>
      <c r="M1065" s="7"/>
      <c r="N1065" s="7"/>
      <c r="O1065" s="84" t="e" cm="1">
        <f t="array" ref="O1065">_xlfn.XLOOKUP(1,(A1065=Geotech!$A$4:$A$10094)*(Data_Discontinuities[[#This Row],[Depth (m)]]&gt;=Geotech!$C$4:$C$10094)*(Data_Discontinuities[[#This Row],[Depth (m)]]&lt;Geotech!$D$4:$D$10094),Geotech!$M$4:$M$10094)</f>
        <v>#N/A</v>
      </c>
      <c r="P1065" s="84"/>
      <c r="Q1065" s="84"/>
      <c r="R1065" s="84"/>
      <c r="S10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5" s="71" t="str">
        <f>IFERROR(Data_Discontinuities[[#This Row],[Joint roughness]]/Data_Discontinuities[[#This Row],[Joint alteration]],"")</f>
        <v/>
      </c>
      <c r="V10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5" s="87"/>
    </row>
    <row r="1066" spans="2:23" ht="15" customHeight="1" x14ac:dyDescent="0.25">
      <c r="B1066" s="17" t="e">
        <f>VLOOKUP(Data_Discontinuities[[#This Row],[Hole ID]],Data_Log[],2,FALSE)</f>
        <v>#N/A</v>
      </c>
      <c r="C1066" s="8"/>
      <c r="D1066" s="8"/>
      <c r="E1066" s="7"/>
      <c r="F1066" s="7"/>
      <c r="G1066" s="7"/>
      <c r="H1066" s="118"/>
      <c r="I1066" s="7"/>
      <c r="J1066" s="7"/>
      <c r="K1066" s="7"/>
      <c r="L1066" s="7"/>
      <c r="M1066" s="7"/>
      <c r="N1066" s="7"/>
      <c r="O1066" s="84" t="e" cm="1">
        <f t="array" ref="O1066">_xlfn.XLOOKUP(1,(A1066=Geotech!$A$4:$A$10094)*(Data_Discontinuities[[#This Row],[Depth (m)]]&gt;=Geotech!$C$4:$C$10094)*(Data_Discontinuities[[#This Row],[Depth (m)]]&lt;Geotech!$D$4:$D$10094),Geotech!$M$4:$M$10094)</f>
        <v>#N/A</v>
      </c>
      <c r="P1066" s="84"/>
      <c r="Q1066" s="84"/>
      <c r="R1066" s="84"/>
      <c r="S10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6" s="71" t="str">
        <f>IFERROR(Data_Discontinuities[[#This Row],[Joint roughness]]/Data_Discontinuities[[#This Row],[Joint alteration]],"")</f>
        <v/>
      </c>
      <c r="V10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6" s="87"/>
    </row>
    <row r="1067" spans="2:23" ht="15" customHeight="1" x14ac:dyDescent="0.25">
      <c r="B1067" s="17" t="e">
        <f>VLOOKUP(Data_Discontinuities[[#This Row],[Hole ID]],Data_Log[],2,FALSE)</f>
        <v>#N/A</v>
      </c>
      <c r="C1067" s="8"/>
      <c r="D1067" s="8"/>
      <c r="E1067" s="7"/>
      <c r="F1067" s="7"/>
      <c r="G1067" s="7"/>
      <c r="H1067" s="118"/>
      <c r="I1067" s="7"/>
      <c r="J1067" s="7"/>
      <c r="K1067" s="7"/>
      <c r="L1067" s="7"/>
      <c r="M1067" s="7"/>
      <c r="N1067" s="7"/>
      <c r="O1067" s="84" t="e" cm="1">
        <f t="array" ref="O1067">_xlfn.XLOOKUP(1,(A1067=Geotech!$A$4:$A$10094)*(Data_Discontinuities[[#This Row],[Depth (m)]]&gt;=Geotech!$C$4:$C$10094)*(Data_Discontinuities[[#This Row],[Depth (m)]]&lt;Geotech!$D$4:$D$10094),Geotech!$M$4:$M$10094)</f>
        <v>#N/A</v>
      </c>
      <c r="P1067" s="84"/>
      <c r="Q1067" s="84"/>
      <c r="R1067" s="84"/>
      <c r="S10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7" s="71" t="str">
        <f>IFERROR(Data_Discontinuities[[#This Row],[Joint roughness]]/Data_Discontinuities[[#This Row],[Joint alteration]],"")</f>
        <v/>
      </c>
      <c r="V10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7" s="87"/>
    </row>
    <row r="1068" spans="2:23" ht="15" customHeight="1" x14ac:dyDescent="0.25">
      <c r="B1068" s="17" t="e">
        <f>VLOOKUP(Data_Discontinuities[[#This Row],[Hole ID]],Data_Log[],2,FALSE)</f>
        <v>#N/A</v>
      </c>
      <c r="C1068" s="8"/>
      <c r="D1068" s="8"/>
      <c r="E1068" s="7"/>
      <c r="F1068" s="7"/>
      <c r="G1068" s="7"/>
      <c r="H1068" s="118"/>
      <c r="I1068" s="7"/>
      <c r="J1068" s="7"/>
      <c r="K1068" s="7"/>
      <c r="L1068" s="7"/>
      <c r="M1068" s="7"/>
      <c r="N1068" s="7"/>
      <c r="O1068" s="84" t="e" cm="1">
        <f t="array" ref="O1068">_xlfn.XLOOKUP(1,(A1068=Geotech!$A$4:$A$10094)*(Data_Discontinuities[[#This Row],[Depth (m)]]&gt;=Geotech!$C$4:$C$10094)*(Data_Discontinuities[[#This Row],[Depth (m)]]&lt;Geotech!$D$4:$D$10094),Geotech!$M$4:$M$10094)</f>
        <v>#N/A</v>
      </c>
      <c r="P1068" s="84"/>
      <c r="Q1068" s="84"/>
      <c r="R1068" s="84"/>
      <c r="S10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8" s="71" t="str">
        <f>IFERROR(Data_Discontinuities[[#This Row],[Joint roughness]]/Data_Discontinuities[[#This Row],[Joint alteration]],"")</f>
        <v/>
      </c>
      <c r="V10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8" s="87"/>
    </row>
    <row r="1069" spans="2:23" ht="15" customHeight="1" x14ac:dyDescent="0.25">
      <c r="B1069" s="17" t="e">
        <f>VLOOKUP(Data_Discontinuities[[#This Row],[Hole ID]],Data_Log[],2,FALSE)</f>
        <v>#N/A</v>
      </c>
      <c r="C1069" s="8"/>
      <c r="D1069" s="8"/>
      <c r="E1069" s="7"/>
      <c r="F1069" s="7"/>
      <c r="G1069" s="7"/>
      <c r="H1069" s="118"/>
      <c r="I1069" s="7"/>
      <c r="J1069" s="7"/>
      <c r="K1069" s="7"/>
      <c r="L1069" s="7"/>
      <c r="M1069" s="7"/>
      <c r="N1069" s="7"/>
      <c r="O1069" s="84" t="e" cm="1">
        <f t="array" ref="O1069">_xlfn.XLOOKUP(1,(A1069=Geotech!$A$4:$A$10094)*(Data_Discontinuities[[#This Row],[Depth (m)]]&gt;=Geotech!$C$4:$C$10094)*(Data_Discontinuities[[#This Row],[Depth (m)]]&lt;Geotech!$D$4:$D$10094),Geotech!$M$4:$M$10094)</f>
        <v>#N/A</v>
      </c>
      <c r="P1069" s="84"/>
      <c r="Q1069" s="84"/>
      <c r="R1069" s="84"/>
      <c r="S10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69" s="71" t="str">
        <f>IFERROR(Data_Discontinuities[[#This Row],[Joint roughness]]/Data_Discontinuities[[#This Row],[Joint alteration]],"")</f>
        <v/>
      </c>
      <c r="V10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69" s="87"/>
    </row>
    <row r="1070" spans="2:23" ht="15" customHeight="1" x14ac:dyDescent="0.25">
      <c r="B1070" s="17" t="e">
        <f>VLOOKUP(Data_Discontinuities[[#This Row],[Hole ID]],Data_Log[],2,FALSE)</f>
        <v>#N/A</v>
      </c>
      <c r="C1070" s="8"/>
      <c r="D1070" s="8"/>
      <c r="E1070" s="7"/>
      <c r="F1070" s="7"/>
      <c r="G1070" s="7"/>
      <c r="H1070" s="118"/>
      <c r="I1070" s="7"/>
      <c r="J1070" s="7"/>
      <c r="K1070" s="7"/>
      <c r="L1070" s="7"/>
      <c r="M1070" s="7"/>
      <c r="N1070" s="7"/>
      <c r="O1070" s="84" t="e" cm="1">
        <f t="array" ref="O1070">_xlfn.XLOOKUP(1,(A1070=Geotech!$A$4:$A$10094)*(Data_Discontinuities[[#This Row],[Depth (m)]]&gt;=Geotech!$C$4:$C$10094)*(Data_Discontinuities[[#This Row],[Depth (m)]]&lt;Geotech!$D$4:$D$10094),Geotech!$M$4:$M$10094)</f>
        <v>#N/A</v>
      </c>
      <c r="P1070" s="84"/>
      <c r="Q1070" s="84"/>
      <c r="R1070" s="84"/>
      <c r="S10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0" s="71" t="str">
        <f>IFERROR(Data_Discontinuities[[#This Row],[Joint roughness]]/Data_Discontinuities[[#This Row],[Joint alteration]],"")</f>
        <v/>
      </c>
      <c r="V10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0" s="87"/>
    </row>
    <row r="1071" spans="2:23" ht="15" customHeight="1" x14ac:dyDescent="0.25">
      <c r="B1071" s="17" t="e">
        <f>VLOOKUP(Data_Discontinuities[[#This Row],[Hole ID]],Data_Log[],2,FALSE)</f>
        <v>#N/A</v>
      </c>
      <c r="C1071" s="8"/>
      <c r="D1071" s="8"/>
      <c r="E1071" s="7"/>
      <c r="F1071" s="7"/>
      <c r="G1071" s="7"/>
      <c r="H1071" s="118"/>
      <c r="I1071" s="7"/>
      <c r="J1071" s="7"/>
      <c r="K1071" s="7"/>
      <c r="L1071" s="7"/>
      <c r="M1071" s="7"/>
      <c r="N1071" s="7"/>
      <c r="O1071" s="84" t="e" cm="1">
        <f t="array" ref="O1071">_xlfn.XLOOKUP(1,(A1071=Geotech!$A$4:$A$10094)*(Data_Discontinuities[[#This Row],[Depth (m)]]&gt;=Geotech!$C$4:$C$10094)*(Data_Discontinuities[[#This Row],[Depth (m)]]&lt;Geotech!$D$4:$D$10094),Geotech!$M$4:$M$10094)</f>
        <v>#N/A</v>
      </c>
      <c r="P1071" s="84"/>
      <c r="Q1071" s="84"/>
      <c r="R1071" s="84"/>
      <c r="S10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1" s="71" t="str">
        <f>IFERROR(Data_Discontinuities[[#This Row],[Joint roughness]]/Data_Discontinuities[[#This Row],[Joint alteration]],"")</f>
        <v/>
      </c>
      <c r="V10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1" s="87"/>
    </row>
    <row r="1072" spans="2:23" ht="15" customHeight="1" x14ac:dyDescent="0.25">
      <c r="B1072" s="17" t="e">
        <f>VLOOKUP(Data_Discontinuities[[#This Row],[Hole ID]],Data_Log[],2,FALSE)</f>
        <v>#N/A</v>
      </c>
      <c r="C1072" s="8"/>
      <c r="D1072" s="8"/>
      <c r="E1072" s="7"/>
      <c r="F1072" s="7"/>
      <c r="G1072" s="7"/>
      <c r="H1072" s="118"/>
      <c r="I1072" s="7"/>
      <c r="J1072" s="7"/>
      <c r="K1072" s="7"/>
      <c r="L1072" s="7"/>
      <c r="M1072" s="7"/>
      <c r="N1072" s="7"/>
      <c r="O1072" s="84" t="e" cm="1">
        <f t="array" ref="O1072">_xlfn.XLOOKUP(1,(A1072=Geotech!$A$4:$A$10094)*(Data_Discontinuities[[#This Row],[Depth (m)]]&gt;=Geotech!$C$4:$C$10094)*(Data_Discontinuities[[#This Row],[Depth (m)]]&lt;Geotech!$D$4:$D$10094),Geotech!$M$4:$M$10094)</f>
        <v>#N/A</v>
      </c>
      <c r="P1072" s="84"/>
      <c r="Q1072" s="84"/>
      <c r="R1072" s="84"/>
      <c r="S10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2" s="71" t="str">
        <f>IFERROR(Data_Discontinuities[[#This Row],[Joint roughness]]/Data_Discontinuities[[#This Row],[Joint alteration]],"")</f>
        <v/>
      </c>
      <c r="V10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2" s="87"/>
    </row>
    <row r="1073" spans="2:23" ht="15" customHeight="1" x14ac:dyDescent="0.25">
      <c r="B1073" s="17" t="e">
        <f>VLOOKUP(Data_Discontinuities[[#This Row],[Hole ID]],Data_Log[],2,FALSE)</f>
        <v>#N/A</v>
      </c>
      <c r="C1073" s="8"/>
      <c r="D1073" s="8"/>
      <c r="E1073" s="7"/>
      <c r="F1073" s="7"/>
      <c r="G1073" s="7"/>
      <c r="H1073" s="118"/>
      <c r="I1073" s="7"/>
      <c r="J1073" s="7"/>
      <c r="K1073" s="7"/>
      <c r="L1073" s="7"/>
      <c r="M1073" s="7"/>
      <c r="N1073" s="7"/>
      <c r="O1073" s="84" t="e" cm="1">
        <f t="array" ref="O1073">_xlfn.XLOOKUP(1,(A1073=Geotech!$A$4:$A$10094)*(Data_Discontinuities[[#This Row],[Depth (m)]]&gt;=Geotech!$C$4:$C$10094)*(Data_Discontinuities[[#This Row],[Depth (m)]]&lt;Geotech!$D$4:$D$10094),Geotech!$M$4:$M$10094)</f>
        <v>#N/A</v>
      </c>
      <c r="P1073" s="84"/>
      <c r="Q1073" s="84"/>
      <c r="R1073" s="84"/>
      <c r="S10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3" s="71" t="str">
        <f>IFERROR(Data_Discontinuities[[#This Row],[Joint roughness]]/Data_Discontinuities[[#This Row],[Joint alteration]],"")</f>
        <v/>
      </c>
      <c r="V10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3" s="87"/>
    </row>
    <row r="1074" spans="2:23" ht="15" customHeight="1" x14ac:dyDescent="0.25">
      <c r="B1074" s="17" t="e">
        <f>VLOOKUP(Data_Discontinuities[[#This Row],[Hole ID]],Data_Log[],2,FALSE)</f>
        <v>#N/A</v>
      </c>
      <c r="C1074" s="8"/>
      <c r="D1074" s="8"/>
      <c r="E1074" s="7"/>
      <c r="F1074" s="7"/>
      <c r="G1074" s="7"/>
      <c r="H1074" s="118"/>
      <c r="I1074" s="7"/>
      <c r="J1074" s="7"/>
      <c r="K1074" s="7"/>
      <c r="L1074" s="7"/>
      <c r="M1074" s="7"/>
      <c r="N1074" s="7"/>
      <c r="O1074" s="84" t="e" cm="1">
        <f t="array" ref="O1074">_xlfn.XLOOKUP(1,(A1074=Geotech!$A$4:$A$10094)*(Data_Discontinuities[[#This Row],[Depth (m)]]&gt;=Geotech!$C$4:$C$10094)*(Data_Discontinuities[[#This Row],[Depth (m)]]&lt;Geotech!$D$4:$D$10094),Geotech!$M$4:$M$10094)</f>
        <v>#N/A</v>
      </c>
      <c r="P1074" s="84"/>
      <c r="Q1074" s="84"/>
      <c r="R1074" s="84"/>
      <c r="S10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4" s="71" t="str">
        <f>IFERROR(Data_Discontinuities[[#This Row],[Joint roughness]]/Data_Discontinuities[[#This Row],[Joint alteration]],"")</f>
        <v/>
      </c>
      <c r="V10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4" s="87"/>
    </row>
    <row r="1075" spans="2:23" ht="15" customHeight="1" x14ac:dyDescent="0.25">
      <c r="B1075" s="17" t="e">
        <f>VLOOKUP(Data_Discontinuities[[#This Row],[Hole ID]],Data_Log[],2,FALSE)</f>
        <v>#N/A</v>
      </c>
      <c r="C1075" s="8"/>
      <c r="D1075" s="8"/>
      <c r="E1075" s="7"/>
      <c r="F1075" s="7"/>
      <c r="G1075" s="7"/>
      <c r="H1075" s="118"/>
      <c r="I1075" s="7"/>
      <c r="J1075" s="7"/>
      <c r="K1075" s="7"/>
      <c r="L1075" s="7"/>
      <c r="M1075" s="7"/>
      <c r="N1075" s="7"/>
      <c r="O1075" s="84" t="e" cm="1">
        <f t="array" ref="O1075">_xlfn.XLOOKUP(1,(A1075=Geotech!$A$4:$A$10094)*(Data_Discontinuities[[#This Row],[Depth (m)]]&gt;=Geotech!$C$4:$C$10094)*(Data_Discontinuities[[#This Row],[Depth (m)]]&lt;Geotech!$D$4:$D$10094),Geotech!$M$4:$M$10094)</f>
        <v>#N/A</v>
      </c>
      <c r="P1075" s="84"/>
      <c r="Q1075" s="84"/>
      <c r="R1075" s="84"/>
      <c r="S10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5" s="71" t="str">
        <f>IFERROR(Data_Discontinuities[[#This Row],[Joint roughness]]/Data_Discontinuities[[#This Row],[Joint alteration]],"")</f>
        <v/>
      </c>
      <c r="V10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5" s="87"/>
    </row>
    <row r="1076" spans="2:23" ht="15" customHeight="1" x14ac:dyDescent="0.25">
      <c r="B1076" s="17" t="e">
        <f>VLOOKUP(Data_Discontinuities[[#This Row],[Hole ID]],Data_Log[],2,FALSE)</f>
        <v>#N/A</v>
      </c>
      <c r="C1076" s="8"/>
      <c r="D1076" s="8"/>
      <c r="E1076" s="7"/>
      <c r="F1076" s="7"/>
      <c r="G1076" s="7"/>
      <c r="H1076" s="118"/>
      <c r="I1076" s="7"/>
      <c r="J1076" s="7"/>
      <c r="K1076" s="7"/>
      <c r="L1076" s="7"/>
      <c r="M1076" s="7"/>
      <c r="N1076" s="7"/>
      <c r="O1076" s="84" t="e" cm="1">
        <f t="array" ref="O1076">_xlfn.XLOOKUP(1,(A1076=Geotech!$A$4:$A$10094)*(Data_Discontinuities[[#This Row],[Depth (m)]]&gt;=Geotech!$C$4:$C$10094)*(Data_Discontinuities[[#This Row],[Depth (m)]]&lt;Geotech!$D$4:$D$10094),Geotech!$M$4:$M$10094)</f>
        <v>#N/A</v>
      </c>
      <c r="P1076" s="84"/>
      <c r="Q1076" s="84"/>
      <c r="R1076" s="84"/>
      <c r="S10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6" s="71" t="str">
        <f>IFERROR(Data_Discontinuities[[#This Row],[Joint roughness]]/Data_Discontinuities[[#This Row],[Joint alteration]],"")</f>
        <v/>
      </c>
      <c r="V10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6" s="87"/>
    </row>
    <row r="1077" spans="2:23" ht="15" customHeight="1" x14ac:dyDescent="0.25">
      <c r="B1077" s="17" t="e">
        <f>VLOOKUP(Data_Discontinuities[[#This Row],[Hole ID]],Data_Log[],2,FALSE)</f>
        <v>#N/A</v>
      </c>
      <c r="C1077" s="8"/>
      <c r="D1077" s="8"/>
      <c r="E1077" s="7"/>
      <c r="F1077" s="7"/>
      <c r="G1077" s="7"/>
      <c r="H1077" s="118"/>
      <c r="I1077" s="7"/>
      <c r="J1077" s="7"/>
      <c r="K1077" s="7"/>
      <c r="L1077" s="7"/>
      <c r="M1077" s="7"/>
      <c r="N1077" s="7"/>
      <c r="O1077" s="84" t="e" cm="1">
        <f t="array" ref="O1077">_xlfn.XLOOKUP(1,(A1077=Geotech!$A$4:$A$10094)*(Data_Discontinuities[[#This Row],[Depth (m)]]&gt;=Geotech!$C$4:$C$10094)*(Data_Discontinuities[[#This Row],[Depth (m)]]&lt;Geotech!$D$4:$D$10094),Geotech!$M$4:$M$10094)</f>
        <v>#N/A</v>
      </c>
      <c r="P1077" s="84"/>
      <c r="Q1077" s="84"/>
      <c r="R1077" s="84"/>
      <c r="S10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7" s="71" t="str">
        <f>IFERROR(Data_Discontinuities[[#This Row],[Joint roughness]]/Data_Discontinuities[[#This Row],[Joint alteration]],"")</f>
        <v/>
      </c>
      <c r="V10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7" s="87"/>
    </row>
    <row r="1078" spans="2:23" ht="15" customHeight="1" x14ac:dyDescent="0.25">
      <c r="B1078" s="17" t="e">
        <f>VLOOKUP(Data_Discontinuities[[#This Row],[Hole ID]],Data_Log[],2,FALSE)</f>
        <v>#N/A</v>
      </c>
      <c r="C1078" s="8"/>
      <c r="D1078" s="8"/>
      <c r="E1078" s="7"/>
      <c r="F1078" s="7"/>
      <c r="G1078" s="7"/>
      <c r="H1078" s="118"/>
      <c r="I1078" s="7"/>
      <c r="J1078" s="7"/>
      <c r="K1078" s="7"/>
      <c r="L1078" s="7"/>
      <c r="M1078" s="7"/>
      <c r="N1078" s="7"/>
      <c r="O1078" s="84" t="e" cm="1">
        <f t="array" ref="O1078">_xlfn.XLOOKUP(1,(A1078=Geotech!$A$4:$A$10094)*(Data_Discontinuities[[#This Row],[Depth (m)]]&gt;=Geotech!$C$4:$C$10094)*(Data_Discontinuities[[#This Row],[Depth (m)]]&lt;Geotech!$D$4:$D$10094),Geotech!$M$4:$M$10094)</f>
        <v>#N/A</v>
      </c>
      <c r="P1078" s="84"/>
      <c r="Q1078" s="84"/>
      <c r="R1078" s="84"/>
      <c r="S10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8" s="71" t="str">
        <f>IFERROR(Data_Discontinuities[[#This Row],[Joint roughness]]/Data_Discontinuities[[#This Row],[Joint alteration]],"")</f>
        <v/>
      </c>
      <c r="V10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8" s="87"/>
    </row>
    <row r="1079" spans="2:23" ht="15" customHeight="1" x14ac:dyDescent="0.25">
      <c r="B1079" s="17" t="e">
        <f>VLOOKUP(Data_Discontinuities[[#This Row],[Hole ID]],Data_Log[],2,FALSE)</f>
        <v>#N/A</v>
      </c>
      <c r="C1079" s="8"/>
      <c r="D1079" s="8"/>
      <c r="E1079" s="7"/>
      <c r="F1079" s="7"/>
      <c r="G1079" s="7"/>
      <c r="H1079" s="118"/>
      <c r="I1079" s="7"/>
      <c r="J1079" s="7"/>
      <c r="K1079" s="7"/>
      <c r="L1079" s="7"/>
      <c r="M1079" s="7"/>
      <c r="N1079" s="7"/>
      <c r="O1079" s="84" t="e" cm="1">
        <f t="array" ref="O1079">_xlfn.XLOOKUP(1,(A1079=Geotech!$A$4:$A$10094)*(Data_Discontinuities[[#This Row],[Depth (m)]]&gt;=Geotech!$C$4:$C$10094)*(Data_Discontinuities[[#This Row],[Depth (m)]]&lt;Geotech!$D$4:$D$10094),Geotech!$M$4:$M$10094)</f>
        <v>#N/A</v>
      </c>
      <c r="P1079" s="84"/>
      <c r="Q1079" s="84"/>
      <c r="R1079" s="84"/>
      <c r="S10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79" s="71" t="str">
        <f>IFERROR(Data_Discontinuities[[#This Row],[Joint roughness]]/Data_Discontinuities[[#This Row],[Joint alteration]],"")</f>
        <v/>
      </c>
      <c r="V10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79" s="87"/>
    </row>
    <row r="1080" spans="2:23" ht="15" customHeight="1" x14ac:dyDescent="0.25">
      <c r="B1080" s="17" t="e">
        <f>VLOOKUP(Data_Discontinuities[[#This Row],[Hole ID]],Data_Log[],2,FALSE)</f>
        <v>#N/A</v>
      </c>
      <c r="C1080" s="8"/>
      <c r="D1080" s="8"/>
      <c r="E1080" s="7"/>
      <c r="F1080" s="7"/>
      <c r="G1080" s="7"/>
      <c r="H1080" s="118"/>
      <c r="I1080" s="7"/>
      <c r="J1080" s="7"/>
      <c r="K1080" s="7"/>
      <c r="L1080" s="7"/>
      <c r="M1080" s="7"/>
      <c r="N1080" s="7"/>
      <c r="O1080" s="84" t="e" cm="1">
        <f t="array" ref="O1080">_xlfn.XLOOKUP(1,(A1080=Geotech!$A$4:$A$10094)*(Data_Discontinuities[[#This Row],[Depth (m)]]&gt;=Geotech!$C$4:$C$10094)*(Data_Discontinuities[[#This Row],[Depth (m)]]&lt;Geotech!$D$4:$D$10094),Geotech!$M$4:$M$10094)</f>
        <v>#N/A</v>
      </c>
      <c r="P1080" s="84"/>
      <c r="Q1080" s="84"/>
      <c r="R1080" s="84"/>
      <c r="S10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0" s="71" t="str">
        <f>IFERROR(Data_Discontinuities[[#This Row],[Joint roughness]]/Data_Discontinuities[[#This Row],[Joint alteration]],"")</f>
        <v/>
      </c>
      <c r="V10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0" s="87"/>
    </row>
    <row r="1081" spans="2:23" ht="15" customHeight="1" x14ac:dyDescent="0.25">
      <c r="B1081" s="17" t="e">
        <f>VLOOKUP(Data_Discontinuities[[#This Row],[Hole ID]],Data_Log[],2,FALSE)</f>
        <v>#N/A</v>
      </c>
      <c r="C1081" s="8"/>
      <c r="D1081" s="8"/>
      <c r="E1081" s="7"/>
      <c r="F1081" s="7"/>
      <c r="G1081" s="7"/>
      <c r="H1081" s="118"/>
      <c r="I1081" s="7"/>
      <c r="J1081" s="7"/>
      <c r="K1081" s="7"/>
      <c r="L1081" s="7"/>
      <c r="M1081" s="7"/>
      <c r="N1081" s="7"/>
      <c r="O1081" s="84" t="e" cm="1">
        <f t="array" ref="O1081">_xlfn.XLOOKUP(1,(A1081=Geotech!$A$4:$A$10094)*(Data_Discontinuities[[#This Row],[Depth (m)]]&gt;=Geotech!$C$4:$C$10094)*(Data_Discontinuities[[#This Row],[Depth (m)]]&lt;Geotech!$D$4:$D$10094),Geotech!$M$4:$M$10094)</f>
        <v>#N/A</v>
      </c>
      <c r="P1081" s="84"/>
      <c r="Q1081" s="84"/>
      <c r="R1081" s="84"/>
      <c r="S10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1" s="71" t="str">
        <f>IFERROR(Data_Discontinuities[[#This Row],[Joint roughness]]/Data_Discontinuities[[#This Row],[Joint alteration]],"")</f>
        <v/>
      </c>
      <c r="V10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1" s="87"/>
    </row>
    <row r="1082" spans="2:23" ht="15" customHeight="1" x14ac:dyDescent="0.25">
      <c r="B1082" s="17" t="e">
        <f>VLOOKUP(Data_Discontinuities[[#This Row],[Hole ID]],Data_Log[],2,FALSE)</f>
        <v>#N/A</v>
      </c>
      <c r="C1082" s="8"/>
      <c r="D1082" s="8"/>
      <c r="E1082" s="7"/>
      <c r="F1082" s="7"/>
      <c r="G1082" s="7"/>
      <c r="H1082" s="118"/>
      <c r="I1082" s="7"/>
      <c r="J1082" s="7"/>
      <c r="K1082" s="7"/>
      <c r="L1082" s="7"/>
      <c r="M1082" s="7"/>
      <c r="N1082" s="7"/>
      <c r="O1082" s="84" t="e" cm="1">
        <f t="array" ref="O1082">_xlfn.XLOOKUP(1,(A1082=Geotech!$A$4:$A$10094)*(Data_Discontinuities[[#This Row],[Depth (m)]]&gt;=Geotech!$C$4:$C$10094)*(Data_Discontinuities[[#This Row],[Depth (m)]]&lt;Geotech!$D$4:$D$10094),Geotech!$M$4:$M$10094)</f>
        <v>#N/A</v>
      </c>
      <c r="P1082" s="84"/>
      <c r="Q1082" s="84"/>
      <c r="R1082" s="84"/>
      <c r="S10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2" s="71" t="str">
        <f>IFERROR(Data_Discontinuities[[#This Row],[Joint roughness]]/Data_Discontinuities[[#This Row],[Joint alteration]],"")</f>
        <v/>
      </c>
      <c r="V10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2" s="87"/>
    </row>
    <row r="1083" spans="2:23" ht="15" customHeight="1" x14ac:dyDescent="0.25">
      <c r="B1083" s="17" t="e">
        <f>VLOOKUP(Data_Discontinuities[[#This Row],[Hole ID]],Data_Log[],2,FALSE)</f>
        <v>#N/A</v>
      </c>
      <c r="C1083" s="8"/>
      <c r="D1083" s="8"/>
      <c r="E1083" s="7"/>
      <c r="F1083" s="7"/>
      <c r="G1083" s="7"/>
      <c r="H1083" s="118"/>
      <c r="I1083" s="7"/>
      <c r="J1083" s="7"/>
      <c r="K1083" s="7"/>
      <c r="L1083" s="7"/>
      <c r="M1083" s="7"/>
      <c r="N1083" s="7"/>
      <c r="O1083" s="84" t="e" cm="1">
        <f t="array" ref="O1083">_xlfn.XLOOKUP(1,(A1083=Geotech!$A$4:$A$10094)*(Data_Discontinuities[[#This Row],[Depth (m)]]&gt;=Geotech!$C$4:$C$10094)*(Data_Discontinuities[[#This Row],[Depth (m)]]&lt;Geotech!$D$4:$D$10094),Geotech!$M$4:$M$10094)</f>
        <v>#N/A</v>
      </c>
      <c r="P1083" s="84"/>
      <c r="Q1083" s="84"/>
      <c r="R1083" s="84"/>
      <c r="S10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3" s="71" t="str">
        <f>IFERROR(Data_Discontinuities[[#This Row],[Joint roughness]]/Data_Discontinuities[[#This Row],[Joint alteration]],"")</f>
        <v/>
      </c>
      <c r="V10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3" s="87"/>
    </row>
    <row r="1084" spans="2:23" ht="15" customHeight="1" x14ac:dyDescent="0.25">
      <c r="B1084" s="17" t="e">
        <f>VLOOKUP(Data_Discontinuities[[#This Row],[Hole ID]],Data_Log[],2,FALSE)</f>
        <v>#N/A</v>
      </c>
      <c r="C1084" s="8"/>
      <c r="D1084" s="8"/>
      <c r="E1084" s="7"/>
      <c r="F1084" s="7"/>
      <c r="G1084" s="7"/>
      <c r="H1084" s="118"/>
      <c r="I1084" s="7"/>
      <c r="J1084" s="7"/>
      <c r="K1084" s="7"/>
      <c r="L1084" s="7"/>
      <c r="M1084" s="7"/>
      <c r="N1084" s="7"/>
      <c r="O1084" s="84" t="e" cm="1">
        <f t="array" ref="O1084">_xlfn.XLOOKUP(1,(A1084=Geotech!$A$4:$A$10094)*(Data_Discontinuities[[#This Row],[Depth (m)]]&gt;=Geotech!$C$4:$C$10094)*(Data_Discontinuities[[#This Row],[Depth (m)]]&lt;Geotech!$D$4:$D$10094),Geotech!$M$4:$M$10094)</f>
        <v>#N/A</v>
      </c>
      <c r="P1084" s="84"/>
      <c r="Q1084" s="84"/>
      <c r="R1084" s="84"/>
      <c r="S10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4" s="71" t="str">
        <f>IFERROR(Data_Discontinuities[[#This Row],[Joint roughness]]/Data_Discontinuities[[#This Row],[Joint alteration]],"")</f>
        <v/>
      </c>
      <c r="V10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4" s="87"/>
    </row>
    <row r="1085" spans="2:23" ht="15" customHeight="1" x14ac:dyDescent="0.25">
      <c r="B1085" s="17" t="e">
        <f>VLOOKUP(Data_Discontinuities[[#This Row],[Hole ID]],Data_Log[],2,FALSE)</f>
        <v>#N/A</v>
      </c>
      <c r="C1085" s="8"/>
      <c r="D1085" s="8"/>
      <c r="E1085" s="7"/>
      <c r="F1085" s="7"/>
      <c r="G1085" s="7"/>
      <c r="H1085" s="118"/>
      <c r="I1085" s="7"/>
      <c r="J1085" s="7"/>
      <c r="K1085" s="7"/>
      <c r="L1085" s="7"/>
      <c r="M1085" s="7"/>
      <c r="N1085" s="7"/>
      <c r="O1085" s="84" t="e" cm="1">
        <f t="array" ref="O1085">_xlfn.XLOOKUP(1,(A1085=Geotech!$A$4:$A$10094)*(Data_Discontinuities[[#This Row],[Depth (m)]]&gt;=Geotech!$C$4:$C$10094)*(Data_Discontinuities[[#This Row],[Depth (m)]]&lt;Geotech!$D$4:$D$10094),Geotech!$M$4:$M$10094)</f>
        <v>#N/A</v>
      </c>
      <c r="P1085" s="84"/>
      <c r="Q1085" s="84"/>
      <c r="R1085" s="84"/>
      <c r="S10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5" s="71" t="str">
        <f>IFERROR(Data_Discontinuities[[#This Row],[Joint roughness]]/Data_Discontinuities[[#This Row],[Joint alteration]],"")</f>
        <v/>
      </c>
      <c r="V10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5" s="87"/>
    </row>
    <row r="1086" spans="2:23" ht="15" customHeight="1" x14ac:dyDescent="0.25">
      <c r="B1086" s="17" t="e">
        <f>VLOOKUP(Data_Discontinuities[[#This Row],[Hole ID]],Data_Log[],2,FALSE)</f>
        <v>#N/A</v>
      </c>
      <c r="C1086" s="8"/>
      <c r="D1086" s="8"/>
      <c r="E1086" s="7"/>
      <c r="F1086" s="7"/>
      <c r="G1086" s="7"/>
      <c r="H1086" s="118"/>
      <c r="I1086" s="7"/>
      <c r="J1086" s="7"/>
      <c r="K1086" s="7"/>
      <c r="L1086" s="7"/>
      <c r="M1086" s="7"/>
      <c r="N1086" s="7"/>
      <c r="O1086" s="84" t="e" cm="1">
        <f t="array" ref="O1086">_xlfn.XLOOKUP(1,(A1086=Geotech!$A$4:$A$10094)*(Data_Discontinuities[[#This Row],[Depth (m)]]&gt;=Geotech!$C$4:$C$10094)*(Data_Discontinuities[[#This Row],[Depth (m)]]&lt;Geotech!$D$4:$D$10094),Geotech!$M$4:$M$10094)</f>
        <v>#N/A</v>
      </c>
      <c r="P1086" s="84"/>
      <c r="Q1086" s="84"/>
      <c r="R1086" s="84"/>
      <c r="S10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6" s="71" t="str">
        <f>IFERROR(Data_Discontinuities[[#This Row],[Joint roughness]]/Data_Discontinuities[[#This Row],[Joint alteration]],"")</f>
        <v/>
      </c>
      <c r="V10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6" s="87"/>
    </row>
    <row r="1087" spans="2:23" ht="15" customHeight="1" x14ac:dyDescent="0.25">
      <c r="B1087" s="17" t="e">
        <f>VLOOKUP(Data_Discontinuities[[#This Row],[Hole ID]],Data_Log[],2,FALSE)</f>
        <v>#N/A</v>
      </c>
      <c r="C1087" s="8"/>
      <c r="D1087" s="8"/>
      <c r="E1087" s="7"/>
      <c r="F1087" s="7"/>
      <c r="G1087" s="7"/>
      <c r="H1087" s="118"/>
      <c r="I1087" s="7"/>
      <c r="J1087" s="7"/>
      <c r="K1087" s="7"/>
      <c r="L1087" s="7"/>
      <c r="M1087" s="7"/>
      <c r="N1087" s="7"/>
      <c r="O1087" s="84" t="e" cm="1">
        <f t="array" ref="O1087">_xlfn.XLOOKUP(1,(A1087=Geotech!$A$4:$A$10094)*(Data_Discontinuities[[#This Row],[Depth (m)]]&gt;=Geotech!$C$4:$C$10094)*(Data_Discontinuities[[#This Row],[Depth (m)]]&lt;Geotech!$D$4:$D$10094),Geotech!$M$4:$M$10094)</f>
        <v>#N/A</v>
      </c>
      <c r="P1087" s="84"/>
      <c r="Q1087" s="84"/>
      <c r="R1087" s="84"/>
      <c r="S10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7" s="71" t="str">
        <f>IFERROR(Data_Discontinuities[[#This Row],[Joint roughness]]/Data_Discontinuities[[#This Row],[Joint alteration]],"")</f>
        <v/>
      </c>
      <c r="V10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7" s="87"/>
    </row>
    <row r="1088" spans="2:23" ht="15" customHeight="1" x14ac:dyDescent="0.25">
      <c r="B1088" s="17" t="e">
        <f>VLOOKUP(Data_Discontinuities[[#This Row],[Hole ID]],Data_Log[],2,FALSE)</f>
        <v>#N/A</v>
      </c>
      <c r="C1088" s="8"/>
      <c r="D1088" s="8"/>
      <c r="E1088" s="7"/>
      <c r="F1088" s="7"/>
      <c r="G1088" s="7"/>
      <c r="H1088" s="118"/>
      <c r="I1088" s="7"/>
      <c r="J1088" s="7"/>
      <c r="K1088" s="7"/>
      <c r="L1088" s="7"/>
      <c r="M1088" s="7"/>
      <c r="N1088" s="7"/>
      <c r="O1088" s="84" t="e" cm="1">
        <f t="array" ref="O1088">_xlfn.XLOOKUP(1,(A1088=Geotech!$A$4:$A$10094)*(Data_Discontinuities[[#This Row],[Depth (m)]]&gt;=Geotech!$C$4:$C$10094)*(Data_Discontinuities[[#This Row],[Depth (m)]]&lt;Geotech!$D$4:$D$10094),Geotech!$M$4:$M$10094)</f>
        <v>#N/A</v>
      </c>
      <c r="P1088" s="84"/>
      <c r="Q1088" s="84"/>
      <c r="R1088" s="84"/>
      <c r="S10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8" s="71" t="str">
        <f>IFERROR(Data_Discontinuities[[#This Row],[Joint roughness]]/Data_Discontinuities[[#This Row],[Joint alteration]],"")</f>
        <v/>
      </c>
      <c r="V10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8" s="87"/>
    </row>
    <row r="1089" spans="2:23" ht="15" customHeight="1" x14ac:dyDescent="0.25">
      <c r="B1089" s="17" t="e">
        <f>VLOOKUP(Data_Discontinuities[[#This Row],[Hole ID]],Data_Log[],2,FALSE)</f>
        <v>#N/A</v>
      </c>
      <c r="C1089" s="8"/>
      <c r="D1089" s="8"/>
      <c r="E1089" s="7"/>
      <c r="F1089" s="7"/>
      <c r="G1089" s="7"/>
      <c r="H1089" s="118"/>
      <c r="I1089" s="7"/>
      <c r="J1089" s="7"/>
      <c r="K1089" s="7"/>
      <c r="L1089" s="7"/>
      <c r="M1089" s="7"/>
      <c r="N1089" s="7"/>
      <c r="O1089" s="84" t="e" cm="1">
        <f t="array" ref="O1089">_xlfn.XLOOKUP(1,(A1089=Geotech!$A$4:$A$10094)*(Data_Discontinuities[[#This Row],[Depth (m)]]&gt;=Geotech!$C$4:$C$10094)*(Data_Discontinuities[[#This Row],[Depth (m)]]&lt;Geotech!$D$4:$D$10094),Geotech!$M$4:$M$10094)</f>
        <v>#N/A</v>
      </c>
      <c r="P1089" s="84"/>
      <c r="Q1089" s="84"/>
      <c r="R1089" s="84"/>
      <c r="S10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89" s="71" t="str">
        <f>IFERROR(Data_Discontinuities[[#This Row],[Joint roughness]]/Data_Discontinuities[[#This Row],[Joint alteration]],"")</f>
        <v/>
      </c>
      <c r="V10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89" s="87"/>
    </row>
    <row r="1090" spans="2:23" ht="15" customHeight="1" x14ac:dyDescent="0.25">
      <c r="B1090" s="17" t="e">
        <f>VLOOKUP(Data_Discontinuities[[#This Row],[Hole ID]],Data_Log[],2,FALSE)</f>
        <v>#N/A</v>
      </c>
      <c r="C1090" s="8"/>
      <c r="D1090" s="8"/>
      <c r="E1090" s="7"/>
      <c r="F1090" s="7"/>
      <c r="G1090" s="7"/>
      <c r="H1090" s="118"/>
      <c r="I1090" s="7"/>
      <c r="J1090" s="7"/>
      <c r="K1090" s="7"/>
      <c r="L1090" s="7"/>
      <c r="M1090" s="7"/>
      <c r="N1090" s="7"/>
      <c r="O1090" s="84" t="e" cm="1">
        <f t="array" ref="O1090">_xlfn.XLOOKUP(1,(A1090=Geotech!$A$4:$A$10094)*(Data_Discontinuities[[#This Row],[Depth (m)]]&gt;=Geotech!$C$4:$C$10094)*(Data_Discontinuities[[#This Row],[Depth (m)]]&lt;Geotech!$D$4:$D$10094),Geotech!$M$4:$M$10094)</f>
        <v>#N/A</v>
      </c>
      <c r="P1090" s="84"/>
      <c r="Q1090" s="84"/>
      <c r="R1090" s="84"/>
      <c r="S10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0" s="71" t="str">
        <f>IFERROR(Data_Discontinuities[[#This Row],[Joint roughness]]/Data_Discontinuities[[#This Row],[Joint alteration]],"")</f>
        <v/>
      </c>
      <c r="V10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0" s="87"/>
    </row>
    <row r="1091" spans="2:23" ht="15" customHeight="1" x14ac:dyDescent="0.25">
      <c r="B1091" s="17" t="e">
        <f>VLOOKUP(Data_Discontinuities[[#This Row],[Hole ID]],Data_Log[],2,FALSE)</f>
        <v>#N/A</v>
      </c>
      <c r="C1091" s="8"/>
      <c r="D1091" s="8"/>
      <c r="E1091" s="7"/>
      <c r="F1091" s="7"/>
      <c r="G1091" s="7"/>
      <c r="H1091" s="118"/>
      <c r="I1091" s="7"/>
      <c r="J1091" s="7"/>
      <c r="K1091" s="7"/>
      <c r="L1091" s="7"/>
      <c r="M1091" s="7"/>
      <c r="N1091" s="7"/>
      <c r="O1091" s="84" t="e" cm="1">
        <f t="array" ref="O1091">_xlfn.XLOOKUP(1,(A1091=Geotech!$A$4:$A$10094)*(Data_Discontinuities[[#This Row],[Depth (m)]]&gt;=Geotech!$C$4:$C$10094)*(Data_Discontinuities[[#This Row],[Depth (m)]]&lt;Geotech!$D$4:$D$10094),Geotech!$M$4:$M$10094)</f>
        <v>#N/A</v>
      </c>
      <c r="P1091" s="84"/>
      <c r="Q1091" s="84"/>
      <c r="R1091" s="84"/>
      <c r="S10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1" s="71" t="str">
        <f>IFERROR(Data_Discontinuities[[#This Row],[Joint roughness]]/Data_Discontinuities[[#This Row],[Joint alteration]],"")</f>
        <v/>
      </c>
      <c r="V10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1" s="87"/>
    </row>
    <row r="1092" spans="2:23" ht="15" customHeight="1" x14ac:dyDescent="0.25">
      <c r="B1092" s="17" t="e">
        <f>VLOOKUP(Data_Discontinuities[[#This Row],[Hole ID]],Data_Log[],2,FALSE)</f>
        <v>#N/A</v>
      </c>
      <c r="C1092" s="8"/>
      <c r="D1092" s="8"/>
      <c r="E1092" s="7"/>
      <c r="F1092" s="7"/>
      <c r="G1092" s="7"/>
      <c r="H1092" s="118"/>
      <c r="I1092" s="7"/>
      <c r="J1092" s="7"/>
      <c r="K1092" s="7"/>
      <c r="L1092" s="7"/>
      <c r="M1092" s="7"/>
      <c r="N1092" s="7"/>
      <c r="O1092" s="84" t="e" cm="1">
        <f t="array" ref="O1092">_xlfn.XLOOKUP(1,(A1092=Geotech!$A$4:$A$10094)*(Data_Discontinuities[[#This Row],[Depth (m)]]&gt;=Geotech!$C$4:$C$10094)*(Data_Discontinuities[[#This Row],[Depth (m)]]&lt;Geotech!$D$4:$D$10094),Geotech!$M$4:$M$10094)</f>
        <v>#N/A</v>
      </c>
      <c r="P1092" s="84"/>
      <c r="Q1092" s="84"/>
      <c r="R1092" s="84"/>
      <c r="S10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2" s="71" t="str">
        <f>IFERROR(Data_Discontinuities[[#This Row],[Joint roughness]]/Data_Discontinuities[[#This Row],[Joint alteration]],"")</f>
        <v/>
      </c>
      <c r="V10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2" s="87"/>
    </row>
    <row r="1093" spans="2:23" ht="15" customHeight="1" x14ac:dyDescent="0.25">
      <c r="B1093" s="17" t="e">
        <f>VLOOKUP(Data_Discontinuities[[#This Row],[Hole ID]],Data_Log[],2,FALSE)</f>
        <v>#N/A</v>
      </c>
      <c r="C1093" s="8"/>
      <c r="D1093" s="8"/>
      <c r="E1093" s="7"/>
      <c r="F1093" s="7"/>
      <c r="G1093" s="7"/>
      <c r="H1093" s="118"/>
      <c r="I1093" s="7"/>
      <c r="J1093" s="7"/>
      <c r="K1093" s="7"/>
      <c r="L1093" s="7"/>
      <c r="M1093" s="7"/>
      <c r="N1093" s="7"/>
      <c r="O1093" s="84" t="e" cm="1">
        <f t="array" ref="O1093">_xlfn.XLOOKUP(1,(A1093=Geotech!$A$4:$A$10094)*(Data_Discontinuities[[#This Row],[Depth (m)]]&gt;=Geotech!$C$4:$C$10094)*(Data_Discontinuities[[#This Row],[Depth (m)]]&lt;Geotech!$D$4:$D$10094),Geotech!$M$4:$M$10094)</f>
        <v>#N/A</v>
      </c>
      <c r="P1093" s="84"/>
      <c r="Q1093" s="84"/>
      <c r="R1093" s="84"/>
      <c r="S10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3" s="71" t="str">
        <f>IFERROR(Data_Discontinuities[[#This Row],[Joint roughness]]/Data_Discontinuities[[#This Row],[Joint alteration]],"")</f>
        <v/>
      </c>
      <c r="V10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3" s="87"/>
    </row>
    <row r="1094" spans="2:23" ht="15" customHeight="1" x14ac:dyDescent="0.25">
      <c r="B1094" s="17" t="e">
        <f>VLOOKUP(Data_Discontinuities[[#This Row],[Hole ID]],Data_Log[],2,FALSE)</f>
        <v>#N/A</v>
      </c>
      <c r="C1094" s="8"/>
      <c r="D1094" s="8"/>
      <c r="E1094" s="7"/>
      <c r="F1094" s="7"/>
      <c r="G1094" s="7"/>
      <c r="H1094" s="118"/>
      <c r="I1094" s="7"/>
      <c r="J1094" s="7"/>
      <c r="K1094" s="7"/>
      <c r="L1094" s="7"/>
      <c r="M1094" s="7"/>
      <c r="N1094" s="7"/>
      <c r="O1094" s="84" t="e" cm="1">
        <f t="array" ref="O1094">_xlfn.XLOOKUP(1,(A1094=Geotech!$A$4:$A$10094)*(Data_Discontinuities[[#This Row],[Depth (m)]]&gt;=Geotech!$C$4:$C$10094)*(Data_Discontinuities[[#This Row],[Depth (m)]]&lt;Geotech!$D$4:$D$10094),Geotech!$M$4:$M$10094)</f>
        <v>#N/A</v>
      </c>
      <c r="P1094" s="84"/>
      <c r="Q1094" s="84"/>
      <c r="R1094" s="84"/>
      <c r="S10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4" s="71" t="str">
        <f>IFERROR(Data_Discontinuities[[#This Row],[Joint roughness]]/Data_Discontinuities[[#This Row],[Joint alteration]],"")</f>
        <v/>
      </c>
      <c r="V10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4" s="87"/>
    </row>
    <row r="1095" spans="2:23" ht="15" customHeight="1" x14ac:dyDescent="0.25">
      <c r="B1095" s="17" t="e">
        <f>VLOOKUP(Data_Discontinuities[[#This Row],[Hole ID]],Data_Log[],2,FALSE)</f>
        <v>#N/A</v>
      </c>
      <c r="C1095" s="8"/>
      <c r="D1095" s="8"/>
      <c r="E1095" s="7"/>
      <c r="F1095" s="7"/>
      <c r="G1095" s="7"/>
      <c r="H1095" s="118"/>
      <c r="I1095" s="7"/>
      <c r="J1095" s="7"/>
      <c r="K1095" s="7"/>
      <c r="L1095" s="7"/>
      <c r="M1095" s="7"/>
      <c r="N1095" s="7"/>
      <c r="O1095" s="84" t="e" cm="1">
        <f t="array" ref="O1095">_xlfn.XLOOKUP(1,(A1095=Geotech!$A$4:$A$10094)*(Data_Discontinuities[[#This Row],[Depth (m)]]&gt;=Geotech!$C$4:$C$10094)*(Data_Discontinuities[[#This Row],[Depth (m)]]&lt;Geotech!$D$4:$D$10094),Geotech!$M$4:$M$10094)</f>
        <v>#N/A</v>
      </c>
      <c r="P1095" s="84"/>
      <c r="Q1095" s="84"/>
      <c r="R1095" s="84"/>
      <c r="S10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5" s="71" t="str">
        <f>IFERROR(Data_Discontinuities[[#This Row],[Joint roughness]]/Data_Discontinuities[[#This Row],[Joint alteration]],"")</f>
        <v/>
      </c>
      <c r="V10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5" s="87"/>
    </row>
    <row r="1096" spans="2:23" ht="15" customHeight="1" x14ac:dyDescent="0.25">
      <c r="B1096" s="17" t="e">
        <f>VLOOKUP(Data_Discontinuities[[#This Row],[Hole ID]],Data_Log[],2,FALSE)</f>
        <v>#N/A</v>
      </c>
      <c r="C1096" s="8"/>
      <c r="D1096" s="8"/>
      <c r="E1096" s="7"/>
      <c r="F1096" s="7"/>
      <c r="G1096" s="7"/>
      <c r="H1096" s="118"/>
      <c r="I1096" s="7"/>
      <c r="J1096" s="7"/>
      <c r="K1096" s="7"/>
      <c r="L1096" s="7"/>
      <c r="M1096" s="7"/>
      <c r="N1096" s="7"/>
      <c r="O1096" s="84" t="e" cm="1">
        <f t="array" ref="O1096">_xlfn.XLOOKUP(1,(A1096=Geotech!$A$4:$A$10094)*(Data_Discontinuities[[#This Row],[Depth (m)]]&gt;=Geotech!$C$4:$C$10094)*(Data_Discontinuities[[#This Row],[Depth (m)]]&lt;Geotech!$D$4:$D$10094),Geotech!$M$4:$M$10094)</f>
        <v>#N/A</v>
      </c>
      <c r="P1096" s="84"/>
      <c r="Q1096" s="84"/>
      <c r="R1096" s="84"/>
      <c r="S10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6" s="71" t="str">
        <f>IFERROR(Data_Discontinuities[[#This Row],[Joint roughness]]/Data_Discontinuities[[#This Row],[Joint alteration]],"")</f>
        <v/>
      </c>
      <c r="V10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6" s="87"/>
    </row>
    <row r="1097" spans="2:23" ht="15" customHeight="1" x14ac:dyDescent="0.25">
      <c r="B1097" s="17" t="e">
        <f>VLOOKUP(Data_Discontinuities[[#This Row],[Hole ID]],Data_Log[],2,FALSE)</f>
        <v>#N/A</v>
      </c>
      <c r="C1097" s="8"/>
      <c r="D1097" s="8"/>
      <c r="E1097" s="7"/>
      <c r="F1097" s="7"/>
      <c r="G1097" s="7"/>
      <c r="H1097" s="118"/>
      <c r="I1097" s="7"/>
      <c r="J1097" s="7"/>
      <c r="K1097" s="7"/>
      <c r="L1097" s="7"/>
      <c r="M1097" s="7"/>
      <c r="N1097" s="7"/>
      <c r="O1097" s="84" t="e" cm="1">
        <f t="array" ref="O1097">_xlfn.XLOOKUP(1,(A1097=Geotech!$A$4:$A$10094)*(Data_Discontinuities[[#This Row],[Depth (m)]]&gt;=Geotech!$C$4:$C$10094)*(Data_Discontinuities[[#This Row],[Depth (m)]]&lt;Geotech!$D$4:$D$10094),Geotech!$M$4:$M$10094)</f>
        <v>#N/A</v>
      </c>
      <c r="P1097" s="84"/>
      <c r="Q1097" s="84"/>
      <c r="R1097" s="84"/>
      <c r="S10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7" s="71" t="str">
        <f>IFERROR(Data_Discontinuities[[#This Row],[Joint roughness]]/Data_Discontinuities[[#This Row],[Joint alteration]],"")</f>
        <v/>
      </c>
      <c r="V10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7" s="87"/>
    </row>
    <row r="1098" spans="2:23" ht="15" customHeight="1" x14ac:dyDescent="0.25">
      <c r="B1098" s="17" t="e">
        <f>VLOOKUP(Data_Discontinuities[[#This Row],[Hole ID]],Data_Log[],2,FALSE)</f>
        <v>#N/A</v>
      </c>
      <c r="C1098" s="8"/>
      <c r="D1098" s="8"/>
      <c r="E1098" s="7"/>
      <c r="F1098" s="7"/>
      <c r="G1098" s="7"/>
      <c r="H1098" s="118"/>
      <c r="I1098" s="7"/>
      <c r="J1098" s="7"/>
      <c r="K1098" s="7"/>
      <c r="L1098" s="7"/>
      <c r="M1098" s="7"/>
      <c r="N1098" s="7"/>
      <c r="O1098" s="84" t="e" cm="1">
        <f t="array" ref="O1098">_xlfn.XLOOKUP(1,(A1098=Geotech!$A$4:$A$10094)*(Data_Discontinuities[[#This Row],[Depth (m)]]&gt;=Geotech!$C$4:$C$10094)*(Data_Discontinuities[[#This Row],[Depth (m)]]&lt;Geotech!$D$4:$D$10094),Geotech!$M$4:$M$10094)</f>
        <v>#N/A</v>
      </c>
      <c r="P1098" s="84"/>
      <c r="Q1098" s="84"/>
      <c r="R1098" s="84"/>
      <c r="S10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8" s="71" t="str">
        <f>IFERROR(Data_Discontinuities[[#This Row],[Joint roughness]]/Data_Discontinuities[[#This Row],[Joint alteration]],"")</f>
        <v/>
      </c>
      <c r="V10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8" s="87"/>
    </row>
    <row r="1099" spans="2:23" ht="15" customHeight="1" x14ac:dyDescent="0.25">
      <c r="B1099" s="17" t="e">
        <f>VLOOKUP(Data_Discontinuities[[#This Row],[Hole ID]],Data_Log[],2,FALSE)</f>
        <v>#N/A</v>
      </c>
      <c r="C1099" s="8"/>
      <c r="D1099" s="8"/>
      <c r="E1099" s="7"/>
      <c r="F1099" s="7"/>
      <c r="G1099" s="7"/>
      <c r="H1099" s="118"/>
      <c r="I1099" s="7"/>
      <c r="J1099" s="7"/>
      <c r="K1099" s="7"/>
      <c r="L1099" s="7"/>
      <c r="M1099" s="7"/>
      <c r="N1099" s="7"/>
      <c r="O1099" s="84" t="e" cm="1">
        <f t="array" ref="O1099">_xlfn.XLOOKUP(1,(A1099=Geotech!$A$4:$A$10094)*(Data_Discontinuities[[#This Row],[Depth (m)]]&gt;=Geotech!$C$4:$C$10094)*(Data_Discontinuities[[#This Row],[Depth (m)]]&lt;Geotech!$D$4:$D$10094),Geotech!$M$4:$M$10094)</f>
        <v>#N/A</v>
      </c>
      <c r="P1099" s="84"/>
      <c r="Q1099" s="84"/>
      <c r="R1099" s="84"/>
      <c r="S10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0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099" s="71" t="str">
        <f>IFERROR(Data_Discontinuities[[#This Row],[Joint roughness]]/Data_Discontinuities[[#This Row],[Joint alteration]],"")</f>
        <v/>
      </c>
      <c r="V10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099" s="87"/>
    </row>
    <row r="1100" spans="2:23" ht="15" customHeight="1" x14ac:dyDescent="0.25">
      <c r="B1100" s="17" t="e">
        <f>VLOOKUP(Data_Discontinuities[[#This Row],[Hole ID]],Data_Log[],2,FALSE)</f>
        <v>#N/A</v>
      </c>
      <c r="C1100" s="8"/>
      <c r="D1100" s="8"/>
      <c r="E1100" s="7"/>
      <c r="F1100" s="7"/>
      <c r="G1100" s="7"/>
      <c r="H1100" s="118"/>
      <c r="I1100" s="7"/>
      <c r="J1100" s="7"/>
      <c r="K1100" s="7"/>
      <c r="L1100" s="7"/>
      <c r="M1100" s="7"/>
      <c r="N1100" s="7"/>
      <c r="O1100" s="84" t="e" cm="1">
        <f t="array" ref="O1100">_xlfn.XLOOKUP(1,(A1100=Geotech!$A$4:$A$10094)*(Data_Discontinuities[[#This Row],[Depth (m)]]&gt;=Geotech!$C$4:$C$10094)*(Data_Discontinuities[[#This Row],[Depth (m)]]&lt;Geotech!$D$4:$D$10094),Geotech!$M$4:$M$10094)</f>
        <v>#N/A</v>
      </c>
      <c r="P1100" s="84"/>
      <c r="Q1100" s="84"/>
      <c r="R1100" s="84"/>
      <c r="S11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0" s="71" t="str">
        <f>IFERROR(Data_Discontinuities[[#This Row],[Joint roughness]]/Data_Discontinuities[[#This Row],[Joint alteration]],"")</f>
        <v/>
      </c>
      <c r="V11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0" s="87"/>
    </row>
    <row r="1101" spans="2:23" ht="15" customHeight="1" x14ac:dyDescent="0.25">
      <c r="B1101" s="17" t="e">
        <f>VLOOKUP(Data_Discontinuities[[#This Row],[Hole ID]],Data_Log[],2,FALSE)</f>
        <v>#N/A</v>
      </c>
      <c r="C1101" s="8"/>
      <c r="D1101" s="8"/>
      <c r="E1101" s="7"/>
      <c r="F1101" s="7"/>
      <c r="G1101" s="7"/>
      <c r="H1101" s="118"/>
      <c r="I1101" s="7"/>
      <c r="J1101" s="7"/>
      <c r="K1101" s="7"/>
      <c r="L1101" s="7"/>
      <c r="M1101" s="7"/>
      <c r="N1101" s="7"/>
      <c r="O1101" s="84" t="e" cm="1">
        <f t="array" ref="O1101">_xlfn.XLOOKUP(1,(A1101=Geotech!$A$4:$A$10094)*(Data_Discontinuities[[#This Row],[Depth (m)]]&gt;=Geotech!$C$4:$C$10094)*(Data_Discontinuities[[#This Row],[Depth (m)]]&lt;Geotech!$D$4:$D$10094),Geotech!$M$4:$M$10094)</f>
        <v>#N/A</v>
      </c>
      <c r="P1101" s="84"/>
      <c r="Q1101" s="84"/>
      <c r="R1101" s="84"/>
      <c r="S11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1" s="71" t="str">
        <f>IFERROR(Data_Discontinuities[[#This Row],[Joint roughness]]/Data_Discontinuities[[#This Row],[Joint alteration]],"")</f>
        <v/>
      </c>
      <c r="V11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1" s="87"/>
    </row>
    <row r="1102" spans="2:23" ht="15" customHeight="1" x14ac:dyDescent="0.25">
      <c r="B1102" s="17" t="e">
        <f>VLOOKUP(Data_Discontinuities[[#This Row],[Hole ID]],Data_Log[],2,FALSE)</f>
        <v>#N/A</v>
      </c>
      <c r="C1102" s="8"/>
      <c r="D1102" s="8"/>
      <c r="E1102" s="7"/>
      <c r="F1102" s="7"/>
      <c r="G1102" s="7"/>
      <c r="H1102" s="118"/>
      <c r="I1102" s="7"/>
      <c r="J1102" s="7"/>
      <c r="K1102" s="7"/>
      <c r="L1102" s="7"/>
      <c r="M1102" s="7"/>
      <c r="N1102" s="7"/>
      <c r="O1102" s="84" t="e" cm="1">
        <f t="array" ref="O1102">_xlfn.XLOOKUP(1,(A1102=Geotech!$A$4:$A$10094)*(Data_Discontinuities[[#This Row],[Depth (m)]]&gt;=Geotech!$C$4:$C$10094)*(Data_Discontinuities[[#This Row],[Depth (m)]]&lt;Geotech!$D$4:$D$10094),Geotech!$M$4:$M$10094)</f>
        <v>#N/A</v>
      </c>
      <c r="P1102" s="84"/>
      <c r="Q1102" s="84"/>
      <c r="R1102" s="84"/>
      <c r="S11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2" s="71" t="str">
        <f>IFERROR(Data_Discontinuities[[#This Row],[Joint roughness]]/Data_Discontinuities[[#This Row],[Joint alteration]],"")</f>
        <v/>
      </c>
      <c r="V11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2" s="87"/>
    </row>
    <row r="1103" spans="2:23" ht="15" customHeight="1" x14ac:dyDescent="0.25">
      <c r="B1103" s="17" t="e">
        <f>VLOOKUP(Data_Discontinuities[[#This Row],[Hole ID]],Data_Log[],2,FALSE)</f>
        <v>#N/A</v>
      </c>
      <c r="C1103" s="8"/>
      <c r="D1103" s="8"/>
      <c r="E1103" s="7"/>
      <c r="F1103" s="7"/>
      <c r="G1103" s="7"/>
      <c r="H1103" s="118"/>
      <c r="I1103" s="7"/>
      <c r="J1103" s="7"/>
      <c r="K1103" s="7"/>
      <c r="L1103" s="7"/>
      <c r="M1103" s="7"/>
      <c r="N1103" s="7"/>
      <c r="O1103" s="84" t="e" cm="1">
        <f t="array" ref="O1103">_xlfn.XLOOKUP(1,(A1103=Geotech!$A$4:$A$10094)*(Data_Discontinuities[[#This Row],[Depth (m)]]&gt;=Geotech!$C$4:$C$10094)*(Data_Discontinuities[[#This Row],[Depth (m)]]&lt;Geotech!$D$4:$D$10094),Geotech!$M$4:$M$10094)</f>
        <v>#N/A</v>
      </c>
      <c r="P1103" s="84"/>
      <c r="Q1103" s="84"/>
      <c r="R1103" s="84"/>
      <c r="S11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3" s="71" t="str">
        <f>IFERROR(Data_Discontinuities[[#This Row],[Joint roughness]]/Data_Discontinuities[[#This Row],[Joint alteration]],"")</f>
        <v/>
      </c>
      <c r="V11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3" s="87"/>
    </row>
    <row r="1104" spans="2:23" ht="15" customHeight="1" x14ac:dyDescent="0.25">
      <c r="B1104" s="17" t="e">
        <f>VLOOKUP(Data_Discontinuities[[#This Row],[Hole ID]],Data_Log[],2,FALSE)</f>
        <v>#N/A</v>
      </c>
      <c r="C1104" s="8"/>
      <c r="D1104" s="8"/>
      <c r="E1104" s="7"/>
      <c r="F1104" s="7"/>
      <c r="G1104" s="7"/>
      <c r="H1104" s="118"/>
      <c r="I1104" s="7"/>
      <c r="J1104" s="7"/>
      <c r="K1104" s="7"/>
      <c r="L1104" s="7"/>
      <c r="M1104" s="7"/>
      <c r="N1104" s="7"/>
      <c r="O1104" s="84" t="e" cm="1">
        <f t="array" ref="O1104">_xlfn.XLOOKUP(1,(A1104=Geotech!$A$4:$A$10094)*(Data_Discontinuities[[#This Row],[Depth (m)]]&gt;=Geotech!$C$4:$C$10094)*(Data_Discontinuities[[#This Row],[Depth (m)]]&lt;Geotech!$D$4:$D$10094),Geotech!$M$4:$M$10094)</f>
        <v>#N/A</v>
      </c>
      <c r="P1104" s="84"/>
      <c r="Q1104" s="84"/>
      <c r="R1104" s="84"/>
      <c r="S11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4" s="71" t="str">
        <f>IFERROR(Data_Discontinuities[[#This Row],[Joint roughness]]/Data_Discontinuities[[#This Row],[Joint alteration]],"")</f>
        <v/>
      </c>
      <c r="V11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4" s="87"/>
    </row>
    <row r="1105" spans="2:23" ht="15" customHeight="1" x14ac:dyDescent="0.25">
      <c r="B1105" s="17" t="e">
        <f>VLOOKUP(Data_Discontinuities[[#This Row],[Hole ID]],Data_Log[],2,FALSE)</f>
        <v>#N/A</v>
      </c>
      <c r="C1105" s="8"/>
      <c r="D1105" s="8"/>
      <c r="E1105" s="7"/>
      <c r="F1105" s="7"/>
      <c r="G1105" s="7"/>
      <c r="H1105" s="118"/>
      <c r="I1105" s="7"/>
      <c r="J1105" s="7"/>
      <c r="K1105" s="7"/>
      <c r="L1105" s="7"/>
      <c r="M1105" s="7"/>
      <c r="N1105" s="7"/>
      <c r="O1105" s="84" t="e" cm="1">
        <f t="array" ref="O1105">_xlfn.XLOOKUP(1,(A1105=Geotech!$A$4:$A$10094)*(Data_Discontinuities[[#This Row],[Depth (m)]]&gt;=Geotech!$C$4:$C$10094)*(Data_Discontinuities[[#This Row],[Depth (m)]]&lt;Geotech!$D$4:$D$10094),Geotech!$M$4:$M$10094)</f>
        <v>#N/A</v>
      </c>
      <c r="P1105" s="84"/>
      <c r="Q1105" s="84"/>
      <c r="R1105" s="84"/>
      <c r="S11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5" s="71" t="str">
        <f>IFERROR(Data_Discontinuities[[#This Row],[Joint roughness]]/Data_Discontinuities[[#This Row],[Joint alteration]],"")</f>
        <v/>
      </c>
      <c r="V11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5" s="87"/>
    </row>
    <row r="1106" spans="2:23" ht="15" customHeight="1" x14ac:dyDescent="0.25">
      <c r="B1106" s="17" t="e">
        <f>VLOOKUP(Data_Discontinuities[[#This Row],[Hole ID]],Data_Log[],2,FALSE)</f>
        <v>#N/A</v>
      </c>
      <c r="C1106" s="8"/>
      <c r="D1106" s="8"/>
      <c r="E1106" s="7"/>
      <c r="F1106" s="7"/>
      <c r="G1106" s="7"/>
      <c r="H1106" s="118"/>
      <c r="I1106" s="7"/>
      <c r="J1106" s="7"/>
      <c r="K1106" s="7"/>
      <c r="L1106" s="7"/>
      <c r="M1106" s="7"/>
      <c r="N1106" s="7"/>
      <c r="O1106" s="84" t="e" cm="1">
        <f t="array" ref="O1106">_xlfn.XLOOKUP(1,(A1106=Geotech!$A$4:$A$10094)*(Data_Discontinuities[[#This Row],[Depth (m)]]&gt;=Geotech!$C$4:$C$10094)*(Data_Discontinuities[[#This Row],[Depth (m)]]&lt;Geotech!$D$4:$D$10094),Geotech!$M$4:$M$10094)</f>
        <v>#N/A</v>
      </c>
      <c r="P1106" s="84"/>
      <c r="Q1106" s="84"/>
      <c r="R1106" s="84"/>
      <c r="S11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6" s="71" t="str">
        <f>IFERROR(Data_Discontinuities[[#This Row],[Joint roughness]]/Data_Discontinuities[[#This Row],[Joint alteration]],"")</f>
        <v/>
      </c>
      <c r="V11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6" s="87"/>
    </row>
    <row r="1107" spans="2:23" ht="15" customHeight="1" x14ac:dyDescent="0.25">
      <c r="B1107" s="17" t="e">
        <f>VLOOKUP(Data_Discontinuities[[#This Row],[Hole ID]],Data_Log[],2,FALSE)</f>
        <v>#N/A</v>
      </c>
      <c r="C1107" s="8"/>
      <c r="D1107" s="8"/>
      <c r="E1107" s="7"/>
      <c r="F1107" s="7"/>
      <c r="G1107" s="7"/>
      <c r="H1107" s="118"/>
      <c r="I1107" s="7"/>
      <c r="J1107" s="7"/>
      <c r="K1107" s="7"/>
      <c r="L1107" s="7"/>
      <c r="M1107" s="7"/>
      <c r="N1107" s="7"/>
      <c r="O1107" s="84" t="e" cm="1">
        <f t="array" ref="O1107">_xlfn.XLOOKUP(1,(A1107=Geotech!$A$4:$A$10094)*(Data_Discontinuities[[#This Row],[Depth (m)]]&gt;=Geotech!$C$4:$C$10094)*(Data_Discontinuities[[#This Row],[Depth (m)]]&lt;Geotech!$D$4:$D$10094),Geotech!$M$4:$M$10094)</f>
        <v>#N/A</v>
      </c>
      <c r="P1107" s="84"/>
      <c r="Q1107" s="84"/>
      <c r="R1107" s="84"/>
      <c r="S11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7" s="71" t="str">
        <f>IFERROR(Data_Discontinuities[[#This Row],[Joint roughness]]/Data_Discontinuities[[#This Row],[Joint alteration]],"")</f>
        <v/>
      </c>
      <c r="V11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7" s="87"/>
    </row>
    <row r="1108" spans="2:23" ht="15" customHeight="1" x14ac:dyDescent="0.25">
      <c r="B1108" s="17" t="e">
        <f>VLOOKUP(Data_Discontinuities[[#This Row],[Hole ID]],Data_Log[],2,FALSE)</f>
        <v>#N/A</v>
      </c>
      <c r="C1108" s="8"/>
      <c r="D1108" s="8"/>
      <c r="E1108" s="7"/>
      <c r="F1108" s="7"/>
      <c r="G1108" s="7"/>
      <c r="H1108" s="118"/>
      <c r="I1108" s="7"/>
      <c r="J1108" s="7"/>
      <c r="K1108" s="7"/>
      <c r="L1108" s="7"/>
      <c r="M1108" s="7"/>
      <c r="N1108" s="7"/>
      <c r="O1108" s="84" t="e" cm="1">
        <f t="array" ref="O1108">_xlfn.XLOOKUP(1,(A1108=Geotech!$A$4:$A$10094)*(Data_Discontinuities[[#This Row],[Depth (m)]]&gt;=Geotech!$C$4:$C$10094)*(Data_Discontinuities[[#This Row],[Depth (m)]]&lt;Geotech!$D$4:$D$10094),Geotech!$M$4:$M$10094)</f>
        <v>#N/A</v>
      </c>
      <c r="P1108" s="84"/>
      <c r="Q1108" s="84"/>
      <c r="R1108" s="84"/>
      <c r="S11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8" s="71" t="str">
        <f>IFERROR(Data_Discontinuities[[#This Row],[Joint roughness]]/Data_Discontinuities[[#This Row],[Joint alteration]],"")</f>
        <v/>
      </c>
      <c r="V11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8" s="87"/>
    </row>
    <row r="1109" spans="2:23" ht="15" customHeight="1" x14ac:dyDescent="0.25">
      <c r="B1109" s="17" t="e">
        <f>VLOOKUP(Data_Discontinuities[[#This Row],[Hole ID]],Data_Log[],2,FALSE)</f>
        <v>#N/A</v>
      </c>
      <c r="C1109" s="8"/>
      <c r="D1109" s="8"/>
      <c r="E1109" s="7"/>
      <c r="F1109" s="7"/>
      <c r="G1109" s="7"/>
      <c r="H1109" s="118"/>
      <c r="I1109" s="7"/>
      <c r="J1109" s="7"/>
      <c r="K1109" s="7"/>
      <c r="L1109" s="7"/>
      <c r="M1109" s="7"/>
      <c r="N1109" s="7"/>
      <c r="O1109" s="84" t="e" cm="1">
        <f t="array" ref="O1109">_xlfn.XLOOKUP(1,(A1109=Geotech!$A$4:$A$10094)*(Data_Discontinuities[[#This Row],[Depth (m)]]&gt;=Geotech!$C$4:$C$10094)*(Data_Discontinuities[[#This Row],[Depth (m)]]&lt;Geotech!$D$4:$D$10094),Geotech!$M$4:$M$10094)</f>
        <v>#N/A</v>
      </c>
      <c r="P1109" s="84"/>
      <c r="Q1109" s="84"/>
      <c r="R1109" s="84"/>
      <c r="S11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09" s="71" t="str">
        <f>IFERROR(Data_Discontinuities[[#This Row],[Joint roughness]]/Data_Discontinuities[[#This Row],[Joint alteration]],"")</f>
        <v/>
      </c>
      <c r="V11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09" s="87"/>
    </row>
    <row r="1110" spans="2:23" ht="15" customHeight="1" x14ac:dyDescent="0.25">
      <c r="B1110" s="17" t="e">
        <f>VLOOKUP(Data_Discontinuities[[#This Row],[Hole ID]],Data_Log[],2,FALSE)</f>
        <v>#N/A</v>
      </c>
      <c r="C1110" s="8"/>
      <c r="D1110" s="8"/>
      <c r="E1110" s="7"/>
      <c r="F1110" s="7"/>
      <c r="G1110" s="7"/>
      <c r="H1110" s="118"/>
      <c r="I1110" s="7"/>
      <c r="J1110" s="7"/>
      <c r="K1110" s="7"/>
      <c r="L1110" s="7"/>
      <c r="M1110" s="7"/>
      <c r="N1110" s="7"/>
      <c r="O1110" s="84" t="e" cm="1">
        <f t="array" ref="O1110">_xlfn.XLOOKUP(1,(A1110=Geotech!$A$4:$A$10094)*(Data_Discontinuities[[#This Row],[Depth (m)]]&gt;=Geotech!$C$4:$C$10094)*(Data_Discontinuities[[#This Row],[Depth (m)]]&lt;Geotech!$D$4:$D$10094),Geotech!$M$4:$M$10094)</f>
        <v>#N/A</v>
      </c>
      <c r="P1110" s="84"/>
      <c r="Q1110" s="84"/>
      <c r="R1110" s="84"/>
      <c r="S11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0" s="71" t="str">
        <f>IFERROR(Data_Discontinuities[[#This Row],[Joint roughness]]/Data_Discontinuities[[#This Row],[Joint alteration]],"")</f>
        <v/>
      </c>
      <c r="V11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0" s="87"/>
    </row>
    <row r="1111" spans="2:23" ht="15" customHeight="1" x14ac:dyDescent="0.25">
      <c r="B1111" s="17" t="e">
        <f>VLOOKUP(Data_Discontinuities[[#This Row],[Hole ID]],Data_Log[],2,FALSE)</f>
        <v>#N/A</v>
      </c>
      <c r="C1111" s="8"/>
      <c r="D1111" s="8"/>
      <c r="E1111" s="7"/>
      <c r="F1111" s="7"/>
      <c r="G1111" s="7"/>
      <c r="H1111" s="118"/>
      <c r="I1111" s="7"/>
      <c r="J1111" s="7"/>
      <c r="K1111" s="7"/>
      <c r="L1111" s="7"/>
      <c r="M1111" s="7"/>
      <c r="N1111" s="7"/>
      <c r="O1111" s="84" t="e" cm="1">
        <f t="array" ref="O1111">_xlfn.XLOOKUP(1,(A1111=Geotech!$A$4:$A$10094)*(Data_Discontinuities[[#This Row],[Depth (m)]]&gt;=Geotech!$C$4:$C$10094)*(Data_Discontinuities[[#This Row],[Depth (m)]]&lt;Geotech!$D$4:$D$10094),Geotech!$M$4:$M$10094)</f>
        <v>#N/A</v>
      </c>
      <c r="P1111" s="84"/>
      <c r="Q1111" s="84"/>
      <c r="R1111" s="84"/>
      <c r="S11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1" s="71" t="str">
        <f>IFERROR(Data_Discontinuities[[#This Row],[Joint roughness]]/Data_Discontinuities[[#This Row],[Joint alteration]],"")</f>
        <v/>
      </c>
      <c r="V11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1" s="87"/>
    </row>
    <row r="1112" spans="2:23" ht="15" customHeight="1" x14ac:dyDescent="0.25">
      <c r="B1112" s="17" t="e">
        <f>VLOOKUP(Data_Discontinuities[[#This Row],[Hole ID]],Data_Log[],2,FALSE)</f>
        <v>#N/A</v>
      </c>
      <c r="C1112" s="8"/>
      <c r="D1112" s="8"/>
      <c r="E1112" s="7"/>
      <c r="F1112" s="7"/>
      <c r="G1112" s="7"/>
      <c r="H1112" s="118"/>
      <c r="I1112" s="7"/>
      <c r="J1112" s="7"/>
      <c r="K1112" s="7"/>
      <c r="L1112" s="7"/>
      <c r="M1112" s="7"/>
      <c r="N1112" s="7"/>
      <c r="O1112" s="84" t="e" cm="1">
        <f t="array" ref="O1112">_xlfn.XLOOKUP(1,(A1112=Geotech!$A$4:$A$10094)*(Data_Discontinuities[[#This Row],[Depth (m)]]&gt;=Geotech!$C$4:$C$10094)*(Data_Discontinuities[[#This Row],[Depth (m)]]&lt;Geotech!$D$4:$D$10094),Geotech!$M$4:$M$10094)</f>
        <v>#N/A</v>
      </c>
      <c r="P1112" s="84"/>
      <c r="Q1112" s="84"/>
      <c r="R1112" s="84"/>
      <c r="S11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2" s="71" t="str">
        <f>IFERROR(Data_Discontinuities[[#This Row],[Joint roughness]]/Data_Discontinuities[[#This Row],[Joint alteration]],"")</f>
        <v/>
      </c>
      <c r="V11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2" s="87"/>
    </row>
    <row r="1113" spans="2:23" ht="15" customHeight="1" x14ac:dyDescent="0.25">
      <c r="B1113" s="17" t="e">
        <f>VLOOKUP(Data_Discontinuities[[#This Row],[Hole ID]],Data_Log[],2,FALSE)</f>
        <v>#N/A</v>
      </c>
      <c r="C1113" s="8"/>
      <c r="D1113" s="8"/>
      <c r="E1113" s="7"/>
      <c r="F1113" s="7"/>
      <c r="G1113" s="7"/>
      <c r="H1113" s="118"/>
      <c r="I1113" s="7"/>
      <c r="J1113" s="7"/>
      <c r="K1113" s="7"/>
      <c r="L1113" s="7"/>
      <c r="M1113" s="7"/>
      <c r="N1113" s="7"/>
      <c r="O1113" s="84" t="e" cm="1">
        <f t="array" ref="O1113">_xlfn.XLOOKUP(1,(A1113=Geotech!$A$4:$A$10094)*(Data_Discontinuities[[#This Row],[Depth (m)]]&gt;=Geotech!$C$4:$C$10094)*(Data_Discontinuities[[#This Row],[Depth (m)]]&lt;Geotech!$D$4:$D$10094),Geotech!$M$4:$M$10094)</f>
        <v>#N/A</v>
      </c>
      <c r="P1113" s="84"/>
      <c r="Q1113" s="84"/>
      <c r="R1113" s="84"/>
      <c r="S11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3" s="71" t="str">
        <f>IFERROR(Data_Discontinuities[[#This Row],[Joint roughness]]/Data_Discontinuities[[#This Row],[Joint alteration]],"")</f>
        <v/>
      </c>
      <c r="V11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3" s="87"/>
    </row>
    <row r="1114" spans="2:23" ht="15" customHeight="1" x14ac:dyDescent="0.25">
      <c r="B1114" s="17" t="e">
        <f>VLOOKUP(Data_Discontinuities[[#This Row],[Hole ID]],Data_Log[],2,FALSE)</f>
        <v>#N/A</v>
      </c>
      <c r="C1114" s="8"/>
      <c r="D1114" s="8"/>
      <c r="E1114" s="7"/>
      <c r="F1114" s="7"/>
      <c r="G1114" s="7"/>
      <c r="H1114" s="118"/>
      <c r="I1114" s="7"/>
      <c r="J1114" s="7"/>
      <c r="K1114" s="7"/>
      <c r="L1114" s="7"/>
      <c r="M1114" s="7"/>
      <c r="N1114" s="7"/>
      <c r="O1114" s="84" t="e" cm="1">
        <f t="array" ref="O1114">_xlfn.XLOOKUP(1,(A1114=Geotech!$A$4:$A$10094)*(Data_Discontinuities[[#This Row],[Depth (m)]]&gt;=Geotech!$C$4:$C$10094)*(Data_Discontinuities[[#This Row],[Depth (m)]]&lt;Geotech!$D$4:$D$10094),Geotech!$M$4:$M$10094)</f>
        <v>#N/A</v>
      </c>
      <c r="P1114" s="84"/>
      <c r="Q1114" s="84"/>
      <c r="R1114" s="84"/>
      <c r="S11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4" s="71" t="str">
        <f>IFERROR(Data_Discontinuities[[#This Row],[Joint roughness]]/Data_Discontinuities[[#This Row],[Joint alteration]],"")</f>
        <v/>
      </c>
      <c r="V11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4" s="87"/>
    </row>
    <row r="1115" spans="2:23" ht="15" customHeight="1" x14ac:dyDescent="0.25">
      <c r="B1115" s="17" t="e">
        <f>VLOOKUP(Data_Discontinuities[[#This Row],[Hole ID]],Data_Log[],2,FALSE)</f>
        <v>#N/A</v>
      </c>
      <c r="C1115" s="8"/>
      <c r="D1115" s="8"/>
      <c r="E1115" s="7"/>
      <c r="F1115" s="7"/>
      <c r="G1115" s="7"/>
      <c r="H1115" s="118"/>
      <c r="I1115" s="7"/>
      <c r="J1115" s="7"/>
      <c r="K1115" s="7"/>
      <c r="L1115" s="7"/>
      <c r="M1115" s="7"/>
      <c r="N1115" s="7"/>
      <c r="O1115" s="84" t="e" cm="1">
        <f t="array" ref="O1115">_xlfn.XLOOKUP(1,(A1115=Geotech!$A$4:$A$10094)*(Data_Discontinuities[[#This Row],[Depth (m)]]&gt;=Geotech!$C$4:$C$10094)*(Data_Discontinuities[[#This Row],[Depth (m)]]&lt;Geotech!$D$4:$D$10094),Geotech!$M$4:$M$10094)</f>
        <v>#N/A</v>
      </c>
      <c r="P1115" s="84"/>
      <c r="Q1115" s="84"/>
      <c r="R1115" s="84"/>
      <c r="S11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5" s="71" t="str">
        <f>IFERROR(Data_Discontinuities[[#This Row],[Joint roughness]]/Data_Discontinuities[[#This Row],[Joint alteration]],"")</f>
        <v/>
      </c>
      <c r="V11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5" s="87"/>
    </row>
    <row r="1116" spans="2:23" ht="15" customHeight="1" x14ac:dyDescent="0.25">
      <c r="B1116" s="17" t="e">
        <f>VLOOKUP(Data_Discontinuities[[#This Row],[Hole ID]],Data_Log[],2,FALSE)</f>
        <v>#N/A</v>
      </c>
      <c r="C1116" s="8"/>
      <c r="D1116" s="8"/>
      <c r="E1116" s="7"/>
      <c r="F1116" s="7"/>
      <c r="G1116" s="7"/>
      <c r="H1116" s="118"/>
      <c r="I1116" s="7"/>
      <c r="J1116" s="7"/>
      <c r="K1116" s="7"/>
      <c r="L1116" s="7"/>
      <c r="M1116" s="7"/>
      <c r="N1116" s="7"/>
      <c r="O1116" s="84" t="e" cm="1">
        <f t="array" ref="O1116">_xlfn.XLOOKUP(1,(A1116=Geotech!$A$4:$A$10094)*(Data_Discontinuities[[#This Row],[Depth (m)]]&gt;=Geotech!$C$4:$C$10094)*(Data_Discontinuities[[#This Row],[Depth (m)]]&lt;Geotech!$D$4:$D$10094),Geotech!$M$4:$M$10094)</f>
        <v>#N/A</v>
      </c>
      <c r="P1116" s="84"/>
      <c r="Q1116" s="84"/>
      <c r="R1116" s="84"/>
      <c r="S11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6" s="71" t="str">
        <f>IFERROR(Data_Discontinuities[[#This Row],[Joint roughness]]/Data_Discontinuities[[#This Row],[Joint alteration]],"")</f>
        <v/>
      </c>
      <c r="V11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6" s="87"/>
    </row>
    <row r="1117" spans="2:23" ht="15" customHeight="1" x14ac:dyDescent="0.25">
      <c r="B1117" s="17" t="e">
        <f>VLOOKUP(Data_Discontinuities[[#This Row],[Hole ID]],Data_Log[],2,FALSE)</f>
        <v>#N/A</v>
      </c>
      <c r="C1117" s="8"/>
      <c r="D1117" s="8"/>
      <c r="E1117" s="7"/>
      <c r="F1117" s="7"/>
      <c r="G1117" s="7"/>
      <c r="H1117" s="118"/>
      <c r="I1117" s="7"/>
      <c r="J1117" s="7"/>
      <c r="K1117" s="7"/>
      <c r="L1117" s="7"/>
      <c r="M1117" s="7"/>
      <c r="N1117" s="7"/>
      <c r="O1117" s="84" t="e" cm="1">
        <f t="array" ref="O1117">_xlfn.XLOOKUP(1,(A1117=Geotech!$A$4:$A$10094)*(Data_Discontinuities[[#This Row],[Depth (m)]]&gt;=Geotech!$C$4:$C$10094)*(Data_Discontinuities[[#This Row],[Depth (m)]]&lt;Geotech!$D$4:$D$10094),Geotech!$M$4:$M$10094)</f>
        <v>#N/A</v>
      </c>
      <c r="P1117" s="84"/>
      <c r="Q1117" s="84"/>
      <c r="R1117" s="84"/>
      <c r="S11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7" s="71" t="str">
        <f>IFERROR(Data_Discontinuities[[#This Row],[Joint roughness]]/Data_Discontinuities[[#This Row],[Joint alteration]],"")</f>
        <v/>
      </c>
      <c r="V11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7" s="87"/>
    </row>
    <row r="1118" spans="2:23" ht="15" customHeight="1" x14ac:dyDescent="0.25">
      <c r="B1118" s="17" t="e">
        <f>VLOOKUP(Data_Discontinuities[[#This Row],[Hole ID]],Data_Log[],2,FALSE)</f>
        <v>#N/A</v>
      </c>
      <c r="C1118" s="8"/>
      <c r="D1118" s="8"/>
      <c r="E1118" s="7"/>
      <c r="F1118" s="7"/>
      <c r="G1118" s="7"/>
      <c r="H1118" s="118"/>
      <c r="I1118" s="7"/>
      <c r="J1118" s="7"/>
      <c r="K1118" s="7"/>
      <c r="L1118" s="7"/>
      <c r="M1118" s="7"/>
      <c r="N1118" s="7"/>
      <c r="O1118" s="84" t="e" cm="1">
        <f t="array" ref="O1118">_xlfn.XLOOKUP(1,(A1118=Geotech!$A$4:$A$10094)*(Data_Discontinuities[[#This Row],[Depth (m)]]&gt;=Geotech!$C$4:$C$10094)*(Data_Discontinuities[[#This Row],[Depth (m)]]&lt;Geotech!$D$4:$D$10094),Geotech!$M$4:$M$10094)</f>
        <v>#N/A</v>
      </c>
      <c r="P1118" s="84"/>
      <c r="Q1118" s="84"/>
      <c r="R1118" s="84"/>
      <c r="S11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8" s="71" t="str">
        <f>IFERROR(Data_Discontinuities[[#This Row],[Joint roughness]]/Data_Discontinuities[[#This Row],[Joint alteration]],"")</f>
        <v/>
      </c>
      <c r="V11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8" s="87"/>
    </row>
    <row r="1119" spans="2:23" ht="15" customHeight="1" x14ac:dyDescent="0.25">
      <c r="B1119" s="17" t="e">
        <f>VLOOKUP(Data_Discontinuities[[#This Row],[Hole ID]],Data_Log[],2,FALSE)</f>
        <v>#N/A</v>
      </c>
      <c r="C1119" s="8"/>
      <c r="D1119" s="8"/>
      <c r="E1119" s="7"/>
      <c r="F1119" s="7"/>
      <c r="G1119" s="7"/>
      <c r="H1119" s="118"/>
      <c r="I1119" s="7"/>
      <c r="J1119" s="7"/>
      <c r="K1119" s="7"/>
      <c r="L1119" s="7"/>
      <c r="M1119" s="7"/>
      <c r="N1119" s="7"/>
      <c r="O1119" s="84" t="e" cm="1">
        <f t="array" ref="O1119">_xlfn.XLOOKUP(1,(A1119=Geotech!$A$4:$A$10094)*(Data_Discontinuities[[#This Row],[Depth (m)]]&gt;=Geotech!$C$4:$C$10094)*(Data_Discontinuities[[#This Row],[Depth (m)]]&lt;Geotech!$D$4:$D$10094),Geotech!$M$4:$M$10094)</f>
        <v>#N/A</v>
      </c>
      <c r="P1119" s="84"/>
      <c r="Q1119" s="84"/>
      <c r="R1119" s="84"/>
      <c r="S11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19" s="71" t="str">
        <f>IFERROR(Data_Discontinuities[[#This Row],[Joint roughness]]/Data_Discontinuities[[#This Row],[Joint alteration]],"")</f>
        <v/>
      </c>
      <c r="V11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19" s="87"/>
    </row>
    <row r="1120" spans="2:23" ht="15" customHeight="1" x14ac:dyDescent="0.25">
      <c r="B1120" s="17" t="e">
        <f>VLOOKUP(Data_Discontinuities[[#This Row],[Hole ID]],Data_Log[],2,FALSE)</f>
        <v>#N/A</v>
      </c>
      <c r="C1120" s="8"/>
      <c r="D1120" s="8"/>
      <c r="E1120" s="7"/>
      <c r="F1120" s="7"/>
      <c r="G1120" s="7"/>
      <c r="H1120" s="118"/>
      <c r="I1120" s="7"/>
      <c r="J1120" s="7"/>
      <c r="K1120" s="7"/>
      <c r="L1120" s="7"/>
      <c r="M1120" s="7"/>
      <c r="N1120" s="7"/>
      <c r="O1120" s="84" t="e" cm="1">
        <f t="array" ref="O1120">_xlfn.XLOOKUP(1,(A1120=Geotech!$A$4:$A$10094)*(Data_Discontinuities[[#This Row],[Depth (m)]]&gt;=Geotech!$C$4:$C$10094)*(Data_Discontinuities[[#This Row],[Depth (m)]]&lt;Geotech!$D$4:$D$10094),Geotech!$M$4:$M$10094)</f>
        <v>#N/A</v>
      </c>
      <c r="P1120" s="84"/>
      <c r="Q1120" s="84"/>
      <c r="R1120" s="84"/>
      <c r="S11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0" s="71" t="str">
        <f>IFERROR(Data_Discontinuities[[#This Row],[Joint roughness]]/Data_Discontinuities[[#This Row],[Joint alteration]],"")</f>
        <v/>
      </c>
      <c r="V11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0" s="87"/>
    </row>
    <row r="1121" spans="2:23" ht="15" customHeight="1" x14ac:dyDescent="0.25">
      <c r="B1121" s="17" t="e">
        <f>VLOOKUP(Data_Discontinuities[[#This Row],[Hole ID]],Data_Log[],2,FALSE)</f>
        <v>#N/A</v>
      </c>
      <c r="C1121" s="8"/>
      <c r="D1121" s="8"/>
      <c r="E1121" s="7"/>
      <c r="F1121" s="7"/>
      <c r="G1121" s="7"/>
      <c r="H1121" s="118"/>
      <c r="I1121" s="7"/>
      <c r="J1121" s="7"/>
      <c r="K1121" s="7"/>
      <c r="L1121" s="7"/>
      <c r="M1121" s="7"/>
      <c r="N1121" s="7"/>
      <c r="O1121" s="84" t="e" cm="1">
        <f t="array" ref="O1121">_xlfn.XLOOKUP(1,(A1121=Geotech!$A$4:$A$10094)*(Data_Discontinuities[[#This Row],[Depth (m)]]&gt;=Geotech!$C$4:$C$10094)*(Data_Discontinuities[[#This Row],[Depth (m)]]&lt;Geotech!$D$4:$D$10094),Geotech!$M$4:$M$10094)</f>
        <v>#N/A</v>
      </c>
      <c r="P1121" s="84"/>
      <c r="Q1121" s="84"/>
      <c r="R1121" s="84"/>
      <c r="S11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1" s="71" t="str">
        <f>IFERROR(Data_Discontinuities[[#This Row],[Joint roughness]]/Data_Discontinuities[[#This Row],[Joint alteration]],"")</f>
        <v/>
      </c>
      <c r="V11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1" s="87"/>
    </row>
    <row r="1122" spans="2:23" ht="15" customHeight="1" x14ac:dyDescent="0.25">
      <c r="B1122" s="17" t="e">
        <f>VLOOKUP(Data_Discontinuities[[#This Row],[Hole ID]],Data_Log[],2,FALSE)</f>
        <v>#N/A</v>
      </c>
      <c r="C1122" s="8"/>
      <c r="D1122" s="8"/>
      <c r="E1122" s="7"/>
      <c r="F1122" s="7"/>
      <c r="G1122" s="7"/>
      <c r="H1122" s="118"/>
      <c r="I1122" s="7"/>
      <c r="J1122" s="7"/>
      <c r="K1122" s="7"/>
      <c r="L1122" s="7"/>
      <c r="M1122" s="7"/>
      <c r="N1122" s="7"/>
      <c r="O1122" s="84" t="e" cm="1">
        <f t="array" ref="O1122">_xlfn.XLOOKUP(1,(A1122=Geotech!$A$4:$A$10094)*(Data_Discontinuities[[#This Row],[Depth (m)]]&gt;=Geotech!$C$4:$C$10094)*(Data_Discontinuities[[#This Row],[Depth (m)]]&lt;Geotech!$D$4:$D$10094),Geotech!$M$4:$M$10094)</f>
        <v>#N/A</v>
      </c>
      <c r="P1122" s="84"/>
      <c r="Q1122" s="84"/>
      <c r="R1122" s="84"/>
      <c r="S11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2" s="71" t="str">
        <f>IFERROR(Data_Discontinuities[[#This Row],[Joint roughness]]/Data_Discontinuities[[#This Row],[Joint alteration]],"")</f>
        <v/>
      </c>
      <c r="V11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2" s="87"/>
    </row>
    <row r="1123" spans="2:23" ht="15" customHeight="1" x14ac:dyDescent="0.25">
      <c r="B1123" s="17" t="e">
        <f>VLOOKUP(Data_Discontinuities[[#This Row],[Hole ID]],Data_Log[],2,FALSE)</f>
        <v>#N/A</v>
      </c>
      <c r="C1123" s="8"/>
      <c r="D1123" s="8"/>
      <c r="E1123" s="7"/>
      <c r="F1123" s="7"/>
      <c r="G1123" s="7"/>
      <c r="H1123" s="118"/>
      <c r="I1123" s="7"/>
      <c r="J1123" s="7"/>
      <c r="K1123" s="7"/>
      <c r="L1123" s="7"/>
      <c r="M1123" s="7"/>
      <c r="N1123" s="7"/>
      <c r="O1123" s="84" t="e" cm="1">
        <f t="array" ref="O1123">_xlfn.XLOOKUP(1,(A1123=Geotech!$A$4:$A$10094)*(Data_Discontinuities[[#This Row],[Depth (m)]]&gt;=Geotech!$C$4:$C$10094)*(Data_Discontinuities[[#This Row],[Depth (m)]]&lt;Geotech!$D$4:$D$10094),Geotech!$M$4:$M$10094)</f>
        <v>#N/A</v>
      </c>
      <c r="P1123" s="84"/>
      <c r="Q1123" s="84"/>
      <c r="R1123" s="84"/>
      <c r="S11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3" s="71" t="str">
        <f>IFERROR(Data_Discontinuities[[#This Row],[Joint roughness]]/Data_Discontinuities[[#This Row],[Joint alteration]],"")</f>
        <v/>
      </c>
      <c r="V11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3" s="87"/>
    </row>
    <row r="1124" spans="2:23" ht="15" customHeight="1" x14ac:dyDescent="0.25">
      <c r="B1124" s="17" t="e">
        <f>VLOOKUP(Data_Discontinuities[[#This Row],[Hole ID]],Data_Log[],2,FALSE)</f>
        <v>#N/A</v>
      </c>
      <c r="C1124" s="8"/>
      <c r="D1124" s="8"/>
      <c r="E1124" s="7"/>
      <c r="F1124" s="7"/>
      <c r="G1124" s="7"/>
      <c r="H1124" s="118"/>
      <c r="I1124" s="7"/>
      <c r="J1124" s="7"/>
      <c r="K1124" s="7"/>
      <c r="L1124" s="7"/>
      <c r="M1124" s="7"/>
      <c r="N1124" s="7"/>
      <c r="O1124" s="84" t="e" cm="1">
        <f t="array" ref="O1124">_xlfn.XLOOKUP(1,(A1124=Geotech!$A$4:$A$10094)*(Data_Discontinuities[[#This Row],[Depth (m)]]&gt;=Geotech!$C$4:$C$10094)*(Data_Discontinuities[[#This Row],[Depth (m)]]&lt;Geotech!$D$4:$D$10094),Geotech!$M$4:$M$10094)</f>
        <v>#N/A</v>
      </c>
      <c r="P1124" s="84"/>
      <c r="Q1124" s="84"/>
      <c r="R1124" s="84"/>
      <c r="S11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4" s="71" t="str">
        <f>IFERROR(Data_Discontinuities[[#This Row],[Joint roughness]]/Data_Discontinuities[[#This Row],[Joint alteration]],"")</f>
        <v/>
      </c>
      <c r="V11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4" s="87"/>
    </row>
    <row r="1125" spans="2:23" ht="15" customHeight="1" x14ac:dyDescent="0.25">
      <c r="B1125" s="17" t="e">
        <f>VLOOKUP(Data_Discontinuities[[#This Row],[Hole ID]],Data_Log[],2,FALSE)</f>
        <v>#N/A</v>
      </c>
      <c r="C1125" s="8"/>
      <c r="D1125" s="8"/>
      <c r="E1125" s="7"/>
      <c r="F1125" s="7"/>
      <c r="G1125" s="7"/>
      <c r="H1125" s="118"/>
      <c r="I1125" s="7"/>
      <c r="J1125" s="7"/>
      <c r="K1125" s="7"/>
      <c r="L1125" s="7"/>
      <c r="M1125" s="7"/>
      <c r="N1125" s="7"/>
      <c r="O1125" s="84" t="e" cm="1">
        <f t="array" ref="O1125">_xlfn.XLOOKUP(1,(A1125=Geotech!$A$4:$A$10094)*(Data_Discontinuities[[#This Row],[Depth (m)]]&gt;=Geotech!$C$4:$C$10094)*(Data_Discontinuities[[#This Row],[Depth (m)]]&lt;Geotech!$D$4:$D$10094),Geotech!$M$4:$M$10094)</f>
        <v>#N/A</v>
      </c>
      <c r="P1125" s="84"/>
      <c r="Q1125" s="84"/>
      <c r="R1125" s="84"/>
      <c r="S11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5" s="71" t="str">
        <f>IFERROR(Data_Discontinuities[[#This Row],[Joint roughness]]/Data_Discontinuities[[#This Row],[Joint alteration]],"")</f>
        <v/>
      </c>
      <c r="V11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5" s="87"/>
    </row>
    <row r="1126" spans="2:23" ht="15" customHeight="1" x14ac:dyDescent="0.25">
      <c r="B1126" s="17" t="e">
        <f>VLOOKUP(Data_Discontinuities[[#This Row],[Hole ID]],Data_Log[],2,FALSE)</f>
        <v>#N/A</v>
      </c>
      <c r="C1126" s="8"/>
      <c r="D1126" s="8"/>
      <c r="E1126" s="7"/>
      <c r="F1126" s="7"/>
      <c r="G1126" s="7"/>
      <c r="H1126" s="118"/>
      <c r="I1126" s="7"/>
      <c r="J1126" s="7"/>
      <c r="K1126" s="7"/>
      <c r="L1126" s="7"/>
      <c r="M1126" s="7"/>
      <c r="N1126" s="7"/>
      <c r="O1126" s="84" t="e" cm="1">
        <f t="array" ref="O1126">_xlfn.XLOOKUP(1,(A1126=Geotech!$A$4:$A$10094)*(Data_Discontinuities[[#This Row],[Depth (m)]]&gt;=Geotech!$C$4:$C$10094)*(Data_Discontinuities[[#This Row],[Depth (m)]]&lt;Geotech!$D$4:$D$10094),Geotech!$M$4:$M$10094)</f>
        <v>#N/A</v>
      </c>
      <c r="P1126" s="84"/>
      <c r="Q1126" s="84"/>
      <c r="R1126" s="84"/>
      <c r="S11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6" s="71" t="str">
        <f>IFERROR(Data_Discontinuities[[#This Row],[Joint roughness]]/Data_Discontinuities[[#This Row],[Joint alteration]],"")</f>
        <v/>
      </c>
      <c r="V11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6" s="87"/>
    </row>
    <row r="1127" spans="2:23" ht="15" customHeight="1" x14ac:dyDescent="0.25">
      <c r="B1127" s="17" t="e">
        <f>VLOOKUP(Data_Discontinuities[[#This Row],[Hole ID]],Data_Log[],2,FALSE)</f>
        <v>#N/A</v>
      </c>
      <c r="C1127" s="8"/>
      <c r="D1127" s="8"/>
      <c r="E1127" s="7"/>
      <c r="F1127" s="7"/>
      <c r="G1127" s="7"/>
      <c r="H1127" s="118"/>
      <c r="I1127" s="7"/>
      <c r="J1127" s="7"/>
      <c r="K1127" s="7"/>
      <c r="L1127" s="7"/>
      <c r="M1127" s="7"/>
      <c r="N1127" s="7"/>
      <c r="O1127" s="84" t="e" cm="1">
        <f t="array" ref="O1127">_xlfn.XLOOKUP(1,(A1127=Geotech!$A$4:$A$10094)*(Data_Discontinuities[[#This Row],[Depth (m)]]&gt;=Geotech!$C$4:$C$10094)*(Data_Discontinuities[[#This Row],[Depth (m)]]&lt;Geotech!$D$4:$D$10094),Geotech!$M$4:$M$10094)</f>
        <v>#N/A</v>
      </c>
      <c r="P1127" s="84"/>
      <c r="Q1127" s="84"/>
      <c r="R1127" s="84"/>
      <c r="S11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7" s="71" t="str">
        <f>IFERROR(Data_Discontinuities[[#This Row],[Joint roughness]]/Data_Discontinuities[[#This Row],[Joint alteration]],"")</f>
        <v/>
      </c>
      <c r="V11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7" s="87"/>
    </row>
    <row r="1128" spans="2:23" ht="15" customHeight="1" x14ac:dyDescent="0.25">
      <c r="B1128" s="17" t="e">
        <f>VLOOKUP(Data_Discontinuities[[#This Row],[Hole ID]],Data_Log[],2,FALSE)</f>
        <v>#N/A</v>
      </c>
      <c r="C1128" s="8"/>
      <c r="D1128" s="8"/>
      <c r="E1128" s="7"/>
      <c r="F1128" s="7"/>
      <c r="G1128" s="7"/>
      <c r="H1128" s="118"/>
      <c r="I1128" s="7"/>
      <c r="J1128" s="7"/>
      <c r="K1128" s="7"/>
      <c r="L1128" s="7"/>
      <c r="M1128" s="7"/>
      <c r="N1128" s="7"/>
      <c r="O1128" s="84" t="e" cm="1">
        <f t="array" ref="O1128">_xlfn.XLOOKUP(1,(A1128=Geotech!$A$4:$A$10094)*(Data_Discontinuities[[#This Row],[Depth (m)]]&gt;=Geotech!$C$4:$C$10094)*(Data_Discontinuities[[#This Row],[Depth (m)]]&lt;Geotech!$D$4:$D$10094),Geotech!$M$4:$M$10094)</f>
        <v>#N/A</v>
      </c>
      <c r="P1128" s="84"/>
      <c r="Q1128" s="84"/>
      <c r="R1128" s="84"/>
      <c r="S11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8" s="71" t="str">
        <f>IFERROR(Data_Discontinuities[[#This Row],[Joint roughness]]/Data_Discontinuities[[#This Row],[Joint alteration]],"")</f>
        <v/>
      </c>
      <c r="V11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8" s="87"/>
    </row>
    <row r="1129" spans="2:23" ht="15" customHeight="1" x14ac:dyDescent="0.25">
      <c r="B1129" s="17" t="e">
        <f>VLOOKUP(Data_Discontinuities[[#This Row],[Hole ID]],Data_Log[],2,FALSE)</f>
        <v>#N/A</v>
      </c>
      <c r="C1129" s="8"/>
      <c r="D1129" s="8"/>
      <c r="E1129" s="7"/>
      <c r="F1129" s="7"/>
      <c r="G1129" s="7"/>
      <c r="H1129" s="118"/>
      <c r="I1129" s="7"/>
      <c r="J1129" s="7"/>
      <c r="K1129" s="7"/>
      <c r="L1129" s="7"/>
      <c r="M1129" s="7"/>
      <c r="N1129" s="7"/>
      <c r="O1129" s="84" t="e" cm="1">
        <f t="array" ref="O1129">_xlfn.XLOOKUP(1,(A1129=Geotech!$A$4:$A$10094)*(Data_Discontinuities[[#This Row],[Depth (m)]]&gt;=Geotech!$C$4:$C$10094)*(Data_Discontinuities[[#This Row],[Depth (m)]]&lt;Geotech!$D$4:$D$10094),Geotech!$M$4:$M$10094)</f>
        <v>#N/A</v>
      </c>
      <c r="P1129" s="84"/>
      <c r="Q1129" s="84"/>
      <c r="R1129" s="84"/>
      <c r="S11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29" s="71" t="str">
        <f>IFERROR(Data_Discontinuities[[#This Row],[Joint roughness]]/Data_Discontinuities[[#This Row],[Joint alteration]],"")</f>
        <v/>
      </c>
      <c r="V11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29" s="87"/>
    </row>
    <row r="1130" spans="2:23" ht="15" customHeight="1" x14ac:dyDescent="0.25">
      <c r="B1130" s="17" t="e">
        <f>VLOOKUP(Data_Discontinuities[[#This Row],[Hole ID]],Data_Log[],2,FALSE)</f>
        <v>#N/A</v>
      </c>
      <c r="C1130" s="8"/>
      <c r="D1130" s="8"/>
      <c r="E1130" s="7"/>
      <c r="F1130" s="7"/>
      <c r="G1130" s="7"/>
      <c r="H1130" s="118"/>
      <c r="I1130" s="7"/>
      <c r="J1130" s="7"/>
      <c r="K1130" s="7"/>
      <c r="L1130" s="7"/>
      <c r="M1130" s="7"/>
      <c r="N1130" s="7"/>
      <c r="O1130" s="84" t="e" cm="1">
        <f t="array" ref="O1130">_xlfn.XLOOKUP(1,(A1130=Geotech!$A$4:$A$10094)*(Data_Discontinuities[[#This Row],[Depth (m)]]&gt;=Geotech!$C$4:$C$10094)*(Data_Discontinuities[[#This Row],[Depth (m)]]&lt;Geotech!$D$4:$D$10094),Geotech!$M$4:$M$10094)</f>
        <v>#N/A</v>
      </c>
      <c r="P1130" s="84"/>
      <c r="Q1130" s="84"/>
      <c r="R1130" s="84"/>
      <c r="S11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0" s="71" t="str">
        <f>IFERROR(Data_Discontinuities[[#This Row],[Joint roughness]]/Data_Discontinuities[[#This Row],[Joint alteration]],"")</f>
        <v/>
      </c>
      <c r="V11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0" s="87"/>
    </row>
    <row r="1131" spans="2:23" ht="15" customHeight="1" x14ac:dyDescent="0.25">
      <c r="B1131" s="17" t="e">
        <f>VLOOKUP(Data_Discontinuities[[#This Row],[Hole ID]],Data_Log[],2,FALSE)</f>
        <v>#N/A</v>
      </c>
      <c r="C1131" s="8"/>
      <c r="D1131" s="8"/>
      <c r="E1131" s="7"/>
      <c r="F1131" s="7"/>
      <c r="G1131" s="7"/>
      <c r="H1131" s="118"/>
      <c r="I1131" s="7"/>
      <c r="J1131" s="7"/>
      <c r="K1131" s="7"/>
      <c r="L1131" s="7"/>
      <c r="M1131" s="7"/>
      <c r="N1131" s="7"/>
      <c r="O1131" s="84" t="e" cm="1">
        <f t="array" ref="O1131">_xlfn.XLOOKUP(1,(A1131=Geotech!$A$4:$A$10094)*(Data_Discontinuities[[#This Row],[Depth (m)]]&gt;=Geotech!$C$4:$C$10094)*(Data_Discontinuities[[#This Row],[Depth (m)]]&lt;Geotech!$D$4:$D$10094),Geotech!$M$4:$M$10094)</f>
        <v>#N/A</v>
      </c>
      <c r="P1131" s="84"/>
      <c r="Q1131" s="84"/>
      <c r="R1131" s="84"/>
      <c r="S11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1" s="71" t="str">
        <f>IFERROR(Data_Discontinuities[[#This Row],[Joint roughness]]/Data_Discontinuities[[#This Row],[Joint alteration]],"")</f>
        <v/>
      </c>
      <c r="V11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1" s="87"/>
    </row>
    <row r="1132" spans="2:23" ht="15" customHeight="1" x14ac:dyDescent="0.25">
      <c r="B1132" s="17" t="e">
        <f>VLOOKUP(Data_Discontinuities[[#This Row],[Hole ID]],Data_Log[],2,FALSE)</f>
        <v>#N/A</v>
      </c>
      <c r="C1132" s="8"/>
      <c r="D1132" s="8"/>
      <c r="E1132" s="7"/>
      <c r="F1132" s="7"/>
      <c r="G1132" s="7"/>
      <c r="H1132" s="118"/>
      <c r="I1132" s="7"/>
      <c r="J1132" s="7"/>
      <c r="K1132" s="7"/>
      <c r="L1132" s="7"/>
      <c r="M1132" s="7"/>
      <c r="N1132" s="7"/>
      <c r="O1132" s="84" t="e" cm="1">
        <f t="array" ref="O1132">_xlfn.XLOOKUP(1,(A1132=Geotech!$A$4:$A$10094)*(Data_Discontinuities[[#This Row],[Depth (m)]]&gt;=Geotech!$C$4:$C$10094)*(Data_Discontinuities[[#This Row],[Depth (m)]]&lt;Geotech!$D$4:$D$10094),Geotech!$M$4:$M$10094)</f>
        <v>#N/A</v>
      </c>
      <c r="P1132" s="84"/>
      <c r="Q1132" s="84"/>
      <c r="R1132" s="84"/>
      <c r="S11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2" s="71" t="str">
        <f>IFERROR(Data_Discontinuities[[#This Row],[Joint roughness]]/Data_Discontinuities[[#This Row],[Joint alteration]],"")</f>
        <v/>
      </c>
      <c r="V11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2" s="87"/>
    </row>
    <row r="1133" spans="2:23" ht="15" customHeight="1" x14ac:dyDescent="0.25">
      <c r="B1133" s="17" t="e">
        <f>VLOOKUP(Data_Discontinuities[[#This Row],[Hole ID]],Data_Log[],2,FALSE)</f>
        <v>#N/A</v>
      </c>
      <c r="C1133" s="8"/>
      <c r="D1133" s="8"/>
      <c r="E1133" s="7"/>
      <c r="F1133" s="7"/>
      <c r="G1133" s="7"/>
      <c r="H1133" s="118"/>
      <c r="I1133" s="7"/>
      <c r="J1133" s="7"/>
      <c r="K1133" s="7"/>
      <c r="L1133" s="7"/>
      <c r="M1133" s="7"/>
      <c r="N1133" s="7"/>
      <c r="O1133" s="84" t="e" cm="1">
        <f t="array" ref="O1133">_xlfn.XLOOKUP(1,(A1133=Geotech!$A$4:$A$10094)*(Data_Discontinuities[[#This Row],[Depth (m)]]&gt;=Geotech!$C$4:$C$10094)*(Data_Discontinuities[[#This Row],[Depth (m)]]&lt;Geotech!$D$4:$D$10094),Geotech!$M$4:$M$10094)</f>
        <v>#N/A</v>
      </c>
      <c r="P1133" s="84"/>
      <c r="Q1133" s="84"/>
      <c r="R1133" s="84"/>
      <c r="S11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3" s="71" t="str">
        <f>IFERROR(Data_Discontinuities[[#This Row],[Joint roughness]]/Data_Discontinuities[[#This Row],[Joint alteration]],"")</f>
        <v/>
      </c>
      <c r="V11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3" s="87"/>
    </row>
    <row r="1134" spans="2:23" ht="15" customHeight="1" x14ac:dyDescent="0.25">
      <c r="B1134" s="17" t="e">
        <f>VLOOKUP(Data_Discontinuities[[#This Row],[Hole ID]],Data_Log[],2,FALSE)</f>
        <v>#N/A</v>
      </c>
      <c r="C1134" s="8"/>
      <c r="D1134" s="8"/>
      <c r="E1134" s="7"/>
      <c r="F1134" s="7"/>
      <c r="G1134" s="7"/>
      <c r="H1134" s="118"/>
      <c r="I1134" s="7"/>
      <c r="J1134" s="7"/>
      <c r="K1134" s="7"/>
      <c r="L1134" s="7"/>
      <c r="M1134" s="7"/>
      <c r="N1134" s="7"/>
      <c r="O1134" s="84" t="e" cm="1">
        <f t="array" ref="O1134">_xlfn.XLOOKUP(1,(A1134=Geotech!$A$4:$A$10094)*(Data_Discontinuities[[#This Row],[Depth (m)]]&gt;=Geotech!$C$4:$C$10094)*(Data_Discontinuities[[#This Row],[Depth (m)]]&lt;Geotech!$D$4:$D$10094),Geotech!$M$4:$M$10094)</f>
        <v>#N/A</v>
      </c>
      <c r="P1134" s="84"/>
      <c r="Q1134" s="84"/>
      <c r="R1134" s="84"/>
      <c r="S11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4" s="71" t="str">
        <f>IFERROR(Data_Discontinuities[[#This Row],[Joint roughness]]/Data_Discontinuities[[#This Row],[Joint alteration]],"")</f>
        <v/>
      </c>
      <c r="V11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4" s="87"/>
    </row>
    <row r="1135" spans="2:23" ht="15" customHeight="1" x14ac:dyDescent="0.25">
      <c r="B1135" s="17" t="e">
        <f>VLOOKUP(Data_Discontinuities[[#This Row],[Hole ID]],Data_Log[],2,FALSE)</f>
        <v>#N/A</v>
      </c>
      <c r="C1135" s="8"/>
      <c r="D1135" s="8"/>
      <c r="E1135" s="7"/>
      <c r="F1135" s="7"/>
      <c r="G1135" s="7"/>
      <c r="H1135" s="118"/>
      <c r="I1135" s="7"/>
      <c r="J1135" s="7"/>
      <c r="K1135" s="7"/>
      <c r="L1135" s="7"/>
      <c r="M1135" s="7"/>
      <c r="N1135" s="7"/>
      <c r="O1135" s="84" t="e" cm="1">
        <f t="array" ref="O1135">_xlfn.XLOOKUP(1,(A1135=Geotech!$A$4:$A$10094)*(Data_Discontinuities[[#This Row],[Depth (m)]]&gt;=Geotech!$C$4:$C$10094)*(Data_Discontinuities[[#This Row],[Depth (m)]]&lt;Geotech!$D$4:$D$10094),Geotech!$M$4:$M$10094)</f>
        <v>#N/A</v>
      </c>
      <c r="P1135" s="84"/>
      <c r="Q1135" s="84"/>
      <c r="R1135" s="84"/>
      <c r="S11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5" s="71" t="str">
        <f>IFERROR(Data_Discontinuities[[#This Row],[Joint roughness]]/Data_Discontinuities[[#This Row],[Joint alteration]],"")</f>
        <v/>
      </c>
      <c r="V11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5" s="87"/>
    </row>
    <row r="1136" spans="2:23" ht="15" customHeight="1" x14ac:dyDescent="0.25">
      <c r="B1136" s="17" t="e">
        <f>VLOOKUP(Data_Discontinuities[[#This Row],[Hole ID]],Data_Log[],2,FALSE)</f>
        <v>#N/A</v>
      </c>
      <c r="C1136" s="8"/>
      <c r="D1136" s="8"/>
      <c r="E1136" s="7"/>
      <c r="F1136" s="7"/>
      <c r="G1136" s="7"/>
      <c r="H1136" s="118"/>
      <c r="I1136" s="7"/>
      <c r="J1136" s="7"/>
      <c r="K1136" s="7"/>
      <c r="L1136" s="7"/>
      <c r="M1136" s="7"/>
      <c r="N1136" s="7"/>
      <c r="O1136" s="84" t="e" cm="1">
        <f t="array" ref="O1136">_xlfn.XLOOKUP(1,(A1136=Geotech!$A$4:$A$10094)*(Data_Discontinuities[[#This Row],[Depth (m)]]&gt;=Geotech!$C$4:$C$10094)*(Data_Discontinuities[[#This Row],[Depth (m)]]&lt;Geotech!$D$4:$D$10094),Geotech!$M$4:$M$10094)</f>
        <v>#N/A</v>
      </c>
      <c r="P1136" s="84"/>
      <c r="Q1136" s="84"/>
      <c r="R1136" s="84"/>
      <c r="S11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6" s="71" t="str">
        <f>IFERROR(Data_Discontinuities[[#This Row],[Joint roughness]]/Data_Discontinuities[[#This Row],[Joint alteration]],"")</f>
        <v/>
      </c>
      <c r="V11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6" s="87"/>
    </row>
    <row r="1137" spans="2:23" ht="15" customHeight="1" x14ac:dyDescent="0.25">
      <c r="B1137" s="17" t="e">
        <f>VLOOKUP(Data_Discontinuities[[#This Row],[Hole ID]],Data_Log[],2,FALSE)</f>
        <v>#N/A</v>
      </c>
      <c r="C1137" s="8"/>
      <c r="D1137" s="8"/>
      <c r="E1137" s="7"/>
      <c r="F1137" s="7"/>
      <c r="G1137" s="7"/>
      <c r="H1137" s="118"/>
      <c r="I1137" s="7"/>
      <c r="J1137" s="7"/>
      <c r="K1137" s="7"/>
      <c r="L1137" s="7"/>
      <c r="M1137" s="7"/>
      <c r="N1137" s="7"/>
      <c r="O1137" s="84" t="e" cm="1">
        <f t="array" ref="O1137">_xlfn.XLOOKUP(1,(A1137=Geotech!$A$4:$A$10094)*(Data_Discontinuities[[#This Row],[Depth (m)]]&gt;=Geotech!$C$4:$C$10094)*(Data_Discontinuities[[#This Row],[Depth (m)]]&lt;Geotech!$D$4:$D$10094),Geotech!$M$4:$M$10094)</f>
        <v>#N/A</v>
      </c>
      <c r="P1137" s="84"/>
      <c r="Q1137" s="84"/>
      <c r="R1137" s="84"/>
      <c r="S11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7" s="71" t="str">
        <f>IFERROR(Data_Discontinuities[[#This Row],[Joint roughness]]/Data_Discontinuities[[#This Row],[Joint alteration]],"")</f>
        <v/>
      </c>
      <c r="V11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7" s="87"/>
    </row>
    <row r="1138" spans="2:23" ht="15" customHeight="1" x14ac:dyDescent="0.25">
      <c r="B1138" s="17" t="e">
        <f>VLOOKUP(Data_Discontinuities[[#This Row],[Hole ID]],Data_Log[],2,FALSE)</f>
        <v>#N/A</v>
      </c>
      <c r="C1138" s="8"/>
      <c r="D1138" s="8"/>
      <c r="E1138" s="7"/>
      <c r="F1138" s="7"/>
      <c r="G1138" s="7"/>
      <c r="H1138" s="118"/>
      <c r="I1138" s="7"/>
      <c r="J1138" s="7"/>
      <c r="K1138" s="7"/>
      <c r="L1138" s="7"/>
      <c r="M1138" s="7"/>
      <c r="N1138" s="7"/>
      <c r="O1138" s="84" t="e" cm="1">
        <f t="array" ref="O1138">_xlfn.XLOOKUP(1,(A1138=Geotech!$A$4:$A$10094)*(Data_Discontinuities[[#This Row],[Depth (m)]]&gt;=Geotech!$C$4:$C$10094)*(Data_Discontinuities[[#This Row],[Depth (m)]]&lt;Geotech!$D$4:$D$10094),Geotech!$M$4:$M$10094)</f>
        <v>#N/A</v>
      </c>
      <c r="P1138" s="84"/>
      <c r="Q1138" s="84"/>
      <c r="R1138" s="84"/>
      <c r="S11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8" s="71" t="str">
        <f>IFERROR(Data_Discontinuities[[#This Row],[Joint roughness]]/Data_Discontinuities[[#This Row],[Joint alteration]],"")</f>
        <v/>
      </c>
      <c r="V11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8" s="87"/>
    </row>
    <row r="1139" spans="2:23" ht="15" customHeight="1" x14ac:dyDescent="0.25">
      <c r="B1139" s="17" t="e">
        <f>VLOOKUP(Data_Discontinuities[[#This Row],[Hole ID]],Data_Log[],2,FALSE)</f>
        <v>#N/A</v>
      </c>
      <c r="C1139" s="8"/>
      <c r="D1139" s="8"/>
      <c r="E1139" s="7"/>
      <c r="F1139" s="7"/>
      <c r="G1139" s="7"/>
      <c r="H1139" s="118"/>
      <c r="I1139" s="7"/>
      <c r="J1139" s="7"/>
      <c r="K1139" s="7"/>
      <c r="L1139" s="7"/>
      <c r="M1139" s="7"/>
      <c r="N1139" s="7"/>
      <c r="O1139" s="84" t="e" cm="1">
        <f t="array" ref="O1139">_xlfn.XLOOKUP(1,(A1139=Geotech!$A$4:$A$10094)*(Data_Discontinuities[[#This Row],[Depth (m)]]&gt;=Geotech!$C$4:$C$10094)*(Data_Discontinuities[[#This Row],[Depth (m)]]&lt;Geotech!$D$4:$D$10094),Geotech!$M$4:$M$10094)</f>
        <v>#N/A</v>
      </c>
      <c r="P1139" s="84"/>
      <c r="Q1139" s="84"/>
      <c r="R1139" s="84"/>
      <c r="S11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39" s="71" t="str">
        <f>IFERROR(Data_Discontinuities[[#This Row],[Joint roughness]]/Data_Discontinuities[[#This Row],[Joint alteration]],"")</f>
        <v/>
      </c>
      <c r="V11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39" s="87"/>
    </row>
    <row r="1140" spans="2:23" ht="15" customHeight="1" x14ac:dyDescent="0.25">
      <c r="B1140" s="17" t="e">
        <f>VLOOKUP(Data_Discontinuities[[#This Row],[Hole ID]],Data_Log[],2,FALSE)</f>
        <v>#N/A</v>
      </c>
      <c r="C1140" s="8"/>
      <c r="D1140" s="8"/>
      <c r="E1140" s="7"/>
      <c r="F1140" s="7"/>
      <c r="G1140" s="7"/>
      <c r="H1140" s="118"/>
      <c r="I1140" s="7"/>
      <c r="J1140" s="7"/>
      <c r="K1140" s="7"/>
      <c r="L1140" s="7"/>
      <c r="M1140" s="7"/>
      <c r="N1140" s="7"/>
      <c r="O1140" s="84" t="e" cm="1">
        <f t="array" ref="O1140">_xlfn.XLOOKUP(1,(A1140=Geotech!$A$4:$A$10094)*(Data_Discontinuities[[#This Row],[Depth (m)]]&gt;=Geotech!$C$4:$C$10094)*(Data_Discontinuities[[#This Row],[Depth (m)]]&lt;Geotech!$D$4:$D$10094),Geotech!$M$4:$M$10094)</f>
        <v>#N/A</v>
      </c>
      <c r="P1140" s="84"/>
      <c r="Q1140" s="84"/>
      <c r="R1140" s="84"/>
      <c r="S11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0" s="71" t="str">
        <f>IFERROR(Data_Discontinuities[[#This Row],[Joint roughness]]/Data_Discontinuities[[#This Row],[Joint alteration]],"")</f>
        <v/>
      </c>
      <c r="V11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0" s="87"/>
    </row>
    <row r="1141" spans="2:23" ht="15" customHeight="1" x14ac:dyDescent="0.25">
      <c r="B1141" s="17" t="e">
        <f>VLOOKUP(Data_Discontinuities[[#This Row],[Hole ID]],Data_Log[],2,FALSE)</f>
        <v>#N/A</v>
      </c>
      <c r="C1141" s="8"/>
      <c r="D1141" s="8"/>
      <c r="E1141" s="7"/>
      <c r="F1141" s="7"/>
      <c r="G1141" s="7"/>
      <c r="H1141" s="118"/>
      <c r="I1141" s="7"/>
      <c r="J1141" s="7"/>
      <c r="K1141" s="7"/>
      <c r="L1141" s="7"/>
      <c r="M1141" s="7"/>
      <c r="N1141" s="7"/>
      <c r="O1141" s="84" t="e" cm="1">
        <f t="array" ref="O1141">_xlfn.XLOOKUP(1,(A1141=Geotech!$A$4:$A$10094)*(Data_Discontinuities[[#This Row],[Depth (m)]]&gt;=Geotech!$C$4:$C$10094)*(Data_Discontinuities[[#This Row],[Depth (m)]]&lt;Geotech!$D$4:$D$10094),Geotech!$M$4:$M$10094)</f>
        <v>#N/A</v>
      </c>
      <c r="P1141" s="84"/>
      <c r="Q1141" s="84"/>
      <c r="R1141" s="84"/>
      <c r="S11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1" s="71" t="str">
        <f>IFERROR(Data_Discontinuities[[#This Row],[Joint roughness]]/Data_Discontinuities[[#This Row],[Joint alteration]],"")</f>
        <v/>
      </c>
      <c r="V11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1" s="87"/>
    </row>
    <row r="1142" spans="2:23" ht="15" customHeight="1" x14ac:dyDescent="0.25">
      <c r="B1142" s="17" t="e">
        <f>VLOOKUP(Data_Discontinuities[[#This Row],[Hole ID]],Data_Log[],2,FALSE)</f>
        <v>#N/A</v>
      </c>
      <c r="C1142" s="8"/>
      <c r="D1142" s="8"/>
      <c r="E1142" s="7"/>
      <c r="F1142" s="7"/>
      <c r="G1142" s="7"/>
      <c r="H1142" s="118"/>
      <c r="I1142" s="7"/>
      <c r="J1142" s="7"/>
      <c r="K1142" s="7"/>
      <c r="L1142" s="7"/>
      <c r="M1142" s="7"/>
      <c r="N1142" s="7"/>
      <c r="O1142" s="84" t="e" cm="1">
        <f t="array" ref="O1142">_xlfn.XLOOKUP(1,(A1142=Geotech!$A$4:$A$10094)*(Data_Discontinuities[[#This Row],[Depth (m)]]&gt;=Geotech!$C$4:$C$10094)*(Data_Discontinuities[[#This Row],[Depth (m)]]&lt;Geotech!$D$4:$D$10094),Geotech!$M$4:$M$10094)</f>
        <v>#N/A</v>
      </c>
      <c r="P1142" s="84"/>
      <c r="Q1142" s="84"/>
      <c r="R1142" s="84"/>
      <c r="S11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2" s="71" t="str">
        <f>IFERROR(Data_Discontinuities[[#This Row],[Joint roughness]]/Data_Discontinuities[[#This Row],[Joint alteration]],"")</f>
        <v/>
      </c>
      <c r="V11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2" s="87"/>
    </row>
    <row r="1143" spans="2:23" ht="15" customHeight="1" x14ac:dyDescent="0.25">
      <c r="B1143" s="17" t="e">
        <f>VLOOKUP(Data_Discontinuities[[#This Row],[Hole ID]],Data_Log[],2,FALSE)</f>
        <v>#N/A</v>
      </c>
      <c r="C1143" s="8"/>
      <c r="D1143" s="8"/>
      <c r="E1143" s="7"/>
      <c r="F1143" s="7"/>
      <c r="G1143" s="7"/>
      <c r="H1143" s="118"/>
      <c r="I1143" s="7"/>
      <c r="J1143" s="7"/>
      <c r="K1143" s="7"/>
      <c r="L1143" s="7"/>
      <c r="M1143" s="7"/>
      <c r="N1143" s="7"/>
      <c r="O1143" s="84" t="e" cm="1">
        <f t="array" ref="O1143">_xlfn.XLOOKUP(1,(A1143=Geotech!$A$4:$A$10094)*(Data_Discontinuities[[#This Row],[Depth (m)]]&gt;=Geotech!$C$4:$C$10094)*(Data_Discontinuities[[#This Row],[Depth (m)]]&lt;Geotech!$D$4:$D$10094),Geotech!$M$4:$M$10094)</f>
        <v>#N/A</v>
      </c>
      <c r="P1143" s="84"/>
      <c r="Q1143" s="84"/>
      <c r="R1143" s="84"/>
      <c r="S11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3" s="71" t="str">
        <f>IFERROR(Data_Discontinuities[[#This Row],[Joint roughness]]/Data_Discontinuities[[#This Row],[Joint alteration]],"")</f>
        <v/>
      </c>
      <c r="V11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3" s="87"/>
    </row>
    <row r="1144" spans="2:23" ht="15" customHeight="1" x14ac:dyDescent="0.25">
      <c r="B1144" s="17" t="e">
        <f>VLOOKUP(Data_Discontinuities[[#This Row],[Hole ID]],Data_Log[],2,FALSE)</f>
        <v>#N/A</v>
      </c>
      <c r="C1144" s="8"/>
      <c r="D1144" s="8"/>
      <c r="E1144" s="7"/>
      <c r="F1144" s="7"/>
      <c r="G1144" s="7"/>
      <c r="H1144" s="118"/>
      <c r="I1144" s="7"/>
      <c r="J1144" s="7"/>
      <c r="K1144" s="7"/>
      <c r="L1144" s="7"/>
      <c r="M1144" s="7"/>
      <c r="N1144" s="7"/>
      <c r="O1144" s="84" t="e" cm="1">
        <f t="array" ref="O1144">_xlfn.XLOOKUP(1,(A1144=Geotech!$A$4:$A$10094)*(Data_Discontinuities[[#This Row],[Depth (m)]]&gt;=Geotech!$C$4:$C$10094)*(Data_Discontinuities[[#This Row],[Depth (m)]]&lt;Geotech!$D$4:$D$10094),Geotech!$M$4:$M$10094)</f>
        <v>#N/A</v>
      </c>
      <c r="P1144" s="84"/>
      <c r="Q1144" s="84"/>
      <c r="R1144" s="84"/>
      <c r="S11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4" s="71" t="str">
        <f>IFERROR(Data_Discontinuities[[#This Row],[Joint roughness]]/Data_Discontinuities[[#This Row],[Joint alteration]],"")</f>
        <v/>
      </c>
      <c r="V11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4" s="87"/>
    </row>
    <row r="1145" spans="2:23" ht="15" customHeight="1" x14ac:dyDescent="0.25">
      <c r="B1145" s="17" t="e">
        <f>VLOOKUP(Data_Discontinuities[[#This Row],[Hole ID]],Data_Log[],2,FALSE)</f>
        <v>#N/A</v>
      </c>
      <c r="C1145" s="8"/>
      <c r="D1145" s="8"/>
      <c r="E1145" s="7"/>
      <c r="F1145" s="7"/>
      <c r="G1145" s="7"/>
      <c r="H1145" s="118"/>
      <c r="I1145" s="7"/>
      <c r="J1145" s="7"/>
      <c r="K1145" s="7"/>
      <c r="L1145" s="7"/>
      <c r="M1145" s="7"/>
      <c r="N1145" s="7"/>
      <c r="O1145" s="84" t="e" cm="1">
        <f t="array" ref="O1145">_xlfn.XLOOKUP(1,(A1145=Geotech!$A$4:$A$10094)*(Data_Discontinuities[[#This Row],[Depth (m)]]&gt;=Geotech!$C$4:$C$10094)*(Data_Discontinuities[[#This Row],[Depth (m)]]&lt;Geotech!$D$4:$D$10094),Geotech!$M$4:$M$10094)</f>
        <v>#N/A</v>
      </c>
      <c r="P1145" s="84"/>
      <c r="Q1145" s="84"/>
      <c r="R1145" s="84"/>
      <c r="S11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5" s="71" t="str">
        <f>IFERROR(Data_Discontinuities[[#This Row],[Joint roughness]]/Data_Discontinuities[[#This Row],[Joint alteration]],"")</f>
        <v/>
      </c>
      <c r="V11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5" s="87"/>
    </row>
    <row r="1146" spans="2:23" ht="15" customHeight="1" x14ac:dyDescent="0.25">
      <c r="B1146" s="17" t="e">
        <f>VLOOKUP(Data_Discontinuities[[#This Row],[Hole ID]],Data_Log[],2,FALSE)</f>
        <v>#N/A</v>
      </c>
      <c r="C1146" s="8"/>
      <c r="D1146" s="8"/>
      <c r="E1146" s="7"/>
      <c r="F1146" s="7"/>
      <c r="G1146" s="7"/>
      <c r="H1146" s="118"/>
      <c r="I1146" s="7"/>
      <c r="J1146" s="7"/>
      <c r="K1146" s="7"/>
      <c r="L1146" s="7"/>
      <c r="M1146" s="7"/>
      <c r="N1146" s="7"/>
      <c r="O1146" s="84" t="e" cm="1">
        <f t="array" ref="O1146">_xlfn.XLOOKUP(1,(A1146=Geotech!$A$4:$A$10094)*(Data_Discontinuities[[#This Row],[Depth (m)]]&gt;=Geotech!$C$4:$C$10094)*(Data_Discontinuities[[#This Row],[Depth (m)]]&lt;Geotech!$D$4:$D$10094),Geotech!$M$4:$M$10094)</f>
        <v>#N/A</v>
      </c>
      <c r="P1146" s="84"/>
      <c r="Q1146" s="84"/>
      <c r="R1146" s="84"/>
      <c r="S11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6" s="71" t="str">
        <f>IFERROR(Data_Discontinuities[[#This Row],[Joint roughness]]/Data_Discontinuities[[#This Row],[Joint alteration]],"")</f>
        <v/>
      </c>
      <c r="V11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6" s="87"/>
    </row>
    <row r="1147" spans="2:23" ht="15" customHeight="1" x14ac:dyDescent="0.25">
      <c r="B1147" s="17" t="e">
        <f>VLOOKUP(Data_Discontinuities[[#This Row],[Hole ID]],Data_Log[],2,FALSE)</f>
        <v>#N/A</v>
      </c>
      <c r="C1147" s="8"/>
      <c r="D1147" s="8"/>
      <c r="E1147" s="7"/>
      <c r="F1147" s="7"/>
      <c r="G1147" s="7"/>
      <c r="H1147" s="118"/>
      <c r="I1147" s="7"/>
      <c r="J1147" s="7"/>
      <c r="K1147" s="7"/>
      <c r="L1147" s="7"/>
      <c r="M1147" s="7"/>
      <c r="N1147" s="7"/>
      <c r="O1147" s="84" t="e" cm="1">
        <f t="array" ref="O1147">_xlfn.XLOOKUP(1,(A1147=Geotech!$A$4:$A$10094)*(Data_Discontinuities[[#This Row],[Depth (m)]]&gt;=Geotech!$C$4:$C$10094)*(Data_Discontinuities[[#This Row],[Depth (m)]]&lt;Geotech!$D$4:$D$10094),Geotech!$M$4:$M$10094)</f>
        <v>#N/A</v>
      </c>
      <c r="P1147" s="84"/>
      <c r="Q1147" s="84"/>
      <c r="R1147" s="84"/>
      <c r="S11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7" s="71" t="str">
        <f>IFERROR(Data_Discontinuities[[#This Row],[Joint roughness]]/Data_Discontinuities[[#This Row],[Joint alteration]],"")</f>
        <v/>
      </c>
      <c r="V11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7" s="87"/>
    </row>
    <row r="1148" spans="2:23" ht="15" customHeight="1" x14ac:dyDescent="0.25">
      <c r="B1148" s="17" t="e">
        <f>VLOOKUP(Data_Discontinuities[[#This Row],[Hole ID]],Data_Log[],2,FALSE)</f>
        <v>#N/A</v>
      </c>
      <c r="C1148" s="8"/>
      <c r="D1148" s="8"/>
      <c r="E1148" s="7"/>
      <c r="F1148" s="7"/>
      <c r="G1148" s="7"/>
      <c r="H1148" s="118"/>
      <c r="I1148" s="7"/>
      <c r="J1148" s="7"/>
      <c r="K1148" s="7"/>
      <c r="L1148" s="7"/>
      <c r="M1148" s="7"/>
      <c r="N1148" s="7"/>
      <c r="O1148" s="84" t="e" cm="1">
        <f t="array" ref="O1148">_xlfn.XLOOKUP(1,(A1148=Geotech!$A$4:$A$10094)*(Data_Discontinuities[[#This Row],[Depth (m)]]&gt;=Geotech!$C$4:$C$10094)*(Data_Discontinuities[[#This Row],[Depth (m)]]&lt;Geotech!$D$4:$D$10094),Geotech!$M$4:$M$10094)</f>
        <v>#N/A</v>
      </c>
      <c r="P1148" s="84"/>
      <c r="Q1148" s="84"/>
      <c r="R1148" s="84"/>
      <c r="S11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8" s="71" t="str">
        <f>IFERROR(Data_Discontinuities[[#This Row],[Joint roughness]]/Data_Discontinuities[[#This Row],[Joint alteration]],"")</f>
        <v/>
      </c>
      <c r="V11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8" s="87"/>
    </row>
    <row r="1149" spans="2:23" ht="15" customHeight="1" x14ac:dyDescent="0.25">
      <c r="B1149" s="17" t="e">
        <f>VLOOKUP(Data_Discontinuities[[#This Row],[Hole ID]],Data_Log[],2,FALSE)</f>
        <v>#N/A</v>
      </c>
      <c r="C1149" s="8"/>
      <c r="D1149" s="8"/>
      <c r="E1149" s="7"/>
      <c r="F1149" s="7"/>
      <c r="G1149" s="7"/>
      <c r="H1149" s="118"/>
      <c r="I1149" s="7"/>
      <c r="J1149" s="7"/>
      <c r="K1149" s="7"/>
      <c r="L1149" s="7"/>
      <c r="M1149" s="7"/>
      <c r="N1149" s="7"/>
      <c r="O1149" s="84" t="e" cm="1">
        <f t="array" ref="O1149">_xlfn.XLOOKUP(1,(A1149=Geotech!$A$4:$A$10094)*(Data_Discontinuities[[#This Row],[Depth (m)]]&gt;=Geotech!$C$4:$C$10094)*(Data_Discontinuities[[#This Row],[Depth (m)]]&lt;Geotech!$D$4:$D$10094),Geotech!$M$4:$M$10094)</f>
        <v>#N/A</v>
      </c>
      <c r="P1149" s="84"/>
      <c r="Q1149" s="84"/>
      <c r="R1149" s="84"/>
      <c r="S11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49" s="71" t="str">
        <f>IFERROR(Data_Discontinuities[[#This Row],[Joint roughness]]/Data_Discontinuities[[#This Row],[Joint alteration]],"")</f>
        <v/>
      </c>
      <c r="V11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49" s="87"/>
    </row>
    <row r="1150" spans="2:23" ht="15" customHeight="1" x14ac:dyDescent="0.25">
      <c r="B1150" s="17" t="e">
        <f>VLOOKUP(Data_Discontinuities[[#This Row],[Hole ID]],Data_Log[],2,FALSE)</f>
        <v>#N/A</v>
      </c>
      <c r="C1150" s="8"/>
      <c r="D1150" s="8"/>
      <c r="E1150" s="7"/>
      <c r="F1150" s="7"/>
      <c r="G1150" s="7"/>
      <c r="H1150" s="118"/>
      <c r="I1150" s="7"/>
      <c r="J1150" s="7"/>
      <c r="K1150" s="7"/>
      <c r="L1150" s="7"/>
      <c r="M1150" s="7"/>
      <c r="N1150" s="7"/>
      <c r="O1150" s="84" t="e" cm="1">
        <f t="array" ref="O1150">_xlfn.XLOOKUP(1,(A1150=Geotech!$A$4:$A$10094)*(Data_Discontinuities[[#This Row],[Depth (m)]]&gt;=Geotech!$C$4:$C$10094)*(Data_Discontinuities[[#This Row],[Depth (m)]]&lt;Geotech!$D$4:$D$10094),Geotech!$M$4:$M$10094)</f>
        <v>#N/A</v>
      </c>
      <c r="P1150" s="84"/>
      <c r="Q1150" s="84"/>
      <c r="R1150" s="84"/>
      <c r="S11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0" s="71" t="str">
        <f>IFERROR(Data_Discontinuities[[#This Row],[Joint roughness]]/Data_Discontinuities[[#This Row],[Joint alteration]],"")</f>
        <v/>
      </c>
      <c r="V11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0" s="87"/>
    </row>
    <row r="1151" spans="2:23" ht="15" customHeight="1" x14ac:dyDescent="0.25">
      <c r="B1151" s="17" t="e">
        <f>VLOOKUP(Data_Discontinuities[[#This Row],[Hole ID]],Data_Log[],2,FALSE)</f>
        <v>#N/A</v>
      </c>
      <c r="C1151" s="8"/>
      <c r="D1151" s="8"/>
      <c r="E1151" s="7"/>
      <c r="F1151" s="7"/>
      <c r="G1151" s="7"/>
      <c r="H1151" s="118"/>
      <c r="I1151" s="7"/>
      <c r="J1151" s="7"/>
      <c r="K1151" s="7"/>
      <c r="L1151" s="7"/>
      <c r="M1151" s="7"/>
      <c r="N1151" s="7"/>
      <c r="O1151" s="84" t="e" cm="1">
        <f t="array" ref="O1151">_xlfn.XLOOKUP(1,(A1151=Geotech!$A$4:$A$10094)*(Data_Discontinuities[[#This Row],[Depth (m)]]&gt;=Geotech!$C$4:$C$10094)*(Data_Discontinuities[[#This Row],[Depth (m)]]&lt;Geotech!$D$4:$D$10094),Geotech!$M$4:$M$10094)</f>
        <v>#N/A</v>
      </c>
      <c r="P1151" s="84"/>
      <c r="Q1151" s="84"/>
      <c r="R1151" s="84"/>
      <c r="S11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1" s="71" t="str">
        <f>IFERROR(Data_Discontinuities[[#This Row],[Joint roughness]]/Data_Discontinuities[[#This Row],[Joint alteration]],"")</f>
        <v/>
      </c>
      <c r="V11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1" s="87"/>
    </row>
    <row r="1152" spans="2:23" ht="15" customHeight="1" x14ac:dyDescent="0.25">
      <c r="B1152" s="17" t="e">
        <f>VLOOKUP(Data_Discontinuities[[#This Row],[Hole ID]],Data_Log[],2,FALSE)</f>
        <v>#N/A</v>
      </c>
      <c r="C1152" s="8"/>
      <c r="D1152" s="8"/>
      <c r="E1152" s="7"/>
      <c r="F1152" s="7"/>
      <c r="G1152" s="7"/>
      <c r="H1152" s="118"/>
      <c r="I1152" s="7"/>
      <c r="J1152" s="7"/>
      <c r="K1152" s="7"/>
      <c r="L1152" s="7"/>
      <c r="M1152" s="7"/>
      <c r="N1152" s="7"/>
      <c r="O1152" s="84" t="e" cm="1">
        <f t="array" ref="O1152">_xlfn.XLOOKUP(1,(A1152=Geotech!$A$4:$A$10094)*(Data_Discontinuities[[#This Row],[Depth (m)]]&gt;=Geotech!$C$4:$C$10094)*(Data_Discontinuities[[#This Row],[Depth (m)]]&lt;Geotech!$D$4:$D$10094),Geotech!$M$4:$M$10094)</f>
        <v>#N/A</v>
      </c>
      <c r="P1152" s="84"/>
      <c r="Q1152" s="84"/>
      <c r="R1152" s="84"/>
      <c r="S11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2" s="71" t="str">
        <f>IFERROR(Data_Discontinuities[[#This Row],[Joint roughness]]/Data_Discontinuities[[#This Row],[Joint alteration]],"")</f>
        <v/>
      </c>
      <c r="V11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2" s="87"/>
    </row>
    <row r="1153" spans="2:23" ht="15" customHeight="1" x14ac:dyDescent="0.25">
      <c r="B1153" s="17" t="e">
        <f>VLOOKUP(Data_Discontinuities[[#This Row],[Hole ID]],Data_Log[],2,FALSE)</f>
        <v>#N/A</v>
      </c>
      <c r="C1153" s="8"/>
      <c r="D1153" s="8"/>
      <c r="E1153" s="7"/>
      <c r="F1153" s="7"/>
      <c r="G1153" s="7"/>
      <c r="H1153" s="118"/>
      <c r="I1153" s="7"/>
      <c r="J1153" s="7"/>
      <c r="K1153" s="7"/>
      <c r="L1153" s="7"/>
      <c r="M1153" s="7"/>
      <c r="N1153" s="7"/>
      <c r="O1153" s="84" t="e" cm="1">
        <f t="array" ref="O1153">_xlfn.XLOOKUP(1,(A1153=Geotech!$A$4:$A$10094)*(Data_Discontinuities[[#This Row],[Depth (m)]]&gt;=Geotech!$C$4:$C$10094)*(Data_Discontinuities[[#This Row],[Depth (m)]]&lt;Geotech!$D$4:$D$10094),Geotech!$M$4:$M$10094)</f>
        <v>#N/A</v>
      </c>
      <c r="P1153" s="84"/>
      <c r="Q1153" s="84"/>
      <c r="R1153" s="84"/>
      <c r="S11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3" s="71" t="str">
        <f>IFERROR(Data_Discontinuities[[#This Row],[Joint roughness]]/Data_Discontinuities[[#This Row],[Joint alteration]],"")</f>
        <v/>
      </c>
      <c r="V11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3" s="87"/>
    </row>
    <row r="1154" spans="2:23" ht="15" customHeight="1" x14ac:dyDescent="0.25">
      <c r="B1154" s="17" t="e">
        <f>VLOOKUP(Data_Discontinuities[[#This Row],[Hole ID]],Data_Log[],2,FALSE)</f>
        <v>#N/A</v>
      </c>
      <c r="C1154" s="8"/>
      <c r="D1154" s="8"/>
      <c r="E1154" s="7"/>
      <c r="F1154" s="7"/>
      <c r="G1154" s="7"/>
      <c r="H1154" s="118"/>
      <c r="I1154" s="7"/>
      <c r="J1154" s="7"/>
      <c r="K1154" s="7"/>
      <c r="L1154" s="7"/>
      <c r="M1154" s="7"/>
      <c r="N1154" s="7"/>
      <c r="O1154" s="84" t="e" cm="1">
        <f t="array" ref="O1154">_xlfn.XLOOKUP(1,(A1154=Geotech!$A$4:$A$10094)*(Data_Discontinuities[[#This Row],[Depth (m)]]&gt;=Geotech!$C$4:$C$10094)*(Data_Discontinuities[[#This Row],[Depth (m)]]&lt;Geotech!$D$4:$D$10094),Geotech!$M$4:$M$10094)</f>
        <v>#N/A</v>
      </c>
      <c r="P1154" s="84"/>
      <c r="Q1154" s="84"/>
      <c r="R1154" s="84"/>
      <c r="S11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4" s="71" t="str">
        <f>IFERROR(Data_Discontinuities[[#This Row],[Joint roughness]]/Data_Discontinuities[[#This Row],[Joint alteration]],"")</f>
        <v/>
      </c>
      <c r="V11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4" s="87"/>
    </row>
    <row r="1155" spans="2:23" ht="15" customHeight="1" x14ac:dyDescent="0.25">
      <c r="B1155" s="17" t="e">
        <f>VLOOKUP(Data_Discontinuities[[#This Row],[Hole ID]],Data_Log[],2,FALSE)</f>
        <v>#N/A</v>
      </c>
      <c r="C1155" s="8"/>
      <c r="D1155" s="8"/>
      <c r="E1155" s="7"/>
      <c r="F1155" s="7"/>
      <c r="G1155" s="7"/>
      <c r="H1155" s="118"/>
      <c r="I1155" s="7"/>
      <c r="J1155" s="7"/>
      <c r="K1155" s="7"/>
      <c r="L1155" s="7"/>
      <c r="M1155" s="7"/>
      <c r="N1155" s="7"/>
      <c r="O1155" s="84" t="e" cm="1">
        <f t="array" ref="O1155">_xlfn.XLOOKUP(1,(A1155=Geotech!$A$4:$A$10094)*(Data_Discontinuities[[#This Row],[Depth (m)]]&gt;=Geotech!$C$4:$C$10094)*(Data_Discontinuities[[#This Row],[Depth (m)]]&lt;Geotech!$D$4:$D$10094),Geotech!$M$4:$M$10094)</f>
        <v>#N/A</v>
      </c>
      <c r="P1155" s="84"/>
      <c r="Q1155" s="84"/>
      <c r="R1155" s="84"/>
      <c r="S11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5" s="71" t="str">
        <f>IFERROR(Data_Discontinuities[[#This Row],[Joint roughness]]/Data_Discontinuities[[#This Row],[Joint alteration]],"")</f>
        <v/>
      </c>
      <c r="V11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5" s="87"/>
    </row>
    <row r="1156" spans="2:23" ht="15" customHeight="1" x14ac:dyDescent="0.25">
      <c r="B1156" s="17" t="e">
        <f>VLOOKUP(Data_Discontinuities[[#This Row],[Hole ID]],Data_Log[],2,FALSE)</f>
        <v>#N/A</v>
      </c>
      <c r="C1156" s="8"/>
      <c r="D1156" s="8"/>
      <c r="E1156" s="7"/>
      <c r="F1156" s="7"/>
      <c r="G1156" s="7"/>
      <c r="H1156" s="118"/>
      <c r="I1156" s="7"/>
      <c r="J1156" s="7"/>
      <c r="K1156" s="7"/>
      <c r="L1156" s="7"/>
      <c r="M1156" s="7"/>
      <c r="N1156" s="7"/>
      <c r="O1156" s="84" t="e" cm="1">
        <f t="array" ref="O1156">_xlfn.XLOOKUP(1,(A1156=Geotech!$A$4:$A$10094)*(Data_Discontinuities[[#This Row],[Depth (m)]]&gt;=Geotech!$C$4:$C$10094)*(Data_Discontinuities[[#This Row],[Depth (m)]]&lt;Geotech!$D$4:$D$10094),Geotech!$M$4:$M$10094)</f>
        <v>#N/A</v>
      </c>
      <c r="P1156" s="84"/>
      <c r="Q1156" s="84"/>
      <c r="R1156" s="84"/>
      <c r="S11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6" s="71" t="str">
        <f>IFERROR(Data_Discontinuities[[#This Row],[Joint roughness]]/Data_Discontinuities[[#This Row],[Joint alteration]],"")</f>
        <v/>
      </c>
      <c r="V11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6" s="87"/>
    </row>
    <row r="1157" spans="2:23" ht="15" customHeight="1" x14ac:dyDescent="0.25">
      <c r="B1157" s="17" t="e">
        <f>VLOOKUP(Data_Discontinuities[[#This Row],[Hole ID]],Data_Log[],2,FALSE)</f>
        <v>#N/A</v>
      </c>
      <c r="C1157" s="8"/>
      <c r="D1157" s="8"/>
      <c r="E1157" s="7"/>
      <c r="F1157" s="7"/>
      <c r="G1157" s="7"/>
      <c r="H1157" s="118"/>
      <c r="I1157" s="7"/>
      <c r="J1157" s="7"/>
      <c r="K1157" s="7"/>
      <c r="L1157" s="7"/>
      <c r="M1157" s="7"/>
      <c r="N1157" s="7"/>
      <c r="O1157" s="84" t="e" cm="1">
        <f t="array" ref="O1157">_xlfn.XLOOKUP(1,(A1157=Geotech!$A$4:$A$10094)*(Data_Discontinuities[[#This Row],[Depth (m)]]&gt;=Geotech!$C$4:$C$10094)*(Data_Discontinuities[[#This Row],[Depth (m)]]&lt;Geotech!$D$4:$D$10094),Geotech!$M$4:$M$10094)</f>
        <v>#N/A</v>
      </c>
      <c r="P1157" s="84"/>
      <c r="Q1157" s="84"/>
      <c r="R1157" s="84"/>
      <c r="S11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7" s="71" t="str">
        <f>IFERROR(Data_Discontinuities[[#This Row],[Joint roughness]]/Data_Discontinuities[[#This Row],[Joint alteration]],"")</f>
        <v/>
      </c>
      <c r="V11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7" s="87"/>
    </row>
    <row r="1158" spans="2:23" ht="15" customHeight="1" x14ac:dyDescent="0.25">
      <c r="B1158" s="17" t="e">
        <f>VLOOKUP(Data_Discontinuities[[#This Row],[Hole ID]],Data_Log[],2,FALSE)</f>
        <v>#N/A</v>
      </c>
      <c r="C1158" s="8"/>
      <c r="D1158" s="8"/>
      <c r="E1158" s="7"/>
      <c r="F1158" s="7"/>
      <c r="G1158" s="7"/>
      <c r="H1158" s="118"/>
      <c r="I1158" s="7"/>
      <c r="J1158" s="7"/>
      <c r="K1158" s="7"/>
      <c r="L1158" s="7"/>
      <c r="M1158" s="7"/>
      <c r="N1158" s="7"/>
      <c r="O1158" s="84" t="e" cm="1">
        <f t="array" ref="O1158">_xlfn.XLOOKUP(1,(A1158=Geotech!$A$4:$A$10094)*(Data_Discontinuities[[#This Row],[Depth (m)]]&gt;=Geotech!$C$4:$C$10094)*(Data_Discontinuities[[#This Row],[Depth (m)]]&lt;Geotech!$D$4:$D$10094),Geotech!$M$4:$M$10094)</f>
        <v>#N/A</v>
      </c>
      <c r="P1158" s="84"/>
      <c r="Q1158" s="84"/>
      <c r="R1158" s="84"/>
      <c r="S11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8" s="71" t="str">
        <f>IFERROR(Data_Discontinuities[[#This Row],[Joint roughness]]/Data_Discontinuities[[#This Row],[Joint alteration]],"")</f>
        <v/>
      </c>
      <c r="V11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8" s="87"/>
    </row>
    <row r="1159" spans="2:23" ht="15" customHeight="1" x14ac:dyDescent="0.25">
      <c r="B1159" s="17" t="e">
        <f>VLOOKUP(Data_Discontinuities[[#This Row],[Hole ID]],Data_Log[],2,FALSE)</f>
        <v>#N/A</v>
      </c>
      <c r="C1159" s="8"/>
      <c r="D1159" s="8"/>
      <c r="E1159" s="7"/>
      <c r="F1159" s="7"/>
      <c r="G1159" s="7"/>
      <c r="H1159" s="118"/>
      <c r="I1159" s="7"/>
      <c r="J1159" s="7"/>
      <c r="K1159" s="7"/>
      <c r="L1159" s="7"/>
      <c r="M1159" s="7"/>
      <c r="N1159" s="7"/>
      <c r="O1159" s="84" t="e" cm="1">
        <f t="array" ref="O1159">_xlfn.XLOOKUP(1,(A1159=Geotech!$A$4:$A$10094)*(Data_Discontinuities[[#This Row],[Depth (m)]]&gt;=Geotech!$C$4:$C$10094)*(Data_Discontinuities[[#This Row],[Depth (m)]]&lt;Geotech!$D$4:$D$10094),Geotech!$M$4:$M$10094)</f>
        <v>#N/A</v>
      </c>
      <c r="P1159" s="84"/>
      <c r="Q1159" s="84"/>
      <c r="R1159" s="84"/>
      <c r="S11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59" s="71" t="str">
        <f>IFERROR(Data_Discontinuities[[#This Row],[Joint roughness]]/Data_Discontinuities[[#This Row],[Joint alteration]],"")</f>
        <v/>
      </c>
      <c r="V11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59" s="87"/>
    </row>
    <row r="1160" spans="2:23" ht="15" customHeight="1" x14ac:dyDescent="0.25">
      <c r="B1160" s="17" t="e">
        <f>VLOOKUP(Data_Discontinuities[[#This Row],[Hole ID]],Data_Log[],2,FALSE)</f>
        <v>#N/A</v>
      </c>
      <c r="C1160" s="8"/>
      <c r="D1160" s="8"/>
      <c r="E1160" s="7"/>
      <c r="F1160" s="7"/>
      <c r="G1160" s="7"/>
      <c r="H1160" s="118"/>
      <c r="I1160" s="7"/>
      <c r="J1160" s="7"/>
      <c r="K1160" s="7"/>
      <c r="L1160" s="7"/>
      <c r="M1160" s="7"/>
      <c r="N1160" s="7"/>
      <c r="O1160" s="84" t="e" cm="1">
        <f t="array" ref="O1160">_xlfn.XLOOKUP(1,(A1160=Geotech!$A$4:$A$10094)*(Data_Discontinuities[[#This Row],[Depth (m)]]&gt;=Geotech!$C$4:$C$10094)*(Data_Discontinuities[[#This Row],[Depth (m)]]&lt;Geotech!$D$4:$D$10094),Geotech!$M$4:$M$10094)</f>
        <v>#N/A</v>
      </c>
      <c r="P1160" s="84"/>
      <c r="Q1160" s="84"/>
      <c r="R1160" s="84"/>
      <c r="S11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0" s="71" t="str">
        <f>IFERROR(Data_Discontinuities[[#This Row],[Joint roughness]]/Data_Discontinuities[[#This Row],[Joint alteration]],"")</f>
        <v/>
      </c>
      <c r="V11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0" s="87"/>
    </row>
    <row r="1161" spans="2:23" ht="15" customHeight="1" x14ac:dyDescent="0.25">
      <c r="B1161" s="17" t="e">
        <f>VLOOKUP(Data_Discontinuities[[#This Row],[Hole ID]],Data_Log[],2,FALSE)</f>
        <v>#N/A</v>
      </c>
      <c r="C1161" s="8"/>
      <c r="D1161" s="8"/>
      <c r="E1161" s="7"/>
      <c r="F1161" s="7"/>
      <c r="G1161" s="7"/>
      <c r="H1161" s="118"/>
      <c r="I1161" s="7"/>
      <c r="J1161" s="7"/>
      <c r="K1161" s="7"/>
      <c r="L1161" s="7"/>
      <c r="M1161" s="7"/>
      <c r="N1161" s="7"/>
      <c r="O1161" s="84" t="e" cm="1">
        <f t="array" ref="O1161">_xlfn.XLOOKUP(1,(A1161=Geotech!$A$4:$A$10094)*(Data_Discontinuities[[#This Row],[Depth (m)]]&gt;=Geotech!$C$4:$C$10094)*(Data_Discontinuities[[#This Row],[Depth (m)]]&lt;Geotech!$D$4:$D$10094),Geotech!$M$4:$M$10094)</f>
        <v>#N/A</v>
      </c>
      <c r="P1161" s="84"/>
      <c r="Q1161" s="84"/>
      <c r="R1161" s="84"/>
      <c r="S11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1" s="71" t="str">
        <f>IFERROR(Data_Discontinuities[[#This Row],[Joint roughness]]/Data_Discontinuities[[#This Row],[Joint alteration]],"")</f>
        <v/>
      </c>
      <c r="V11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1" s="87"/>
    </row>
    <row r="1162" spans="2:23" ht="15" customHeight="1" x14ac:dyDescent="0.25">
      <c r="B1162" s="17" t="e">
        <f>VLOOKUP(Data_Discontinuities[[#This Row],[Hole ID]],Data_Log[],2,FALSE)</f>
        <v>#N/A</v>
      </c>
      <c r="C1162" s="8"/>
      <c r="D1162" s="8"/>
      <c r="E1162" s="7"/>
      <c r="F1162" s="7"/>
      <c r="G1162" s="7"/>
      <c r="H1162" s="118"/>
      <c r="I1162" s="7"/>
      <c r="J1162" s="7"/>
      <c r="K1162" s="7"/>
      <c r="L1162" s="7"/>
      <c r="M1162" s="7"/>
      <c r="N1162" s="7"/>
      <c r="O1162" s="84" t="e" cm="1">
        <f t="array" ref="O1162">_xlfn.XLOOKUP(1,(A1162=Geotech!$A$4:$A$10094)*(Data_Discontinuities[[#This Row],[Depth (m)]]&gt;=Geotech!$C$4:$C$10094)*(Data_Discontinuities[[#This Row],[Depth (m)]]&lt;Geotech!$D$4:$D$10094),Geotech!$M$4:$M$10094)</f>
        <v>#N/A</v>
      </c>
      <c r="P1162" s="84"/>
      <c r="Q1162" s="84"/>
      <c r="R1162" s="84"/>
      <c r="S11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2" s="71" t="str">
        <f>IFERROR(Data_Discontinuities[[#This Row],[Joint roughness]]/Data_Discontinuities[[#This Row],[Joint alteration]],"")</f>
        <v/>
      </c>
      <c r="V11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2" s="87"/>
    </row>
    <row r="1163" spans="2:23" ht="15" customHeight="1" x14ac:dyDescent="0.25">
      <c r="B1163" s="17" t="e">
        <f>VLOOKUP(Data_Discontinuities[[#This Row],[Hole ID]],Data_Log[],2,FALSE)</f>
        <v>#N/A</v>
      </c>
      <c r="C1163" s="8"/>
      <c r="D1163" s="8"/>
      <c r="E1163" s="7"/>
      <c r="F1163" s="7"/>
      <c r="G1163" s="7"/>
      <c r="H1163" s="118"/>
      <c r="I1163" s="7"/>
      <c r="J1163" s="7"/>
      <c r="K1163" s="7"/>
      <c r="L1163" s="7"/>
      <c r="M1163" s="7"/>
      <c r="N1163" s="7"/>
      <c r="O1163" s="84" t="e" cm="1">
        <f t="array" ref="O1163">_xlfn.XLOOKUP(1,(A1163=Geotech!$A$4:$A$10094)*(Data_Discontinuities[[#This Row],[Depth (m)]]&gt;=Geotech!$C$4:$C$10094)*(Data_Discontinuities[[#This Row],[Depth (m)]]&lt;Geotech!$D$4:$D$10094),Geotech!$M$4:$M$10094)</f>
        <v>#N/A</v>
      </c>
      <c r="P1163" s="84"/>
      <c r="Q1163" s="84"/>
      <c r="R1163" s="84"/>
      <c r="S11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3" s="71" t="str">
        <f>IFERROR(Data_Discontinuities[[#This Row],[Joint roughness]]/Data_Discontinuities[[#This Row],[Joint alteration]],"")</f>
        <v/>
      </c>
      <c r="V11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3" s="87"/>
    </row>
    <row r="1164" spans="2:23" ht="15" customHeight="1" x14ac:dyDescent="0.25">
      <c r="B1164" s="17" t="e">
        <f>VLOOKUP(Data_Discontinuities[[#This Row],[Hole ID]],Data_Log[],2,FALSE)</f>
        <v>#N/A</v>
      </c>
      <c r="C1164" s="8"/>
      <c r="D1164" s="8"/>
      <c r="E1164" s="7"/>
      <c r="F1164" s="7"/>
      <c r="G1164" s="7"/>
      <c r="H1164" s="118"/>
      <c r="I1164" s="7"/>
      <c r="J1164" s="7"/>
      <c r="K1164" s="7"/>
      <c r="L1164" s="7"/>
      <c r="M1164" s="7"/>
      <c r="N1164" s="7"/>
      <c r="O1164" s="84" t="e" cm="1">
        <f t="array" ref="O1164">_xlfn.XLOOKUP(1,(A1164=Geotech!$A$4:$A$10094)*(Data_Discontinuities[[#This Row],[Depth (m)]]&gt;=Geotech!$C$4:$C$10094)*(Data_Discontinuities[[#This Row],[Depth (m)]]&lt;Geotech!$D$4:$D$10094),Geotech!$M$4:$M$10094)</f>
        <v>#N/A</v>
      </c>
      <c r="P1164" s="84"/>
      <c r="Q1164" s="84"/>
      <c r="R1164" s="84"/>
      <c r="S11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4" s="71" t="str">
        <f>IFERROR(Data_Discontinuities[[#This Row],[Joint roughness]]/Data_Discontinuities[[#This Row],[Joint alteration]],"")</f>
        <v/>
      </c>
      <c r="V11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4" s="87"/>
    </row>
    <row r="1165" spans="2:23" ht="15" customHeight="1" x14ac:dyDescent="0.25">
      <c r="B1165" s="17" t="e">
        <f>VLOOKUP(Data_Discontinuities[[#This Row],[Hole ID]],Data_Log[],2,FALSE)</f>
        <v>#N/A</v>
      </c>
      <c r="C1165" s="8"/>
      <c r="D1165" s="8"/>
      <c r="E1165" s="7"/>
      <c r="F1165" s="7"/>
      <c r="G1165" s="7"/>
      <c r="H1165" s="118"/>
      <c r="I1165" s="7"/>
      <c r="J1165" s="7"/>
      <c r="K1165" s="7"/>
      <c r="L1165" s="7"/>
      <c r="M1165" s="7"/>
      <c r="N1165" s="7"/>
      <c r="O1165" s="84" t="e" cm="1">
        <f t="array" ref="O1165">_xlfn.XLOOKUP(1,(A1165=Geotech!$A$4:$A$10094)*(Data_Discontinuities[[#This Row],[Depth (m)]]&gt;=Geotech!$C$4:$C$10094)*(Data_Discontinuities[[#This Row],[Depth (m)]]&lt;Geotech!$D$4:$D$10094),Geotech!$M$4:$M$10094)</f>
        <v>#N/A</v>
      </c>
      <c r="P1165" s="84"/>
      <c r="Q1165" s="84"/>
      <c r="R1165" s="84"/>
      <c r="S11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5" s="71" t="str">
        <f>IFERROR(Data_Discontinuities[[#This Row],[Joint roughness]]/Data_Discontinuities[[#This Row],[Joint alteration]],"")</f>
        <v/>
      </c>
      <c r="V11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5" s="87"/>
    </row>
    <row r="1166" spans="2:23" ht="15" customHeight="1" x14ac:dyDescent="0.25">
      <c r="B1166" s="17" t="e">
        <f>VLOOKUP(Data_Discontinuities[[#This Row],[Hole ID]],Data_Log[],2,FALSE)</f>
        <v>#N/A</v>
      </c>
      <c r="C1166" s="8"/>
      <c r="D1166" s="8"/>
      <c r="E1166" s="7"/>
      <c r="F1166" s="7"/>
      <c r="G1166" s="7"/>
      <c r="H1166" s="118"/>
      <c r="I1166" s="7"/>
      <c r="J1166" s="7"/>
      <c r="K1166" s="7"/>
      <c r="L1166" s="7"/>
      <c r="M1166" s="7"/>
      <c r="N1166" s="7"/>
      <c r="O1166" s="84" t="e" cm="1">
        <f t="array" ref="O1166">_xlfn.XLOOKUP(1,(A1166=Geotech!$A$4:$A$10094)*(Data_Discontinuities[[#This Row],[Depth (m)]]&gt;=Geotech!$C$4:$C$10094)*(Data_Discontinuities[[#This Row],[Depth (m)]]&lt;Geotech!$D$4:$D$10094),Geotech!$M$4:$M$10094)</f>
        <v>#N/A</v>
      </c>
      <c r="P1166" s="84"/>
      <c r="Q1166" s="84"/>
      <c r="R1166" s="84"/>
      <c r="S11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6" s="71" t="str">
        <f>IFERROR(Data_Discontinuities[[#This Row],[Joint roughness]]/Data_Discontinuities[[#This Row],[Joint alteration]],"")</f>
        <v/>
      </c>
      <c r="V11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6" s="87"/>
    </row>
    <row r="1167" spans="2:23" ht="15" customHeight="1" x14ac:dyDescent="0.25">
      <c r="B1167" s="17" t="e">
        <f>VLOOKUP(Data_Discontinuities[[#This Row],[Hole ID]],Data_Log[],2,FALSE)</f>
        <v>#N/A</v>
      </c>
      <c r="C1167" s="8"/>
      <c r="D1167" s="8"/>
      <c r="E1167" s="7"/>
      <c r="F1167" s="7"/>
      <c r="G1167" s="7"/>
      <c r="H1167" s="118"/>
      <c r="I1167" s="7"/>
      <c r="J1167" s="7"/>
      <c r="K1167" s="7"/>
      <c r="L1167" s="7"/>
      <c r="M1167" s="7"/>
      <c r="N1167" s="7"/>
      <c r="O1167" s="84" t="e" cm="1">
        <f t="array" ref="O1167">_xlfn.XLOOKUP(1,(A1167=Geotech!$A$4:$A$10094)*(Data_Discontinuities[[#This Row],[Depth (m)]]&gt;=Geotech!$C$4:$C$10094)*(Data_Discontinuities[[#This Row],[Depth (m)]]&lt;Geotech!$D$4:$D$10094),Geotech!$M$4:$M$10094)</f>
        <v>#N/A</v>
      </c>
      <c r="P1167" s="84"/>
      <c r="Q1167" s="84"/>
      <c r="R1167" s="84"/>
      <c r="S11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7" s="71" t="str">
        <f>IFERROR(Data_Discontinuities[[#This Row],[Joint roughness]]/Data_Discontinuities[[#This Row],[Joint alteration]],"")</f>
        <v/>
      </c>
      <c r="V11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7" s="87"/>
    </row>
    <row r="1168" spans="2:23" ht="15" customHeight="1" x14ac:dyDescent="0.25">
      <c r="B1168" s="17" t="e">
        <f>VLOOKUP(Data_Discontinuities[[#This Row],[Hole ID]],Data_Log[],2,FALSE)</f>
        <v>#N/A</v>
      </c>
      <c r="C1168" s="8"/>
      <c r="D1168" s="8"/>
      <c r="E1168" s="7"/>
      <c r="F1168" s="7"/>
      <c r="G1168" s="7"/>
      <c r="H1168" s="118"/>
      <c r="I1168" s="7"/>
      <c r="J1168" s="7"/>
      <c r="K1168" s="7"/>
      <c r="L1168" s="7"/>
      <c r="M1168" s="7"/>
      <c r="N1168" s="7"/>
      <c r="O1168" s="84" t="e" cm="1">
        <f t="array" ref="O1168">_xlfn.XLOOKUP(1,(A1168=Geotech!$A$4:$A$10094)*(Data_Discontinuities[[#This Row],[Depth (m)]]&gt;=Geotech!$C$4:$C$10094)*(Data_Discontinuities[[#This Row],[Depth (m)]]&lt;Geotech!$D$4:$D$10094),Geotech!$M$4:$M$10094)</f>
        <v>#N/A</v>
      </c>
      <c r="P1168" s="84"/>
      <c r="Q1168" s="84"/>
      <c r="R1168" s="84"/>
      <c r="S11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8" s="71" t="str">
        <f>IFERROR(Data_Discontinuities[[#This Row],[Joint roughness]]/Data_Discontinuities[[#This Row],[Joint alteration]],"")</f>
        <v/>
      </c>
      <c r="V11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8" s="87"/>
    </row>
    <row r="1169" spans="2:23" ht="15" customHeight="1" x14ac:dyDescent="0.25">
      <c r="B1169" s="17" t="e">
        <f>VLOOKUP(Data_Discontinuities[[#This Row],[Hole ID]],Data_Log[],2,FALSE)</f>
        <v>#N/A</v>
      </c>
      <c r="C1169" s="8"/>
      <c r="D1169" s="8"/>
      <c r="E1169" s="7"/>
      <c r="F1169" s="7"/>
      <c r="G1169" s="7"/>
      <c r="H1169" s="118"/>
      <c r="I1169" s="7"/>
      <c r="J1169" s="7"/>
      <c r="K1169" s="7"/>
      <c r="L1169" s="7"/>
      <c r="M1169" s="7"/>
      <c r="N1169" s="7"/>
      <c r="O1169" s="84" t="e" cm="1">
        <f t="array" ref="O1169">_xlfn.XLOOKUP(1,(A1169=Geotech!$A$4:$A$10094)*(Data_Discontinuities[[#This Row],[Depth (m)]]&gt;=Geotech!$C$4:$C$10094)*(Data_Discontinuities[[#This Row],[Depth (m)]]&lt;Geotech!$D$4:$D$10094),Geotech!$M$4:$M$10094)</f>
        <v>#N/A</v>
      </c>
      <c r="P1169" s="84"/>
      <c r="Q1169" s="84"/>
      <c r="R1169" s="84"/>
      <c r="S11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69" s="71" t="str">
        <f>IFERROR(Data_Discontinuities[[#This Row],[Joint roughness]]/Data_Discontinuities[[#This Row],[Joint alteration]],"")</f>
        <v/>
      </c>
      <c r="V11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69" s="87"/>
    </row>
    <row r="1170" spans="2:23" ht="15" customHeight="1" x14ac:dyDescent="0.25">
      <c r="B1170" s="17" t="e">
        <f>VLOOKUP(Data_Discontinuities[[#This Row],[Hole ID]],Data_Log[],2,FALSE)</f>
        <v>#N/A</v>
      </c>
      <c r="C1170" s="8"/>
      <c r="D1170" s="8"/>
      <c r="E1170" s="7"/>
      <c r="F1170" s="7"/>
      <c r="G1170" s="7"/>
      <c r="H1170" s="118"/>
      <c r="I1170" s="7"/>
      <c r="J1170" s="7"/>
      <c r="K1170" s="7"/>
      <c r="L1170" s="7"/>
      <c r="M1170" s="7"/>
      <c r="N1170" s="7"/>
      <c r="O1170" s="84" t="e" cm="1">
        <f t="array" ref="O1170">_xlfn.XLOOKUP(1,(A1170=Geotech!$A$4:$A$10094)*(Data_Discontinuities[[#This Row],[Depth (m)]]&gt;=Geotech!$C$4:$C$10094)*(Data_Discontinuities[[#This Row],[Depth (m)]]&lt;Geotech!$D$4:$D$10094),Geotech!$M$4:$M$10094)</f>
        <v>#N/A</v>
      </c>
      <c r="P1170" s="84"/>
      <c r="Q1170" s="84"/>
      <c r="R1170" s="84"/>
      <c r="S11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0" s="71" t="str">
        <f>IFERROR(Data_Discontinuities[[#This Row],[Joint roughness]]/Data_Discontinuities[[#This Row],[Joint alteration]],"")</f>
        <v/>
      </c>
      <c r="V11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0" s="87"/>
    </row>
    <row r="1171" spans="2:23" ht="15" customHeight="1" x14ac:dyDescent="0.25">
      <c r="B1171" s="17" t="e">
        <f>VLOOKUP(Data_Discontinuities[[#This Row],[Hole ID]],Data_Log[],2,FALSE)</f>
        <v>#N/A</v>
      </c>
      <c r="C1171" s="8"/>
      <c r="D1171" s="8"/>
      <c r="E1171" s="7"/>
      <c r="F1171" s="7"/>
      <c r="G1171" s="7"/>
      <c r="H1171" s="118"/>
      <c r="I1171" s="7"/>
      <c r="J1171" s="7"/>
      <c r="K1171" s="7"/>
      <c r="L1171" s="7"/>
      <c r="M1171" s="7"/>
      <c r="N1171" s="7"/>
      <c r="O1171" s="84" t="e" cm="1">
        <f t="array" ref="O1171">_xlfn.XLOOKUP(1,(A1171=Geotech!$A$4:$A$10094)*(Data_Discontinuities[[#This Row],[Depth (m)]]&gt;=Geotech!$C$4:$C$10094)*(Data_Discontinuities[[#This Row],[Depth (m)]]&lt;Geotech!$D$4:$D$10094),Geotech!$M$4:$M$10094)</f>
        <v>#N/A</v>
      </c>
      <c r="P1171" s="84"/>
      <c r="Q1171" s="84"/>
      <c r="R1171" s="84"/>
      <c r="S11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1" s="71" t="str">
        <f>IFERROR(Data_Discontinuities[[#This Row],[Joint roughness]]/Data_Discontinuities[[#This Row],[Joint alteration]],"")</f>
        <v/>
      </c>
      <c r="V11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1" s="87"/>
    </row>
    <row r="1172" spans="2:23" ht="15" customHeight="1" x14ac:dyDescent="0.25">
      <c r="B1172" s="17" t="e">
        <f>VLOOKUP(Data_Discontinuities[[#This Row],[Hole ID]],Data_Log[],2,FALSE)</f>
        <v>#N/A</v>
      </c>
      <c r="C1172" s="8"/>
      <c r="D1172" s="8"/>
      <c r="E1172" s="7"/>
      <c r="F1172" s="7"/>
      <c r="G1172" s="7"/>
      <c r="H1172" s="118"/>
      <c r="I1172" s="7"/>
      <c r="J1172" s="7"/>
      <c r="K1172" s="7"/>
      <c r="L1172" s="7"/>
      <c r="M1172" s="7"/>
      <c r="N1172" s="7"/>
      <c r="O1172" s="84" t="e" cm="1">
        <f t="array" ref="O1172">_xlfn.XLOOKUP(1,(A1172=Geotech!$A$4:$A$10094)*(Data_Discontinuities[[#This Row],[Depth (m)]]&gt;=Geotech!$C$4:$C$10094)*(Data_Discontinuities[[#This Row],[Depth (m)]]&lt;Geotech!$D$4:$D$10094),Geotech!$M$4:$M$10094)</f>
        <v>#N/A</v>
      </c>
      <c r="P1172" s="84"/>
      <c r="Q1172" s="84"/>
      <c r="R1172" s="84"/>
      <c r="S11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2" s="71" t="str">
        <f>IFERROR(Data_Discontinuities[[#This Row],[Joint roughness]]/Data_Discontinuities[[#This Row],[Joint alteration]],"")</f>
        <v/>
      </c>
      <c r="V11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2" s="87"/>
    </row>
    <row r="1173" spans="2:23" ht="15" customHeight="1" x14ac:dyDescent="0.25">
      <c r="B1173" s="17" t="e">
        <f>VLOOKUP(Data_Discontinuities[[#This Row],[Hole ID]],Data_Log[],2,FALSE)</f>
        <v>#N/A</v>
      </c>
      <c r="C1173" s="8"/>
      <c r="D1173" s="8"/>
      <c r="E1173" s="7"/>
      <c r="F1173" s="7"/>
      <c r="G1173" s="7"/>
      <c r="H1173" s="118"/>
      <c r="I1173" s="7"/>
      <c r="J1173" s="7"/>
      <c r="K1173" s="7"/>
      <c r="L1173" s="7"/>
      <c r="M1173" s="7"/>
      <c r="N1173" s="7"/>
      <c r="O1173" s="84" t="e" cm="1">
        <f t="array" ref="O1173">_xlfn.XLOOKUP(1,(A1173=Geotech!$A$4:$A$10094)*(Data_Discontinuities[[#This Row],[Depth (m)]]&gt;=Geotech!$C$4:$C$10094)*(Data_Discontinuities[[#This Row],[Depth (m)]]&lt;Geotech!$D$4:$D$10094),Geotech!$M$4:$M$10094)</f>
        <v>#N/A</v>
      </c>
      <c r="P1173" s="84"/>
      <c r="Q1173" s="84"/>
      <c r="R1173" s="84"/>
      <c r="S11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3" s="71" t="str">
        <f>IFERROR(Data_Discontinuities[[#This Row],[Joint roughness]]/Data_Discontinuities[[#This Row],[Joint alteration]],"")</f>
        <v/>
      </c>
      <c r="V11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3" s="87"/>
    </row>
    <row r="1174" spans="2:23" ht="15" customHeight="1" x14ac:dyDescent="0.25">
      <c r="B1174" s="17" t="e">
        <f>VLOOKUP(Data_Discontinuities[[#This Row],[Hole ID]],Data_Log[],2,FALSE)</f>
        <v>#N/A</v>
      </c>
      <c r="C1174" s="8"/>
      <c r="D1174" s="8"/>
      <c r="E1174" s="7"/>
      <c r="F1174" s="7"/>
      <c r="G1174" s="7"/>
      <c r="H1174" s="118"/>
      <c r="I1174" s="7"/>
      <c r="J1174" s="7"/>
      <c r="K1174" s="7"/>
      <c r="L1174" s="7"/>
      <c r="M1174" s="7"/>
      <c r="N1174" s="7"/>
      <c r="O1174" s="84" t="e" cm="1">
        <f t="array" ref="O1174">_xlfn.XLOOKUP(1,(A1174=Geotech!$A$4:$A$10094)*(Data_Discontinuities[[#This Row],[Depth (m)]]&gt;=Geotech!$C$4:$C$10094)*(Data_Discontinuities[[#This Row],[Depth (m)]]&lt;Geotech!$D$4:$D$10094),Geotech!$M$4:$M$10094)</f>
        <v>#N/A</v>
      </c>
      <c r="P1174" s="84"/>
      <c r="Q1174" s="84"/>
      <c r="R1174" s="84"/>
      <c r="S11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4" s="71" t="str">
        <f>IFERROR(Data_Discontinuities[[#This Row],[Joint roughness]]/Data_Discontinuities[[#This Row],[Joint alteration]],"")</f>
        <v/>
      </c>
      <c r="V11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4" s="87"/>
    </row>
    <row r="1175" spans="2:23" ht="15" customHeight="1" x14ac:dyDescent="0.25">
      <c r="B1175" s="17" t="e">
        <f>VLOOKUP(Data_Discontinuities[[#This Row],[Hole ID]],Data_Log[],2,FALSE)</f>
        <v>#N/A</v>
      </c>
      <c r="C1175" s="8"/>
      <c r="D1175" s="8"/>
      <c r="E1175" s="7"/>
      <c r="F1175" s="7"/>
      <c r="G1175" s="7"/>
      <c r="H1175" s="118"/>
      <c r="I1175" s="7"/>
      <c r="J1175" s="7"/>
      <c r="K1175" s="7"/>
      <c r="L1175" s="7"/>
      <c r="M1175" s="7"/>
      <c r="N1175" s="7"/>
      <c r="O1175" s="84" t="e" cm="1">
        <f t="array" ref="O1175">_xlfn.XLOOKUP(1,(A1175=Geotech!$A$4:$A$10094)*(Data_Discontinuities[[#This Row],[Depth (m)]]&gt;=Geotech!$C$4:$C$10094)*(Data_Discontinuities[[#This Row],[Depth (m)]]&lt;Geotech!$D$4:$D$10094),Geotech!$M$4:$M$10094)</f>
        <v>#N/A</v>
      </c>
      <c r="P1175" s="84"/>
      <c r="Q1175" s="84"/>
      <c r="R1175" s="84"/>
      <c r="S11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5" s="71" t="str">
        <f>IFERROR(Data_Discontinuities[[#This Row],[Joint roughness]]/Data_Discontinuities[[#This Row],[Joint alteration]],"")</f>
        <v/>
      </c>
      <c r="V11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5" s="87"/>
    </row>
    <row r="1176" spans="2:23" ht="15" customHeight="1" x14ac:dyDescent="0.25">
      <c r="B1176" s="17" t="e">
        <f>VLOOKUP(Data_Discontinuities[[#This Row],[Hole ID]],Data_Log[],2,FALSE)</f>
        <v>#N/A</v>
      </c>
      <c r="C1176" s="8"/>
      <c r="D1176" s="8"/>
      <c r="E1176" s="7"/>
      <c r="F1176" s="7"/>
      <c r="G1176" s="7"/>
      <c r="H1176" s="118"/>
      <c r="I1176" s="7"/>
      <c r="J1176" s="7"/>
      <c r="K1176" s="7"/>
      <c r="L1176" s="7"/>
      <c r="M1176" s="7"/>
      <c r="N1176" s="7"/>
      <c r="O1176" s="84" t="e" cm="1">
        <f t="array" ref="O1176">_xlfn.XLOOKUP(1,(A1176=Geotech!$A$4:$A$10094)*(Data_Discontinuities[[#This Row],[Depth (m)]]&gt;=Geotech!$C$4:$C$10094)*(Data_Discontinuities[[#This Row],[Depth (m)]]&lt;Geotech!$D$4:$D$10094),Geotech!$M$4:$M$10094)</f>
        <v>#N/A</v>
      </c>
      <c r="P1176" s="84"/>
      <c r="Q1176" s="84"/>
      <c r="R1176" s="84"/>
      <c r="S11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6" s="71" t="str">
        <f>IFERROR(Data_Discontinuities[[#This Row],[Joint roughness]]/Data_Discontinuities[[#This Row],[Joint alteration]],"")</f>
        <v/>
      </c>
      <c r="V11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6" s="87"/>
    </row>
    <row r="1177" spans="2:23" ht="15" customHeight="1" x14ac:dyDescent="0.25">
      <c r="B1177" s="17" t="e">
        <f>VLOOKUP(Data_Discontinuities[[#This Row],[Hole ID]],Data_Log[],2,FALSE)</f>
        <v>#N/A</v>
      </c>
      <c r="C1177" s="8"/>
      <c r="D1177" s="8"/>
      <c r="E1177" s="7"/>
      <c r="F1177" s="7"/>
      <c r="G1177" s="7"/>
      <c r="H1177" s="118"/>
      <c r="I1177" s="7"/>
      <c r="J1177" s="7"/>
      <c r="K1177" s="7"/>
      <c r="L1177" s="7"/>
      <c r="M1177" s="7"/>
      <c r="N1177" s="7"/>
      <c r="O1177" s="84" t="e" cm="1">
        <f t="array" ref="O1177">_xlfn.XLOOKUP(1,(A1177=Geotech!$A$4:$A$10094)*(Data_Discontinuities[[#This Row],[Depth (m)]]&gt;=Geotech!$C$4:$C$10094)*(Data_Discontinuities[[#This Row],[Depth (m)]]&lt;Geotech!$D$4:$D$10094),Geotech!$M$4:$M$10094)</f>
        <v>#N/A</v>
      </c>
      <c r="P1177" s="84"/>
      <c r="Q1177" s="84"/>
      <c r="R1177" s="84"/>
      <c r="S11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7" s="71" t="str">
        <f>IFERROR(Data_Discontinuities[[#This Row],[Joint roughness]]/Data_Discontinuities[[#This Row],[Joint alteration]],"")</f>
        <v/>
      </c>
      <c r="V11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7" s="87"/>
    </row>
    <row r="1178" spans="2:23" ht="15" customHeight="1" x14ac:dyDescent="0.25">
      <c r="B1178" s="17" t="e">
        <f>VLOOKUP(Data_Discontinuities[[#This Row],[Hole ID]],Data_Log[],2,FALSE)</f>
        <v>#N/A</v>
      </c>
      <c r="C1178" s="8"/>
      <c r="D1178" s="8"/>
      <c r="E1178" s="7"/>
      <c r="F1178" s="7"/>
      <c r="G1178" s="7"/>
      <c r="H1178" s="118"/>
      <c r="I1178" s="7"/>
      <c r="J1178" s="7"/>
      <c r="K1178" s="7"/>
      <c r="L1178" s="7"/>
      <c r="M1178" s="7"/>
      <c r="N1178" s="7"/>
      <c r="O1178" s="84" t="e" cm="1">
        <f t="array" ref="O1178">_xlfn.XLOOKUP(1,(A1178=Geotech!$A$4:$A$10094)*(Data_Discontinuities[[#This Row],[Depth (m)]]&gt;=Geotech!$C$4:$C$10094)*(Data_Discontinuities[[#This Row],[Depth (m)]]&lt;Geotech!$D$4:$D$10094),Geotech!$M$4:$M$10094)</f>
        <v>#N/A</v>
      </c>
      <c r="P1178" s="84"/>
      <c r="Q1178" s="84"/>
      <c r="R1178" s="84"/>
      <c r="S11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8" s="71" t="str">
        <f>IFERROR(Data_Discontinuities[[#This Row],[Joint roughness]]/Data_Discontinuities[[#This Row],[Joint alteration]],"")</f>
        <v/>
      </c>
      <c r="V11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8" s="87"/>
    </row>
    <row r="1179" spans="2:23" ht="15" customHeight="1" x14ac:dyDescent="0.25">
      <c r="B1179" s="17" t="e">
        <f>VLOOKUP(Data_Discontinuities[[#This Row],[Hole ID]],Data_Log[],2,FALSE)</f>
        <v>#N/A</v>
      </c>
      <c r="C1179" s="8"/>
      <c r="D1179" s="8"/>
      <c r="E1179" s="7"/>
      <c r="F1179" s="7"/>
      <c r="G1179" s="7"/>
      <c r="H1179" s="118"/>
      <c r="I1179" s="7"/>
      <c r="J1179" s="7"/>
      <c r="K1179" s="7"/>
      <c r="L1179" s="7"/>
      <c r="M1179" s="7"/>
      <c r="N1179" s="7"/>
      <c r="O1179" s="84" t="e" cm="1">
        <f t="array" ref="O1179">_xlfn.XLOOKUP(1,(A1179=Geotech!$A$4:$A$10094)*(Data_Discontinuities[[#This Row],[Depth (m)]]&gt;=Geotech!$C$4:$C$10094)*(Data_Discontinuities[[#This Row],[Depth (m)]]&lt;Geotech!$D$4:$D$10094),Geotech!$M$4:$M$10094)</f>
        <v>#N/A</v>
      </c>
      <c r="P1179" s="84"/>
      <c r="Q1179" s="84"/>
      <c r="R1179" s="84"/>
      <c r="S11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79" s="71" t="str">
        <f>IFERROR(Data_Discontinuities[[#This Row],[Joint roughness]]/Data_Discontinuities[[#This Row],[Joint alteration]],"")</f>
        <v/>
      </c>
      <c r="V11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79" s="87"/>
    </row>
    <row r="1180" spans="2:23" ht="15" customHeight="1" x14ac:dyDescent="0.25">
      <c r="B1180" s="17" t="e">
        <f>VLOOKUP(Data_Discontinuities[[#This Row],[Hole ID]],Data_Log[],2,FALSE)</f>
        <v>#N/A</v>
      </c>
      <c r="C1180" s="8"/>
      <c r="D1180" s="8"/>
      <c r="E1180" s="7"/>
      <c r="F1180" s="7"/>
      <c r="G1180" s="7"/>
      <c r="H1180" s="118"/>
      <c r="I1180" s="7"/>
      <c r="J1180" s="7"/>
      <c r="K1180" s="7"/>
      <c r="L1180" s="7"/>
      <c r="M1180" s="7"/>
      <c r="N1180" s="7"/>
      <c r="O1180" s="84" t="e" cm="1">
        <f t="array" ref="O1180">_xlfn.XLOOKUP(1,(A1180=Geotech!$A$4:$A$10094)*(Data_Discontinuities[[#This Row],[Depth (m)]]&gt;=Geotech!$C$4:$C$10094)*(Data_Discontinuities[[#This Row],[Depth (m)]]&lt;Geotech!$D$4:$D$10094),Geotech!$M$4:$M$10094)</f>
        <v>#N/A</v>
      </c>
      <c r="P1180" s="84"/>
      <c r="Q1180" s="84"/>
      <c r="R1180" s="84"/>
      <c r="S11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0" s="71" t="str">
        <f>IFERROR(Data_Discontinuities[[#This Row],[Joint roughness]]/Data_Discontinuities[[#This Row],[Joint alteration]],"")</f>
        <v/>
      </c>
      <c r="V11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0" s="87"/>
    </row>
    <row r="1181" spans="2:23" ht="15" customHeight="1" x14ac:dyDescent="0.25">
      <c r="B1181" s="17" t="e">
        <f>VLOOKUP(Data_Discontinuities[[#This Row],[Hole ID]],Data_Log[],2,FALSE)</f>
        <v>#N/A</v>
      </c>
      <c r="C1181" s="8"/>
      <c r="D1181" s="8"/>
      <c r="E1181" s="7"/>
      <c r="F1181" s="7"/>
      <c r="G1181" s="7"/>
      <c r="H1181" s="118"/>
      <c r="I1181" s="7"/>
      <c r="J1181" s="7"/>
      <c r="K1181" s="7"/>
      <c r="L1181" s="7"/>
      <c r="M1181" s="7"/>
      <c r="N1181" s="7"/>
      <c r="O1181" s="84" t="e" cm="1">
        <f t="array" ref="O1181">_xlfn.XLOOKUP(1,(A1181=Geotech!$A$4:$A$10094)*(Data_Discontinuities[[#This Row],[Depth (m)]]&gt;=Geotech!$C$4:$C$10094)*(Data_Discontinuities[[#This Row],[Depth (m)]]&lt;Geotech!$D$4:$D$10094),Geotech!$M$4:$M$10094)</f>
        <v>#N/A</v>
      </c>
      <c r="P1181" s="84"/>
      <c r="Q1181" s="84"/>
      <c r="R1181" s="84"/>
      <c r="S11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1" s="71" t="str">
        <f>IFERROR(Data_Discontinuities[[#This Row],[Joint roughness]]/Data_Discontinuities[[#This Row],[Joint alteration]],"")</f>
        <v/>
      </c>
      <c r="V11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1" s="87"/>
    </row>
    <row r="1182" spans="2:23" ht="15" customHeight="1" x14ac:dyDescent="0.25">
      <c r="B1182" s="17" t="e">
        <f>VLOOKUP(Data_Discontinuities[[#This Row],[Hole ID]],Data_Log[],2,FALSE)</f>
        <v>#N/A</v>
      </c>
      <c r="C1182" s="8"/>
      <c r="D1182" s="8"/>
      <c r="E1182" s="7"/>
      <c r="F1182" s="7"/>
      <c r="G1182" s="7"/>
      <c r="H1182" s="118"/>
      <c r="I1182" s="7"/>
      <c r="J1182" s="7"/>
      <c r="K1182" s="7"/>
      <c r="L1182" s="7"/>
      <c r="M1182" s="7"/>
      <c r="N1182" s="7"/>
      <c r="O1182" s="84" t="e" cm="1">
        <f t="array" ref="O1182">_xlfn.XLOOKUP(1,(A1182=Geotech!$A$4:$A$10094)*(Data_Discontinuities[[#This Row],[Depth (m)]]&gt;=Geotech!$C$4:$C$10094)*(Data_Discontinuities[[#This Row],[Depth (m)]]&lt;Geotech!$D$4:$D$10094),Geotech!$M$4:$M$10094)</f>
        <v>#N/A</v>
      </c>
      <c r="P1182" s="84"/>
      <c r="Q1182" s="84"/>
      <c r="R1182" s="84"/>
      <c r="S11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2" s="71" t="str">
        <f>IFERROR(Data_Discontinuities[[#This Row],[Joint roughness]]/Data_Discontinuities[[#This Row],[Joint alteration]],"")</f>
        <v/>
      </c>
      <c r="V11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2" s="87"/>
    </row>
    <row r="1183" spans="2:23" ht="15" customHeight="1" x14ac:dyDescent="0.25">
      <c r="B1183" s="17" t="e">
        <f>VLOOKUP(Data_Discontinuities[[#This Row],[Hole ID]],Data_Log[],2,FALSE)</f>
        <v>#N/A</v>
      </c>
      <c r="C1183" s="8"/>
      <c r="D1183" s="8"/>
      <c r="E1183" s="7"/>
      <c r="F1183" s="7"/>
      <c r="G1183" s="7"/>
      <c r="H1183" s="118"/>
      <c r="I1183" s="7"/>
      <c r="J1183" s="7"/>
      <c r="K1183" s="7"/>
      <c r="L1183" s="7"/>
      <c r="M1183" s="7"/>
      <c r="N1183" s="7"/>
      <c r="O1183" s="84" t="e" cm="1">
        <f t="array" ref="O1183">_xlfn.XLOOKUP(1,(A1183=Geotech!$A$4:$A$10094)*(Data_Discontinuities[[#This Row],[Depth (m)]]&gt;=Geotech!$C$4:$C$10094)*(Data_Discontinuities[[#This Row],[Depth (m)]]&lt;Geotech!$D$4:$D$10094),Geotech!$M$4:$M$10094)</f>
        <v>#N/A</v>
      </c>
      <c r="P1183" s="84"/>
      <c r="Q1183" s="84"/>
      <c r="R1183" s="84"/>
      <c r="S11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3" s="71" t="str">
        <f>IFERROR(Data_Discontinuities[[#This Row],[Joint roughness]]/Data_Discontinuities[[#This Row],[Joint alteration]],"")</f>
        <v/>
      </c>
      <c r="V11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3" s="87"/>
    </row>
    <row r="1184" spans="2:23" ht="15" customHeight="1" x14ac:dyDescent="0.25">
      <c r="B1184" s="17" t="e">
        <f>VLOOKUP(Data_Discontinuities[[#This Row],[Hole ID]],Data_Log[],2,FALSE)</f>
        <v>#N/A</v>
      </c>
      <c r="C1184" s="8"/>
      <c r="D1184" s="8"/>
      <c r="E1184" s="7"/>
      <c r="F1184" s="7"/>
      <c r="G1184" s="7"/>
      <c r="H1184" s="118"/>
      <c r="I1184" s="7"/>
      <c r="J1184" s="7"/>
      <c r="K1184" s="7"/>
      <c r="L1184" s="7"/>
      <c r="M1184" s="7"/>
      <c r="N1184" s="7"/>
      <c r="O1184" s="84" t="e" cm="1">
        <f t="array" ref="O1184">_xlfn.XLOOKUP(1,(A1184=Geotech!$A$4:$A$10094)*(Data_Discontinuities[[#This Row],[Depth (m)]]&gt;=Geotech!$C$4:$C$10094)*(Data_Discontinuities[[#This Row],[Depth (m)]]&lt;Geotech!$D$4:$D$10094),Geotech!$M$4:$M$10094)</f>
        <v>#N/A</v>
      </c>
      <c r="P1184" s="84"/>
      <c r="Q1184" s="84"/>
      <c r="R1184" s="84"/>
      <c r="S11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4" s="71" t="str">
        <f>IFERROR(Data_Discontinuities[[#This Row],[Joint roughness]]/Data_Discontinuities[[#This Row],[Joint alteration]],"")</f>
        <v/>
      </c>
      <c r="V11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4" s="87"/>
    </row>
    <row r="1185" spans="2:23" ht="15" customHeight="1" x14ac:dyDescent="0.25">
      <c r="B1185" s="17" t="e">
        <f>VLOOKUP(Data_Discontinuities[[#This Row],[Hole ID]],Data_Log[],2,FALSE)</f>
        <v>#N/A</v>
      </c>
      <c r="C1185" s="8"/>
      <c r="D1185" s="8"/>
      <c r="E1185" s="7"/>
      <c r="F1185" s="7"/>
      <c r="G1185" s="7"/>
      <c r="H1185" s="118"/>
      <c r="I1185" s="7"/>
      <c r="J1185" s="7"/>
      <c r="K1185" s="7"/>
      <c r="L1185" s="7"/>
      <c r="M1185" s="7"/>
      <c r="N1185" s="7"/>
      <c r="O1185" s="84" t="e" cm="1">
        <f t="array" ref="O1185">_xlfn.XLOOKUP(1,(A1185=Geotech!$A$4:$A$10094)*(Data_Discontinuities[[#This Row],[Depth (m)]]&gt;=Geotech!$C$4:$C$10094)*(Data_Discontinuities[[#This Row],[Depth (m)]]&lt;Geotech!$D$4:$D$10094),Geotech!$M$4:$M$10094)</f>
        <v>#N/A</v>
      </c>
      <c r="P1185" s="84"/>
      <c r="Q1185" s="84"/>
      <c r="R1185" s="84"/>
      <c r="S11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5" s="71" t="str">
        <f>IFERROR(Data_Discontinuities[[#This Row],[Joint roughness]]/Data_Discontinuities[[#This Row],[Joint alteration]],"")</f>
        <v/>
      </c>
      <c r="V11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5" s="87"/>
    </row>
    <row r="1186" spans="2:23" ht="15" customHeight="1" x14ac:dyDescent="0.25">
      <c r="B1186" s="17" t="e">
        <f>VLOOKUP(Data_Discontinuities[[#This Row],[Hole ID]],Data_Log[],2,FALSE)</f>
        <v>#N/A</v>
      </c>
      <c r="C1186" s="8"/>
      <c r="D1186" s="8"/>
      <c r="E1186" s="7"/>
      <c r="F1186" s="7"/>
      <c r="G1186" s="7"/>
      <c r="H1186" s="118"/>
      <c r="I1186" s="7"/>
      <c r="J1186" s="7"/>
      <c r="K1186" s="7"/>
      <c r="L1186" s="7"/>
      <c r="M1186" s="7"/>
      <c r="N1186" s="7"/>
      <c r="O1186" s="84" t="e" cm="1">
        <f t="array" ref="O1186">_xlfn.XLOOKUP(1,(A1186=Geotech!$A$4:$A$10094)*(Data_Discontinuities[[#This Row],[Depth (m)]]&gt;=Geotech!$C$4:$C$10094)*(Data_Discontinuities[[#This Row],[Depth (m)]]&lt;Geotech!$D$4:$D$10094),Geotech!$M$4:$M$10094)</f>
        <v>#N/A</v>
      </c>
      <c r="P1186" s="84"/>
      <c r="Q1186" s="84"/>
      <c r="R1186" s="84"/>
      <c r="S11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6" s="71" t="str">
        <f>IFERROR(Data_Discontinuities[[#This Row],[Joint roughness]]/Data_Discontinuities[[#This Row],[Joint alteration]],"")</f>
        <v/>
      </c>
      <c r="V11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6" s="87"/>
    </row>
    <row r="1187" spans="2:23" ht="15" customHeight="1" x14ac:dyDescent="0.25">
      <c r="B1187" s="17" t="e">
        <f>VLOOKUP(Data_Discontinuities[[#This Row],[Hole ID]],Data_Log[],2,FALSE)</f>
        <v>#N/A</v>
      </c>
      <c r="C1187" s="8"/>
      <c r="D1187" s="8"/>
      <c r="E1187" s="7"/>
      <c r="F1187" s="7"/>
      <c r="G1187" s="7"/>
      <c r="H1187" s="118"/>
      <c r="I1187" s="7"/>
      <c r="J1187" s="7"/>
      <c r="K1187" s="7"/>
      <c r="L1187" s="7"/>
      <c r="M1187" s="7"/>
      <c r="N1187" s="7"/>
      <c r="O1187" s="84" t="e" cm="1">
        <f t="array" ref="O1187">_xlfn.XLOOKUP(1,(A1187=Geotech!$A$4:$A$10094)*(Data_Discontinuities[[#This Row],[Depth (m)]]&gt;=Geotech!$C$4:$C$10094)*(Data_Discontinuities[[#This Row],[Depth (m)]]&lt;Geotech!$D$4:$D$10094),Geotech!$M$4:$M$10094)</f>
        <v>#N/A</v>
      </c>
      <c r="P1187" s="84"/>
      <c r="Q1187" s="84"/>
      <c r="R1187" s="84"/>
      <c r="S11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7" s="71" t="str">
        <f>IFERROR(Data_Discontinuities[[#This Row],[Joint roughness]]/Data_Discontinuities[[#This Row],[Joint alteration]],"")</f>
        <v/>
      </c>
      <c r="V11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7" s="87"/>
    </row>
    <row r="1188" spans="2:23" ht="15" customHeight="1" x14ac:dyDescent="0.25">
      <c r="B1188" s="17" t="e">
        <f>VLOOKUP(Data_Discontinuities[[#This Row],[Hole ID]],Data_Log[],2,FALSE)</f>
        <v>#N/A</v>
      </c>
      <c r="C1188" s="8"/>
      <c r="D1188" s="8"/>
      <c r="E1188" s="7"/>
      <c r="F1188" s="7"/>
      <c r="G1188" s="7"/>
      <c r="H1188" s="118"/>
      <c r="I1188" s="7"/>
      <c r="J1188" s="7"/>
      <c r="K1188" s="7"/>
      <c r="L1188" s="7"/>
      <c r="M1188" s="7"/>
      <c r="N1188" s="7"/>
      <c r="O1188" s="84" t="e" cm="1">
        <f t="array" ref="O1188">_xlfn.XLOOKUP(1,(A1188=Geotech!$A$4:$A$10094)*(Data_Discontinuities[[#This Row],[Depth (m)]]&gt;=Geotech!$C$4:$C$10094)*(Data_Discontinuities[[#This Row],[Depth (m)]]&lt;Geotech!$D$4:$D$10094),Geotech!$M$4:$M$10094)</f>
        <v>#N/A</v>
      </c>
      <c r="P1188" s="84"/>
      <c r="Q1188" s="84"/>
      <c r="R1188" s="84"/>
      <c r="S11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8" s="71" t="str">
        <f>IFERROR(Data_Discontinuities[[#This Row],[Joint roughness]]/Data_Discontinuities[[#This Row],[Joint alteration]],"")</f>
        <v/>
      </c>
      <c r="V11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8" s="87"/>
    </row>
    <row r="1189" spans="2:23" ht="15" customHeight="1" x14ac:dyDescent="0.25">
      <c r="B1189" s="17" t="e">
        <f>VLOOKUP(Data_Discontinuities[[#This Row],[Hole ID]],Data_Log[],2,FALSE)</f>
        <v>#N/A</v>
      </c>
      <c r="C1189" s="8"/>
      <c r="D1189" s="8"/>
      <c r="E1189" s="7"/>
      <c r="F1189" s="7"/>
      <c r="G1189" s="7"/>
      <c r="H1189" s="118"/>
      <c r="I1189" s="7"/>
      <c r="J1189" s="7"/>
      <c r="K1189" s="7"/>
      <c r="L1189" s="7"/>
      <c r="M1189" s="7"/>
      <c r="N1189" s="7"/>
      <c r="O1189" s="84" t="e" cm="1">
        <f t="array" ref="O1189">_xlfn.XLOOKUP(1,(A1189=Geotech!$A$4:$A$10094)*(Data_Discontinuities[[#This Row],[Depth (m)]]&gt;=Geotech!$C$4:$C$10094)*(Data_Discontinuities[[#This Row],[Depth (m)]]&lt;Geotech!$D$4:$D$10094),Geotech!$M$4:$M$10094)</f>
        <v>#N/A</v>
      </c>
      <c r="P1189" s="84"/>
      <c r="Q1189" s="84"/>
      <c r="R1189" s="84"/>
      <c r="S11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89" s="71" t="str">
        <f>IFERROR(Data_Discontinuities[[#This Row],[Joint roughness]]/Data_Discontinuities[[#This Row],[Joint alteration]],"")</f>
        <v/>
      </c>
      <c r="V11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89" s="87"/>
    </row>
    <row r="1190" spans="2:23" ht="15" customHeight="1" x14ac:dyDescent="0.25">
      <c r="B1190" s="17" t="e">
        <f>VLOOKUP(Data_Discontinuities[[#This Row],[Hole ID]],Data_Log[],2,FALSE)</f>
        <v>#N/A</v>
      </c>
      <c r="C1190" s="8"/>
      <c r="D1190" s="8"/>
      <c r="E1190" s="7"/>
      <c r="F1190" s="7"/>
      <c r="G1190" s="7"/>
      <c r="H1190" s="118"/>
      <c r="I1190" s="7"/>
      <c r="J1190" s="7"/>
      <c r="K1190" s="7"/>
      <c r="L1190" s="7"/>
      <c r="M1190" s="7"/>
      <c r="N1190" s="7"/>
      <c r="O1190" s="84" t="e" cm="1">
        <f t="array" ref="O1190">_xlfn.XLOOKUP(1,(A1190=Geotech!$A$4:$A$10094)*(Data_Discontinuities[[#This Row],[Depth (m)]]&gt;=Geotech!$C$4:$C$10094)*(Data_Discontinuities[[#This Row],[Depth (m)]]&lt;Geotech!$D$4:$D$10094),Geotech!$M$4:$M$10094)</f>
        <v>#N/A</v>
      </c>
      <c r="P1190" s="84"/>
      <c r="Q1190" s="84"/>
      <c r="R1190" s="84"/>
      <c r="S11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0" s="71" t="str">
        <f>IFERROR(Data_Discontinuities[[#This Row],[Joint roughness]]/Data_Discontinuities[[#This Row],[Joint alteration]],"")</f>
        <v/>
      </c>
      <c r="V11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0" s="87"/>
    </row>
    <row r="1191" spans="2:23" ht="15" customHeight="1" x14ac:dyDescent="0.25">
      <c r="B1191" s="17" t="e">
        <f>VLOOKUP(Data_Discontinuities[[#This Row],[Hole ID]],Data_Log[],2,FALSE)</f>
        <v>#N/A</v>
      </c>
      <c r="C1191" s="8"/>
      <c r="D1191" s="8"/>
      <c r="E1191" s="7"/>
      <c r="F1191" s="7"/>
      <c r="G1191" s="7"/>
      <c r="H1191" s="118"/>
      <c r="I1191" s="7"/>
      <c r="J1191" s="7"/>
      <c r="K1191" s="7"/>
      <c r="L1191" s="7"/>
      <c r="M1191" s="7"/>
      <c r="N1191" s="7"/>
      <c r="O1191" s="84" t="e" cm="1">
        <f t="array" ref="O1191">_xlfn.XLOOKUP(1,(A1191=Geotech!$A$4:$A$10094)*(Data_Discontinuities[[#This Row],[Depth (m)]]&gt;=Geotech!$C$4:$C$10094)*(Data_Discontinuities[[#This Row],[Depth (m)]]&lt;Geotech!$D$4:$D$10094),Geotech!$M$4:$M$10094)</f>
        <v>#N/A</v>
      </c>
      <c r="P1191" s="84"/>
      <c r="Q1191" s="84"/>
      <c r="R1191" s="84"/>
      <c r="S11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1" s="71" t="str">
        <f>IFERROR(Data_Discontinuities[[#This Row],[Joint roughness]]/Data_Discontinuities[[#This Row],[Joint alteration]],"")</f>
        <v/>
      </c>
      <c r="V11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1" s="87"/>
    </row>
    <row r="1192" spans="2:23" ht="15" customHeight="1" x14ac:dyDescent="0.25">
      <c r="B1192" s="17" t="e">
        <f>VLOOKUP(Data_Discontinuities[[#This Row],[Hole ID]],Data_Log[],2,FALSE)</f>
        <v>#N/A</v>
      </c>
      <c r="C1192" s="8"/>
      <c r="D1192" s="8"/>
      <c r="E1192" s="7"/>
      <c r="F1192" s="7"/>
      <c r="G1192" s="7"/>
      <c r="H1192" s="118"/>
      <c r="I1192" s="7"/>
      <c r="J1192" s="7"/>
      <c r="K1192" s="7"/>
      <c r="L1192" s="7"/>
      <c r="M1192" s="7"/>
      <c r="N1192" s="7"/>
      <c r="O1192" s="84" t="e" cm="1">
        <f t="array" ref="O1192">_xlfn.XLOOKUP(1,(A1192=Geotech!$A$4:$A$10094)*(Data_Discontinuities[[#This Row],[Depth (m)]]&gt;=Geotech!$C$4:$C$10094)*(Data_Discontinuities[[#This Row],[Depth (m)]]&lt;Geotech!$D$4:$D$10094),Geotech!$M$4:$M$10094)</f>
        <v>#N/A</v>
      </c>
      <c r="P1192" s="84"/>
      <c r="Q1192" s="84"/>
      <c r="R1192" s="84"/>
      <c r="S11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2" s="71" t="str">
        <f>IFERROR(Data_Discontinuities[[#This Row],[Joint roughness]]/Data_Discontinuities[[#This Row],[Joint alteration]],"")</f>
        <v/>
      </c>
      <c r="V11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2" s="87"/>
    </row>
    <row r="1193" spans="2:23" ht="15" customHeight="1" x14ac:dyDescent="0.25">
      <c r="B1193" s="17" t="e">
        <f>VLOOKUP(Data_Discontinuities[[#This Row],[Hole ID]],Data_Log[],2,FALSE)</f>
        <v>#N/A</v>
      </c>
      <c r="C1193" s="8"/>
      <c r="D1193" s="8"/>
      <c r="E1193" s="7"/>
      <c r="F1193" s="7"/>
      <c r="G1193" s="7"/>
      <c r="H1193" s="118"/>
      <c r="I1193" s="7"/>
      <c r="J1193" s="7"/>
      <c r="K1193" s="7"/>
      <c r="L1193" s="7"/>
      <c r="M1193" s="7"/>
      <c r="N1193" s="7"/>
      <c r="O1193" s="84" t="e" cm="1">
        <f t="array" ref="O1193">_xlfn.XLOOKUP(1,(A1193=Geotech!$A$4:$A$10094)*(Data_Discontinuities[[#This Row],[Depth (m)]]&gt;=Geotech!$C$4:$C$10094)*(Data_Discontinuities[[#This Row],[Depth (m)]]&lt;Geotech!$D$4:$D$10094),Geotech!$M$4:$M$10094)</f>
        <v>#N/A</v>
      </c>
      <c r="P1193" s="84"/>
      <c r="Q1193" s="84"/>
      <c r="R1193" s="84"/>
      <c r="S11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3" s="71" t="str">
        <f>IFERROR(Data_Discontinuities[[#This Row],[Joint roughness]]/Data_Discontinuities[[#This Row],[Joint alteration]],"")</f>
        <v/>
      </c>
      <c r="V11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3" s="87"/>
    </row>
    <row r="1194" spans="2:23" ht="15" customHeight="1" x14ac:dyDescent="0.25">
      <c r="B1194" s="17" t="e">
        <f>VLOOKUP(Data_Discontinuities[[#This Row],[Hole ID]],Data_Log[],2,FALSE)</f>
        <v>#N/A</v>
      </c>
      <c r="C1194" s="8"/>
      <c r="D1194" s="8"/>
      <c r="E1194" s="7"/>
      <c r="F1194" s="7"/>
      <c r="G1194" s="7"/>
      <c r="H1194" s="118"/>
      <c r="I1194" s="7"/>
      <c r="J1194" s="7"/>
      <c r="K1194" s="7"/>
      <c r="L1194" s="7"/>
      <c r="M1194" s="7"/>
      <c r="N1194" s="7"/>
      <c r="O1194" s="84" t="e" cm="1">
        <f t="array" ref="O1194">_xlfn.XLOOKUP(1,(A1194=Geotech!$A$4:$A$10094)*(Data_Discontinuities[[#This Row],[Depth (m)]]&gt;=Geotech!$C$4:$C$10094)*(Data_Discontinuities[[#This Row],[Depth (m)]]&lt;Geotech!$D$4:$D$10094),Geotech!$M$4:$M$10094)</f>
        <v>#N/A</v>
      </c>
      <c r="P1194" s="84"/>
      <c r="Q1194" s="84"/>
      <c r="R1194" s="84"/>
      <c r="S11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4" s="71" t="str">
        <f>IFERROR(Data_Discontinuities[[#This Row],[Joint roughness]]/Data_Discontinuities[[#This Row],[Joint alteration]],"")</f>
        <v/>
      </c>
      <c r="V11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4" s="87"/>
    </row>
    <row r="1195" spans="2:23" ht="15" customHeight="1" x14ac:dyDescent="0.25">
      <c r="B1195" s="17" t="e">
        <f>VLOOKUP(Data_Discontinuities[[#This Row],[Hole ID]],Data_Log[],2,FALSE)</f>
        <v>#N/A</v>
      </c>
      <c r="C1195" s="8"/>
      <c r="D1195" s="8"/>
      <c r="E1195" s="7"/>
      <c r="F1195" s="7"/>
      <c r="G1195" s="7"/>
      <c r="H1195" s="118"/>
      <c r="I1195" s="7"/>
      <c r="J1195" s="7"/>
      <c r="K1195" s="7"/>
      <c r="L1195" s="7"/>
      <c r="M1195" s="7"/>
      <c r="N1195" s="7"/>
      <c r="O1195" s="84" t="e" cm="1">
        <f t="array" ref="O1195">_xlfn.XLOOKUP(1,(A1195=Geotech!$A$4:$A$10094)*(Data_Discontinuities[[#This Row],[Depth (m)]]&gt;=Geotech!$C$4:$C$10094)*(Data_Discontinuities[[#This Row],[Depth (m)]]&lt;Geotech!$D$4:$D$10094),Geotech!$M$4:$M$10094)</f>
        <v>#N/A</v>
      </c>
      <c r="P1195" s="84"/>
      <c r="Q1195" s="84"/>
      <c r="R1195" s="84"/>
      <c r="S11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5" s="71" t="str">
        <f>IFERROR(Data_Discontinuities[[#This Row],[Joint roughness]]/Data_Discontinuities[[#This Row],[Joint alteration]],"")</f>
        <v/>
      </c>
      <c r="V11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5" s="87"/>
    </row>
    <row r="1196" spans="2:23" ht="15" customHeight="1" x14ac:dyDescent="0.25">
      <c r="B1196" s="17" t="e">
        <f>VLOOKUP(Data_Discontinuities[[#This Row],[Hole ID]],Data_Log[],2,FALSE)</f>
        <v>#N/A</v>
      </c>
      <c r="C1196" s="8"/>
      <c r="D1196" s="8"/>
      <c r="E1196" s="7"/>
      <c r="F1196" s="7"/>
      <c r="G1196" s="7"/>
      <c r="H1196" s="118"/>
      <c r="I1196" s="7"/>
      <c r="J1196" s="7"/>
      <c r="K1196" s="7"/>
      <c r="L1196" s="7"/>
      <c r="M1196" s="7"/>
      <c r="N1196" s="7"/>
      <c r="O1196" s="84" t="e" cm="1">
        <f t="array" ref="O1196">_xlfn.XLOOKUP(1,(A1196=Geotech!$A$4:$A$10094)*(Data_Discontinuities[[#This Row],[Depth (m)]]&gt;=Geotech!$C$4:$C$10094)*(Data_Discontinuities[[#This Row],[Depth (m)]]&lt;Geotech!$D$4:$D$10094),Geotech!$M$4:$M$10094)</f>
        <v>#N/A</v>
      </c>
      <c r="P1196" s="84"/>
      <c r="Q1196" s="84"/>
      <c r="R1196" s="84"/>
      <c r="S11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6" s="71" t="str">
        <f>IFERROR(Data_Discontinuities[[#This Row],[Joint roughness]]/Data_Discontinuities[[#This Row],[Joint alteration]],"")</f>
        <v/>
      </c>
      <c r="V11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6" s="87"/>
    </row>
    <row r="1197" spans="2:23" ht="15" customHeight="1" x14ac:dyDescent="0.25">
      <c r="B1197" s="17" t="e">
        <f>VLOOKUP(Data_Discontinuities[[#This Row],[Hole ID]],Data_Log[],2,FALSE)</f>
        <v>#N/A</v>
      </c>
      <c r="C1197" s="8"/>
      <c r="D1197" s="8"/>
      <c r="E1197" s="7"/>
      <c r="F1197" s="7"/>
      <c r="G1197" s="7"/>
      <c r="H1197" s="118"/>
      <c r="I1197" s="7"/>
      <c r="J1197" s="7"/>
      <c r="K1197" s="7"/>
      <c r="L1197" s="7"/>
      <c r="M1197" s="7"/>
      <c r="N1197" s="7"/>
      <c r="O1197" s="84" t="e" cm="1">
        <f t="array" ref="O1197">_xlfn.XLOOKUP(1,(A1197=Geotech!$A$4:$A$10094)*(Data_Discontinuities[[#This Row],[Depth (m)]]&gt;=Geotech!$C$4:$C$10094)*(Data_Discontinuities[[#This Row],[Depth (m)]]&lt;Geotech!$D$4:$D$10094),Geotech!$M$4:$M$10094)</f>
        <v>#N/A</v>
      </c>
      <c r="P1197" s="84"/>
      <c r="Q1197" s="84"/>
      <c r="R1197" s="84"/>
      <c r="S11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7" s="71" t="str">
        <f>IFERROR(Data_Discontinuities[[#This Row],[Joint roughness]]/Data_Discontinuities[[#This Row],[Joint alteration]],"")</f>
        <v/>
      </c>
      <c r="V11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7" s="87"/>
    </row>
    <row r="1198" spans="2:23" ht="15" customHeight="1" x14ac:dyDescent="0.25">
      <c r="B1198" s="17" t="e">
        <f>VLOOKUP(Data_Discontinuities[[#This Row],[Hole ID]],Data_Log[],2,FALSE)</f>
        <v>#N/A</v>
      </c>
      <c r="C1198" s="8"/>
      <c r="D1198" s="8"/>
      <c r="E1198" s="7"/>
      <c r="F1198" s="7"/>
      <c r="G1198" s="7"/>
      <c r="H1198" s="118"/>
      <c r="I1198" s="7"/>
      <c r="J1198" s="7"/>
      <c r="K1198" s="7"/>
      <c r="L1198" s="7"/>
      <c r="M1198" s="7"/>
      <c r="N1198" s="7"/>
      <c r="O1198" s="84" t="e" cm="1">
        <f t="array" ref="O1198">_xlfn.XLOOKUP(1,(A1198=Geotech!$A$4:$A$10094)*(Data_Discontinuities[[#This Row],[Depth (m)]]&gt;=Geotech!$C$4:$C$10094)*(Data_Discontinuities[[#This Row],[Depth (m)]]&lt;Geotech!$D$4:$D$10094),Geotech!$M$4:$M$10094)</f>
        <v>#N/A</v>
      </c>
      <c r="P1198" s="84"/>
      <c r="Q1198" s="84"/>
      <c r="R1198" s="84"/>
      <c r="S11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8" s="71" t="str">
        <f>IFERROR(Data_Discontinuities[[#This Row],[Joint roughness]]/Data_Discontinuities[[#This Row],[Joint alteration]],"")</f>
        <v/>
      </c>
      <c r="V11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8" s="87"/>
    </row>
    <row r="1199" spans="2:23" ht="15" customHeight="1" x14ac:dyDescent="0.25">
      <c r="B1199" s="17" t="e">
        <f>VLOOKUP(Data_Discontinuities[[#This Row],[Hole ID]],Data_Log[],2,FALSE)</f>
        <v>#N/A</v>
      </c>
      <c r="C1199" s="8"/>
      <c r="D1199" s="8"/>
      <c r="E1199" s="7"/>
      <c r="F1199" s="7"/>
      <c r="G1199" s="7"/>
      <c r="H1199" s="118"/>
      <c r="I1199" s="7"/>
      <c r="J1199" s="7"/>
      <c r="K1199" s="7"/>
      <c r="L1199" s="7"/>
      <c r="M1199" s="7"/>
      <c r="N1199" s="7"/>
      <c r="O1199" s="84" t="e" cm="1">
        <f t="array" ref="O1199">_xlfn.XLOOKUP(1,(A1199=Geotech!$A$4:$A$10094)*(Data_Discontinuities[[#This Row],[Depth (m)]]&gt;=Geotech!$C$4:$C$10094)*(Data_Discontinuities[[#This Row],[Depth (m)]]&lt;Geotech!$D$4:$D$10094),Geotech!$M$4:$M$10094)</f>
        <v>#N/A</v>
      </c>
      <c r="P1199" s="84"/>
      <c r="Q1199" s="84"/>
      <c r="R1199" s="84"/>
      <c r="S11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1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199" s="71" t="str">
        <f>IFERROR(Data_Discontinuities[[#This Row],[Joint roughness]]/Data_Discontinuities[[#This Row],[Joint alteration]],"")</f>
        <v/>
      </c>
      <c r="V11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199" s="87"/>
    </row>
    <row r="1200" spans="2:23" ht="15" customHeight="1" x14ac:dyDescent="0.25">
      <c r="B1200" s="17" t="e">
        <f>VLOOKUP(Data_Discontinuities[[#This Row],[Hole ID]],Data_Log[],2,FALSE)</f>
        <v>#N/A</v>
      </c>
      <c r="C1200" s="8"/>
      <c r="D1200" s="8"/>
      <c r="E1200" s="7"/>
      <c r="F1200" s="7"/>
      <c r="G1200" s="7"/>
      <c r="H1200" s="118"/>
      <c r="I1200" s="7"/>
      <c r="J1200" s="7"/>
      <c r="K1200" s="7"/>
      <c r="L1200" s="7"/>
      <c r="M1200" s="7"/>
      <c r="N1200" s="7"/>
      <c r="O1200" s="84" t="e" cm="1">
        <f t="array" ref="O1200">_xlfn.XLOOKUP(1,(A1200=Geotech!$A$4:$A$10094)*(Data_Discontinuities[[#This Row],[Depth (m)]]&gt;=Geotech!$C$4:$C$10094)*(Data_Discontinuities[[#This Row],[Depth (m)]]&lt;Geotech!$D$4:$D$10094),Geotech!$M$4:$M$10094)</f>
        <v>#N/A</v>
      </c>
      <c r="P1200" s="84"/>
      <c r="Q1200" s="84"/>
      <c r="R1200" s="84"/>
      <c r="S12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0" s="71" t="str">
        <f>IFERROR(Data_Discontinuities[[#This Row],[Joint roughness]]/Data_Discontinuities[[#This Row],[Joint alteration]],"")</f>
        <v/>
      </c>
      <c r="V12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0" s="87"/>
    </row>
    <row r="1201" spans="1:23" ht="15" customHeight="1" x14ac:dyDescent="0.25">
      <c r="B1201" s="17" t="e">
        <f>VLOOKUP(Data_Discontinuities[[#This Row],[Hole ID]],Data_Log[],2,FALSE)</f>
        <v>#N/A</v>
      </c>
      <c r="C1201" s="8"/>
      <c r="D1201" s="8"/>
      <c r="E1201" s="7"/>
      <c r="F1201" s="7"/>
      <c r="G1201" s="7"/>
      <c r="H1201" s="118"/>
      <c r="I1201" s="7"/>
      <c r="J1201" s="7"/>
      <c r="K1201" s="7"/>
      <c r="L1201" s="7"/>
      <c r="M1201" s="7"/>
      <c r="N1201" s="7"/>
      <c r="O1201" s="84" t="e" cm="1">
        <f t="array" ref="O1201">_xlfn.XLOOKUP(1,(A1201=Geotech!$A$4:$A$10094)*(Data_Discontinuities[[#This Row],[Depth (m)]]&gt;=Geotech!$C$4:$C$10094)*(Data_Discontinuities[[#This Row],[Depth (m)]]&lt;Geotech!$D$4:$D$10094),Geotech!$M$4:$M$10094)</f>
        <v>#N/A</v>
      </c>
      <c r="P1201" s="84"/>
      <c r="Q1201" s="84"/>
      <c r="R1201" s="84"/>
      <c r="S12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1" s="71" t="str">
        <f>IFERROR(Data_Discontinuities[[#This Row],[Joint roughness]]/Data_Discontinuities[[#This Row],[Joint alteration]],"")</f>
        <v/>
      </c>
      <c r="V12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1" s="87"/>
    </row>
    <row r="1202" spans="1:23" ht="15" customHeight="1" x14ac:dyDescent="0.25">
      <c r="B1202" s="17" t="e">
        <f>VLOOKUP(Data_Discontinuities[[#This Row],[Hole ID]],Data_Log[],2,FALSE)</f>
        <v>#N/A</v>
      </c>
      <c r="C1202" s="8"/>
      <c r="D1202" s="8"/>
      <c r="E1202" s="7"/>
      <c r="F1202" s="7"/>
      <c r="G1202" s="7"/>
      <c r="H1202" s="118"/>
      <c r="I1202" s="7"/>
      <c r="J1202" s="7"/>
      <c r="K1202" s="7"/>
      <c r="L1202" s="7"/>
      <c r="M1202" s="7"/>
      <c r="N1202" s="7"/>
      <c r="O1202" s="84" t="e" cm="1">
        <f t="array" ref="O1202">_xlfn.XLOOKUP(1,(A1202=Geotech!$A$4:$A$10094)*(Data_Discontinuities[[#This Row],[Depth (m)]]&gt;=Geotech!$C$4:$C$10094)*(Data_Discontinuities[[#This Row],[Depth (m)]]&lt;Geotech!$D$4:$D$10094),Geotech!$M$4:$M$10094)</f>
        <v>#N/A</v>
      </c>
      <c r="P1202" s="84"/>
      <c r="Q1202" s="84"/>
      <c r="R1202" s="84"/>
      <c r="S12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2" s="71" t="str">
        <f>IFERROR(Data_Discontinuities[[#This Row],[Joint roughness]]/Data_Discontinuities[[#This Row],[Joint alteration]],"")</f>
        <v/>
      </c>
      <c r="V12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2" s="87"/>
    </row>
    <row r="1203" spans="1:23" ht="15" customHeight="1" x14ac:dyDescent="0.25">
      <c r="B1203" s="17" t="e">
        <f>VLOOKUP(Data_Discontinuities[[#This Row],[Hole ID]],Data_Log[],2,FALSE)</f>
        <v>#N/A</v>
      </c>
      <c r="C1203" s="8"/>
      <c r="D1203" s="8"/>
      <c r="E1203" s="7"/>
      <c r="F1203" s="7"/>
      <c r="G1203" s="7"/>
      <c r="H1203" s="118"/>
      <c r="I1203" s="7"/>
      <c r="J1203" s="7"/>
      <c r="K1203" s="7"/>
      <c r="L1203" s="7"/>
      <c r="M1203" s="7"/>
      <c r="N1203" s="7"/>
      <c r="O1203" s="84" t="e" cm="1">
        <f t="array" ref="O1203">_xlfn.XLOOKUP(1,(A1203=Geotech!$A$4:$A$10094)*(Data_Discontinuities[[#This Row],[Depth (m)]]&gt;=Geotech!$C$4:$C$10094)*(Data_Discontinuities[[#This Row],[Depth (m)]]&lt;Geotech!$D$4:$D$10094),Geotech!$M$4:$M$10094)</f>
        <v>#N/A</v>
      </c>
      <c r="P1203" s="84"/>
      <c r="Q1203" s="84"/>
      <c r="R1203" s="84"/>
      <c r="S12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3" s="71" t="str">
        <f>IFERROR(Data_Discontinuities[[#This Row],[Joint roughness]]/Data_Discontinuities[[#This Row],[Joint alteration]],"")</f>
        <v/>
      </c>
      <c r="V12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3" s="87"/>
    </row>
    <row r="1204" spans="1:23" ht="15" customHeight="1" x14ac:dyDescent="0.25">
      <c r="B1204" s="17" t="e">
        <f>VLOOKUP(Data_Discontinuities[[#This Row],[Hole ID]],Data_Log[],2,FALSE)</f>
        <v>#N/A</v>
      </c>
      <c r="C1204" s="8"/>
      <c r="D1204" s="8"/>
      <c r="E1204" s="7"/>
      <c r="F1204" s="7"/>
      <c r="G1204" s="7"/>
      <c r="H1204" s="118"/>
      <c r="I1204" s="7"/>
      <c r="J1204" s="7"/>
      <c r="K1204" s="7"/>
      <c r="L1204" s="7"/>
      <c r="M1204" s="7"/>
      <c r="N1204" s="7"/>
      <c r="O1204" s="84" t="e" cm="1">
        <f t="array" ref="O1204">_xlfn.XLOOKUP(1,(A1204=Geotech!$A$4:$A$10094)*(Data_Discontinuities[[#This Row],[Depth (m)]]&gt;=Geotech!$C$4:$C$10094)*(Data_Discontinuities[[#This Row],[Depth (m)]]&lt;Geotech!$D$4:$D$10094),Geotech!$M$4:$M$10094)</f>
        <v>#N/A</v>
      </c>
      <c r="P1204" s="84"/>
      <c r="Q1204" s="84"/>
      <c r="R1204" s="84"/>
      <c r="S12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4" s="71" t="str">
        <f>IFERROR(Data_Discontinuities[[#This Row],[Joint roughness]]/Data_Discontinuities[[#This Row],[Joint alteration]],"")</f>
        <v/>
      </c>
      <c r="V12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4" s="87"/>
    </row>
    <row r="1205" spans="1:23" ht="15" customHeight="1" x14ac:dyDescent="0.25">
      <c r="B1205" s="17" t="e">
        <f>VLOOKUP(Data_Discontinuities[[#This Row],[Hole ID]],Data_Log[],2,FALSE)</f>
        <v>#N/A</v>
      </c>
      <c r="C1205" s="8"/>
      <c r="D1205" s="8"/>
      <c r="E1205" s="7"/>
      <c r="F1205" s="7"/>
      <c r="G1205" s="7"/>
      <c r="H1205" s="118"/>
      <c r="I1205" s="7"/>
      <c r="J1205" s="7"/>
      <c r="K1205" s="7"/>
      <c r="L1205" s="7"/>
      <c r="M1205" s="7"/>
      <c r="N1205" s="7"/>
      <c r="O1205" s="84" t="e" cm="1">
        <f t="array" ref="O1205">_xlfn.XLOOKUP(1,(A1205=Geotech!$A$4:$A$10094)*(Data_Discontinuities[[#This Row],[Depth (m)]]&gt;=Geotech!$C$4:$C$10094)*(Data_Discontinuities[[#This Row],[Depth (m)]]&lt;Geotech!$D$4:$D$10094),Geotech!$M$4:$M$10094)</f>
        <v>#N/A</v>
      </c>
      <c r="P1205" s="84"/>
      <c r="Q1205" s="84"/>
      <c r="R1205" s="84"/>
      <c r="S12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5" s="71" t="str">
        <f>IFERROR(Data_Discontinuities[[#This Row],[Joint roughness]]/Data_Discontinuities[[#This Row],[Joint alteration]],"")</f>
        <v/>
      </c>
      <c r="V12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5" s="87"/>
    </row>
    <row r="1206" spans="1:23" ht="15" customHeight="1" x14ac:dyDescent="0.25">
      <c r="B1206" s="17" t="e">
        <f>VLOOKUP(Data_Discontinuities[[#This Row],[Hole ID]],Data_Log[],2,FALSE)</f>
        <v>#N/A</v>
      </c>
      <c r="C1206" s="8"/>
      <c r="D1206" s="8"/>
      <c r="E1206" s="7"/>
      <c r="F1206" s="7"/>
      <c r="G1206" s="7"/>
      <c r="H1206" s="118"/>
      <c r="I1206" s="7"/>
      <c r="J1206" s="7"/>
      <c r="K1206" s="7"/>
      <c r="L1206" s="7"/>
      <c r="M1206" s="7"/>
      <c r="N1206" s="7"/>
      <c r="O1206" s="84" t="e" cm="1">
        <f t="array" ref="O1206">_xlfn.XLOOKUP(1,(A1206=Geotech!$A$4:$A$10094)*(Data_Discontinuities[[#This Row],[Depth (m)]]&gt;=Geotech!$C$4:$C$10094)*(Data_Discontinuities[[#This Row],[Depth (m)]]&lt;Geotech!$D$4:$D$10094),Geotech!$M$4:$M$10094)</f>
        <v>#N/A</v>
      </c>
      <c r="P1206" s="84"/>
      <c r="Q1206" s="84"/>
      <c r="R1206" s="84"/>
      <c r="S12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6" s="71" t="str">
        <f>IFERROR(Data_Discontinuities[[#This Row],[Joint roughness]]/Data_Discontinuities[[#This Row],[Joint alteration]],"")</f>
        <v/>
      </c>
      <c r="V12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6" s="87"/>
    </row>
    <row r="1207" spans="1:23" ht="15" customHeight="1" x14ac:dyDescent="0.25">
      <c r="B1207" s="17" t="e">
        <f>VLOOKUP(Data_Discontinuities[[#This Row],[Hole ID]],Data_Log[],2,FALSE)</f>
        <v>#N/A</v>
      </c>
      <c r="C1207" s="8"/>
      <c r="D1207" s="8"/>
      <c r="E1207" s="7"/>
      <c r="F1207" s="7"/>
      <c r="G1207" s="7"/>
      <c r="H1207" s="118"/>
      <c r="I1207" s="7"/>
      <c r="J1207" s="7"/>
      <c r="K1207" s="7"/>
      <c r="L1207" s="7"/>
      <c r="M1207" s="7"/>
      <c r="N1207" s="7"/>
      <c r="O1207" s="84" t="e" cm="1">
        <f t="array" ref="O1207">_xlfn.XLOOKUP(1,(A1207=Geotech!$A$4:$A$10094)*(Data_Discontinuities[[#This Row],[Depth (m)]]&gt;=Geotech!$C$4:$C$10094)*(Data_Discontinuities[[#This Row],[Depth (m)]]&lt;Geotech!$D$4:$D$10094),Geotech!$M$4:$M$10094)</f>
        <v>#N/A</v>
      </c>
      <c r="P1207" s="84"/>
      <c r="Q1207" s="84"/>
      <c r="R1207" s="84"/>
      <c r="S12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7" s="71" t="str">
        <f>IFERROR(Data_Discontinuities[[#This Row],[Joint roughness]]/Data_Discontinuities[[#This Row],[Joint alteration]],"")</f>
        <v/>
      </c>
      <c r="V12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7" s="87"/>
    </row>
    <row r="1208" spans="1:23" ht="15" customHeight="1" x14ac:dyDescent="0.25">
      <c r="B1208" s="17" t="e">
        <f>VLOOKUP(Data_Discontinuities[[#This Row],[Hole ID]],Data_Log[],2,FALSE)</f>
        <v>#N/A</v>
      </c>
      <c r="C1208" s="8"/>
      <c r="D1208" s="8"/>
      <c r="E1208" s="7"/>
      <c r="F1208" s="7"/>
      <c r="G1208" s="7"/>
      <c r="H1208" s="118"/>
      <c r="I1208" s="7"/>
      <c r="J1208" s="7"/>
      <c r="K1208" s="7"/>
      <c r="L1208" s="7"/>
      <c r="M1208" s="7"/>
      <c r="N1208" s="7"/>
      <c r="O1208" s="84" t="e" cm="1">
        <f t="array" ref="O1208">_xlfn.XLOOKUP(1,(A1208=Geotech!$A$4:$A$10094)*(Data_Discontinuities[[#This Row],[Depth (m)]]&gt;=Geotech!$C$4:$C$10094)*(Data_Discontinuities[[#This Row],[Depth (m)]]&lt;Geotech!$D$4:$D$10094),Geotech!$M$4:$M$10094)</f>
        <v>#N/A</v>
      </c>
      <c r="P1208" s="84"/>
      <c r="Q1208" s="84"/>
      <c r="R1208" s="84"/>
      <c r="S12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8" s="71" t="str">
        <f>IFERROR(Data_Discontinuities[[#This Row],[Joint roughness]]/Data_Discontinuities[[#This Row],[Joint alteration]],"")</f>
        <v/>
      </c>
      <c r="V12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8" s="87"/>
    </row>
    <row r="1209" spans="1:23" ht="15" customHeight="1" x14ac:dyDescent="0.25">
      <c r="B1209" s="17" t="e">
        <f>VLOOKUP(Data_Discontinuities[[#This Row],[Hole ID]],Data_Log[],2,FALSE)</f>
        <v>#N/A</v>
      </c>
      <c r="C1209" s="8"/>
      <c r="D1209" s="8"/>
      <c r="E1209" s="7"/>
      <c r="F1209" s="7"/>
      <c r="G1209" s="7"/>
      <c r="H1209" s="118"/>
      <c r="I1209" s="7"/>
      <c r="J1209" s="7"/>
      <c r="K1209" s="7"/>
      <c r="L1209" s="7"/>
      <c r="M1209" s="7"/>
      <c r="N1209" s="7"/>
      <c r="O1209" s="84" t="e" cm="1">
        <f t="array" ref="O1209">_xlfn.XLOOKUP(1,(A1209=Geotech!$A$4:$A$10094)*(Data_Discontinuities[[#This Row],[Depth (m)]]&gt;=Geotech!$C$4:$C$10094)*(Data_Discontinuities[[#This Row],[Depth (m)]]&lt;Geotech!$D$4:$D$10094),Geotech!$M$4:$M$10094)</f>
        <v>#N/A</v>
      </c>
      <c r="P1209" s="84"/>
      <c r="Q1209" s="84"/>
      <c r="R1209" s="84"/>
      <c r="S12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09" s="71" t="str">
        <f>IFERROR(Data_Discontinuities[[#This Row],[Joint roughness]]/Data_Discontinuities[[#This Row],[Joint alteration]],"")</f>
        <v/>
      </c>
      <c r="V12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09" s="87"/>
    </row>
    <row r="1210" spans="1:23" ht="15" customHeight="1" x14ac:dyDescent="0.25">
      <c r="B1210" s="17" t="e">
        <f>VLOOKUP(Data_Discontinuities[[#This Row],[Hole ID]],Data_Log[],2,FALSE)</f>
        <v>#N/A</v>
      </c>
      <c r="C1210" s="8"/>
      <c r="D1210" s="8"/>
      <c r="E1210" s="7"/>
      <c r="F1210" s="7"/>
      <c r="G1210" s="7"/>
      <c r="H1210" s="118"/>
      <c r="I1210" s="7"/>
      <c r="J1210" s="7"/>
      <c r="K1210" s="7"/>
      <c r="L1210" s="7"/>
      <c r="M1210" s="7"/>
      <c r="N1210" s="7"/>
      <c r="O1210" s="84" t="e" cm="1">
        <f t="array" ref="O1210">_xlfn.XLOOKUP(1,(A1210=Geotech!$A$4:$A$10094)*(Data_Discontinuities[[#This Row],[Depth (m)]]&gt;=Geotech!$C$4:$C$10094)*(Data_Discontinuities[[#This Row],[Depth (m)]]&lt;Geotech!$D$4:$D$10094),Geotech!$M$4:$M$10094)</f>
        <v>#N/A</v>
      </c>
      <c r="P1210" s="84"/>
      <c r="Q1210" s="84"/>
      <c r="R1210" s="84"/>
      <c r="S12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0" s="71" t="str">
        <f>IFERROR(Data_Discontinuities[[#This Row],[Joint roughness]]/Data_Discontinuities[[#This Row],[Joint alteration]],"")</f>
        <v/>
      </c>
      <c r="V12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0" s="87"/>
    </row>
    <row r="1211" spans="1:23" s="119" customFormat="1" ht="15" customHeight="1" x14ac:dyDescent="0.25">
      <c r="A1211" s="14"/>
      <c r="B1211" s="17" t="e">
        <f>VLOOKUP(Data_Discontinuities[[#This Row],[Hole ID]],Data_Log[],2,FALSE)</f>
        <v>#N/A</v>
      </c>
      <c r="C1211" s="8"/>
      <c r="D1211" s="8"/>
      <c r="E1211" s="7"/>
      <c r="F1211" s="7"/>
      <c r="G1211" s="7"/>
      <c r="H1211" s="118"/>
      <c r="I1211" s="7"/>
      <c r="J1211" s="7"/>
      <c r="K1211" s="7"/>
      <c r="L1211" s="7"/>
      <c r="M1211" s="7"/>
      <c r="N1211" s="7"/>
      <c r="O1211" s="84" t="e" cm="1">
        <f t="array" ref="O1211">_xlfn.XLOOKUP(1,(A1211=Geotech!$A$4:$A$10094)*(Data_Discontinuities[[#This Row],[Depth (m)]]&gt;=Geotech!$C$4:$C$10094)*(Data_Discontinuities[[#This Row],[Depth (m)]]&lt;Geotech!$D$4:$D$10094),Geotech!$M$4:$M$10094)</f>
        <v>#N/A</v>
      </c>
      <c r="P1211" s="84"/>
      <c r="Q1211" s="84"/>
      <c r="R1211" s="84"/>
      <c r="S12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1" s="71" t="str">
        <f>IFERROR(Data_Discontinuities[[#This Row],[Joint roughness]]/Data_Discontinuities[[#This Row],[Joint alteration]],"")</f>
        <v/>
      </c>
      <c r="V12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1" s="87"/>
    </row>
    <row r="1212" spans="1:23" ht="15" customHeight="1" x14ac:dyDescent="0.25">
      <c r="B1212" s="17" t="e">
        <f>VLOOKUP(Data_Discontinuities[[#This Row],[Hole ID]],Data_Log[],2,FALSE)</f>
        <v>#N/A</v>
      </c>
      <c r="C1212" s="8"/>
      <c r="D1212" s="8"/>
      <c r="E1212" s="7"/>
      <c r="F1212" s="7"/>
      <c r="G1212" s="7"/>
      <c r="H1212" s="118"/>
      <c r="I1212" s="7"/>
      <c r="J1212" s="7"/>
      <c r="K1212" s="7"/>
      <c r="L1212" s="7"/>
      <c r="M1212" s="7"/>
      <c r="N1212" s="7"/>
      <c r="O1212" s="84" t="e" cm="1">
        <f t="array" ref="O1212">_xlfn.XLOOKUP(1,(A1212=Geotech!$A$4:$A$10094)*(Data_Discontinuities[[#This Row],[Depth (m)]]&gt;=Geotech!$C$4:$C$10094)*(Data_Discontinuities[[#This Row],[Depth (m)]]&lt;Geotech!$D$4:$D$10094),Geotech!$M$4:$M$10094)</f>
        <v>#N/A</v>
      </c>
      <c r="P1212" s="84"/>
      <c r="Q1212" s="84"/>
      <c r="R1212" s="84"/>
      <c r="S12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2" s="71" t="str">
        <f>IFERROR(Data_Discontinuities[[#This Row],[Joint roughness]]/Data_Discontinuities[[#This Row],[Joint alteration]],"")</f>
        <v/>
      </c>
      <c r="V12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2" s="87"/>
    </row>
    <row r="1213" spans="1:23" ht="15" customHeight="1" x14ac:dyDescent="0.25">
      <c r="B1213" s="17" t="e">
        <f>VLOOKUP(Data_Discontinuities[[#This Row],[Hole ID]],Data_Log[],2,FALSE)</f>
        <v>#N/A</v>
      </c>
      <c r="C1213" s="8"/>
      <c r="D1213" s="8"/>
      <c r="E1213" s="7"/>
      <c r="F1213" s="7"/>
      <c r="G1213" s="7"/>
      <c r="H1213" s="118"/>
      <c r="I1213" s="7"/>
      <c r="J1213" s="7"/>
      <c r="K1213" s="7"/>
      <c r="L1213" s="7"/>
      <c r="M1213" s="7"/>
      <c r="N1213" s="7"/>
      <c r="O1213" s="84" t="e" cm="1">
        <f t="array" ref="O1213">_xlfn.XLOOKUP(1,(A1213=Geotech!$A$4:$A$10094)*(Data_Discontinuities[[#This Row],[Depth (m)]]&gt;=Geotech!$C$4:$C$10094)*(Data_Discontinuities[[#This Row],[Depth (m)]]&lt;Geotech!$D$4:$D$10094),Geotech!$M$4:$M$10094)</f>
        <v>#N/A</v>
      </c>
      <c r="P1213" s="84"/>
      <c r="Q1213" s="84"/>
      <c r="R1213" s="84"/>
      <c r="S12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3" s="71" t="str">
        <f>IFERROR(Data_Discontinuities[[#This Row],[Joint roughness]]/Data_Discontinuities[[#This Row],[Joint alteration]],"")</f>
        <v/>
      </c>
      <c r="V12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3" s="87"/>
    </row>
    <row r="1214" spans="1:23" ht="15" customHeight="1" x14ac:dyDescent="0.25">
      <c r="B1214" s="17" t="e">
        <f>VLOOKUP(Data_Discontinuities[[#This Row],[Hole ID]],Data_Log[],2,FALSE)</f>
        <v>#N/A</v>
      </c>
      <c r="C1214" s="8"/>
      <c r="D1214" s="8"/>
      <c r="E1214" s="7"/>
      <c r="F1214" s="7"/>
      <c r="G1214" s="7"/>
      <c r="H1214" s="118"/>
      <c r="I1214" s="7"/>
      <c r="J1214" s="7"/>
      <c r="K1214" s="7"/>
      <c r="L1214" s="7"/>
      <c r="M1214" s="7"/>
      <c r="N1214" s="7"/>
      <c r="O1214" s="84" t="e" cm="1">
        <f t="array" ref="O1214">_xlfn.XLOOKUP(1,(A1214=Geotech!$A$4:$A$10094)*(Data_Discontinuities[[#This Row],[Depth (m)]]&gt;=Geotech!$C$4:$C$10094)*(Data_Discontinuities[[#This Row],[Depth (m)]]&lt;Geotech!$D$4:$D$10094),Geotech!$M$4:$M$10094)</f>
        <v>#N/A</v>
      </c>
      <c r="P1214" s="84"/>
      <c r="Q1214" s="84"/>
      <c r="R1214" s="84"/>
      <c r="S12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4" s="71" t="str">
        <f>IFERROR(Data_Discontinuities[[#This Row],[Joint roughness]]/Data_Discontinuities[[#This Row],[Joint alteration]],"")</f>
        <v/>
      </c>
      <c r="V12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4" s="87"/>
    </row>
    <row r="1215" spans="1:23" ht="15" customHeight="1" x14ac:dyDescent="0.25">
      <c r="B1215" s="17" t="e">
        <f>VLOOKUP(Data_Discontinuities[[#This Row],[Hole ID]],Data_Log[],2,FALSE)</f>
        <v>#N/A</v>
      </c>
      <c r="C1215" s="8"/>
      <c r="D1215" s="8"/>
      <c r="E1215" s="7"/>
      <c r="F1215" s="7"/>
      <c r="G1215" s="7"/>
      <c r="H1215" s="118"/>
      <c r="I1215" s="7"/>
      <c r="J1215" s="7"/>
      <c r="K1215" s="7"/>
      <c r="L1215" s="7"/>
      <c r="M1215" s="7"/>
      <c r="N1215" s="7"/>
      <c r="O1215" s="84" t="e" cm="1">
        <f t="array" ref="O1215">_xlfn.XLOOKUP(1,(A1215=Geotech!$A$4:$A$10094)*(Data_Discontinuities[[#This Row],[Depth (m)]]&gt;=Geotech!$C$4:$C$10094)*(Data_Discontinuities[[#This Row],[Depth (m)]]&lt;Geotech!$D$4:$D$10094),Geotech!$M$4:$M$10094)</f>
        <v>#N/A</v>
      </c>
      <c r="P1215" s="84"/>
      <c r="Q1215" s="84"/>
      <c r="R1215" s="84"/>
      <c r="S12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5" s="71" t="str">
        <f>IFERROR(Data_Discontinuities[[#This Row],[Joint roughness]]/Data_Discontinuities[[#This Row],[Joint alteration]],"")</f>
        <v/>
      </c>
      <c r="V12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5" s="87"/>
    </row>
    <row r="1216" spans="1:23" ht="15" customHeight="1" x14ac:dyDescent="0.25">
      <c r="B1216" s="17" t="e">
        <f>VLOOKUP(Data_Discontinuities[[#This Row],[Hole ID]],Data_Log[],2,FALSE)</f>
        <v>#N/A</v>
      </c>
      <c r="C1216" s="8"/>
      <c r="D1216" s="8"/>
      <c r="E1216" s="7"/>
      <c r="F1216" s="7"/>
      <c r="G1216" s="7"/>
      <c r="H1216" s="118"/>
      <c r="I1216" s="7"/>
      <c r="J1216" s="7"/>
      <c r="K1216" s="7"/>
      <c r="L1216" s="7"/>
      <c r="M1216" s="7"/>
      <c r="N1216" s="7"/>
      <c r="O1216" s="84" t="e" cm="1">
        <f t="array" ref="O1216">_xlfn.XLOOKUP(1,(A1216=Geotech!$A$4:$A$10094)*(Data_Discontinuities[[#This Row],[Depth (m)]]&gt;=Geotech!$C$4:$C$10094)*(Data_Discontinuities[[#This Row],[Depth (m)]]&lt;Geotech!$D$4:$D$10094),Geotech!$M$4:$M$10094)</f>
        <v>#N/A</v>
      </c>
      <c r="P1216" s="84"/>
      <c r="Q1216" s="84"/>
      <c r="R1216" s="84"/>
      <c r="S12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6" s="71" t="str">
        <f>IFERROR(Data_Discontinuities[[#This Row],[Joint roughness]]/Data_Discontinuities[[#This Row],[Joint alteration]],"")</f>
        <v/>
      </c>
      <c r="V12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6" s="87"/>
    </row>
    <row r="1217" spans="2:23" ht="15" customHeight="1" x14ac:dyDescent="0.25">
      <c r="B1217" s="17" t="e">
        <f>VLOOKUP(Data_Discontinuities[[#This Row],[Hole ID]],Data_Log[],2,FALSE)</f>
        <v>#N/A</v>
      </c>
      <c r="C1217" s="8"/>
      <c r="D1217" s="8"/>
      <c r="E1217" s="7"/>
      <c r="F1217" s="7"/>
      <c r="G1217" s="7"/>
      <c r="H1217" s="118"/>
      <c r="I1217" s="7"/>
      <c r="J1217" s="7"/>
      <c r="K1217" s="7"/>
      <c r="L1217" s="7"/>
      <c r="M1217" s="7"/>
      <c r="N1217" s="7"/>
      <c r="O1217" s="84" t="e" cm="1">
        <f t="array" ref="O1217">_xlfn.XLOOKUP(1,(A1217=Geotech!$A$4:$A$10094)*(Data_Discontinuities[[#This Row],[Depth (m)]]&gt;=Geotech!$C$4:$C$10094)*(Data_Discontinuities[[#This Row],[Depth (m)]]&lt;Geotech!$D$4:$D$10094),Geotech!$M$4:$M$10094)</f>
        <v>#N/A</v>
      </c>
      <c r="P1217" s="84"/>
      <c r="Q1217" s="84"/>
      <c r="R1217" s="84"/>
      <c r="S12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7" s="71" t="str">
        <f>IFERROR(Data_Discontinuities[[#This Row],[Joint roughness]]/Data_Discontinuities[[#This Row],[Joint alteration]],"")</f>
        <v/>
      </c>
      <c r="V12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7" s="87"/>
    </row>
    <row r="1218" spans="2:23" ht="15" customHeight="1" x14ac:dyDescent="0.25">
      <c r="B1218" s="17" t="e">
        <f>VLOOKUP(Data_Discontinuities[[#This Row],[Hole ID]],Data_Log[],2,FALSE)</f>
        <v>#N/A</v>
      </c>
      <c r="C1218" s="8"/>
      <c r="D1218" s="8"/>
      <c r="E1218" s="7"/>
      <c r="F1218" s="7"/>
      <c r="G1218" s="7"/>
      <c r="H1218" s="118"/>
      <c r="I1218" s="7"/>
      <c r="J1218" s="7"/>
      <c r="K1218" s="7"/>
      <c r="L1218" s="7"/>
      <c r="M1218" s="7"/>
      <c r="N1218" s="7"/>
      <c r="O1218" s="84" t="e" cm="1">
        <f t="array" ref="O1218">_xlfn.XLOOKUP(1,(A1218=Geotech!$A$4:$A$10094)*(Data_Discontinuities[[#This Row],[Depth (m)]]&gt;=Geotech!$C$4:$C$10094)*(Data_Discontinuities[[#This Row],[Depth (m)]]&lt;Geotech!$D$4:$D$10094),Geotech!$M$4:$M$10094)</f>
        <v>#N/A</v>
      </c>
      <c r="P1218" s="84"/>
      <c r="Q1218" s="84"/>
      <c r="R1218" s="84"/>
      <c r="S12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8" s="71" t="str">
        <f>IFERROR(Data_Discontinuities[[#This Row],[Joint roughness]]/Data_Discontinuities[[#This Row],[Joint alteration]],"")</f>
        <v/>
      </c>
      <c r="V12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8" s="87"/>
    </row>
    <row r="1219" spans="2:23" ht="15" customHeight="1" x14ac:dyDescent="0.25">
      <c r="B1219" s="17" t="e">
        <f>VLOOKUP(Data_Discontinuities[[#This Row],[Hole ID]],Data_Log[],2,FALSE)</f>
        <v>#N/A</v>
      </c>
      <c r="C1219" s="8"/>
      <c r="D1219" s="8"/>
      <c r="E1219" s="7"/>
      <c r="F1219" s="7"/>
      <c r="G1219" s="7"/>
      <c r="H1219" s="118"/>
      <c r="I1219" s="7"/>
      <c r="J1219" s="7"/>
      <c r="K1219" s="7"/>
      <c r="L1219" s="7"/>
      <c r="M1219" s="7"/>
      <c r="N1219" s="7"/>
      <c r="O1219" s="84" t="e" cm="1">
        <f t="array" ref="O1219">_xlfn.XLOOKUP(1,(A1219=Geotech!$A$4:$A$10094)*(Data_Discontinuities[[#This Row],[Depth (m)]]&gt;=Geotech!$C$4:$C$10094)*(Data_Discontinuities[[#This Row],[Depth (m)]]&lt;Geotech!$D$4:$D$10094),Geotech!$M$4:$M$10094)</f>
        <v>#N/A</v>
      </c>
      <c r="P1219" s="84"/>
      <c r="Q1219" s="84"/>
      <c r="R1219" s="84"/>
      <c r="S12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19" s="71" t="str">
        <f>IFERROR(Data_Discontinuities[[#This Row],[Joint roughness]]/Data_Discontinuities[[#This Row],[Joint alteration]],"")</f>
        <v/>
      </c>
      <c r="V12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19" s="87"/>
    </row>
    <row r="1220" spans="2:23" ht="15" customHeight="1" x14ac:dyDescent="0.25">
      <c r="B1220" s="17" t="e">
        <f>VLOOKUP(Data_Discontinuities[[#This Row],[Hole ID]],Data_Log[],2,FALSE)</f>
        <v>#N/A</v>
      </c>
      <c r="C1220" s="8"/>
      <c r="D1220" s="8"/>
      <c r="E1220" s="7"/>
      <c r="F1220" s="7"/>
      <c r="G1220" s="7"/>
      <c r="H1220" s="118"/>
      <c r="I1220" s="7"/>
      <c r="J1220" s="7"/>
      <c r="K1220" s="7"/>
      <c r="L1220" s="7"/>
      <c r="M1220" s="7"/>
      <c r="N1220" s="7"/>
      <c r="O1220" s="84" t="e" cm="1">
        <f t="array" ref="O1220">_xlfn.XLOOKUP(1,(A1220=Geotech!$A$4:$A$10094)*(Data_Discontinuities[[#This Row],[Depth (m)]]&gt;=Geotech!$C$4:$C$10094)*(Data_Discontinuities[[#This Row],[Depth (m)]]&lt;Geotech!$D$4:$D$10094),Geotech!$M$4:$M$10094)</f>
        <v>#N/A</v>
      </c>
      <c r="P1220" s="84"/>
      <c r="Q1220" s="84"/>
      <c r="R1220" s="84"/>
      <c r="S12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0" s="71" t="str">
        <f>IFERROR(Data_Discontinuities[[#This Row],[Joint roughness]]/Data_Discontinuities[[#This Row],[Joint alteration]],"")</f>
        <v/>
      </c>
      <c r="V12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0" s="87"/>
    </row>
    <row r="1221" spans="2:23" ht="15" customHeight="1" x14ac:dyDescent="0.25">
      <c r="B1221" s="17" t="e">
        <f>VLOOKUP(Data_Discontinuities[[#This Row],[Hole ID]],Data_Log[],2,FALSE)</f>
        <v>#N/A</v>
      </c>
      <c r="C1221" s="8"/>
      <c r="D1221" s="8"/>
      <c r="E1221" s="7"/>
      <c r="F1221" s="7"/>
      <c r="G1221" s="7"/>
      <c r="H1221" s="118"/>
      <c r="I1221" s="7"/>
      <c r="J1221" s="7"/>
      <c r="K1221" s="7"/>
      <c r="L1221" s="7"/>
      <c r="M1221" s="7"/>
      <c r="N1221" s="7"/>
      <c r="O1221" s="84" t="e" cm="1">
        <f t="array" ref="O1221">_xlfn.XLOOKUP(1,(A1221=Geotech!$A$4:$A$10094)*(Data_Discontinuities[[#This Row],[Depth (m)]]&gt;=Geotech!$C$4:$C$10094)*(Data_Discontinuities[[#This Row],[Depth (m)]]&lt;Geotech!$D$4:$D$10094),Geotech!$M$4:$M$10094)</f>
        <v>#N/A</v>
      </c>
      <c r="P1221" s="84"/>
      <c r="Q1221" s="84"/>
      <c r="R1221" s="84"/>
      <c r="S12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1" s="71" t="str">
        <f>IFERROR(Data_Discontinuities[[#This Row],[Joint roughness]]/Data_Discontinuities[[#This Row],[Joint alteration]],"")</f>
        <v/>
      </c>
      <c r="V12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1" s="87"/>
    </row>
    <row r="1222" spans="2:23" ht="15" customHeight="1" x14ac:dyDescent="0.25">
      <c r="B1222" s="17" t="e">
        <f>VLOOKUP(Data_Discontinuities[[#This Row],[Hole ID]],Data_Log[],2,FALSE)</f>
        <v>#N/A</v>
      </c>
      <c r="C1222" s="8"/>
      <c r="D1222" s="8"/>
      <c r="E1222" s="7"/>
      <c r="F1222" s="7"/>
      <c r="G1222" s="7"/>
      <c r="H1222" s="118"/>
      <c r="I1222" s="7"/>
      <c r="J1222" s="7"/>
      <c r="K1222" s="7"/>
      <c r="L1222" s="7"/>
      <c r="M1222" s="7"/>
      <c r="N1222" s="7"/>
      <c r="O1222" s="84" t="e" cm="1">
        <f t="array" ref="O1222">_xlfn.XLOOKUP(1,(A1222=Geotech!$A$4:$A$10094)*(Data_Discontinuities[[#This Row],[Depth (m)]]&gt;=Geotech!$C$4:$C$10094)*(Data_Discontinuities[[#This Row],[Depth (m)]]&lt;Geotech!$D$4:$D$10094),Geotech!$M$4:$M$10094)</f>
        <v>#N/A</v>
      </c>
      <c r="P1222" s="84"/>
      <c r="Q1222" s="84"/>
      <c r="R1222" s="84"/>
      <c r="S12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2" s="71" t="str">
        <f>IFERROR(Data_Discontinuities[[#This Row],[Joint roughness]]/Data_Discontinuities[[#This Row],[Joint alteration]],"")</f>
        <v/>
      </c>
      <c r="V12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2" s="87"/>
    </row>
    <row r="1223" spans="2:23" ht="15" customHeight="1" x14ac:dyDescent="0.25">
      <c r="B1223" s="17" t="e">
        <f>VLOOKUP(Data_Discontinuities[[#This Row],[Hole ID]],Data_Log[],2,FALSE)</f>
        <v>#N/A</v>
      </c>
      <c r="C1223" s="8"/>
      <c r="D1223" s="8"/>
      <c r="E1223" s="7"/>
      <c r="F1223" s="7"/>
      <c r="G1223" s="7"/>
      <c r="H1223" s="118"/>
      <c r="I1223" s="7"/>
      <c r="J1223" s="7"/>
      <c r="K1223" s="7"/>
      <c r="L1223" s="7"/>
      <c r="M1223" s="7"/>
      <c r="N1223" s="7"/>
      <c r="O1223" s="84" t="e" cm="1">
        <f t="array" ref="O1223">_xlfn.XLOOKUP(1,(A1223=Geotech!$A$4:$A$10094)*(Data_Discontinuities[[#This Row],[Depth (m)]]&gt;=Geotech!$C$4:$C$10094)*(Data_Discontinuities[[#This Row],[Depth (m)]]&lt;Geotech!$D$4:$D$10094),Geotech!$M$4:$M$10094)</f>
        <v>#N/A</v>
      </c>
      <c r="P1223" s="84"/>
      <c r="Q1223" s="84"/>
      <c r="R1223" s="84"/>
      <c r="S12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3" s="71" t="str">
        <f>IFERROR(Data_Discontinuities[[#This Row],[Joint roughness]]/Data_Discontinuities[[#This Row],[Joint alteration]],"")</f>
        <v/>
      </c>
      <c r="V12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3" s="87"/>
    </row>
    <row r="1224" spans="2:23" ht="15" customHeight="1" x14ac:dyDescent="0.25">
      <c r="B1224" s="17" t="e">
        <f>VLOOKUP(Data_Discontinuities[[#This Row],[Hole ID]],Data_Log[],2,FALSE)</f>
        <v>#N/A</v>
      </c>
      <c r="C1224" s="8"/>
      <c r="D1224" s="8"/>
      <c r="E1224" s="7"/>
      <c r="F1224" s="7"/>
      <c r="G1224" s="7"/>
      <c r="H1224" s="118"/>
      <c r="I1224" s="7"/>
      <c r="J1224" s="7"/>
      <c r="K1224" s="7"/>
      <c r="L1224" s="7"/>
      <c r="M1224" s="7"/>
      <c r="N1224" s="7"/>
      <c r="O1224" s="84" t="e" cm="1">
        <f t="array" ref="O1224">_xlfn.XLOOKUP(1,(A1224=Geotech!$A$4:$A$10094)*(Data_Discontinuities[[#This Row],[Depth (m)]]&gt;=Geotech!$C$4:$C$10094)*(Data_Discontinuities[[#This Row],[Depth (m)]]&lt;Geotech!$D$4:$D$10094),Geotech!$M$4:$M$10094)</f>
        <v>#N/A</v>
      </c>
      <c r="P1224" s="84"/>
      <c r="Q1224" s="84"/>
      <c r="R1224" s="84"/>
      <c r="S12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4" s="71" t="str">
        <f>IFERROR(Data_Discontinuities[[#This Row],[Joint roughness]]/Data_Discontinuities[[#This Row],[Joint alteration]],"")</f>
        <v/>
      </c>
      <c r="V12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4" s="87"/>
    </row>
    <row r="1225" spans="2:23" ht="15" customHeight="1" x14ac:dyDescent="0.25">
      <c r="B1225" s="17" t="e">
        <f>VLOOKUP(Data_Discontinuities[[#This Row],[Hole ID]],Data_Log[],2,FALSE)</f>
        <v>#N/A</v>
      </c>
      <c r="C1225" s="8"/>
      <c r="D1225" s="8"/>
      <c r="E1225" s="7"/>
      <c r="F1225" s="7"/>
      <c r="G1225" s="7"/>
      <c r="H1225" s="118"/>
      <c r="I1225" s="7"/>
      <c r="J1225" s="7"/>
      <c r="K1225" s="7"/>
      <c r="L1225" s="7"/>
      <c r="M1225" s="7"/>
      <c r="N1225" s="7"/>
      <c r="O1225" s="84" t="e" cm="1">
        <f t="array" ref="O1225">_xlfn.XLOOKUP(1,(A1225=Geotech!$A$4:$A$10094)*(Data_Discontinuities[[#This Row],[Depth (m)]]&gt;=Geotech!$C$4:$C$10094)*(Data_Discontinuities[[#This Row],[Depth (m)]]&lt;Geotech!$D$4:$D$10094),Geotech!$M$4:$M$10094)</f>
        <v>#N/A</v>
      </c>
      <c r="P1225" s="84"/>
      <c r="Q1225" s="84"/>
      <c r="R1225" s="84"/>
      <c r="S12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5" s="71" t="str">
        <f>IFERROR(Data_Discontinuities[[#This Row],[Joint roughness]]/Data_Discontinuities[[#This Row],[Joint alteration]],"")</f>
        <v/>
      </c>
      <c r="V12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5" s="87"/>
    </row>
    <row r="1226" spans="2:23" ht="15" customHeight="1" x14ac:dyDescent="0.25">
      <c r="B1226" s="17" t="e">
        <f>VLOOKUP(Data_Discontinuities[[#This Row],[Hole ID]],Data_Log[],2,FALSE)</f>
        <v>#N/A</v>
      </c>
      <c r="C1226" s="8"/>
      <c r="D1226" s="8"/>
      <c r="E1226" s="7"/>
      <c r="F1226" s="7"/>
      <c r="G1226" s="7"/>
      <c r="H1226" s="118"/>
      <c r="I1226" s="7"/>
      <c r="J1226" s="7"/>
      <c r="K1226" s="7"/>
      <c r="L1226" s="7"/>
      <c r="M1226" s="7"/>
      <c r="N1226" s="7"/>
      <c r="O1226" s="84" t="e" cm="1">
        <f t="array" ref="O1226">_xlfn.XLOOKUP(1,(A1226=Geotech!$A$4:$A$10094)*(Data_Discontinuities[[#This Row],[Depth (m)]]&gt;=Geotech!$C$4:$C$10094)*(Data_Discontinuities[[#This Row],[Depth (m)]]&lt;Geotech!$D$4:$D$10094),Geotech!$M$4:$M$10094)</f>
        <v>#N/A</v>
      </c>
      <c r="P1226" s="84"/>
      <c r="Q1226" s="84"/>
      <c r="R1226" s="84"/>
      <c r="S12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6" s="71" t="str">
        <f>IFERROR(Data_Discontinuities[[#This Row],[Joint roughness]]/Data_Discontinuities[[#This Row],[Joint alteration]],"")</f>
        <v/>
      </c>
      <c r="V12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6" s="87"/>
    </row>
    <row r="1227" spans="2:23" ht="15" customHeight="1" x14ac:dyDescent="0.25">
      <c r="B1227" s="17" t="e">
        <f>VLOOKUP(Data_Discontinuities[[#This Row],[Hole ID]],Data_Log[],2,FALSE)</f>
        <v>#N/A</v>
      </c>
      <c r="C1227" s="8"/>
      <c r="D1227" s="8"/>
      <c r="E1227" s="7"/>
      <c r="F1227" s="7"/>
      <c r="G1227" s="7"/>
      <c r="H1227" s="118"/>
      <c r="I1227" s="7"/>
      <c r="J1227" s="7"/>
      <c r="K1227" s="7"/>
      <c r="L1227" s="7"/>
      <c r="M1227" s="7"/>
      <c r="N1227" s="7"/>
      <c r="O1227" s="84" t="e" cm="1">
        <f t="array" ref="O1227">_xlfn.XLOOKUP(1,(A1227=Geotech!$A$4:$A$10094)*(Data_Discontinuities[[#This Row],[Depth (m)]]&gt;=Geotech!$C$4:$C$10094)*(Data_Discontinuities[[#This Row],[Depth (m)]]&lt;Geotech!$D$4:$D$10094),Geotech!$M$4:$M$10094)</f>
        <v>#N/A</v>
      </c>
      <c r="P1227" s="84"/>
      <c r="Q1227" s="84"/>
      <c r="R1227" s="84"/>
      <c r="S12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7" s="71" t="str">
        <f>IFERROR(Data_Discontinuities[[#This Row],[Joint roughness]]/Data_Discontinuities[[#This Row],[Joint alteration]],"")</f>
        <v/>
      </c>
      <c r="V12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7" s="87"/>
    </row>
    <row r="1228" spans="2:23" ht="15" customHeight="1" x14ac:dyDescent="0.25">
      <c r="B1228" s="17" t="e">
        <f>VLOOKUP(Data_Discontinuities[[#This Row],[Hole ID]],Data_Log[],2,FALSE)</f>
        <v>#N/A</v>
      </c>
      <c r="C1228" s="8"/>
      <c r="D1228" s="8"/>
      <c r="E1228" s="7"/>
      <c r="F1228" s="7"/>
      <c r="G1228" s="7"/>
      <c r="H1228" s="118"/>
      <c r="I1228" s="7"/>
      <c r="J1228" s="7"/>
      <c r="K1228" s="7"/>
      <c r="L1228" s="7"/>
      <c r="M1228" s="7"/>
      <c r="N1228" s="7"/>
      <c r="O1228" s="84" t="e" cm="1">
        <f t="array" ref="O1228">_xlfn.XLOOKUP(1,(A1228=Geotech!$A$4:$A$10094)*(Data_Discontinuities[[#This Row],[Depth (m)]]&gt;=Geotech!$C$4:$C$10094)*(Data_Discontinuities[[#This Row],[Depth (m)]]&lt;Geotech!$D$4:$D$10094),Geotech!$M$4:$M$10094)</f>
        <v>#N/A</v>
      </c>
      <c r="P1228" s="84"/>
      <c r="Q1228" s="84"/>
      <c r="R1228" s="84"/>
      <c r="S12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8" s="71" t="str">
        <f>IFERROR(Data_Discontinuities[[#This Row],[Joint roughness]]/Data_Discontinuities[[#This Row],[Joint alteration]],"")</f>
        <v/>
      </c>
      <c r="V12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8" s="87"/>
    </row>
    <row r="1229" spans="2:23" ht="15" customHeight="1" x14ac:dyDescent="0.25">
      <c r="B1229" s="17" t="e">
        <f>VLOOKUP(Data_Discontinuities[[#This Row],[Hole ID]],Data_Log[],2,FALSE)</f>
        <v>#N/A</v>
      </c>
      <c r="C1229" s="8"/>
      <c r="D1229" s="8"/>
      <c r="E1229" s="7"/>
      <c r="F1229" s="7"/>
      <c r="G1229" s="7"/>
      <c r="H1229" s="118"/>
      <c r="I1229" s="7"/>
      <c r="J1229" s="7"/>
      <c r="K1229" s="7"/>
      <c r="L1229" s="7"/>
      <c r="M1229" s="7"/>
      <c r="N1229" s="7"/>
      <c r="O1229" s="84" t="e" cm="1">
        <f t="array" ref="O1229">_xlfn.XLOOKUP(1,(A1229=Geotech!$A$4:$A$10094)*(Data_Discontinuities[[#This Row],[Depth (m)]]&gt;=Geotech!$C$4:$C$10094)*(Data_Discontinuities[[#This Row],[Depth (m)]]&lt;Geotech!$D$4:$D$10094),Geotech!$M$4:$M$10094)</f>
        <v>#N/A</v>
      </c>
      <c r="P1229" s="84"/>
      <c r="Q1229" s="84"/>
      <c r="R1229" s="84"/>
      <c r="S12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29" s="71" t="str">
        <f>IFERROR(Data_Discontinuities[[#This Row],[Joint roughness]]/Data_Discontinuities[[#This Row],[Joint alteration]],"")</f>
        <v/>
      </c>
      <c r="V12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29" s="87"/>
    </row>
    <row r="1230" spans="2:23" ht="15" customHeight="1" x14ac:dyDescent="0.25">
      <c r="B1230" s="17" t="e">
        <f>VLOOKUP(Data_Discontinuities[[#This Row],[Hole ID]],Data_Log[],2,FALSE)</f>
        <v>#N/A</v>
      </c>
      <c r="C1230" s="8"/>
      <c r="D1230" s="8"/>
      <c r="E1230" s="7"/>
      <c r="F1230" s="7"/>
      <c r="G1230" s="7"/>
      <c r="H1230" s="118"/>
      <c r="I1230" s="7"/>
      <c r="J1230" s="7"/>
      <c r="K1230" s="7"/>
      <c r="L1230" s="7"/>
      <c r="M1230" s="7"/>
      <c r="N1230" s="7"/>
      <c r="O1230" s="84" t="e" cm="1">
        <f t="array" ref="O1230">_xlfn.XLOOKUP(1,(A1230=Geotech!$A$4:$A$10094)*(Data_Discontinuities[[#This Row],[Depth (m)]]&gt;=Geotech!$C$4:$C$10094)*(Data_Discontinuities[[#This Row],[Depth (m)]]&lt;Geotech!$D$4:$D$10094),Geotech!$M$4:$M$10094)</f>
        <v>#N/A</v>
      </c>
      <c r="P1230" s="84"/>
      <c r="Q1230" s="84"/>
      <c r="R1230" s="84"/>
      <c r="S12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0" s="71" t="str">
        <f>IFERROR(Data_Discontinuities[[#This Row],[Joint roughness]]/Data_Discontinuities[[#This Row],[Joint alteration]],"")</f>
        <v/>
      </c>
      <c r="V12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0" s="87"/>
    </row>
    <row r="1231" spans="2:23" ht="15" customHeight="1" x14ac:dyDescent="0.25">
      <c r="B1231" s="17" t="e">
        <f>VLOOKUP(Data_Discontinuities[[#This Row],[Hole ID]],Data_Log[],2,FALSE)</f>
        <v>#N/A</v>
      </c>
      <c r="C1231" s="8"/>
      <c r="D1231" s="8"/>
      <c r="E1231" s="7"/>
      <c r="F1231" s="7"/>
      <c r="G1231" s="7"/>
      <c r="H1231" s="118"/>
      <c r="I1231" s="7"/>
      <c r="J1231" s="7"/>
      <c r="K1231" s="7"/>
      <c r="L1231" s="7"/>
      <c r="M1231" s="7"/>
      <c r="N1231" s="7"/>
      <c r="O1231" s="84" t="e" cm="1">
        <f t="array" ref="O1231">_xlfn.XLOOKUP(1,(A1231=Geotech!$A$4:$A$10094)*(Data_Discontinuities[[#This Row],[Depth (m)]]&gt;=Geotech!$C$4:$C$10094)*(Data_Discontinuities[[#This Row],[Depth (m)]]&lt;Geotech!$D$4:$D$10094),Geotech!$M$4:$M$10094)</f>
        <v>#N/A</v>
      </c>
      <c r="P1231" s="84"/>
      <c r="Q1231" s="84"/>
      <c r="R1231" s="84"/>
      <c r="S12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1" s="71" t="str">
        <f>IFERROR(Data_Discontinuities[[#This Row],[Joint roughness]]/Data_Discontinuities[[#This Row],[Joint alteration]],"")</f>
        <v/>
      </c>
      <c r="V12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1" s="87"/>
    </row>
    <row r="1232" spans="2:23" ht="15" customHeight="1" x14ac:dyDescent="0.25">
      <c r="B1232" s="17" t="e">
        <f>VLOOKUP(Data_Discontinuities[[#This Row],[Hole ID]],Data_Log[],2,FALSE)</f>
        <v>#N/A</v>
      </c>
      <c r="C1232" s="8"/>
      <c r="D1232" s="8"/>
      <c r="E1232" s="7"/>
      <c r="F1232" s="7"/>
      <c r="G1232" s="7"/>
      <c r="H1232" s="118"/>
      <c r="I1232" s="7"/>
      <c r="J1232" s="7"/>
      <c r="K1232" s="7"/>
      <c r="L1232" s="7"/>
      <c r="M1232" s="7"/>
      <c r="N1232" s="7"/>
      <c r="O1232" s="84" t="e" cm="1">
        <f t="array" ref="O1232">_xlfn.XLOOKUP(1,(A1232=Geotech!$A$4:$A$10094)*(Data_Discontinuities[[#This Row],[Depth (m)]]&gt;=Geotech!$C$4:$C$10094)*(Data_Discontinuities[[#This Row],[Depth (m)]]&lt;Geotech!$D$4:$D$10094),Geotech!$M$4:$M$10094)</f>
        <v>#N/A</v>
      </c>
      <c r="P1232" s="84"/>
      <c r="Q1232" s="84"/>
      <c r="R1232" s="84"/>
      <c r="S12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2" s="71" t="str">
        <f>IFERROR(Data_Discontinuities[[#This Row],[Joint roughness]]/Data_Discontinuities[[#This Row],[Joint alteration]],"")</f>
        <v/>
      </c>
      <c r="V12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2" s="87"/>
    </row>
    <row r="1233" spans="2:23" ht="15" customHeight="1" x14ac:dyDescent="0.25">
      <c r="B1233" s="17" t="e">
        <f>VLOOKUP(Data_Discontinuities[[#This Row],[Hole ID]],Data_Log[],2,FALSE)</f>
        <v>#N/A</v>
      </c>
      <c r="C1233" s="8"/>
      <c r="D1233" s="8"/>
      <c r="E1233" s="7"/>
      <c r="F1233" s="7"/>
      <c r="G1233" s="7"/>
      <c r="H1233" s="118"/>
      <c r="I1233" s="7"/>
      <c r="J1233" s="7"/>
      <c r="K1233" s="7"/>
      <c r="L1233" s="7"/>
      <c r="M1233" s="7"/>
      <c r="N1233" s="7"/>
      <c r="O1233" s="84" t="e" cm="1">
        <f t="array" ref="O1233">_xlfn.XLOOKUP(1,(A1233=Geotech!$A$4:$A$10094)*(Data_Discontinuities[[#This Row],[Depth (m)]]&gt;=Geotech!$C$4:$C$10094)*(Data_Discontinuities[[#This Row],[Depth (m)]]&lt;Geotech!$D$4:$D$10094),Geotech!$M$4:$M$10094)</f>
        <v>#N/A</v>
      </c>
      <c r="P1233" s="84"/>
      <c r="Q1233" s="84"/>
      <c r="R1233" s="84"/>
      <c r="S12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3" s="71" t="str">
        <f>IFERROR(Data_Discontinuities[[#This Row],[Joint roughness]]/Data_Discontinuities[[#This Row],[Joint alteration]],"")</f>
        <v/>
      </c>
      <c r="V12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3" s="87"/>
    </row>
    <row r="1234" spans="2:23" ht="15" customHeight="1" x14ac:dyDescent="0.25">
      <c r="B1234" s="17" t="e">
        <f>VLOOKUP(Data_Discontinuities[[#This Row],[Hole ID]],Data_Log[],2,FALSE)</f>
        <v>#N/A</v>
      </c>
      <c r="C1234" s="8"/>
      <c r="D1234" s="8"/>
      <c r="E1234" s="7"/>
      <c r="F1234" s="7"/>
      <c r="G1234" s="7"/>
      <c r="H1234" s="118"/>
      <c r="I1234" s="7"/>
      <c r="J1234" s="7"/>
      <c r="K1234" s="7"/>
      <c r="L1234" s="7"/>
      <c r="M1234" s="7"/>
      <c r="N1234" s="7"/>
      <c r="O1234" s="84" t="e" cm="1">
        <f t="array" ref="O1234">_xlfn.XLOOKUP(1,(A1234=Geotech!$A$4:$A$10094)*(Data_Discontinuities[[#This Row],[Depth (m)]]&gt;=Geotech!$C$4:$C$10094)*(Data_Discontinuities[[#This Row],[Depth (m)]]&lt;Geotech!$D$4:$D$10094),Geotech!$M$4:$M$10094)</f>
        <v>#N/A</v>
      </c>
      <c r="P1234" s="84"/>
      <c r="Q1234" s="84"/>
      <c r="R1234" s="84"/>
      <c r="S12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4" s="71" t="str">
        <f>IFERROR(Data_Discontinuities[[#This Row],[Joint roughness]]/Data_Discontinuities[[#This Row],[Joint alteration]],"")</f>
        <v/>
      </c>
      <c r="V12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4" s="87"/>
    </row>
    <row r="1235" spans="2:23" ht="15" customHeight="1" x14ac:dyDescent="0.25">
      <c r="B1235" s="17" t="e">
        <f>VLOOKUP(Data_Discontinuities[[#This Row],[Hole ID]],Data_Log[],2,FALSE)</f>
        <v>#N/A</v>
      </c>
      <c r="C1235" s="8"/>
      <c r="D1235" s="8"/>
      <c r="E1235" s="7"/>
      <c r="F1235" s="7"/>
      <c r="G1235" s="7"/>
      <c r="H1235" s="118"/>
      <c r="I1235" s="7"/>
      <c r="J1235" s="7"/>
      <c r="K1235" s="7"/>
      <c r="L1235" s="7"/>
      <c r="M1235" s="7"/>
      <c r="N1235" s="7"/>
      <c r="O1235" s="84" t="e" cm="1">
        <f t="array" ref="O1235">_xlfn.XLOOKUP(1,(A1235=Geotech!$A$4:$A$10094)*(Data_Discontinuities[[#This Row],[Depth (m)]]&gt;=Geotech!$C$4:$C$10094)*(Data_Discontinuities[[#This Row],[Depth (m)]]&lt;Geotech!$D$4:$D$10094),Geotech!$M$4:$M$10094)</f>
        <v>#N/A</v>
      </c>
      <c r="P1235" s="84"/>
      <c r="Q1235" s="84"/>
      <c r="R1235" s="84"/>
      <c r="S12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5" s="71" t="str">
        <f>IFERROR(Data_Discontinuities[[#This Row],[Joint roughness]]/Data_Discontinuities[[#This Row],[Joint alteration]],"")</f>
        <v/>
      </c>
      <c r="V12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5" s="87"/>
    </row>
    <row r="1236" spans="2:23" ht="15" customHeight="1" x14ac:dyDescent="0.25">
      <c r="B1236" s="17" t="e">
        <f>VLOOKUP(Data_Discontinuities[[#This Row],[Hole ID]],Data_Log[],2,FALSE)</f>
        <v>#N/A</v>
      </c>
      <c r="C1236" s="8"/>
      <c r="D1236" s="8"/>
      <c r="E1236" s="7"/>
      <c r="F1236" s="7"/>
      <c r="G1236" s="7"/>
      <c r="H1236" s="118"/>
      <c r="I1236" s="7"/>
      <c r="J1236" s="7"/>
      <c r="K1236" s="7"/>
      <c r="L1236" s="7"/>
      <c r="M1236" s="7"/>
      <c r="N1236" s="7"/>
      <c r="O1236" s="84" t="e" cm="1">
        <f t="array" ref="O1236">_xlfn.XLOOKUP(1,(A1236=Geotech!$A$4:$A$10094)*(Data_Discontinuities[[#This Row],[Depth (m)]]&gt;=Geotech!$C$4:$C$10094)*(Data_Discontinuities[[#This Row],[Depth (m)]]&lt;Geotech!$D$4:$D$10094),Geotech!$M$4:$M$10094)</f>
        <v>#N/A</v>
      </c>
      <c r="P1236" s="84"/>
      <c r="Q1236" s="84"/>
      <c r="R1236" s="84"/>
      <c r="S12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6" s="71" t="str">
        <f>IFERROR(Data_Discontinuities[[#This Row],[Joint roughness]]/Data_Discontinuities[[#This Row],[Joint alteration]],"")</f>
        <v/>
      </c>
      <c r="V12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6" s="87"/>
    </row>
    <row r="1237" spans="2:23" ht="15" customHeight="1" x14ac:dyDescent="0.25">
      <c r="B1237" s="17" t="e">
        <f>VLOOKUP(Data_Discontinuities[[#This Row],[Hole ID]],Data_Log[],2,FALSE)</f>
        <v>#N/A</v>
      </c>
      <c r="C1237" s="8"/>
      <c r="D1237" s="8"/>
      <c r="E1237" s="7"/>
      <c r="F1237" s="7"/>
      <c r="G1237" s="7"/>
      <c r="H1237" s="118"/>
      <c r="I1237" s="7"/>
      <c r="J1237" s="7"/>
      <c r="K1237" s="7"/>
      <c r="L1237" s="7"/>
      <c r="M1237" s="7"/>
      <c r="N1237" s="7"/>
      <c r="O1237" s="84" t="e" cm="1">
        <f t="array" ref="O1237">_xlfn.XLOOKUP(1,(A1237=Geotech!$A$4:$A$10094)*(Data_Discontinuities[[#This Row],[Depth (m)]]&gt;=Geotech!$C$4:$C$10094)*(Data_Discontinuities[[#This Row],[Depth (m)]]&lt;Geotech!$D$4:$D$10094),Geotech!$M$4:$M$10094)</f>
        <v>#N/A</v>
      </c>
      <c r="P1237" s="84"/>
      <c r="Q1237" s="84"/>
      <c r="R1237" s="84"/>
      <c r="S12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7" s="71" t="str">
        <f>IFERROR(Data_Discontinuities[[#This Row],[Joint roughness]]/Data_Discontinuities[[#This Row],[Joint alteration]],"")</f>
        <v/>
      </c>
      <c r="V12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7" s="87"/>
    </row>
    <row r="1238" spans="2:23" ht="15" customHeight="1" x14ac:dyDescent="0.25">
      <c r="B1238" s="17" t="e">
        <f>VLOOKUP(Data_Discontinuities[[#This Row],[Hole ID]],Data_Log[],2,FALSE)</f>
        <v>#N/A</v>
      </c>
      <c r="C1238" s="8"/>
      <c r="D1238" s="8"/>
      <c r="E1238" s="7"/>
      <c r="F1238" s="7"/>
      <c r="G1238" s="7"/>
      <c r="H1238" s="118"/>
      <c r="I1238" s="7"/>
      <c r="J1238" s="7"/>
      <c r="K1238" s="7"/>
      <c r="L1238" s="7"/>
      <c r="M1238" s="7"/>
      <c r="N1238" s="7"/>
      <c r="O1238" s="84" t="e" cm="1">
        <f t="array" ref="O1238">_xlfn.XLOOKUP(1,(A1238=Geotech!$A$4:$A$10094)*(Data_Discontinuities[[#This Row],[Depth (m)]]&gt;=Geotech!$C$4:$C$10094)*(Data_Discontinuities[[#This Row],[Depth (m)]]&lt;Geotech!$D$4:$D$10094),Geotech!$M$4:$M$10094)</f>
        <v>#N/A</v>
      </c>
      <c r="P1238" s="84"/>
      <c r="Q1238" s="84"/>
      <c r="R1238" s="84"/>
      <c r="S12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8" s="71" t="str">
        <f>IFERROR(Data_Discontinuities[[#This Row],[Joint roughness]]/Data_Discontinuities[[#This Row],[Joint alteration]],"")</f>
        <v/>
      </c>
      <c r="V12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8" s="87"/>
    </row>
    <row r="1239" spans="2:23" ht="15" customHeight="1" x14ac:dyDescent="0.25">
      <c r="B1239" s="17" t="e">
        <f>VLOOKUP(Data_Discontinuities[[#This Row],[Hole ID]],Data_Log[],2,FALSE)</f>
        <v>#N/A</v>
      </c>
      <c r="C1239" s="8"/>
      <c r="D1239" s="8"/>
      <c r="E1239" s="7"/>
      <c r="F1239" s="7"/>
      <c r="G1239" s="7"/>
      <c r="H1239" s="118"/>
      <c r="I1239" s="7"/>
      <c r="J1239" s="7"/>
      <c r="K1239" s="7"/>
      <c r="L1239" s="7"/>
      <c r="M1239" s="7"/>
      <c r="N1239" s="7"/>
      <c r="O1239" s="84" t="e" cm="1">
        <f t="array" ref="O1239">_xlfn.XLOOKUP(1,(A1239=Geotech!$A$4:$A$10094)*(Data_Discontinuities[[#This Row],[Depth (m)]]&gt;=Geotech!$C$4:$C$10094)*(Data_Discontinuities[[#This Row],[Depth (m)]]&lt;Geotech!$D$4:$D$10094),Geotech!$M$4:$M$10094)</f>
        <v>#N/A</v>
      </c>
      <c r="P1239" s="84"/>
      <c r="Q1239" s="84"/>
      <c r="R1239" s="84"/>
      <c r="S12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39" s="71" t="str">
        <f>IFERROR(Data_Discontinuities[[#This Row],[Joint roughness]]/Data_Discontinuities[[#This Row],[Joint alteration]],"")</f>
        <v/>
      </c>
      <c r="V12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39" s="87"/>
    </row>
    <row r="1240" spans="2:23" ht="15" customHeight="1" x14ac:dyDescent="0.25">
      <c r="B1240" s="17" t="e">
        <f>VLOOKUP(Data_Discontinuities[[#This Row],[Hole ID]],Data_Log[],2,FALSE)</f>
        <v>#N/A</v>
      </c>
      <c r="C1240" s="8"/>
      <c r="D1240" s="8"/>
      <c r="E1240" s="7"/>
      <c r="F1240" s="7"/>
      <c r="G1240" s="7"/>
      <c r="H1240" s="118"/>
      <c r="I1240" s="7"/>
      <c r="J1240" s="7"/>
      <c r="K1240" s="7"/>
      <c r="L1240" s="7"/>
      <c r="M1240" s="7"/>
      <c r="N1240" s="7"/>
      <c r="O1240" s="84" t="e" cm="1">
        <f t="array" ref="O1240">_xlfn.XLOOKUP(1,(A1240=Geotech!$A$4:$A$10094)*(Data_Discontinuities[[#This Row],[Depth (m)]]&gt;=Geotech!$C$4:$C$10094)*(Data_Discontinuities[[#This Row],[Depth (m)]]&lt;Geotech!$D$4:$D$10094),Geotech!$M$4:$M$10094)</f>
        <v>#N/A</v>
      </c>
      <c r="P1240" s="84"/>
      <c r="Q1240" s="84"/>
      <c r="R1240" s="84"/>
      <c r="S12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0" s="71" t="str">
        <f>IFERROR(Data_Discontinuities[[#This Row],[Joint roughness]]/Data_Discontinuities[[#This Row],[Joint alteration]],"")</f>
        <v/>
      </c>
      <c r="V12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0" s="87"/>
    </row>
    <row r="1241" spans="2:23" ht="15" customHeight="1" x14ac:dyDescent="0.25">
      <c r="B1241" s="17" t="e">
        <f>VLOOKUP(Data_Discontinuities[[#This Row],[Hole ID]],Data_Log[],2,FALSE)</f>
        <v>#N/A</v>
      </c>
      <c r="C1241" s="8"/>
      <c r="D1241" s="8"/>
      <c r="E1241" s="7"/>
      <c r="F1241" s="7"/>
      <c r="G1241" s="7"/>
      <c r="H1241" s="118"/>
      <c r="I1241" s="7"/>
      <c r="J1241" s="7"/>
      <c r="K1241" s="7"/>
      <c r="L1241" s="7"/>
      <c r="M1241" s="7"/>
      <c r="N1241" s="7"/>
      <c r="O1241" s="84" t="e" cm="1">
        <f t="array" ref="O1241">_xlfn.XLOOKUP(1,(A1241=Geotech!$A$4:$A$10094)*(Data_Discontinuities[[#This Row],[Depth (m)]]&gt;=Geotech!$C$4:$C$10094)*(Data_Discontinuities[[#This Row],[Depth (m)]]&lt;Geotech!$D$4:$D$10094),Geotech!$M$4:$M$10094)</f>
        <v>#N/A</v>
      </c>
      <c r="P1241" s="84"/>
      <c r="Q1241" s="84"/>
      <c r="R1241" s="84"/>
      <c r="S12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1" s="71" t="str">
        <f>IFERROR(Data_Discontinuities[[#This Row],[Joint roughness]]/Data_Discontinuities[[#This Row],[Joint alteration]],"")</f>
        <v/>
      </c>
      <c r="V12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1" s="87"/>
    </row>
    <row r="1242" spans="2:23" ht="15" customHeight="1" x14ac:dyDescent="0.25">
      <c r="B1242" s="17" t="e">
        <f>VLOOKUP(Data_Discontinuities[[#This Row],[Hole ID]],Data_Log[],2,FALSE)</f>
        <v>#N/A</v>
      </c>
      <c r="C1242" s="8"/>
      <c r="D1242" s="8"/>
      <c r="E1242" s="7"/>
      <c r="F1242" s="7"/>
      <c r="G1242" s="7"/>
      <c r="H1242" s="118"/>
      <c r="I1242" s="7"/>
      <c r="J1242" s="7"/>
      <c r="K1242" s="7"/>
      <c r="L1242" s="7"/>
      <c r="M1242" s="7"/>
      <c r="N1242" s="7"/>
      <c r="O1242" s="84" t="e" cm="1">
        <f t="array" ref="O1242">_xlfn.XLOOKUP(1,(A1242=Geotech!$A$4:$A$10094)*(Data_Discontinuities[[#This Row],[Depth (m)]]&gt;=Geotech!$C$4:$C$10094)*(Data_Discontinuities[[#This Row],[Depth (m)]]&lt;Geotech!$D$4:$D$10094),Geotech!$M$4:$M$10094)</f>
        <v>#N/A</v>
      </c>
      <c r="P1242" s="84"/>
      <c r="Q1242" s="84"/>
      <c r="R1242" s="84"/>
      <c r="S12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2" s="71" t="str">
        <f>IFERROR(Data_Discontinuities[[#This Row],[Joint roughness]]/Data_Discontinuities[[#This Row],[Joint alteration]],"")</f>
        <v/>
      </c>
      <c r="V12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2" s="87"/>
    </row>
    <row r="1243" spans="2:23" ht="15" customHeight="1" x14ac:dyDescent="0.25">
      <c r="B1243" s="17" t="e">
        <f>VLOOKUP(Data_Discontinuities[[#This Row],[Hole ID]],Data_Log[],2,FALSE)</f>
        <v>#N/A</v>
      </c>
      <c r="C1243" s="8"/>
      <c r="D1243" s="8"/>
      <c r="E1243" s="7"/>
      <c r="F1243" s="7"/>
      <c r="G1243" s="7"/>
      <c r="H1243" s="118"/>
      <c r="I1243" s="7"/>
      <c r="J1243" s="7"/>
      <c r="K1243" s="7"/>
      <c r="L1243" s="7"/>
      <c r="M1243" s="7"/>
      <c r="N1243" s="7"/>
      <c r="O1243" s="84" t="e" cm="1">
        <f t="array" ref="O1243">_xlfn.XLOOKUP(1,(A1243=Geotech!$A$4:$A$10094)*(Data_Discontinuities[[#This Row],[Depth (m)]]&gt;=Geotech!$C$4:$C$10094)*(Data_Discontinuities[[#This Row],[Depth (m)]]&lt;Geotech!$D$4:$D$10094),Geotech!$M$4:$M$10094)</f>
        <v>#N/A</v>
      </c>
      <c r="P1243" s="84"/>
      <c r="Q1243" s="84"/>
      <c r="R1243" s="84"/>
      <c r="S12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3" s="71" t="str">
        <f>IFERROR(Data_Discontinuities[[#This Row],[Joint roughness]]/Data_Discontinuities[[#This Row],[Joint alteration]],"")</f>
        <v/>
      </c>
      <c r="V12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3" s="87"/>
    </row>
    <row r="1244" spans="2:23" ht="15" customHeight="1" x14ac:dyDescent="0.25">
      <c r="B1244" s="17" t="e">
        <f>VLOOKUP(Data_Discontinuities[[#This Row],[Hole ID]],Data_Log[],2,FALSE)</f>
        <v>#N/A</v>
      </c>
      <c r="C1244" s="8"/>
      <c r="D1244" s="8"/>
      <c r="E1244" s="7"/>
      <c r="F1244" s="7"/>
      <c r="G1244" s="7"/>
      <c r="H1244" s="118"/>
      <c r="I1244" s="7"/>
      <c r="J1244" s="7"/>
      <c r="K1244" s="7"/>
      <c r="L1244" s="7"/>
      <c r="M1244" s="7"/>
      <c r="N1244" s="7"/>
      <c r="O1244" s="84" t="e" cm="1">
        <f t="array" ref="O1244">_xlfn.XLOOKUP(1,(A1244=Geotech!$A$4:$A$10094)*(Data_Discontinuities[[#This Row],[Depth (m)]]&gt;=Geotech!$C$4:$C$10094)*(Data_Discontinuities[[#This Row],[Depth (m)]]&lt;Geotech!$D$4:$D$10094),Geotech!$M$4:$M$10094)</f>
        <v>#N/A</v>
      </c>
      <c r="P1244" s="84"/>
      <c r="Q1244" s="84"/>
      <c r="R1244" s="84"/>
      <c r="S12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4" s="71" t="str">
        <f>IFERROR(Data_Discontinuities[[#This Row],[Joint roughness]]/Data_Discontinuities[[#This Row],[Joint alteration]],"")</f>
        <v/>
      </c>
      <c r="V12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4" s="87"/>
    </row>
    <row r="1245" spans="2:23" ht="15" customHeight="1" x14ac:dyDescent="0.25">
      <c r="B1245" s="17" t="e">
        <f>VLOOKUP(Data_Discontinuities[[#This Row],[Hole ID]],Data_Log[],2,FALSE)</f>
        <v>#N/A</v>
      </c>
      <c r="C1245" s="8"/>
      <c r="D1245" s="8"/>
      <c r="E1245" s="7"/>
      <c r="F1245" s="7"/>
      <c r="G1245" s="7"/>
      <c r="H1245" s="118"/>
      <c r="I1245" s="7"/>
      <c r="J1245" s="7"/>
      <c r="K1245" s="7"/>
      <c r="L1245" s="7"/>
      <c r="M1245" s="7"/>
      <c r="N1245" s="7"/>
      <c r="O1245" s="84" t="e" cm="1">
        <f t="array" ref="O1245">_xlfn.XLOOKUP(1,(A1245=Geotech!$A$4:$A$10094)*(Data_Discontinuities[[#This Row],[Depth (m)]]&gt;=Geotech!$C$4:$C$10094)*(Data_Discontinuities[[#This Row],[Depth (m)]]&lt;Geotech!$D$4:$D$10094),Geotech!$M$4:$M$10094)</f>
        <v>#N/A</v>
      </c>
      <c r="P1245" s="84"/>
      <c r="Q1245" s="84"/>
      <c r="R1245" s="84"/>
      <c r="S12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5" s="71" t="str">
        <f>IFERROR(Data_Discontinuities[[#This Row],[Joint roughness]]/Data_Discontinuities[[#This Row],[Joint alteration]],"")</f>
        <v/>
      </c>
      <c r="V12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5" s="87"/>
    </row>
    <row r="1246" spans="2:23" ht="15" customHeight="1" x14ac:dyDescent="0.25">
      <c r="B1246" s="17" t="e">
        <f>VLOOKUP(Data_Discontinuities[[#This Row],[Hole ID]],Data_Log[],2,FALSE)</f>
        <v>#N/A</v>
      </c>
      <c r="C1246" s="8"/>
      <c r="D1246" s="8"/>
      <c r="E1246" s="7"/>
      <c r="F1246" s="7"/>
      <c r="G1246" s="7"/>
      <c r="H1246" s="118"/>
      <c r="I1246" s="7"/>
      <c r="J1246" s="7"/>
      <c r="K1246" s="7"/>
      <c r="L1246" s="7"/>
      <c r="M1246" s="7"/>
      <c r="N1246" s="7"/>
      <c r="O1246" s="84" t="e" cm="1">
        <f t="array" ref="O1246">_xlfn.XLOOKUP(1,(A1246=Geotech!$A$4:$A$10094)*(Data_Discontinuities[[#This Row],[Depth (m)]]&gt;=Geotech!$C$4:$C$10094)*(Data_Discontinuities[[#This Row],[Depth (m)]]&lt;Geotech!$D$4:$D$10094),Geotech!$M$4:$M$10094)</f>
        <v>#N/A</v>
      </c>
      <c r="P1246" s="84"/>
      <c r="Q1246" s="84"/>
      <c r="R1246" s="84"/>
      <c r="S12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6" s="71" t="str">
        <f>IFERROR(Data_Discontinuities[[#This Row],[Joint roughness]]/Data_Discontinuities[[#This Row],[Joint alteration]],"")</f>
        <v/>
      </c>
      <c r="V12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6" s="87"/>
    </row>
    <row r="1247" spans="2:23" ht="15" customHeight="1" x14ac:dyDescent="0.25">
      <c r="B1247" s="17" t="e">
        <f>VLOOKUP(Data_Discontinuities[[#This Row],[Hole ID]],Data_Log[],2,FALSE)</f>
        <v>#N/A</v>
      </c>
      <c r="C1247" s="8"/>
      <c r="D1247" s="8"/>
      <c r="E1247" s="7"/>
      <c r="F1247" s="7"/>
      <c r="G1247" s="7"/>
      <c r="H1247" s="118"/>
      <c r="I1247" s="7"/>
      <c r="J1247" s="7"/>
      <c r="K1247" s="7"/>
      <c r="L1247" s="7"/>
      <c r="M1247" s="7"/>
      <c r="N1247" s="7"/>
      <c r="O1247" s="84" t="e" cm="1">
        <f t="array" ref="O1247">_xlfn.XLOOKUP(1,(A1247=Geotech!$A$4:$A$10094)*(Data_Discontinuities[[#This Row],[Depth (m)]]&gt;=Geotech!$C$4:$C$10094)*(Data_Discontinuities[[#This Row],[Depth (m)]]&lt;Geotech!$D$4:$D$10094),Geotech!$M$4:$M$10094)</f>
        <v>#N/A</v>
      </c>
      <c r="P1247" s="84"/>
      <c r="Q1247" s="84"/>
      <c r="R1247" s="84"/>
      <c r="S12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7" s="71" t="str">
        <f>IFERROR(Data_Discontinuities[[#This Row],[Joint roughness]]/Data_Discontinuities[[#This Row],[Joint alteration]],"")</f>
        <v/>
      </c>
      <c r="V12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7" s="87"/>
    </row>
    <row r="1248" spans="2:23" ht="15" customHeight="1" x14ac:dyDescent="0.25">
      <c r="B1248" s="17" t="e">
        <f>VLOOKUP(Data_Discontinuities[[#This Row],[Hole ID]],Data_Log[],2,FALSE)</f>
        <v>#N/A</v>
      </c>
      <c r="C1248" s="8"/>
      <c r="D1248" s="8"/>
      <c r="E1248" s="7"/>
      <c r="F1248" s="7"/>
      <c r="G1248" s="7"/>
      <c r="H1248" s="118"/>
      <c r="I1248" s="7"/>
      <c r="J1248" s="7"/>
      <c r="K1248" s="7"/>
      <c r="L1248" s="7"/>
      <c r="M1248" s="7"/>
      <c r="N1248" s="7"/>
      <c r="O1248" s="84" t="e" cm="1">
        <f t="array" ref="O1248">_xlfn.XLOOKUP(1,(A1248=Geotech!$A$4:$A$10094)*(Data_Discontinuities[[#This Row],[Depth (m)]]&gt;=Geotech!$C$4:$C$10094)*(Data_Discontinuities[[#This Row],[Depth (m)]]&lt;Geotech!$D$4:$D$10094),Geotech!$M$4:$M$10094)</f>
        <v>#N/A</v>
      </c>
      <c r="P1248" s="84"/>
      <c r="Q1248" s="84"/>
      <c r="R1248" s="84"/>
      <c r="S12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8" s="71" t="str">
        <f>IFERROR(Data_Discontinuities[[#This Row],[Joint roughness]]/Data_Discontinuities[[#This Row],[Joint alteration]],"")</f>
        <v/>
      </c>
      <c r="V12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8" s="87"/>
    </row>
    <row r="1249" spans="2:23" ht="15" customHeight="1" x14ac:dyDescent="0.25">
      <c r="B1249" s="17" t="e">
        <f>VLOOKUP(Data_Discontinuities[[#This Row],[Hole ID]],Data_Log[],2,FALSE)</f>
        <v>#N/A</v>
      </c>
      <c r="C1249" s="8"/>
      <c r="D1249" s="8"/>
      <c r="E1249" s="7"/>
      <c r="F1249" s="7"/>
      <c r="G1249" s="7"/>
      <c r="H1249" s="118"/>
      <c r="I1249" s="7"/>
      <c r="J1249" s="7"/>
      <c r="K1249" s="7"/>
      <c r="L1249" s="7"/>
      <c r="M1249" s="7"/>
      <c r="N1249" s="7"/>
      <c r="O1249" s="84" t="e" cm="1">
        <f t="array" ref="O1249">_xlfn.XLOOKUP(1,(A1249=Geotech!$A$4:$A$10094)*(Data_Discontinuities[[#This Row],[Depth (m)]]&gt;=Geotech!$C$4:$C$10094)*(Data_Discontinuities[[#This Row],[Depth (m)]]&lt;Geotech!$D$4:$D$10094),Geotech!$M$4:$M$10094)</f>
        <v>#N/A</v>
      </c>
      <c r="P1249" s="84"/>
      <c r="Q1249" s="84"/>
      <c r="R1249" s="84"/>
      <c r="S12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49" s="71" t="str">
        <f>IFERROR(Data_Discontinuities[[#This Row],[Joint roughness]]/Data_Discontinuities[[#This Row],[Joint alteration]],"")</f>
        <v/>
      </c>
      <c r="V12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49" s="87"/>
    </row>
    <row r="1250" spans="2:23" ht="15" customHeight="1" x14ac:dyDescent="0.25">
      <c r="B1250" s="17" t="e">
        <f>VLOOKUP(Data_Discontinuities[[#This Row],[Hole ID]],Data_Log[],2,FALSE)</f>
        <v>#N/A</v>
      </c>
      <c r="C1250" s="8"/>
      <c r="D1250" s="8"/>
      <c r="E1250" s="7"/>
      <c r="F1250" s="7"/>
      <c r="G1250" s="7"/>
      <c r="H1250" s="118"/>
      <c r="I1250" s="7"/>
      <c r="J1250" s="7"/>
      <c r="K1250" s="7"/>
      <c r="L1250" s="7"/>
      <c r="M1250" s="7"/>
      <c r="N1250" s="7"/>
      <c r="O1250" s="84" t="e" cm="1">
        <f t="array" ref="O1250">_xlfn.XLOOKUP(1,(A1250=Geotech!$A$4:$A$10094)*(Data_Discontinuities[[#This Row],[Depth (m)]]&gt;=Geotech!$C$4:$C$10094)*(Data_Discontinuities[[#This Row],[Depth (m)]]&lt;Geotech!$D$4:$D$10094),Geotech!$M$4:$M$10094)</f>
        <v>#N/A</v>
      </c>
      <c r="P1250" s="84"/>
      <c r="Q1250" s="84"/>
      <c r="R1250" s="84"/>
      <c r="S12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0" s="71" t="str">
        <f>IFERROR(Data_Discontinuities[[#This Row],[Joint roughness]]/Data_Discontinuities[[#This Row],[Joint alteration]],"")</f>
        <v/>
      </c>
      <c r="V12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0" s="87"/>
    </row>
    <row r="1251" spans="2:23" ht="15" customHeight="1" x14ac:dyDescent="0.25">
      <c r="B1251" s="17" t="e">
        <f>VLOOKUP(Data_Discontinuities[[#This Row],[Hole ID]],Data_Log[],2,FALSE)</f>
        <v>#N/A</v>
      </c>
      <c r="C1251" s="8"/>
      <c r="D1251" s="8"/>
      <c r="E1251" s="7"/>
      <c r="F1251" s="7"/>
      <c r="G1251" s="7"/>
      <c r="H1251" s="118"/>
      <c r="I1251" s="7"/>
      <c r="J1251" s="7"/>
      <c r="K1251" s="7"/>
      <c r="L1251" s="7"/>
      <c r="M1251" s="7"/>
      <c r="N1251" s="7"/>
      <c r="O1251" s="84" t="e" cm="1">
        <f t="array" ref="O1251">_xlfn.XLOOKUP(1,(A1251=Geotech!$A$4:$A$10094)*(Data_Discontinuities[[#This Row],[Depth (m)]]&gt;=Geotech!$C$4:$C$10094)*(Data_Discontinuities[[#This Row],[Depth (m)]]&lt;Geotech!$D$4:$D$10094),Geotech!$M$4:$M$10094)</f>
        <v>#N/A</v>
      </c>
      <c r="P1251" s="84"/>
      <c r="Q1251" s="84"/>
      <c r="R1251" s="84"/>
      <c r="S12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1" s="71" t="str">
        <f>IFERROR(Data_Discontinuities[[#This Row],[Joint roughness]]/Data_Discontinuities[[#This Row],[Joint alteration]],"")</f>
        <v/>
      </c>
      <c r="V12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1" s="87"/>
    </row>
    <row r="1252" spans="2:23" ht="15" customHeight="1" x14ac:dyDescent="0.25">
      <c r="B1252" s="17" t="e">
        <f>VLOOKUP(Data_Discontinuities[[#This Row],[Hole ID]],Data_Log[],2,FALSE)</f>
        <v>#N/A</v>
      </c>
      <c r="C1252" s="8"/>
      <c r="D1252" s="8"/>
      <c r="E1252" s="7"/>
      <c r="F1252" s="7"/>
      <c r="G1252" s="7"/>
      <c r="H1252" s="118"/>
      <c r="I1252" s="7"/>
      <c r="J1252" s="7"/>
      <c r="K1252" s="7"/>
      <c r="L1252" s="7"/>
      <c r="M1252" s="7"/>
      <c r="N1252" s="7"/>
      <c r="O1252" s="84" t="e" cm="1">
        <f t="array" ref="O1252">_xlfn.XLOOKUP(1,(A1252=Geotech!$A$4:$A$10094)*(Data_Discontinuities[[#This Row],[Depth (m)]]&gt;=Geotech!$C$4:$C$10094)*(Data_Discontinuities[[#This Row],[Depth (m)]]&lt;Geotech!$D$4:$D$10094),Geotech!$M$4:$M$10094)</f>
        <v>#N/A</v>
      </c>
      <c r="P1252" s="84"/>
      <c r="Q1252" s="84"/>
      <c r="R1252" s="84"/>
      <c r="S12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2" s="71" t="str">
        <f>IFERROR(Data_Discontinuities[[#This Row],[Joint roughness]]/Data_Discontinuities[[#This Row],[Joint alteration]],"")</f>
        <v/>
      </c>
      <c r="V12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2" s="87"/>
    </row>
    <row r="1253" spans="2:23" ht="15" customHeight="1" x14ac:dyDescent="0.25">
      <c r="B1253" s="17" t="e">
        <f>VLOOKUP(Data_Discontinuities[[#This Row],[Hole ID]],Data_Log[],2,FALSE)</f>
        <v>#N/A</v>
      </c>
      <c r="C1253" s="8"/>
      <c r="D1253" s="8"/>
      <c r="E1253" s="7"/>
      <c r="F1253" s="7"/>
      <c r="G1253" s="7"/>
      <c r="H1253" s="118"/>
      <c r="I1253" s="7"/>
      <c r="J1253" s="7"/>
      <c r="K1253" s="7"/>
      <c r="L1253" s="7"/>
      <c r="M1253" s="7"/>
      <c r="N1253" s="7"/>
      <c r="O1253" s="84" t="e" cm="1">
        <f t="array" ref="O1253">_xlfn.XLOOKUP(1,(A1253=Geotech!$A$4:$A$10094)*(Data_Discontinuities[[#This Row],[Depth (m)]]&gt;=Geotech!$C$4:$C$10094)*(Data_Discontinuities[[#This Row],[Depth (m)]]&lt;Geotech!$D$4:$D$10094),Geotech!$M$4:$M$10094)</f>
        <v>#N/A</v>
      </c>
      <c r="P1253" s="84"/>
      <c r="Q1253" s="84"/>
      <c r="R1253" s="84"/>
      <c r="S12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3" s="71" t="str">
        <f>IFERROR(Data_Discontinuities[[#This Row],[Joint roughness]]/Data_Discontinuities[[#This Row],[Joint alteration]],"")</f>
        <v/>
      </c>
      <c r="V12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3" s="87"/>
    </row>
    <row r="1254" spans="2:23" ht="15" customHeight="1" x14ac:dyDescent="0.25">
      <c r="B1254" s="17" t="e">
        <f>VLOOKUP(Data_Discontinuities[[#This Row],[Hole ID]],Data_Log[],2,FALSE)</f>
        <v>#N/A</v>
      </c>
      <c r="C1254" s="8"/>
      <c r="D1254" s="8"/>
      <c r="E1254" s="7"/>
      <c r="F1254" s="7"/>
      <c r="G1254" s="7"/>
      <c r="H1254" s="118"/>
      <c r="I1254" s="7"/>
      <c r="J1254" s="7"/>
      <c r="K1254" s="7"/>
      <c r="L1254" s="7"/>
      <c r="M1254" s="7"/>
      <c r="N1254" s="7"/>
      <c r="O1254" s="84" t="e" cm="1">
        <f t="array" ref="O1254">_xlfn.XLOOKUP(1,(A1254=Geotech!$A$4:$A$10094)*(Data_Discontinuities[[#This Row],[Depth (m)]]&gt;=Geotech!$C$4:$C$10094)*(Data_Discontinuities[[#This Row],[Depth (m)]]&lt;Geotech!$D$4:$D$10094),Geotech!$M$4:$M$10094)</f>
        <v>#N/A</v>
      </c>
      <c r="P1254" s="84"/>
      <c r="Q1254" s="84"/>
      <c r="R1254" s="84"/>
      <c r="S12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4" s="71" t="str">
        <f>IFERROR(Data_Discontinuities[[#This Row],[Joint roughness]]/Data_Discontinuities[[#This Row],[Joint alteration]],"")</f>
        <v/>
      </c>
      <c r="V12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4" s="87"/>
    </row>
    <row r="1255" spans="2:23" ht="15" customHeight="1" x14ac:dyDescent="0.25">
      <c r="B1255" s="17" t="e">
        <f>VLOOKUP(Data_Discontinuities[[#This Row],[Hole ID]],Data_Log[],2,FALSE)</f>
        <v>#N/A</v>
      </c>
      <c r="C1255" s="8"/>
      <c r="D1255" s="8"/>
      <c r="E1255" s="7"/>
      <c r="F1255" s="7"/>
      <c r="G1255" s="7"/>
      <c r="H1255" s="118"/>
      <c r="I1255" s="7"/>
      <c r="J1255" s="7"/>
      <c r="K1255" s="7"/>
      <c r="L1255" s="7"/>
      <c r="M1255" s="7"/>
      <c r="N1255" s="7"/>
      <c r="O1255" s="84" t="e" cm="1">
        <f t="array" ref="O1255">_xlfn.XLOOKUP(1,(A1255=Geotech!$A$4:$A$10094)*(Data_Discontinuities[[#This Row],[Depth (m)]]&gt;=Geotech!$C$4:$C$10094)*(Data_Discontinuities[[#This Row],[Depth (m)]]&lt;Geotech!$D$4:$D$10094),Geotech!$M$4:$M$10094)</f>
        <v>#N/A</v>
      </c>
      <c r="P1255" s="84"/>
      <c r="Q1255" s="84"/>
      <c r="R1255" s="84"/>
      <c r="S12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5" s="71" t="str">
        <f>IFERROR(Data_Discontinuities[[#This Row],[Joint roughness]]/Data_Discontinuities[[#This Row],[Joint alteration]],"")</f>
        <v/>
      </c>
      <c r="V12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5" s="87"/>
    </row>
    <row r="1256" spans="2:23" ht="15" customHeight="1" x14ac:dyDescent="0.25">
      <c r="B1256" s="17" t="e">
        <f>VLOOKUP(Data_Discontinuities[[#This Row],[Hole ID]],Data_Log[],2,FALSE)</f>
        <v>#N/A</v>
      </c>
      <c r="C1256" s="8"/>
      <c r="D1256" s="8"/>
      <c r="E1256" s="7"/>
      <c r="F1256" s="7"/>
      <c r="G1256" s="7"/>
      <c r="H1256" s="118"/>
      <c r="I1256" s="7"/>
      <c r="J1256" s="7"/>
      <c r="K1256" s="7"/>
      <c r="L1256" s="7"/>
      <c r="M1256" s="7"/>
      <c r="N1256" s="7"/>
      <c r="O1256" s="84" t="e" cm="1">
        <f t="array" ref="O1256">_xlfn.XLOOKUP(1,(A1256=Geotech!$A$4:$A$10094)*(Data_Discontinuities[[#This Row],[Depth (m)]]&gt;=Geotech!$C$4:$C$10094)*(Data_Discontinuities[[#This Row],[Depth (m)]]&lt;Geotech!$D$4:$D$10094),Geotech!$M$4:$M$10094)</f>
        <v>#N/A</v>
      </c>
      <c r="P1256" s="84"/>
      <c r="Q1256" s="84"/>
      <c r="R1256" s="84"/>
      <c r="S12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6" s="71" t="str">
        <f>IFERROR(Data_Discontinuities[[#This Row],[Joint roughness]]/Data_Discontinuities[[#This Row],[Joint alteration]],"")</f>
        <v/>
      </c>
      <c r="V12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6" s="87"/>
    </row>
    <row r="1257" spans="2:23" ht="15" customHeight="1" x14ac:dyDescent="0.25">
      <c r="B1257" s="17" t="e">
        <f>VLOOKUP(Data_Discontinuities[[#This Row],[Hole ID]],Data_Log[],2,FALSE)</f>
        <v>#N/A</v>
      </c>
      <c r="C1257" s="8"/>
      <c r="D1257" s="8"/>
      <c r="E1257" s="7"/>
      <c r="F1257" s="7"/>
      <c r="G1257" s="7"/>
      <c r="H1257" s="118"/>
      <c r="I1257" s="7"/>
      <c r="J1257" s="7"/>
      <c r="K1257" s="7"/>
      <c r="L1257" s="7"/>
      <c r="M1257" s="7"/>
      <c r="N1257" s="7"/>
      <c r="O1257" s="84" t="e" cm="1">
        <f t="array" ref="O1257">_xlfn.XLOOKUP(1,(A1257=Geotech!$A$4:$A$10094)*(Data_Discontinuities[[#This Row],[Depth (m)]]&gt;=Geotech!$C$4:$C$10094)*(Data_Discontinuities[[#This Row],[Depth (m)]]&lt;Geotech!$D$4:$D$10094),Geotech!$M$4:$M$10094)</f>
        <v>#N/A</v>
      </c>
      <c r="P1257" s="84"/>
      <c r="Q1257" s="84"/>
      <c r="R1257" s="84"/>
      <c r="S12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7" s="71" t="str">
        <f>IFERROR(Data_Discontinuities[[#This Row],[Joint roughness]]/Data_Discontinuities[[#This Row],[Joint alteration]],"")</f>
        <v/>
      </c>
      <c r="V12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7" s="87"/>
    </row>
    <row r="1258" spans="2:23" ht="15" customHeight="1" x14ac:dyDescent="0.25">
      <c r="B1258" s="17" t="e">
        <f>VLOOKUP(Data_Discontinuities[[#This Row],[Hole ID]],Data_Log[],2,FALSE)</f>
        <v>#N/A</v>
      </c>
      <c r="C1258" s="8"/>
      <c r="D1258" s="8"/>
      <c r="E1258" s="7"/>
      <c r="F1258" s="7"/>
      <c r="G1258" s="7"/>
      <c r="H1258" s="118"/>
      <c r="I1258" s="7"/>
      <c r="J1258" s="7"/>
      <c r="K1258" s="7"/>
      <c r="L1258" s="7"/>
      <c r="M1258" s="7"/>
      <c r="N1258" s="7"/>
      <c r="O1258" s="84" t="e" cm="1">
        <f t="array" ref="O1258">_xlfn.XLOOKUP(1,(A1258=Geotech!$A$4:$A$10094)*(Data_Discontinuities[[#This Row],[Depth (m)]]&gt;=Geotech!$C$4:$C$10094)*(Data_Discontinuities[[#This Row],[Depth (m)]]&lt;Geotech!$D$4:$D$10094),Geotech!$M$4:$M$10094)</f>
        <v>#N/A</v>
      </c>
      <c r="P1258" s="84"/>
      <c r="Q1258" s="84"/>
      <c r="R1258" s="84"/>
      <c r="S12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8" s="71" t="str">
        <f>IFERROR(Data_Discontinuities[[#This Row],[Joint roughness]]/Data_Discontinuities[[#This Row],[Joint alteration]],"")</f>
        <v/>
      </c>
      <c r="V12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8" s="87"/>
    </row>
    <row r="1259" spans="2:23" ht="15" customHeight="1" x14ac:dyDescent="0.25">
      <c r="B1259" s="17" t="e">
        <f>VLOOKUP(Data_Discontinuities[[#This Row],[Hole ID]],Data_Log[],2,FALSE)</f>
        <v>#N/A</v>
      </c>
      <c r="C1259" s="8"/>
      <c r="D1259" s="8"/>
      <c r="E1259" s="7"/>
      <c r="F1259" s="7"/>
      <c r="G1259" s="7"/>
      <c r="H1259" s="118"/>
      <c r="I1259" s="7"/>
      <c r="J1259" s="7"/>
      <c r="K1259" s="7"/>
      <c r="L1259" s="7"/>
      <c r="M1259" s="7"/>
      <c r="N1259" s="7"/>
      <c r="O1259" s="84" t="e" cm="1">
        <f t="array" ref="O1259">_xlfn.XLOOKUP(1,(A1259=Geotech!$A$4:$A$10094)*(Data_Discontinuities[[#This Row],[Depth (m)]]&gt;=Geotech!$C$4:$C$10094)*(Data_Discontinuities[[#This Row],[Depth (m)]]&lt;Geotech!$D$4:$D$10094),Geotech!$M$4:$M$10094)</f>
        <v>#N/A</v>
      </c>
      <c r="P1259" s="84"/>
      <c r="Q1259" s="84"/>
      <c r="R1259" s="84"/>
      <c r="S12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59" s="71" t="str">
        <f>IFERROR(Data_Discontinuities[[#This Row],[Joint roughness]]/Data_Discontinuities[[#This Row],[Joint alteration]],"")</f>
        <v/>
      </c>
      <c r="V12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59" s="87"/>
    </row>
    <row r="1260" spans="2:23" ht="15" customHeight="1" x14ac:dyDescent="0.25">
      <c r="B1260" s="17" t="e">
        <f>VLOOKUP(Data_Discontinuities[[#This Row],[Hole ID]],Data_Log[],2,FALSE)</f>
        <v>#N/A</v>
      </c>
      <c r="C1260" s="8"/>
      <c r="D1260" s="8"/>
      <c r="E1260" s="7"/>
      <c r="F1260" s="7"/>
      <c r="G1260" s="7"/>
      <c r="H1260" s="118"/>
      <c r="I1260" s="7"/>
      <c r="J1260" s="7"/>
      <c r="K1260" s="7"/>
      <c r="L1260" s="7"/>
      <c r="M1260" s="7"/>
      <c r="N1260" s="7"/>
      <c r="O1260" s="84" t="e" cm="1">
        <f t="array" ref="O1260">_xlfn.XLOOKUP(1,(A1260=Geotech!$A$4:$A$10094)*(Data_Discontinuities[[#This Row],[Depth (m)]]&gt;=Geotech!$C$4:$C$10094)*(Data_Discontinuities[[#This Row],[Depth (m)]]&lt;Geotech!$D$4:$D$10094),Geotech!$M$4:$M$10094)</f>
        <v>#N/A</v>
      </c>
      <c r="P1260" s="84"/>
      <c r="Q1260" s="84"/>
      <c r="R1260" s="84"/>
      <c r="S12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0" s="71" t="str">
        <f>IFERROR(Data_Discontinuities[[#This Row],[Joint roughness]]/Data_Discontinuities[[#This Row],[Joint alteration]],"")</f>
        <v/>
      </c>
      <c r="V12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0" s="87"/>
    </row>
    <row r="1261" spans="2:23" ht="15" customHeight="1" x14ac:dyDescent="0.25">
      <c r="B1261" s="17" t="e">
        <f>VLOOKUP(Data_Discontinuities[[#This Row],[Hole ID]],Data_Log[],2,FALSE)</f>
        <v>#N/A</v>
      </c>
      <c r="C1261" s="8"/>
      <c r="D1261" s="8"/>
      <c r="E1261" s="7"/>
      <c r="F1261" s="7"/>
      <c r="G1261" s="7"/>
      <c r="H1261" s="118"/>
      <c r="I1261" s="7"/>
      <c r="J1261" s="7"/>
      <c r="K1261" s="7"/>
      <c r="L1261" s="7"/>
      <c r="M1261" s="7"/>
      <c r="N1261" s="7"/>
      <c r="O1261" s="84" t="e" cm="1">
        <f t="array" ref="O1261">_xlfn.XLOOKUP(1,(A1261=Geotech!$A$4:$A$10094)*(Data_Discontinuities[[#This Row],[Depth (m)]]&gt;=Geotech!$C$4:$C$10094)*(Data_Discontinuities[[#This Row],[Depth (m)]]&lt;Geotech!$D$4:$D$10094),Geotech!$M$4:$M$10094)</f>
        <v>#N/A</v>
      </c>
      <c r="P1261" s="84"/>
      <c r="Q1261" s="84"/>
      <c r="R1261" s="84"/>
      <c r="S12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1" s="71" t="str">
        <f>IFERROR(Data_Discontinuities[[#This Row],[Joint roughness]]/Data_Discontinuities[[#This Row],[Joint alteration]],"")</f>
        <v/>
      </c>
      <c r="V12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1" s="87"/>
    </row>
    <row r="1262" spans="2:23" ht="15" customHeight="1" x14ac:dyDescent="0.25">
      <c r="B1262" s="17" t="e">
        <f>VLOOKUP(Data_Discontinuities[[#This Row],[Hole ID]],Data_Log[],2,FALSE)</f>
        <v>#N/A</v>
      </c>
      <c r="C1262" s="8"/>
      <c r="D1262" s="8"/>
      <c r="E1262" s="7"/>
      <c r="F1262" s="7"/>
      <c r="G1262" s="7"/>
      <c r="H1262" s="118"/>
      <c r="I1262" s="7"/>
      <c r="J1262" s="7"/>
      <c r="K1262" s="7"/>
      <c r="L1262" s="7"/>
      <c r="M1262" s="7"/>
      <c r="N1262" s="7"/>
      <c r="O1262" s="84" t="e" cm="1">
        <f t="array" ref="O1262">_xlfn.XLOOKUP(1,(A1262=Geotech!$A$4:$A$10094)*(Data_Discontinuities[[#This Row],[Depth (m)]]&gt;=Geotech!$C$4:$C$10094)*(Data_Discontinuities[[#This Row],[Depth (m)]]&lt;Geotech!$D$4:$D$10094),Geotech!$M$4:$M$10094)</f>
        <v>#N/A</v>
      </c>
      <c r="P1262" s="84"/>
      <c r="Q1262" s="84"/>
      <c r="R1262" s="84"/>
      <c r="S12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2" s="71" t="str">
        <f>IFERROR(Data_Discontinuities[[#This Row],[Joint roughness]]/Data_Discontinuities[[#This Row],[Joint alteration]],"")</f>
        <v/>
      </c>
      <c r="V12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2" s="87"/>
    </row>
    <row r="1263" spans="2:23" ht="15" customHeight="1" x14ac:dyDescent="0.25">
      <c r="B1263" s="17" t="e">
        <f>VLOOKUP(Data_Discontinuities[[#This Row],[Hole ID]],Data_Log[],2,FALSE)</f>
        <v>#N/A</v>
      </c>
      <c r="C1263" s="8"/>
      <c r="D1263" s="8"/>
      <c r="E1263" s="7"/>
      <c r="F1263" s="7"/>
      <c r="G1263" s="7"/>
      <c r="H1263" s="118"/>
      <c r="I1263" s="7"/>
      <c r="J1263" s="7"/>
      <c r="K1263" s="7"/>
      <c r="L1263" s="7"/>
      <c r="M1263" s="7"/>
      <c r="N1263" s="7"/>
      <c r="O1263" s="84" t="e" cm="1">
        <f t="array" ref="O1263">_xlfn.XLOOKUP(1,(A1263=Geotech!$A$4:$A$10094)*(Data_Discontinuities[[#This Row],[Depth (m)]]&gt;=Geotech!$C$4:$C$10094)*(Data_Discontinuities[[#This Row],[Depth (m)]]&lt;Geotech!$D$4:$D$10094),Geotech!$M$4:$M$10094)</f>
        <v>#N/A</v>
      </c>
      <c r="P1263" s="84"/>
      <c r="Q1263" s="84"/>
      <c r="R1263" s="84"/>
      <c r="S12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3" s="71" t="str">
        <f>IFERROR(Data_Discontinuities[[#This Row],[Joint roughness]]/Data_Discontinuities[[#This Row],[Joint alteration]],"")</f>
        <v/>
      </c>
      <c r="V12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3" s="87"/>
    </row>
    <row r="1264" spans="2:23" ht="15" customHeight="1" x14ac:dyDescent="0.25">
      <c r="B1264" s="17" t="e">
        <f>VLOOKUP(Data_Discontinuities[[#This Row],[Hole ID]],Data_Log[],2,FALSE)</f>
        <v>#N/A</v>
      </c>
      <c r="C1264" s="8"/>
      <c r="D1264" s="8"/>
      <c r="E1264" s="7"/>
      <c r="F1264" s="7"/>
      <c r="G1264" s="7"/>
      <c r="H1264" s="118"/>
      <c r="I1264" s="7"/>
      <c r="J1264" s="7"/>
      <c r="K1264" s="7"/>
      <c r="L1264" s="7"/>
      <c r="M1264" s="7"/>
      <c r="N1264" s="7"/>
      <c r="O1264" s="84" t="e" cm="1">
        <f t="array" ref="O1264">_xlfn.XLOOKUP(1,(A1264=Geotech!$A$4:$A$10094)*(Data_Discontinuities[[#This Row],[Depth (m)]]&gt;=Geotech!$C$4:$C$10094)*(Data_Discontinuities[[#This Row],[Depth (m)]]&lt;Geotech!$D$4:$D$10094),Geotech!$M$4:$M$10094)</f>
        <v>#N/A</v>
      </c>
      <c r="P1264" s="84"/>
      <c r="Q1264" s="84"/>
      <c r="R1264" s="84"/>
      <c r="S12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4" s="71" t="str">
        <f>IFERROR(Data_Discontinuities[[#This Row],[Joint roughness]]/Data_Discontinuities[[#This Row],[Joint alteration]],"")</f>
        <v/>
      </c>
      <c r="V12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4" s="87"/>
    </row>
    <row r="1265" spans="1:23" ht="15" customHeight="1" x14ac:dyDescent="0.25">
      <c r="B1265" s="17" t="e">
        <f>VLOOKUP(Data_Discontinuities[[#This Row],[Hole ID]],Data_Log[],2,FALSE)</f>
        <v>#N/A</v>
      </c>
      <c r="C1265" s="8"/>
      <c r="D1265" s="8"/>
      <c r="E1265" s="7"/>
      <c r="F1265" s="7"/>
      <c r="G1265" s="7"/>
      <c r="H1265" s="118"/>
      <c r="I1265" s="7"/>
      <c r="J1265" s="7"/>
      <c r="K1265" s="7"/>
      <c r="L1265" s="7"/>
      <c r="M1265" s="7"/>
      <c r="N1265" s="7"/>
      <c r="O1265" s="84" t="e" cm="1">
        <f t="array" ref="O1265">_xlfn.XLOOKUP(1,(A1265=Geotech!$A$4:$A$10094)*(Data_Discontinuities[[#This Row],[Depth (m)]]&gt;=Geotech!$C$4:$C$10094)*(Data_Discontinuities[[#This Row],[Depth (m)]]&lt;Geotech!$D$4:$D$10094),Geotech!$M$4:$M$10094)</f>
        <v>#N/A</v>
      </c>
      <c r="P1265" s="84"/>
      <c r="Q1265" s="84"/>
      <c r="R1265" s="84"/>
      <c r="S12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5" s="71" t="str">
        <f>IFERROR(Data_Discontinuities[[#This Row],[Joint roughness]]/Data_Discontinuities[[#This Row],[Joint alteration]],"")</f>
        <v/>
      </c>
      <c r="V12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5" s="87"/>
    </row>
    <row r="1266" spans="1:23" ht="15" customHeight="1" x14ac:dyDescent="0.25">
      <c r="A1266" s="90"/>
      <c r="B1266" s="17" t="e">
        <f>VLOOKUP(Data_Discontinuities[[#This Row],[Hole ID]],Data_Log[],2,FALSE)</f>
        <v>#N/A</v>
      </c>
      <c r="C1266" s="8"/>
      <c r="D1266" s="8"/>
      <c r="E1266" s="7"/>
      <c r="F1266" s="7"/>
      <c r="G1266" s="7"/>
      <c r="H1266" s="118"/>
      <c r="I1266" s="7"/>
      <c r="J1266" s="7"/>
      <c r="K1266" s="7"/>
      <c r="L1266" s="7"/>
      <c r="M1266" s="7"/>
      <c r="N1266" s="7"/>
      <c r="O1266" s="84" t="e" cm="1">
        <f t="array" ref="O1266">_xlfn.XLOOKUP(1,(A1266=Geotech!$A$4:$A$10094)*(Data_Discontinuities[[#This Row],[Depth (m)]]&gt;=Geotech!$C$4:$C$10094)*(Data_Discontinuities[[#This Row],[Depth (m)]]&lt;Geotech!$D$4:$D$10094),Geotech!$M$4:$M$10094)</f>
        <v>#N/A</v>
      </c>
      <c r="P1266" s="84"/>
      <c r="Q1266" s="84"/>
      <c r="R1266" s="84"/>
      <c r="S12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6" s="71" t="str">
        <f>IFERROR(Data_Discontinuities[[#This Row],[Joint roughness]]/Data_Discontinuities[[#This Row],[Joint alteration]],"")</f>
        <v/>
      </c>
      <c r="V12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6" s="87"/>
    </row>
    <row r="1267" spans="1:23" ht="15" customHeight="1" x14ac:dyDescent="0.25">
      <c r="A1267" s="90"/>
      <c r="B1267" s="17" t="e">
        <f>VLOOKUP(Data_Discontinuities[[#This Row],[Hole ID]],Data_Log[],2,FALSE)</f>
        <v>#N/A</v>
      </c>
      <c r="C1267" s="8"/>
      <c r="D1267" s="8"/>
      <c r="E1267" s="7"/>
      <c r="F1267" s="7"/>
      <c r="G1267" s="7"/>
      <c r="H1267" s="118"/>
      <c r="I1267" s="7"/>
      <c r="J1267" s="7"/>
      <c r="K1267" s="7"/>
      <c r="L1267" s="7"/>
      <c r="M1267" s="7"/>
      <c r="N1267" s="7"/>
      <c r="O1267" s="84" t="e" cm="1">
        <f t="array" ref="O1267">_xlfn.XLOOKUP(1,(A1267=Geotech!$A$4:$A$10094)*(Data_Discontinuities[[#This Row],[Depth (m)]]&gt;=Geotech!$C$4:$C$10094)*(Data_Discontinuities[[#This Row],[Depth (m)]]&lt;Geotech!$D$4:$D$10094),Geotech!$M$4:$M$10094)</f>
        <v>#N/A</v>
      </c>
      <c r="P1267" s="84"/>
      <c r="Q1267" s="84"/>
      <c r="R1267" s="84"/>
      <c r="S12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7" s="71" t="str">
        <f>IFERROR(Data_Discontinuities[[#This Row],[Joint roughness]]/Data_Discontinuities[[#This Row],[Joint alteration]],"")</f>
        <v/>
      </c>
      <c r="V12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7" s="87"/>
    </row>
    <row r="1268" spans="1:23" ht="15" customHeight="1" x14ac:dyDescent="0.25">
      <c r="A1268" s="90"/>
      <c r="B1268" s="17" t="e">
        <f>VLOOKUP(Data_Discontinuities[[#This Row],[Hole ID]],Data_Log[],2,FALSE)</f>
        <v>#N/A</v>
      </c>
      <c r="C1268" s="8"/>
      <c r="D1268" s="8"/>
      <c r="E1268" s="7"/>
      <c r="F1268" s="7"/>
      <c r="G1268" s="7"/>
      <c r="H1268" s="118"/>
      <c r="I1268" s="7"/>
      <c r="J1268" s="7"/>
      <c r="K1268" s="7"/>
      <c r="L1268" s="7"/>
      <c r="M1268" s="7"/>
      <c r="N1268" s="7"/>
      <c r="O1268" s="84" t="e" cm="1">
        <f t="array" ref="O1268">_xlfn.XLOOKUP(1,(A1268=Geotech!$A$4:$A$10094)*(Data_Discontinuities[[#This Row],[Depth (m)]]&gt;=Geotech!$C$4:$C$10094)*(Data_Discontinuities[[#This Row],[Depth (m)]]&lt;Geotech!$D$4:$D$10094),Geotech!$M$4:$M$10094)</f>
        <v>#N/A</v>
      </c>
      <c r="P1268" s="84"/>
      <c r="Q1268" s="84"/>
      <c r="R1268" s="84"/>
      <c r="S12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8" s="71" t="str">
        <f>IFERROR(Data_Discontinuities[[#This Row],[Joint roughness]]/Data_Discontinuities[[#This Row],[Joint alteration]],"")</f>
        <v/>
      </c>
      <c r="V12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8" s="87"/>
    </row>
    <row r="1269" spans="1:23" ht="15" customHeight="1" x14ac:dyDescent="0.25">
      <c r="A1269" s="90"/>
      <c r="B1269" s="17" t="e">
        <f>VLOOKUP(Data_Discontinuities[[#This Row],[Hole ID]],Data_Log[],2,FALSE)</f>
        <v>#N/A</v>
      </c>
      <c r="C1269" s="8"/>
      <c r="D1269" s="8"/>
      <c r="E1269" s="7"/>
      <c r="F1269" s="7"/>
      <c r="G1269" s="7"/>
      <c r="H1269" s="118"/>
      <c r="I1269" s="7"/>
      <c r="J1269" s="7"/>
      <c r="K1269" s="7"/>
      <c r="L1269" s="7"/>
      <c r="M1269" s="7"/>
      <c r="N1269" s="7"/>
      <c r="O1269" s="84" t="e" cm="1">
        <f t="array" ref="O1269">_xlfn.XLOOKUP(1,(A1269=Geotech!$A$4:$A$10094)*(Data_Discontinuities[[#This Row],[Depth (m)]]&gt;=Geotech!$C$4:$C$10094)*(Data_Discontinuities[[#This Row],[Depth (m)]]&lt;Geotech!$D$4:$D$10094),Geotech!$M$4:$M$10094)</f>
        <v>#N/A</v>
      </c>
      <c r="P1269" s="84"/>
      <c r="Q1269" s="84"/>
      <c r="R1269" s="84"/>
      <c r="S12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69" s="71" t="str">
        <f>IFERROR(Data_Discontinuities[[#This Row],[Joint roughness]]/Data_Discontinuities[[#This Row],[Joint alteration]],"")</f>
        <v/>
      </c>
      <c r="V12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69" s="87"/>
    </row>
    <row r="1270" spans="1:23" ht="15" customHeight="1" x14ac:dyDescent="0.25">
      <c r="A1270" s="90"/>
      <c r="B1270" s="17" t="e">
        <f>VLOOKUP(Data_Discontinuities[[#This Row],[Hole ID]],Data_Log[],2,FALSE)</f>
        <v>#N/A</v>
      </c>
      <c r="C1270" s="8"/>
      <c r="D1270" s="8"/>
      <c r="E1270" s="7"/>
      <c r="F1270" s="7"/>
      <c r="G1270" s="7"/>
      <c r="H1270" s="118"/>
      <c r="I1270" s="7"/>
      <c r="J1270" s="7"/>
      <c r="K1270" s="7"/>
      <c r="L1270" s="7"/>
      <c r="M1270" s="7"/>
      <c r="N1270" s="7"/>
      <c r="O1270" s="84" t="e" cm="1">
        <f t="array" ref="O1270">_xlfn.XLOOKUP(1,(A1270=Geotech!$A$4:$A$10094)*(Data_Discontinuities[[#This Row],[Depth (m)]]&gt;=Geotech!$C$4:$C$10094)*(Data_Discontinuities[[#This Row],[Depth (m)]]&lt;Geotech!$D$4:$D$10094),Geotech!$M$4:$M$10094)</f>
        <v>#N/A</v>
      </c>
      <c r="P1270" s="84"/>
      <c r="Q1270" s="84"/>
      <c r="R1270" s="84"/>
      <c r="S12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0" s="71" t="str">
        <f>IFERROR(Data_Discontinuities[[#This Row],[Joint roughness]]/Data_Discontinuities[[#This Row],[Joint alteration]],"")</f>
        <v/>
      </c>
      <c r="V12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0" s="87"/>
    </row>
    <row r="1271" spans="1:23" ht="15" customHeight="1" x14ac:dyDescent="0.25">
      <c r="A1271" s="90"/>
      <c r="B1271" s="17" t="e">
        <f>VLOOKUP(Data_Discontinuities[[#This Row],[Hole ID]],Data_Log[],2,FALSE)</f>
        <v>#N/A</v>
      </c>
      <c r="C1271" s="8"/>
      <c r="D1271" s="8"/>
      <c r="E1271" s="7"/>
      <c r="F1271" s="7"/>
      <c r="G1271" s="7"/>
      <c r="H1271" s="118"/>
      <c r="I1271" s="7"/>
      <c r="J1271" s="7"/>
      <c r="K1271" s="7"/>
      <c r="L1271" s="7"/>
      <c r="M1271" s="7"/>
      <c r="N1271" s="7"/>
      <c r="O1271" s="84" t="e" cm="1">
        <f t="array" ref="O1271">_xlfn.XLOOKUP(1,(A1271=Geotech!$A$4:$A$10094)*(Data_Discontinuities[[#This Row],[Depth (m)]]&gt;=Geotech!$C$4:$C$10094)*(Data_Discontinuities[[#This Row],[Depth (m)]]&lt;Geotech!$D$4:$D$10094),Geotech!$M$4:$M$10094)</f>
        <v>#N/A</v>
      </c>
      <c r="P1271" s="84"/>
      <c r="Q1271" s="84"/>
      <c r="R1271" s="84"/>
      <c r="S12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1" s="71" t="str">
        <f>IFERROR(Data_Discontinuities[[#This Row],[Joint roughness]]/Data_Discontinuities[[#This Row],[Joint alteration]],"")</f>
        <v/>
      </c>
      <c r="V12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1" s="87"/>
    </row>
    <row r="1272" spans="1:23" ht="15" customHeight="1" x14ac:dyDescent="0.25">
      <c r="A1272" s="90"/>
      <c r="B1272" s="17" t="e">
        <f>VLOOKUP(Data_Discontinuities[[#This Row],[Hole ID]],Data_Log[],2,FALSE)</f>
        <v>#N/A</v>
      </c>
      <c r="C1272" s="8"/>
      <c r="D1272" s="8"/>
      <c r="E1272" s="7"/>
      <c r="F1272" s="7"/>
      <c r="G1272" s="7"/>
      <c r="H1272" s="118"/>
      <c r="I1272" s="7"/>
      <c r="J1272" s="7"/>
      <c r="K1272" s="7"/>
      <c r="L1272" s="7"/>
      <c r="M1272" s="7"/>
      <c r="N1272" s="7"/>
      <c r="O1272" s="84" t="e" cm="1">
        <f t="array" ref="O1272">_xlfn.XLOOKUP(1,(A1272=Geotech!$A$4:$A$10094)*(Data_Discontinuities[[#This Row],[Depth (m)]]&gt;=Geotech!$C$4:$C$10094)*(Data_Discontinuities[[#This Row],[Depth (m)]]&lt;Geotech!$D$4:$D$10094),Geotech!$M$4:$M$10094)</f>
        <v>#N/A</v>
      </c>
      <c r="P1272" s="84"/>
      <c r="Q1272" s="84"/>
      <c r="R1272" s="84"/>
      <c r="S12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2" s="71" t="str">
        <f>IFERROR(Data_Discontinuities[[#This Row],[Joint roughness]]/Data_Discontinuities[[#This Row],[Joint alteration]],"")</f>
        <v/>
      </c>
      <c r="V12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2" s="87"/>
    </row>
    <row r="1273" spans="1:23" ht="15" customHeight="1" x14ac:dyDescent="0.25">
      <c r="A1273" s="90"/>
      <c r="B1273" s="17" t="e">
        <f>VLOOKUP(Data_Discontinuities[[#This Row],[Hole ID]],Data_Log[],2,FALSE)</f>
        <v>#N/A</v>
      </c>
      <c r="C1273" s="8"/>
      <c r="D1273" s="8"/>
      <c r="E1273" s="7"/>
      <c r="F1273" s="7"/>
      <c r="G1273" s="7"/>
      <c r="H1273" s="118"/>
      <c r="I1273" s="7"/>
      <c r="J1273" s="7"/>
      <c r="K1273" s="7"/>
      <c r="L1273" s="7"/>
      <c r="M1273" s="7"/>
      <c r="N1273" s="7"/>
      <c r="O1273" s="84" t="e" cm="1">
        <f t="array" ref="O1273">_xlfn.XLOOKUP(1,(A1273=Geotech!$A$4:$A$10094)*(Data_Discontinuities[[#This Row],[Depth (m)]]&gt;=Geotech!$C$4:$C$10094)*(Data_Discontinuities[[#This Row],[Depth (m)]]&lt;Geotech!$D$4:$D$10094),Geotech!$M$4:$M$10094)</f>
        <v>#N/A</v>
      </c>
      <c r="P1273" s="84"/>
      <c r="Q1273" s="84"/>
      <c r="R1273" s="84"/>
      <c r="S12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3" s="71" t="str">
        <f>IFERROR(Data_Discontinuities[[#This Row],[Joint roughness]]/Data_Discontinuities[[#This Row],[Joint alteration]],"")</f>
        <v/>
      </c>
      <c r="V12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3" s="87"/>
    </row>
    <row r="1274" spans="1:23" ht="15" customHeight="1" x14ac:dyDescent="0.25">
      <c r="A1274" s="90"/>
      <c r="B1274" s="17" t="e">
        <f>VLOOKUP(Data_Discontinuities[[#This Row],[Hole ID]],Data_Log[],2,FALSE)</f>
        <v>#N/A</v>
      </c>
      <c r="C1274" s="8"/>
      <c r="D1274" s="8"/>
      <c r="E1274" s="7"/>
      <c r="F1274" s="7"/>
      <c r="G1274" s="7"/>
      <c r="H1274" s="118"/>
      <c r="I1274" s="7"/>
      <c r="J1274" s="7"/>
      <c r="K1274" s="7"/>
      <c r="L1274" s="7"/>
      <c r="M1274" s="7"/>
      <c r="N1274" s="7"/>
      <c r="O1274" s="84" t="e" cm="1">
        <f t="array" ref="O1274">_xlfn.XLOOKUP(1,(A1274=Geotech!$A$4:$A$10094)*(Data_Discontinuities[[#This Row],[Depth (m)]]&gt;=Geotech!$C$4:$C$10094)*(Data_Discontinuities[[#This Row],[Depth (m)]]&lt;Geotech!$D$4:$D$10094),Geotech!$M$4:$M$10094)</f>
        <v>#N/A</v>
      </c>
      <c r="P1274" s="84"/>
      <c r="Q1274" s="84"/>
      <c r="R1274" s="84"/>
      <c r="S12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4" s="71" t="str">
        <f>IFERROR(Data_Discontinuities[[#This Row],[Joint roughness]]/Data_Discontinuities[[#This Row],[Joint alteration]],"")</f>
        <v/>
      </c>
      <c r="V12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4" s="87"/>
    </row>
    <row r="1275" spans="1:23" ht="15" customHeight="1" x14ac:dyDescent="0.25">
      <c r="A1275" s="90"/>
      <c r="B1275" s="17" t="e">
        <f>VLOOKUP(Data_Discontinuities[[#This Row],[Hole ID]],Data_Log[],2,FALSE)</f>
        <v>#N/A</v>
      </c>
      <c r="C1275" s="8"/>
      <c r="D1275" s="8"/>
      <c r="E1275" s="7"/>
      <c r="F1275" s="7"/>
      <c r="G1275" s="7"/>
      <c r="H1275" s="118"/>
      <c r="I1275" s="7"/>
      <c r="J1275" s="7"/>
      <c r="K1275" s="7"/>
      <c r="L1275" s="7"/>
      <c r="M1275" s="7"/>
      <c r="N1275" s="7"/>
      <c r="O1275" s="84" t="e" cm="1">
        <f t="array" ref="O1275">_xlfn.XLOOKUP(1,(A1275=Geotech!$A$4:$A$10094)*(Data_Discontinuities[[#This Row],[Depth (m)]]&gt;=Geotech!$C$4:$C$10094)*(Data_Discontinuities[[#This Row],[Depth (m)]]&lt;Geotech!$D$4:$D$10094),Geotech!$M$4:$M$10094)</f>
        <v>#N/A</v>
      </c>
      <c r="P1275" s="84"/>
      <c r="Q1275" s="84"/>
      <c r="R1275" s="84"/>
      <c r="S12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5" s="71" t="str">
        <f>IFERROR(Data_Discontinuities[[#This Row],[Joint roughness]]/Data_Discontinuities[[#This Row],[Joint alteration]],"")</f>
        <v/>
      </c>
      <c r="V12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5" s="87"/>
    </row>
    <row r="1276" spans="1:23" ht="15" customHeight="1" x14ac:dyDescent="0.25">
      <c r="A1276" s="90"/>
      <c r="B1276" s="17" t="e">
        <f>VLOOKUP(Data_Discontinuities[[#This Row],[Hole ID]],Data_Log[],2,FALSE)</f>
        <v>#N/A</v>
      </c>
      <c r="C1276" s="8"/>
      <c r="D1276" s="8"/>
      <c r="E1276" s="7"/>
      <c r="F1276" s="7"/>
      <c r="G1276" s="7"/>
      <c r="H1276" s="118"/>
      <c r="I1276" s="7"/>
      <c r="J1276" s="7"/>
      <c r="K1276" s="7"/>
      <c r="L1276" s="7"/>
      <c r="M1276" s="7"/>
      <c r="N1276" s="7"/>
      <c r="O1276" s="84" t="e" cm="1">
        <f t="array" ref="O1276">_xlfn.XLOOKUP(1,(A1276=Geotech!$A$4:$A$10094)*(Data_Discontinuities[[#This Row],[Depth (m)]]&gt;=Geotech!$C$4:$C$10094)*(Data_Discontinuities[[#This Row],[Depth (m)]]&lt;Geotech!$D$4:$D$10094),Geotech!$M$4:$M$10094)</f>
        <v>#N/A</v>
      </c>
      <c r="P1276" s="84"/>
      <c r="Q1276" s="84"/>
      <c r="R1276" s="84"/>
      <c r="S12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6" s="71" t="str">
        <f>IFERROR(Data_Discontinuities[[#This Row],[Joint roughness]]/Data_Discontinuities[[#This Row],[Joint alteration]],"")</f>
        <v/>
      </c>
      <c r="V12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6" s="87"/>
    </row>
    <row r="1277" spans="1:23" ht="15" customHeight="1" x14ac:dyDescent="0.25">
      <c r="A1277" s="90"/>
      <c r="B1277" s="17" t="e">
        <f>VLOOKUP(Data_Discontinuities[[#This Row],[Hole ID]],Data_Log[],2,FALSE)</f>
        <v>#N/A</v>
      </c>
      <c r="C1277" s="8"/>
      <c r="D1277" s="8"/>
      <c r="E1277" s="7"/>
      <c r="F1277" s="7"/>
      <c r="G1277" s="7"/>
      <c r="H1277" s="118"/>
      <c r="I1277" s="7"/>
      <c r="J1277" s="7"/>
      <c r="K1277" s="7"/>
      <c r="L1277" s="7"/>
      <c r="M1277" s="7"/>
      <c r="N1277" s="7"/>
      <c r="O1277" s="84" t="e" cm="1">
        <f t="array" ref="O1277">_xlfn.XLOOKUP(1,(A1277=Geotech!$A$4:$A$10094)*(Data_Discontinuities[[#This Row],[Depth (m)]]&gt;=Geotech!$C$4:$C$10094)*(Data_Discontinuities[[#This Row],[Depth (m)]]&lt;Geotech!$D$4:$D$10094),Geotech!$M$4:$M$10094)</f>
        <v>#N/A</v>
      </c>
      <c r="P1277" s="84"/>
      <c r="Q1277" s="84"/>
      <c r="R1277" s="84"/>
      <c r="S12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7" s="71" t="str">
        <f>IFERROR(Data_Discontinuities[[#This Row],[Joint roughness]]/Data_Discontinuities[[#This Row],[Joint alteration]],"")</f>
        <v/>
      </c>
      <c r="V12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7" s="87"/>
    </row>
    <row r="1278" spans="1:23" ht="15" customHeight="1" x14ac:dyDescent="0.25">
      <c r="A1278" s="90"/>
      <c r="B1278" s="17" t="e">
        <f>VLOOKUP(Data_Discontinuities[[#This Row],[Hole ID]],Data_Log[],2,FALSE)</f>
        <v>#N/A</v>
      </c>
      <c r="C1278" s="8"/>
      <c r="D1278" s="8"/>
      <c r="E1278" s="7"/>
      <c r="F1278" s="7"/>
      <c r="G1278" s="7"/>
      <c r="H1278" s="118"/>
      <c r="I1278" s="7"/>
      <c r="J1278" s="7"/>
      <c r="K1278" s="7"/>
      <c r="L1278" s="7"/>
      <c r="M1278" s="7"/>
      <c r="N1278" s="7"/>
      <c r="O1278" s="84" t="e" cm="1">
        <f t="array" ref="O1278">_xlfn.XLOOKUP(1,(A1278=Geotech!$A$4:$A$10094)*(Data_Discontinuities[[#This Row],[Depth (m)]]&gt;=Geotech!$C$4:$C$10094)*(Data_Discontinuities[[#This Row],[Depth (m)]]&lt;Geotech!$D$4:$D$10094),Geotech!$M$4:$M$10094)</f>
        <v>#N/A</v>
      </c>
      <c r="P1278" s="84"/>
      <c r="Q1278" s="84"/>
      <c r="R1278" s="84"/>
      <c r="S12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8" s="71" t="str">
        <f>IFERROR(Data_Discontinuities[[#This Row],[Joint roughness]]/Data_Discontinuities[[#This Row],[Joint alteration]],"")</f>
        <v/>
      </c>
      <c r="V12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8" s="87"/>
    </row>
    <row r="1279" spans="1:23" ht="15" customHeight="1" x14ac:dyDescent="0.25">
      <c r="A1279" s="90"/>
      <c r="B1279" s="17" t="e">
        <f>VLOOKUP(Data_Discontinuities[[#This Row],[Hole ID]],Data_Log[],2,FALSE)</f>
        <v>#N/A</v>
      </c>
      <c r="C1279" s="8"/>
      <c r="D1279" s="8"/>
      <c r="E1279" s="7"/>
      <c r="F1279" s="7"/>
      <c r="G1279" s="7"/>
      <c r="H1279" s="118"/>
      <c r="I1279" s="7"/>
      <c r="J1279" s="7"/>
      <c r="K1279" s="7"/>
      <c r="L1279" s="7"/>
      <c r="M1279" s="7"/>
      <c r="N1279" s="7"/>
      <c r="O1279" s="84" t="e" cm="1">
        <f t="array" ref="O1279">_xlfn.XLOOKUP(1,(A1279=Geotech!$A$4:$A$10094)*(Data_Discontinuities[[#This Row],[Depth (m)]]&gt;=Geotech!$C$4:$C$10094)*(Data_Discontinuities[[#This Row],[Depth (m)]]&lt;Geotech!$D$4:$D$10094),Geotech!$M$4:$M$10094)</f>
        <v>#N/A</v>
      </c>
      <c r="P1279" s="84"/>
      <c r="Q1279" s="84"/>
      <c r="R1279" s="84"/>
      <c r="S12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79" s="71" t="str">
        <f>IFERROR(Data_Discontinuities[[#This Row],[Joint roughness]]/Data_Discontinuities[[#This Row],[Joint alteration]],"")</f>
        <v/>
      </c>
      <c r="V12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79" s="87"/>
    </row>
    <row r="1280" spans="1:23" ht="15" customHeight="1" x14ac:dyDescent="0.25">
      <c r="A1280" s="90"/>
      <c r="B1280" s="17" t="e">
        <f>VLOOKUP(Data_Discontinuities[[#This Row],[Hole ID]],Data_Log[],2,FALSE)</f>
        <v>#N/A</v>
      </c>
      <c r="C1280" s="8"/>
      <c r="D1280" s="8"/>
      <c r="E1280" s="7"/>
      <c r="F1280" s="7"/>
      <c r="G1280" s="7"/>
      <c r="H1280" s="118"/>
      <c r="I1280" s="7"/>
      <c r="J1280" s="7"/>
      <c r="K1280" s="7"/>
      <c r="L1280" s="7"/>
      <c r="M1280" s="7"/>
      <c r="N1280" s="7"/>
      <c r="O1280" s="84" t="e" cm="1">
        <f t="array" ref="O1280">_xlfn.XLOOKUP(1,(A1280=Geotech!$A$4:$A$10094)*(Data_Discontinuities[[#This Row],[Depth (m)]]&gt;=Geotech!$C$4:$C$10094)*(Data_Discontinuities[[#This Row],[Depth (m)]]&lt;Geotech!$D$4:$D$10094),Geotech!$M$4:$M$10094)</f>
        <v>#N/A</v>
      </c>
      <c r="P1280" s="84"/>
      <c r="Q1280" s="84"/>
      <c r="R1280" s="84"/>
      <c r="S12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0" s="71" t="str">
        <f>IFERROR(Data_Discontinuities[[#This Row],[Joint roughness]]/Data_Discontinuities[[#This Row],[Joint alteration]],"")</f>
        <v/>
      </c>
      <c r="V12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0" s="87"/>
    </row>
    <row r="1281" spans="1:23" ht="15" customHeight="1" x14ac:dyDescent="0.25">
      <c r="A1281" s="90"/>
      <c r="B1281" s="17" t="e">
        <f>VLOOKUP(Data_Discontinuities[[#This Row],[Hole ID]],Data_Log[],2,FALSE)</f>
        <v>#N/A</v>
      </c>
      <c r="C1281" s="8"/>
      <c r="D1281" s="8"/>
      <c r="E1281" s="7"/>
      <c r="F1281" s="7"/>
      <c r="G1281" s="7"/>
      <c r="H1281" s="118"/>
      <c r="I1281" s="7"/>
      <c r="J1281" s="7"/>
      <c r="K1281" s="7"/>
      <c r="L1281" s="7"/>
      <c r="M1281" s="7"/>
      <c r="N1281" s="7"/>
      <c r="O1281" s="84" t="e" cm="1">
        <f t="array" ref="O1281">_xlfn.XLOOKUP(1,(A1281=Geotech!$A$4:$A$10094)*(Data_Discontinuities[[#This Row],[Depth (m)]]&gt;=Geotech!$C$4:$C$10094)*(Data_Discontinuities[[#This Row],[Depth (m)]]&lt;Geotech!$D$4:$D$10094),Geotech!$M$4:$M$10094)</f>
        <v>#N/A</v>
      </c>
      <c r="P1281" s="84"/>
      <c r="Q1281" s="84"/>
      <c r="R1281" s="84"/>
      <c r="S12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1" s="71" t="str">
        <f>IFERROR(Data_Discontinuities[[#This Row],[Joint roughness]]/Data_Discontinuities[[#This Row],[Joint alteration]],"")</f>
        <v/>
      </c>
      <c r="V12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1" s="87"/>
    </row>
    <row r="1282" spans="1:23" ht="15" customHeight="1" x14ac:dyDescent="0.25">
      <c r="A1282" s="90"/>
      <c r="B1282" s="17" t="e">
        <f>VLOOKUP(Data_Discontinuities[[#This Row],[Hole ID]],Data_Log[],2,FALSE)</f>
        <v>#N/A</v>
      </c>
      <c r="C1282" s="8"/>
      <c r="D1282" s="8"/>
      <c r="E1282" s="7"/>
      <c r="F1282" s="7"/>
      <c r="G1282" s="7"/>
      <c r="H1282" s="118"/>
      <c r="I1282" s="7"/>
      <c r="J1282" s="7"/>
      <c r="K1282" s="7"/>
      <c r="L1282" s="7"/>
      <c r="M1282" s="7"/>
      <c r="N1282" s="7"/>
      <c r="O1282" s="84" t="e" cm="1">
        <f t="array" ref="O1282">_xlfn.XLOOKUP(1,(A1282=Geotech!$A$4:$A$10094)*(Data_Discontinuities[[#This Row],[Depth (m)]]&gt;=Geotech!$C$4:$C$10094)*(Data_Discontinuities[[#This Row],[Depth (m)]]&lt;Geotech!$D$4:$D$10094),Geotech!$M$4:$M$10094)</f>
        <v>#N/A</v>
      </c>
      <c r="P1282" s="84"/>
      <c r="Q1282" s="84"/>
      <c r="R1282" s="84"/>
      <c r="S12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2" s="71" t="str">
        <f>IFERROR(Data_Discontinuities[[#This Row],[Joint roughness]]/Data_Discontinuities[[#This Row],[Joint alteration]],"")</f>
        <v/>
      </c>
      <c r="V12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2" s="87"/>
    </row>
    <row r="1283" spans="1:23" ht="15" customHeight="1" x14ac:dyDescent="0.25">
      <c r="B1283" s="17" t="e">
        <f>VLOOKUP(Data_Discontinuities[[#This Row],[Hole ID]],Data_Log[],2,FALSE)</f>
        <v>#N/A</v>
      </c>
      <c r="C1283" s="8"/>
      <c r="D1283" s="8"/>
      <c r="E1283" s="7"/>
      <c r="F1283" s="7"/>
      <c r="G1283" s="7"/>
      <c r="H1283" s="118"/>
      <c r="I1283" s="7"/>
      <c r="J1283" s="7"/>
      <c r="K1283" s="7"/>
      <c r="L1283" s="7"/>
      <c r="M1283" s="7"/>
      <c r="N1283" s="7"/>
      <c r="O1283" s="84" t="e" cm="1">
        <f t="array" ref="O1283">_xlfn.XLOOKUP(1,(A1283=Geotech!$A$4:$A$10094)*(Data_Discontinuities[[#This Row],[Depth (m)]]&gt;=Geotech!$C$4:$C$10094)*(Data_Discontinuities[[#This Row],[Depth (m)]]&lt;Geotech!$D$4:$D$10094),Geotech!$M$4:$M$10094)</f>
        <v>#N/A</v>
      </c>
      <c r="P1283" s="84"/>
      <c r="Q1283" s="84"/>
      <c r="R1283" s="84"/>
      <c r="S12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3" s="71" t="str">
        <f>IFERROR(Data_Discontinuities[[#This Row],[Joint roughness]]/Data_Discontinuities[[#This Row],[Joint alteration]],"")</f>
        <v/>
      </c>
      <c r="V12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3" s="87"/>
    </row>
    <row r="1284" spans="1:23" ht="15" customHeight="1" x14ac:dyDescent="0.25">
      <c r="B1284" s="17" t="e">
        <f>VLOOKUP(Data_Discontinuities[[#This Row],[Hole ID]],Data_Log[],2,FALSE)</f>
        <v>#N/A</v>
      </c>
      <c r="C1284" s="8"/>
      <c r="D1284" s="8"/>
      <c r="E1284" s="7"/>
      <c r="F1284" s="7"/>
      <c r="G1284" s="7"/>
      <c r="H1284" s="118"/>
      <c r="I1284" s="7"/>
      <c r="J1284" s="7"/>
      <c r="K1284" s="7"/>
      <c r="L1284" s="7"/>
      <c r="M1284" s="7"/>
      <c r="N1284" s="7"/>
      <c r="O1284" s="84" t="e" cm="1">
        <f t="array" ref="O1284">_xlfn.XLOOKUP(1,(A1284=Geotech!$A$4:$A$10094)*(Data_Discontinuities[[#This Row],[Depth (m)]]&gt;=Geotech!$C$4:$C$10094)*(Data_Discontinuities[[#This Row],[Depth (m)]]&lt;Geotech!$D$4:$D$10094),Geotech!$M$4:$M$10094)</f>
        <v>#N/A</v>
      </c>
      <c r="P1284" s="84"/>
      <c r="Q1284" s="84"/>
      <c r="R1284" s="84"/>
      <c r="S12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4" s="71" t="str">
        <f>IFERROR(Data_Discontinuities[[#This Row],[Joint roughness]]/Data_Discontinuities[[#This Row],[Joint alteration]],"")</f>
        <v/>
      </c>
      <c r="V12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4" s="87"/>
    </row>
    <row r="1285" spans="1:23" ht="15" customHeight="1" x14ac:dyDescent="0.25">
      <c r="B1285" s="17" t="e">
        <f>VLOOKUP(Data_Discontinuities[[#This Row],[Hole ID]],Data_Log[],2,FALSE)</f>
        <v>#N/A</v>
      </c>
      <c r="C1285" s="8"/>
      <c r="D1285" s="8"/>
      <c r="E1285" s="7"/>
      <c r="F1285" s="7"/>
      <c r="G1285" s="7"/>
      <c r="H1285" s="118"/>
      <c r="I1285" s="7"/>
      <c r="J1285" s="7"/>
      <c r="K1285" s="7"/>
      <c r="L1285" s="7"/>
      <c r="M1285" s="7"/>
      <c r="N1285" s="7"/>
      <c r="O1285" s="84" t="e" cm="1">
        <f t="array" ref="O1285">_xlfn.XLOOKUP(1,(A1285=Geotech!$A$4:$A$10094)*(Data_Discontinuities[[#This Row],[Depth (m)]]&gt;=Geotech!$C$4:$C$10094)*(Data_Discontinuities[[#This Row],[Depth (m)]]&lt;Geotech!$D$4:$D$10094),Geotech!$M$4:$M$10094)</f>
        <v>#N/A</v>
      </c>
      <c r="P1285" s="84"/>
      <c r="Q1285" s="84"/>
      <c r="R1285" s="84"/>
      <c r="S12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5" s="71" t="str">
        <f>IFERROR(Data_Discontinuities[[#This Row],[Joint roughness]]/Data_Discontinuities[[#This Row],[Joint alteration]],"")</f>
        <v/>
      </c>
      <c r="V12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5" s="87"/>
    </row>
    <row r="1286" spans="1:23" ht="15" customHeight="1" x14ac:dyDescent="0.25">
      <c r="B1286" s="17" t="e">
        <f>VLOOKUP(Data_Discontinuities[[#This Row],[Hole ID]],Data_Log[],2,FALSE)</f>
        <v>#N/A</v>
      </c>
      <c r="C1286" s="8"/>
      <c r="D1286" s="8"/>
      <c r="E1286" s="7"/>
      <c r="F1286" s="7"/>
      <c r="G1286" s="7"/>
      <c r="H1286" s="118"/>
      <c r="I1286" s="7"/>
      <c r="J1286" s="7"/>
      <c r="K1286" s="7"/>
      <c r="L1286" s="7"/>
      <c r="M1286" s="7"/>
      <c r="N1286" s="7"/>
      <c r="O1286" s="84" t="e" cm="1">
        <f t="array" ref="O1286">_xlfn.XLOOKUP(1,(A1286=Geotech!$A$4:$A$10094)*(Data_Discontinuities[[#This Row],[Depth (m)]]&gt;=Geotech!$C$4:$C$10094)*(Data_Discontinuities[[#This Row],[Depth (m)]]&lt;Geotech!$D$4:$D$10094),Geotech!$M$4:$M$10094)</f>
        <v>#N/A</v>
      </c>
      <c r="P1286" s="84"/>
      <c r="Q1286" s="84"/>
      <c r="R1286" s="84"/>
      <c r="S12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6" s="71" t="str">
        <f>IFERROR(Data_Discontinuities[[#This Row],[Joint roughness]]/Data_Discontinuities[[#This Row],[Joint alteration]],"")</f>
        <v/>
      </c>
      <c r="V12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6" s="87"/>
    </row>
    <row r="1287" spans="1:23" ht="15" customHeight="1" x14ac:dyDescent="0.25">
      <c r="B1287" s="17" t="e">
        <f>VLOOKUP(Data_Discontinuities[[#This Row],[Hole ID]],Data_Log[],2,FALSE)</f>
        <v>#N/A</v>
      </c>
      <c r="C1287" s="8"/>
      <c r="D1287" s="8"/>
      <c r="E1287" s="7"/>
      <c r="F1287" s="7"/>
      <c r="G1287" s="7"/>
      <c r="H1287" s="118"/>
      <c r="I1287" s="7"/>
      <c r="J1287" s="7"/>
      <c r="K1287" s="7"/>
      <c r="L1287" s="7"/>
      <c r="M1287" s="7"/>
      <c r="N1287" s="7"/>
      <c r="O1287" s="84" t="e" cm="1">
        <f t="array" ref="O1287">_xlfn.XLOOKUP(1,(A1287=Geotech!$A$4:$A$10094)*(Data_Discontinuities[[#This Row],[Depth (m)]]&gt;=Geotech!$C$4:$C$10094)*(Data_Discontinuities[[#This Row],[Depth (m)]]&lt;Geotech!$D$4:$D$10094),Geotech!$M$4:$M$10094)</f>
        <v>#N/A</v>
      </c>
      <c r="P1287" s="84"/>
      <c r="Q1287" s="84"/>
      <c r="R1287" s="84"/>
      <c r="S12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7" s="71" t="str">
        <f>IFERROR(Data_Discontinuities[[#This Row],[Joint roughness]]/Data_Discontinuities[[#This Row],[Joint alteration]],"")</f>
        <v/>
      </c>
      <c r="V12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7" s="87"/>
    </row>
    <row r="1288" spans="1:23" ht="15" customHeight="1" x14ac:dyDescent="0.25">
      <c r="B1288" s="17" t="e">
        <f>VLOOKUP(Data_Discontinuities[[#This Row],[Hole ID]],Data_Log[],2,FALSE)</f>
        <v>#N/A</v>
      </c>
      <c r="C1288" s="8"/>
      <c r="D1288" s="8"/>
      <c r="E1288" s="7"/>
      <c r="F1288" s="7"/>
      <c r="G1288" s="7"/>
      <c r="H1288" s="118"/>
      <c r="I1288" s="7"/>
      <c r="J1288" s="7"/>
      <c r="K1288" s="7"/>
      <c r="L1288" s="7"/>
      <c r="M1288" s="7"/>
      <c r="N1288" s="7"/>
      <c r="O1288" s="84" t="e" cm="1">
        <f t="array" ref="O1288">_xlfn.XLOOKUP(1,(A1288=Geotech!$A$4:$A$10094)*(Data_Discontinuities[[#This Row],[Depth (m)]]&gt;=Geotech!$C$4:$C$10094)*(Data_Discontinuities[[#This Row],[Depth (m)]]&lt;Geotech!$D$4:$D$10094),Geotech!$M$4:$M$10094)</f>
        <v>#N/A</v>
      </c>
      <c r="P1288" s="84"/>
      <c r="Q1288" s="84"/>
      <c r="R1288" s="84"/>
      <c r="S12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8" s="71" t="str">
        <f>IFERROR(Data_Discontinuities[[#This Row],[Joint roughness]]/Data_Discontinuities[[#This Row],[Joint alteration]],"")</f>
        <v/>
      </c>
      <c r="V12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8" s="87"/>
    </row>
    <row r="1289" spans="1:23" ht="15" customHeight="1" x14ac:dyDescent="0.25">
      <c r="B1289" s="17" t="e">
        <f>VLOOKUP(Data_Discontinuities[[#This Row],[Hole ID]],Data_Log[],2,FALSE)</f>
        <v>#N/A</v>
      </c>
      <c r="C1289" s="8"/>
      <c r="D1289" s="8"/>
      <c r="E1289" s="7"/>
      <c r="F1289" s="7"/>
      <c r="G1289" s="7"/>
      <c r="H1289" s="118"/>
      <c r="I1289" s="7"/>
      <c r="J1289" s="7"/>
      <c r="K1289" s="7"/>
      <c r="L1289" s="7"/>
      <c r="M1289" s="7"/>
      <c r="N1289" s="7"/>
      <c r="O1289" s="84" t="e" cm="1">
        <f t="array" ref="O1289">_xlfn.XLOOKUP(1,(A1289=Geotech!$A$4:$A$10094)*(Data_Discontinuities[[#This Row],[Depth (m)]]&gt;=Geotech!$C$4:$C$10094)*(Data_Discontinuities[[#This Row],[Depth (m)]]&lt;Geotech!$D$4:$D$10094),Geotech!$M$4:$M$10094)</f>
        <v>#N/A</v>
      </c>
      <c r="P1289" s="84"/>
      <c r="Q1289" s="84"/>
      <c r="R1289" s="84"/>
      <c r="S12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89" s="71" t="str">
        <f>IFERROR(Data_Discontinuities[[#This Row],[Joint roughness]]/Data_Discontinuities[[#This Row],[Joint alteration]],"")</f>
        <v/>
      </c>
      <c r="V12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89" s="87"/>
    </row>
    <row r="1290" spans="1:23" ht="15" customHeight="1" x14ac:dyDescent="0.25">
      <c r="B1290" s="17" t="e">
        <f>VLOOKUP(Data_Discontinuities[[#This Row],[Hole ID]],Data_Log[],2,FALSE)</f>
        <v>#N/A</v>
      </c>
      <c r="C1290" s="8"/>
      <c r="D1290" s="8"/>
      <c r="E1290" s="7"/>
      <c r="F1290" s="7"/>
      <c r="G1290" s="7"/>
      <c r="H1290" s="118"/>
      <c r="I1290" s="7"/>
      <c r="J1290" s="7"/>
      <c r="K1290" s="7"/>
      <c r="L1290" s="7"/>
      <c r="M1290" s="7"/>
      <c r="N1290" s="7"/>
      <c r="O1290" s="84" t="e" cm="1">
        <f t="array" ref="O1290">_xlfn.XLOOKUP(1,(A1290=Geotech!$A$4:$A$10094)*(Data_Discontinuities[[#This Row],[Depth (m)]]&gt;=Geotech!$C$4:$C$10094)*(Data_Discontinuities[[#This Row],[Depth (m)]]&lt;Geotech!$D$4:$D$10094),Geotech!$M$4:$M$10094)</f>
        <v>#N/A</v>
      </c>
      <c r="P1290" s="84"/>
      <c r="Q1290" s="84"/>
      <c r="R1290" s="84"/>
      <c r="S12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0" s="71" t="str">
        <f>IFERROR(Data_Discontinuities[[#This Row],[Joint roughness]]/Data_Discontinuities[[#This Row],[Joint alteration]],"")</f>
        <v/>
      </c>
      <c r="V12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0" s="87"/>
    </row>
    <row r="1291" spans="1:23" ht="15" customHeight="1" x14ac:dyDescent="0.25">
      <c r="B1291" s="17" t="e">
        <f>VLOOKUP(Data_Discontinuities[[#This Row],[Hole ID]],Data_Log[],2,FALSE)</f>
        <v>#N/A</v>
      </c>
      <c r="C1291" s="8"/>
      <c r="D1291" s="8"/>
      <c r="E1291" s="7"/>
      <c r="F1291" s="7"/>
      <c r="G1291" s="7"/>
      <c r="H1291" s="118"/>
      <c r="I1291" s="7"/>
      <c r="J1291" s="7"/>
      <c r="K1291" s="7"/>
      <c r="L1291" s="7"/>
      <c r="M1291" s="7"/>
      <c r="N1291" s="7"/>
      <c r="O1291" s="84" t="e" cm="1">
        <f t="array" ref="O1291">_xlfn.XLOOKUP(1,(A1291=Geotech!$A$4:$A$10094)*(Data_Discontinuities[[#This Row],[Depth (m)]]&gt;=Geotech!$C$4:$C$10094)*(Data_Discontinuities[[#This Row],[Depth (m)]]&lt;Geotech!$D$4:$D$10094),Geotech!$M$4:$M$10094)</f>
        <v>#N/A</v>
      </c>
      <c r="P1291" s="84"/>
      <c r="Q1291" s="84"/>
      <c r="R1291" s="84"/>
      <c r="S12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1" s="71" t="str">
        <f>IFERROR(Data_Discontinuities[[#This Row],[Joint roughness]]/Data_Discontinuities[[#This Row],[Joint alteration]],"")</f>
        <v/>
      </c>
      <c r="V12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1" s="87"/>
    </row>
    <row r="1292" spans="1:23" ht="15" customHeight="1" x14ac:dyDescent="0.25">
      <c r="B1292" s="17" t="e">
        <f>VLOOKUP(Data_Discontinuities[[#This Row],[Hole ID]],Data_Log[],2,FALSE)</f>
        <v>#N/A</v>
      </c>
      <c r="C1292" s="8"/>
      <c r="D1292" s="8"/>
      <c r="E1292" s="7"/>
      <c r="F1292" s="7"/>
      <c r="G1292" s="7"/>
      <c r="H1292" s="118"/>
      <c r="I1292" s="7"/>
      <c r="J1292" s="7"/>
      <c r="K1292" s="7"/>
      <c r="L1292" s="7"/>
      <c r="M1292" s="7"/>
      <c r="N1292" s="7"/>
      <c r="O1292" s="84" t="e" cm="1">
        <f t="array" ref="O1292">_xlfn.XLOOKUP(1,(A1292=Geotech!$A$4:$A$10094)*(Data_Discontinuities[[#This Row],[Depth (m)]]&gt;=Geotech!$C$4:$C$10094)*(Data_Discontinuities[[#This Row],[Depth (m)]]&lt;Geotech!$D$4:$D$10094),Geotech!$M$4:$M$10094)</f>
        <v>#N/A</v>
      </c>
      <c r="P1292" s="84"/>
      <c r="Q1292" s="84"/>
      <c r="R1292" s="84"/>
      <c r="S12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2" s="71" t="str">
        <f>IFERROR(Data_Discontinuities[[#This Row],[Joint roughness]]/Data_Discontinuities[[#This Row],[Joint alteration]],"")</f>
        <v/>
      </c>
      <c r="V12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2" s="87"/>
    </row>
    <row r="1293" spans="1:23" ht="15" customHeight="1" x14ac:dyDescent="0.25">
      <c r="B1293" s="17" t="e">
        <f>VLOOKUP(Data_Discontinuities[[#This Row],[Hole ID]],Data_Log[],2,FALSE)</f>
        <v>#N/A</v>
      </c>
      <c r="C1293" s="8"/>
      <c r="D1293" s="8"/>
      <c r="E1293" s="7"/>
      <c r="F1293" s="7"/>
      <c r="G1293" s="7"/>
      <c r="H1293" s="118"/>
      <c r="I1293" s="7"/>
      <c r="J1293" s="7"/>
      <c r="K1293" s="7"/>
      <c r="L1293" s="7"/>
      <c r="M1293" s="7"/>
      <c r="N1293" s="7"/>
      <c r="O1293" s="84" t="e" cm="1">
        <f t="array" ref="O1293">_xlfn.XLOOKUP(1,(A1293=Geotech!$A$4:$A$10094)*(Data_Discontinuities[[#This Row],[Depth (m)]]&gt;=Geotech!$C$4:$C$10094)*(Data_Discontinuities[[#This Row],[Depth (m)]]&lt;Geotech!$D$4:$D$10094),Geotech!$M$4:$M$10094)</f>
        <v>#N/A</v>
      </c>
      <c r="P1293" s="84"/>
      <c r="Q1293" s="84"/>
      <c r="R1293" s="84"/>
      <c r="S12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3" s="71" t="str">
        <f>IFERROR(Data_Discontinuities[[#This Row],[Joint roughness]]/Data_Discontinuities[[#This Row],[Joint alteration]],"")</f>
        <v/>
      </c>
      <c r="V12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3" s="87"/>
    </row>
    <row r="1294" spans="1:23" ht="15" customHeight="1" x14ac:dyDescent="0.25">
      <c r="B1294" s="17" t="e">
        <f>VLOOKUP(Data_Discontinuities[[#This Row],[Hole ID]],Data_Log[],2,FALSE)</f>
        <v>#N/A</v>
      </c>
      <c r="C1294" s="8"/>
      <c r="D1294" s="8"/>
      <c r="E1294" s="7"/>
      <c r="F1294" s="7"/>
      <c r="G1294" s="7"/>
      <c r="H1294" s="118"/>
      <c r="I1294" s="7"/>
      <c r="J1294" s="7"/>
      <c r="K1294" s="7"/>
      <c r="L1294" s="7"/>
      <c r="M1294" s="7"/>
      <c r="N1294" s="7"/>
      <c r="O1294" s="84" t="e" cm="1">
        <f t="array" ref="O1294">_xlfn.XLOOKUP(1,(A1294=Geotech!$A$4:$A$10094)*(Data_Discontinuities[[#This Row],[Depth (m)]]&gt;=Geotech!$C$4:$C$10094)*(Data_Discontinuities[[#This Row],[Depth (m)]]&lt;Geotech!$D$4:$D$10094),Geotech!$M$4:$M$10094)</f>
        <v>#N/A</v>
      </c>
      <c r="P1294" s="84"/>
      <c r="Q1294" s="84"/>
      <c r="R1294" s="84"/>
      <c r="S12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4" s="71" t="str">
        <f>IFERROR(Data_Discontinuities[[#This Row],[Joint roughness]]/Data_Discontinuities[[#This Row],[Joint alteration]],"")</f>
        <v/>
      </c>
      <c r="V12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4" s="87"/>
    </row>
    <row r="1295" spans="1:23" ht="15" customHeight="1" x14ac:dyDescent="0.25">
      <c r="B1295" s="17" t="e">
        <f>VLOOKUP(Data_Discontinuities[[#This Row],[Hole ID]],Data_Log[],2,FALSE)</f>
        <v>#N/A</v>
      </c>
      <c r="C1295" s="8"/>
      <c r="D1295" s="8"/>
      <c r="E1295" s="7"/>
      <c r="F1295" s="7"/>
      <c r="G1295" s="7"/>
      <c r="H1295" s="118"/>
      <c r="I1295" s="7"/>
      <c r="J1295" s="7"/>
      <c r="K1295" s="7"/>
      <c r="L1295" s="7"/>
      <c r="M1295" s="7"/>
      <c r="N1295" s="7"/>
      <c r="O1295" s="84" t="e" cm="1">
        <f t="array" ref="O1295">_xlfn.XLOOKUP(1,(A1295=Geotech!$A$4:$A$10094)*(Data_Discontinuities[[#This Row],[Depth (m)]]&gt;=Geotech!$C$4:$C$10094)*(Data_Discontinuities[[#This Row],[Depth (m)]]&lt;Geotech!$D$4:$D$10094),Geotech!$M$4:$M$10094)</f>
        <v>#N/A</v>
      </c>
      <c r="P1295" s="84"/>
      <c r="Q1295" s="84"/>
      <c r="R1295" s="84"/>
      <c r="S12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5" s="71" t="str">
        <f>IFERROR(Data_Discontinuities[[#This Row],[Joint roughness]]/Data_Discontinuities[[#This Row],[Joint alteration]],"")</f>
        <v/>
      </c>
      <c r="V12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5" s="87"/>
    </row>
    <row r="1296" spans="1:23" ht="15" customHeight="1" x14ac:dyDescent="0.25">
      <c r="B1296" s="17" t="e">
        <f>VLOOKUP(Data_Discontinuities[[#This Row],[Hole ID]],Data_Log[],2,FALSE)</f>
        <v>#N/A</v>
      </c>
      <c r="C1296" s="8"/>
      <c r="D1296" s="8"/>
      <c r="E1296" s="7"/>
      <c r="F1296" s="7"/>
      <c r="G1296" s="7"/>
      <c r="H1296" s="118"/>
      <c r="I1296" s="7"/>
      <c r="J1296" s="7"/>
      <c r="K1296" s="7"/>
      <c r="L1296" s="7"/>
      <c r="M1296" s="7"/>
      <c r="N1296" s="7"/>
      <c r="O1296" s="84" t="e" cm="1">
        <f t="array" ref="O1296">_xlfn.XLOOKUP(1,(A1296=Geotech!$A$4:$A$10094)*(Data_Discontinuities[[#This Row],[Depth (m)]]&gt;=Geotech!$C$4:$C$10094)*(Data_Discontinuities[[#This Row],[Depth (m)]]&lt;Geotech!$D$4:$D$10094),Geotech!$M$4:$M$10094)</f>
        <v>#N/A</v>
      </c>
      <c r="P1296" s="84"/>
      <c r="Q1296" s="84"/>
      <c r="R1296" s="84"/>
      <c r="S12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6" s="71" t="str">
        <f>IFERROR(Data_Discontinuities[[#This Row],[Joint roughness]]/Data_Discontinuities[[#This Row],[Joint alteration]],"")</f>
        <v/>
      </c>
      <c r="V12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6" s="87"/>
    </row>
    <row r="1297" spans="2:23" ht="15" customHeight="1" x14ac:dyDescent="0.25">
      <c r="B1297" s="17" t="e">
        <f>VLOOKUP(Data_Discontinuities[[#This Row],[Hole ID]],Data_Log[],2,FALSE)</f>
        <v>#N/A</v>
      </c>
      <c r="C1297" s="8"/>
      <c r="D1297" s="8"/>
      <c r="E1297" s="7"/>
      <c r="F1297" s="7"/>
      <c r="G1297" s="7"/>
      <c r="H1297" s="118"/>
      <c r="I1297" s="7"/>
      <c r="J1297" s="7"/>
      <c r="K1297" s="7"/>
      <c r="L1297" s="7"/>
      <c r="M1297" s="7"/>
      <c r="N1297" s="7"/>
      <c r="O1297" s="84" t="e" cm="1">
        <f t="array" ref="O1297">_xlfn.XLOOKUP(1,(A1297=Geotech!$A$4:$A$10094)*(Data_Discontinuities[[#This Row],[Depth (m)]]&gt;=Geotech!$C$4:$C$10094)*(Data_Discontinuities[[#This Row],[Depth (m)]]&lt;Geotech!$D$4:$D$10094),Geotech!$M$4:$M$10094)</f>
        <v>#N/A</v>
      </c>
      <c r="P1297" s="84"/>
      <c r="Q1297" s="84"/>
      <c r="R1297" s="84"/>
      <c r="S12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7" s="71" t="str">
        <f>IFERROR(Data_Discontinuities[[#This Row],[Joint roughness]]/Data_Discontinuities[[#This Row],[Joint alteration]],"")</f>
        <v/>
      </c>
      <c r="V12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7" s="87"/>
    </row>
    <row r="1298" spans="2:23" ht="15" customHeight="1" x14ac:dyDescent="0.25">
      <c r="B1298" s="17" t="e">
        <f>VLOOKUP(Data_Discontinuities[[#This Row],[Hole ID]],Data_Log[],2,FALSE)</f>
        <v>#N/A</v>
      </c>
      <c r="C1298" s="8"/>
      <c r="D1298" s="8"/>
      <c r="E1298" s="7"/>
      <c r="F1298" s="7"/>
      <c r="G1298" s="7"/>
      <c r="H1298" s="118"/>
      <c r="I1298" s="7"/>
      <c r="J1298" s="7"/>
      <c r="K1298" s="7"/>
      <c r="L1298" s="7"/>
      <c r="M1298" s="7"/>
      <c r="N1298" s="7"/>
      <c r="O1298" s="84" t="e" cm="1">
        <f t="array" ref="O1298">_xlfn.XLOOKUP(1,(A1298=Geotech!$A$4:$A$10094)*(Data_Discontinuities[[#This Row],[Depth (m)]]&gt;=Geotech!$C$4:$C$10094)*(Data_Discontinuities[[#This Row],[Depth (m)]]&lt;Geotech!$D$4:$D$10094),Geotech!$M$4:$M$10094)</f>
        <v>#N/A</v>
      </c>
      <c r="P1298" s="84"/>
      <c r="Q1298" s="84"/>
      <c r="R1298" s="84"/>
      <c r="S12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8" s="71" t="str">
        <f>IFERROR(Data_Discontinuities[[#This Row],[Joint roughness]]/Data_Discontinuities[[#This Row],[Joint alteration]],"")</f>
        <v/>
      </c>
      <c r="V12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8" s="87"/>
    </row>
    <row r="1299" spans="2:23" ht="15" customHeight="1" x14ac:dyDescent="0.25">
      <c r="B1299" s="17" t="e">
        <f>VLOOKUP(Data_Discontinuities[[#This Row],[Hole ID]],Data_Log[],2,FALSE)</f>
        <v>#N/A</v>
      </c>
      <c r="C1299" s="8"/>
      <c r="D1299" s="8"/>
      <c r="E1299" s="7"/>
      <c r="F1299" s="7"/>
      <c r="G1299" s="7"/>
      <c r="H1299" s="118"/>
      <c r="I1299" s="7"/>
      <c r="J1299" s="7"/>
      <c r="K1299" s="7"/>
      <c r="L1299" s="7"/>
      <c r="M1299" s="7"/>
      <c r="N1299" s="7"/>
      <c r="O1299" s="84" t="e" cm="1">
        <f t="array" ref="O1299">_xlfn.XLOOKUP(1,(A1299=Geotech!$A$4:$A$10094)*(Data_Discontinuities[[#This Row],[Depth (m)]]&gt;=Geotech!$C$4:$C$10094)*(Data_Discontinuities[[#This Row],[Depth (m)]]&lt;Geotech!$D$4:$D$10094),Geotech!$M$4:$M$10094)</f>
        <v>#N/A</v>
      </c>
      <c r="P1299" s="84"/>
      <c r="Q1299" s="84"/>
      <c r="R1299" s="84"/>
      <c r="S12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2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299" s="71" t="str">
        <f>IFERROR(Data_Discontinuities[[#This Row],[Joint roughness]]/Data_Discontinuities[[#This Row],[Joint alteration]],"")</f>
        <v/>
      </c>
      <c r="V12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299" s="87"/>
    </row>
    <row r="1300" spans="2:23" ht="15" customHeight="1" x14ac:dyDescent="0.25">
      <c r="B1300" s="17" t="e">
        <f>VLOOKUP(Data_Discontinuities[[#This Row],[Hole ID]],Data_Log[],2,FALSE)</f>
        <v>#N/A</v>
      </c>
      <c r="C1300" s="8"/>
      <c r="D1300" s="8"/>
      <c r="E1300" s="7"/>
      <c r="F1300" s="7"/>
      <c r="G1300" s="7"/>
      <c r="H1300" s="118"/>
      <c r="I1300" s="7"/>
      <c r="J1300" s="7"/>
      <c r="K1300" s="7"/>
      <c r="L1300" s="7"/>
      <c r="M1300" s="7"/>
      <c r="N1300" s="7"/>
      <c r="O1300" s="84" t="e" cm="1">
        <f t="array" ref="O1300">_xlfn.XLOOKUP(1,(A1300=Geotech!$A$4:$A$10094)*(Data_Discontinuities[[#This Row],[Depth (m)]]&gt;=Geotech!$C$4:$C$10094)*(Data_Discontinuities[[#This Row],[Depth (m)]]&lt;Geotech!$D$4:$D$10094),Geotech!$M$4:$M$10094)</f>
        <v>#N/A</v>
      </c>
      <c r="P1300" s="84"/>
      <c r="Q1300" s="84"/>
      <c r="R1300" s="84"/>
      <c r="S13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0" s="71" t="str">
        <f>IFERROR(Data_Discontinuities[[#This Row],[Joint roughness]]/Data_Discontinuities[[#This Row],[Joint alteration]],"")</f>
        <v/>
      </c>
      <c r="V13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0" s="87"/>
    </row>
    <row r="1301" spans="2:23" ht="15" customHeight="1" x14ac:dyDescent="0.25">
      <c r="B1301" s="17" t="e">
        <f>VLOOKUP(Data_Discontinuities[[#This Row],[Hole ID]],Data_Log[],2,FALSE)</f>
        <v>#N/A</v>
      </c>
      <c r="C1301" s="8"/>
      <c r="D1301" s="8"/>
      <c r="E1301" s="7"/>
      <c r="F1301" s="7"/>
      <c r="G1301" s="7"/>
      <c r="H1301" s="118"/>
      <c r="I1301" s="7"/>
      <c r="J1301" s="7"/>
      <c r="K1301" s="7"/>
      <c r="L1301" s="7"/>
      <c r="M1301" s="7"/>
      <c r="N1301" s="7"/>
      <c r="O1301" s="84" t="e" cm="1">
        <f t="array" ref="O1301">_xlfn.XLOOKUP(1,(A1301=Geotech!$A$4:$A$10094)*(Data_Discontinuities[[#This Row],[Depth (m)]]&gt;=Geotech!$C$4:$C$10094)*(Data_Discontinuities[[#This Row],[Depth (m)]]&lt;Geotech!$D$4:$D$10094),Geotech!$M$4:$M$10094)</f>
        <v>#N/A</v>
      </c>
      <c r="P1301" s="84"/>
      <c r="Q1301" s="84"/>
      <c r="R1301" s="84"/>
      <c r="S13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1" s="71" t="str">
        <f>IFERROR(Data_Discontinuities[[#This Row],[Joint roughness]]/Data_Discontinuities[[#This Row],[Joint alteration]],"")</f>
        <v/>
      </c>
      <c r="V13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1" s="87"/>
    </row>
    <row r="1302" spans="2:23" ht="15" customHeight="1" x14ac:dyDescent="0.25">
      <c r="B1302" s="17" t="e">
        <f>VLOOKUP(Data_Discontinuities[[#This Row],[Hole ID]],Data_Log[],2,FALSE)</f>
        <v>#N/A</v>
      </c>
      <c r="C1302" s="8"/>
      <c r="D1302" s="8"/>
      <c r="E1302" s="7"/>
      <c r="F1302" s="7"/>
      <c r="G1302" s="7"/>
      <c r="H1302" s="118"/>
      <c r="I1302" s="7"/>
      <c r="J1302" s="7"/>
      <c r="K1302" s="7"/>
      <c r="L1302" s="7"/>
      <c r="M1302" s="7"/>
      <c r="N1302" s="7"/>
      <c r="O1302" s="84" t="e" cm="1">
        <f t="array" ref="O1302">_xlfn.XLOOKUP(1,(A1302=Geotech!$A$4:$A$10094)*(Data_Discontinuities[[#This Row],[Depth (m)]]&gt;=Geotech!$C$4:$C$10094)*(Data_Discontinuities[[#This Row],[Depth (m)]]&lt;Geotech!$D$4:$D$10094),Geotech!$M$4:$M$10094)</f>
        <v>#N/A</v>
      </c>
      <c r="P1302" s="84"/>
      <c r="Q1302" s="84"/>
      <c r="R1302" s="84"/>
      <c r="S13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2" s="71" t="str">
        <f>IFERROR(Data_Discontinuities[[#This Row],[Joint roughness]]/Data_Discontinuities[[#This Row],[Joint alteration]],"")</f>
        <v/>
      </c>
      <c r="V13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2" s="87"/>
    </row>
    <row r="1303" spans="2:23" ht="15" customHeight="1" x14ac:dyDescent="0.25">
      <c r="B1303" s="17" t="e">
        <f>VLOOKUP(Data_Discontinuities[[#This Row],[Hole ID]],Data_Log[],2,FALSE)</f>
        <v>#N/A</v>
      </c>
      <c r="C1303" s="8"/>
      <c r="D1303" s="8"/>
      <c r="E1303" s="7"/>
      <c r="F1303" s="7"/>
      <c r="G1303" s="7"/>
      <c r="H1303" s="118"/>
      <c r="I1303" s="7"/>
      <c r="J1303" s="7"/>
      <c r="K1303" s="7"/>
      <c r="L1303" s="7"/>
      <c r="M1303" s="7"/>
      <c r="N1303" s="7"/>
      <c r="O1303" s="84" t="e" cm="1">
        <f t="array" ref="O1303">_xlfn.XLOOKUP(1,(A1303=Geotech!$A$4:$A$10094)*(Data_Discontinuities[[#This Row],[Depth (m)]]&gt;=Geotech!$C$4:$C$10094)*(Data_Discontinuities[[#This Row],[Depth (m)]]&lt;Geotech!$D$4:$D$10094),Geotech!$M$4:$M$10094)</f>
        <v>#N/A</v>
      </c>
      <c r="P1303" s="84"/>
      <c r="Q1303" s="84"/>
      <c r="R1303" s="84"/>
      <c r="S13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3" s="71" t="str">
        <f>IFERROR(Data_Discontinuities[[#This Row],[Joint roughness]]/Data_Discontinuities[[#This Row],[Joint alteration]],"")</f>
        <v/>
      </c>
      <c r="V13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3" s="87"/>
    </row>
    <row r="1304" spans="2:23" ht="15" customHeight="1" x14ac:dyDescent="0.25">
      <c r="B1304" s="17" t="e">
        <f>VLOOKUP(Data_Discontinuities[[#This Row],[Hole ID]],Data_Log[],2,FALSE)</f>
        <v>#N/A</v>
      </c>
      <c r="C1304" s="8"/>
      <c r="D1304" s="8"/>
      <c r="E1304" s="7"/>
      <c r="F1304" s="7"/>
      <c r="G1304" s="7"/>
      <c r="H1304" s="118"/>
      <c r="I1304" s="7"/>
      <c r="J1304" s="7"/>
      <c r="K1304" s="7"/>
      <c r="L1304" s="7"/>
      <c r="M1304" s="7"/>
      <c r="N1304" s="7"/>
      <c r="O1304" s="84" t="e" cm="1">
        <f t="array" ref="O1304">_xlfn.XLOOKUP(1,(A1304=Geotech!$A$4:$A$10094)*(Data_Discontinuities[[#This Row],[Depth (m)]]&gt;=Geotech!$C$4:$C$10094)*(Data_Discontinuities[[#This Row],[Depth (m)]]&lt;Geotech!$D$4:$D$10094),Geotech!$M$4:$M$10094)</f>
        <v>#N/A</v>
      </c>
      <c r="P1304" s="84"/>
      <c r="Q1304" s="84"/>
      <c r="R1304" s="84"/>
      <c r="S13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4" s="71" t="str">
        <f>IFERROR(Data_Discontinuities[[#This Row],[Joint roughness]]/Data_Discontinuities[[#This Row],[Joint alteration]],"")</f>
        <v/>
      </c>
      <c r="V13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4" s="87"/>
    </row>
    <row r="1305" spans="2:23" ht="15" customHeight="1" x14ac:dyDescent="0.25">
      <c r="B1305" s="17" t="e">
        <f>VLOOKUP(Data_Discontinuities[[#This Row],[Hole ID]],Data_Log[],2,FALSE)</f>
        <v>#N/A</v>
      </c>
      <c r="C1305" s="8"/>
      <c r="D1305" s="8"/>
      <c r="E1305" s="7"/>
      <c r="F1305" s="7"/>
      <c r="G1305" s="7"/>
      <c r="H1305" s="118"/>
      <c r="I1305" s="7"/>
      <c r="J1305" s="7"/>
      <c r="K1305" s="7"/>
      <c r="L1305" s="7"/>
      <c r="M1305" s="7"/>
      <c r="N1305" s="7"/>
      <c r="O1305" s="84" t="e" cm="1">
        <f t="array" ref="O1305">_xlfn.XLOOKUP(1,(A1305=Geotech!$A$4:$A$10094)*(Data_Discontinuities[[#This Row],[Depth (m)]]&gt;=Geotech!$C$4:$C$10094)*(Data_Discontinuities[[#This Row],[Depth (m)]]&lt;Geotech!$D$4:$D$10094),Geotech!$M$4:$M$10094)</f>
        <v>#N/A</v>
      </c>
      <c r="P1305" s="84"/>
      <c r="Q1305" s="84"/>
      <c r="R1305" s="84"/>
      <c r="S13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5" s="71" t="str">
        <f>IFERROR(Data_Discontinuities[[#This Row],[Joint roughness]]/Data_Discontinuities[[#This Row],[Joint alteration]],"")</f>
        <v/>
      </c>
      <c r="V13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5" s="87"/>
    </row>
    <row r="1306" spans="2:23" ht="15" customHeight="1" x14ac:dyDescent="0.25">
      <c r="B1306" s="17" t="e">
        <f>VLOOKUP(Data_Discontinuities[[#This Row],[Hole ID]],Data_Log[],2,FALSE)</f>
        <v>#N/A</v>
      </c>
      <c r="C1306" s="8"/>
      <c r="D1306" s="8"/>
      <c r="E1306" s="7"/>
      <c r="F1306" s="7"/>
      <c r="G1306" s="7"/>
      <c r="H1306" s="118"/>
      <c r="I1306" s="7"/>
      <c r="J1306" s="7"/>
      <c r="K1306" s="7"/>
      <c r="L1306" s="7"/>
      <c r="M1306" s="7"/>
      <c r="N1306" s="7"/>
      <c r="O1306" s="84" t="e" cm="1">
        <f t="array" ref="O1306">_xlfn.XLOOKUP(1,(A1306=Geotech!$A$4:$A$10094)*(Data_Discontinuities[[#This Row],[Depth (m)]]&gt;=Geotech!$C$4:$C$10094)*(Data_Discontinuities[[#This Row],[Depth (m)]]&lt;Geotech!$D$4:$D$10094),Geotech!$M$4:$M$10094)</f>
        <v>#N/A</v>
      </c>
      <c r="P1306" s="84"/>
      <c r="Q1306" s="84"/>
      <c r="R1306" s="84"/>
      <c r="S13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6" s="71" t="str">
        <f>IFERROR(Data_Discontinuities[[#This Row],[Joint roughness]]/Data_Discontinuities[[#This Row],[Joint alteration]],"")</f>
        <v/>
      </c>
      <c r="V13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6" s="87"/>
    </row>
    <row r="1307" spans="2:23" ht="15" customHeight="1" x14ac:dyDescent="0.25">
      <c r="B1307" s="17" t="e">
        <f>VLOOKUP(Data_Discontinuities[[#This Row],[Hole ID]],Data_Log[],2,FALSE)</f>
        <v>#N/A</v>
      </c>
      <c r="C1307" s="8"/>
      <c r="D1307" s="8"/>
      <c r="E1307" s="7"/>
      <c r="F1307" s="7"/>
      <c r="G1307" s="7"/>
      <c r="H1307" s="118"/>
      <c r="I1307" s="7"/>
      <c r="J1307" s="7"/>
      <c r="K1307" s="7"/>
      <c r="L1307" s="7"/>
      <c r="M1307" s="7"/>
      <c r="N1307" s="7"/>
      <c r="O1307" s="84" t="e" cm="1">
        <f t="array" ref="O1307">_xlfn.XLOOKUP(1,(A1307=Geotech!$A$4:$A$10094)*(Data_Discontinuities[[#This Row],[Depth (m)]]&gt;=Geotech!$C$4:$C$10094)*(Data_Discontinuities[[#This Row],[Depth (m)]]&lt;Geotech!$D$4:$D$10094),Geotech!$M$4:$M$10094)</f>
        <v>#N/A</v>
      </c>
      <c r="P1307" s="84"/>
      <c r="Q1307" s="84"/>
      <c r="R1307" s="84"/>
      <c r="S13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7" s="71" t="str">
        <f>IFERROR(Data_Discontinuities[[#This Row],[Joint roughness]]/Data_Discontinuities[[#This Row],[Joint alteration]],"")</f>
        <v/>
      </c>
      <c r="V13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7" s="87"/>
    </row>
    <row r="1308" spans="2:23" ht="15" customHeight="1" x14ac:dyDescent="0.25">
      <c r="B1308" s="17" t="e">
        <f>VLOOKUP(Data_Discontinuities[[#This Row],[Hole ID]],Data_Log[],2,FALSE)</f>
        <v>#N/A</v>
      </c>
      <c r="C1308" s="8"/>
      <c r="D1308" s="8"/>
      <c r="E1308" s="7"/>
      <c r="F1308" s="7"/>
      <c r="G1308" s="7"/>
      <c r="H1308" s="118"/>
      <c r="I1308" s="7"/>
      <c r="J1308" s="7"/>
      <c r="K1308" s="7"/>
      <c r="L1308" s="7"/>
      <c r="M1308" s="7"/>
      <c r="N1308" s="7"/>
      <c r="O1308" s="84" t="e" cm="1">
        <f t="array" ref="O1308">_xlfn.XLOOKUP(1,(A1308=Geotech!$A$4:$A$10094)*(Data_Discontinuities[[#This Row],[Depth (m)]]&gt;=Geotech!$C$4:$C$10094)*(Data_Discontinuities[[#This Row],[Depth (m)]]&lt;Geotech!$D$4:$D$10094),Geotech!$M$4:$M$10094)</f>
        <v>#N/A</v>
      </c>
      <c r="P1308" s="84"/>
      <c r="Q1308" s="84"/>
      <c r="R1308" s="84"/>
      <c r="S13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8" s="71" t="str">
        <f>IFERROR(Data_Discontinuities[[#This Row],[Joint roughness]]/Data_Discontinuities[[#This Row],[Joint alteration]],"")</f>
        <v/>
      </c>
      <c r="V13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8" s="87"/>
    </row>
    <row r="1309" spans="2:23" ht="15" customHeight="1" x14ac:dyDescent="0.25">
      <c r="B1309" s="17" t="e">
        <f>VLOOKUP(Data_Discontinuities[[#This Row],[Hole ID]],Data_Log[],2,FALSE)</f>
        <v>#N/A</v>
      </c>
      <c r="C1309" s="8"/>
      <c r="D1309" s="8"/>
      <c r="E1309" s="7"/>
      <c r="F1309" s="7"/>
      <c r="G1309" s="7"/>
      <c r="H1309" s="118"/>
      <c r="I1309" s="7"/>
      <c r="J1309" s="7"/>
      <c r="K1309" s="7"/>
      <c r="L1309" s="7"/>
      <c r="M1309" s="7"/>
      <c r="N1309" s="7"/>
      <c r="O1309" s="84" t="e" cm="1">
        <f t="array" ref="O1309">_xlfn.XLOOKUP(1,(A1309=Geotech!$A$4:$A$10094)*(Data_Discontinuities[[#This Row],[Depth (m)]]&gt;=Geotech!$C$4:$C$10094)*(Data_Discontinuities[[#This Row],[Depth (m)]]&lt;Geotech!$D$4:$D$10094),Geotech!$M$4:$M$10094)</f>
        <v>#N/A</v>
      </c>
      <c r="P1309" s="84"/>
      <c r="Q1309" s="84"/>
      <c r="R1309" s="84"/>
      <c r="S13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09" s="71" t="str">
        <f>IFERROR(Data_Discontinuities[[#This Row],[Joint roughness]]/Data_Discontinuities[[#This Row],[Joint alteration]],"")</f>
        <v/>
      </c>
      <c r="V13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09" s="87"/>
    </row>
    <row r="1310" spans="2:23" ht="15" customHeight="1" x14ac:dyDescent="0.25">
      <c r="B1310" s="17" t="e">
        <f>VLOOKUP(Data_Discontinuities[[#This Row],[Hole ID]],Data_Log[],2,FALSE)</f>
        <v>#N/A</v>
      </c>
      <c r="C1310" s="8"/>
      <c r="D1310" s="8"/>
      <c r="E1310" s="7"/>
      <c r="F1310" s="7"/>
      <c r="G1310" s="7"/>
      <c r="H1310" s="118"/>
      <c r="I1310" s="7"/>
      <c r="J1310" s="7"/>
      <c r="K1310" s="7"/>
      <c r="L1310" s="7"/>
      <c r="M1310" s="7"/>
      <c r="N1310" s="7"/>
      <c r="O1310" s="84" t="e" cm="1">
        <f t="array" ref="O1310">_xlfn.XLOOKUP(1,(A1310=Geotech!$A$4:$A$10094)*(Data_Discontinuities[[#This Row],[Depth (m)]]&gt;=Geotech!$C$4:$C$10094)*(Data_Discontinuities[[#This Row],[Depth (m)]]&lt;Geotech!$D$4:$D$10094),Geotech!$M$4:$M$10094)</f>
        <v>#N/A</v>
      </c>
      <c r="P1310" s="84"/>
      <c r="Q1310" s="84"/>
      <c r="R1310" s="84"/>
      <c r="S13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0" s="71" t="str">
        <f>IFERROR(Data_Discontinuities[[#This Row],[Joint roughness]]/Data_Discontinuities[[#This Row],[Joint alteration]],"")</f>
        <v/>
      </c>
      <c r="V13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0" s="87"/>
    </row>
    <row r="1311" spans="2:23" ht="15" customHeight="1" x14ac:dyDescent="0.25">
      <c r="B1311" s="17" t="e">
        <f>VLOOKUP(Data_Discontinuities[[#This Row],[Hole ID]],Data_Log[],2,FALSE)</f>
        <v>#N/A</v>
      </c>
      <c r="C1311" s="8"/>
      <c r="D1311" s="8"/>
      <c r="E1311" s="7"/>
      <c r="F1311" s="7"/>
      <c r="G1311" s="7"/>
      <c r="H1311" s="118"/>
      <c r="I1311" s="7"/>
      <c r="J1311" s="7"/>
      <c r="K1311" s="7"/>
      <c r="L1311" s="7"/>
      <c r="M1311" s="7"/>
      <c r="N1311" s="7"/>
      <c r="O1311" s="84" t="e" cm="1">
        <f t="array" ref="O1311">_xlfn.XLOOKUP(1,(A1311=Geotech!$A$4:$A$10094)*(Data_Discontinuities[[#This Row],[Depth (m)]]&gt;=Geotech!$C$4:$C$10094)*(Data_Discontinuities[[#This Row],[Depth (m)]]&lt;Geotech!$D$4:$D$10094),Geotech!$M$4:$M$10094)</f>
        <v>#N/A</v>
      </c>
      <c r="P1311" s="84"/>
      <c r="Q1311" s="84"/>
      <c r="R1311" s="84"/>
      <c r="S13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1" s="71" t="str">
        <f>IFERROR(Data_Discontinuities[[#This Row],[Joint roughness]]/Data_Discontinuities[[#This Row],[Joint alteration]],"")</f>
        <v/>
      </c>
      <c r="V13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1" s="87"/>
    </row>
    <row r="1312" spans="2:23" ht="15" customHeight="1" x14ac:dyDescent="0.25">
      <c r="B1312" s="17" t="e">
        <f>VLOOKUP(Data_Discontinuities[[#This Row],[Hole ID]],Data_Log[],2,FALSE)</f>
        <v>#N/A</v>
      </c>
      <c r="C1312" s="8"/>
      <c r="D1312" s="8"/>
      <c r="E1312" s="7"/>
      <c r="F1312" s="7"/>
      <c r="G1312" s="7"/>
      <c r="H1312" s="118"/>
      <c r="I1312" s="7"/>
      <c r="J1312" s="7"/>
      <c r="K1312" s="7"/>
      <c r="L1312" s="7"/>
      <c r="M1312" s="7"/>
      <c r="N1312" s="7"/>
      <c r="O1312" s="84" t="e" cm="1">
        <f t="array" ref="O1312">_xlfn.XLOOKUP(1,(A1312=Geotech!$A$4:$A$10094)*(Data_Discontinuities[[#This Row],[Depth (m)]]&gt;=Geotech!$C$4:$C$10094)*(Data_Discontinuities[[#This Row],[Depth (m)]]&lt;Geotech!$D$4:$D$10094),Geotech!$M$4:$M$10094)</f>
        <v>#N/A</v>
      </c>
      <c r="P1312" s="84"/>
      <c r="Q1312" s="84"/>
      <c r="R1312" s="84"/>
      <c r="S13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2" s="71" t="str">
        <f>IFERROR(Data_Discontinuities[[#This Row],[Joint roughness]]/Data_Discontinuities[[#This Row],[Joint alteration]],"")</f>
        <v/>
      </c>
      <c r="V13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2" s="87"/>
    </row>
    <row r="1313" spans="2:23" ht="15" customHeight="1" x14ac:dyDescent="0.25">
      <c r="B1313" s="17" t="e">
        <f>VLOOKUP(Data_Discontinuities[[#This Row],[Hole ID]],Data_Log[],2,FALSE)</f>
        <v>#N/A</v>
      </c>
      <c r="C1313" s="8"/>
      <c r="D1313" s="8"/>
      <c r="E1313" s="7"/>
      <c r="F1313" s="7"/>
      <c r="G1313" s="7"/>
      <c r="H1313" s="118"/>
      <c r="I1313" s="7"/>
      <c r="J1313" s="7"/>
      <c r="K1313" s="7"/>
      <c r="L1313" s="7"/>
      <c r="M1313" s="7"/>
      <c r="N1313" s="7"/>
      <c r="O1313" s="84" t="e" cm="1">
        <f t="array" ref="O1313">_xlfn.XLOOKUP(1,(A1313=Geotech!$A$4:$A$10094)*(Data_Discontinuities[[#This Row],[Depth (m)]]&gt;=Geotech!$C$4:$C$10094)*(Data_Discontinuities[[#This Row],[Depth (m)]]&lt;Geotech!$D$4:$D$10094),Geotech!$M$4:$M$10094)</f>
        <v>#N/A</v>
      </c>
      <c r="P1313" s="84"/>
      <c r="Q1313" s="84"/>
      <c r="R1313" s="84"/>
      <c r="S13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3" s="71" t="str">
        <f>IFERROR(Data_Discontinuities[[#This Row],[Joint roughness]]/Data_Discontinuities[[#This Row],[Joint alteration]],"")</f>
        <v/>
      </c>
      <c r="V13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3" s="87"/>
    </row>
    <row r="1314" spans="2:23" ht="15" customHeight="1" x14ac:dyDescent="0.25">
      <c r="B1314" s="17" t="e">
        <f>VLOOKUP(Data_Discontinuities[[#This Row],[Hole ID]],Data_Log[],2,FALSE)</f>
        <v>#N/A</v>
      </c>
      <c r="C1314" s="8"/>
      <c r="D1314" s="8"/>
      <c r="E1314" s="7"/>
      <c r="F1314" s="7"/>
      <c r="G1314" s="7"/>
      <c r="H1314" s="118"/>
      <c r="I1314" s="7"/>
      <c r="J1314" s="7"/>
      <c r="K1314" s="7"/>
      <c r="L1314" s="7"/>
      <c r="M1314" s="7"/>
      <c r="N1314" s="7"/>
      <c r="O1314" s="84" t="e" cm="1">
        <f t="array" ref="O1314">_xlfn.XLOOKUP(1,(A1314=Geotech!$A$4:$A$10094)*(Data_Discontinuities[[#This Row],[Depth (m)]]&gt;=Geotech!$C$4:$C$10094)*(Data_Discontinuities[[#This Row],[Depth (m)]]&lt;Geotech!$D$4:$D$10094),Geotech!$M$4:$M$10094)</f>
        <v>#N/A</v>
      </c>
      <c r="P1314" s="84"/>
      <c r="Q1314" s="84"/>
      <c r="R1314" s="84"/>
      <c r="S13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4" s="71" t="str">
        <f>IFERROR(Data_Discontinuities[[#This Row],[Joint roughness]]/Data_Discontinuities[[#This Row],[Joint alteration]],"")</f>
        <v/>
      </c>
      <c r="V13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4" s="87"/>
    </row>
    <row r="1315" spans="2:23" ht="15" customHeight="1" x14ac:dyDescent="0.25">
      <c r="B1315" s="17" t="e">
        <f>VLOOKUP(Data_Discontinuities[[#This Row],[Hole ID]],Data_Log[],2,FALSE)</f>
        <v>#N/A</v>
      </c>
      <c r="C1315" s="8"/>
      <c r="D1315" s="8"/>
      <c r="E1315" s="7"/>
      <c r="F1315" s="7"/>
      <c r="G1315" s="7"/>
      <c r="H1315" s="118"/>
      <c r="I1315" s="7"/>
      <c r="J1315" s="7"/>
      <c r="K1315" s="7"/>
      <c r="L1315" s="7"/>
      <c r="M1315" s="7"/>
      <c r="N1315" s="7"/>
      <c r="O1315" s="84" t="e" cm="1">
        <f t="array" ref="O1315">_xlfn.XLOOKUP(1,(A1315=Geotech!$A$4:$A$10094)*(Data_Discontinuities[[#This Row],[Depth (m)]]&gt;=Geotech!$C$4:$C$10094)*(Data_Discontinuities[[#This Row],[Depth (m)]]&lt;Geotech!$D$4:$D$10094),Geotech!$M$4:$M$10094)</f>
        <v>#N/A</v>
      </c>
      <c r="P1315" s="84"/>
      <c r="Q1315" s="84"/>
      <c r="R1315" s="84"/>
      <c r="S13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5" s="71" t="str">
        <f>IFERROR(Data_Discontinuities[[#This Row],[Joint roughness]]/Data_Discontinuities[[#This Row],[Joint alteration]],"")</f>
        <v/>
      </c>
      <c r="V13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5" s="87"/>
    </row>
    <row r="1316" spans="2:23" ht="15" customHeight="1" x14ac:dyDescent="0.25">
      <c r="B1316" s="17" t="e">
        <f>VLOOKUP(Data_Discontinuities[[#This Row],[Hole ID]],Data_Log[],2,FALSE)</f>
        <v>#N/A</v>
      </c>
      <c r="C1316" s="8"/>
      <c r="D1316" s="8"/>
      <c r="E1316" s="7"/>
      <c r="F1316" s="7"/>
      <c r="G1316" s="7"/>
      <c r="H1316" s="118"/>
      <c r="I1316" s="7"/>
      <c r="J1316" s="7"/>
      <c r="K1316" s="7"/>
      <c r="L1316" s="7"/>
      <c r="M1316" s="7"/>
      <c r="N1316" s="7"/>
      <c r="O1316" s="84" t="e" cm="1">
        <f t="array" ref="O1316">_xlfn.XLOOKUP(1,(A1316=Geotech!$A$4:$A$10094)*(Data_Discontinuities[[#This Row],[Depth (m)]]&gt;=Geotech!$C$4:$C$10094)*(Data_Discontinuities[[#This Row],[Depth (m)]]&lt;Geotech!$D$4:$D$10094),Geotech!$M$4:$M$10094)</f>
        <v>#N/A</v>
      </c>
      <c r="P1316" s="84"/>
      <c r="Q1316" s="84"/>
      <c r="R1316" s="84"/>
      <c r="S13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6" s="71" t="str">
        <f>IFERROR(Data_Discontinuities[[#This Row],[Joint roughness]]/Data_Discontinuities[[#This Row],[Joint alteration]],"")</f>
        <v/>
      </c>
      <c r="V13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6" s="87"/>
    </row>
    <row r="1317" spans="2:23" ht="15" customHeight="1" x14ac:dyDescent="0.25">
      <c r="B1317" s="17" t="e">
        <f>VLOOKUP(Data_Discontinuities[[#This Row],[Hole ID]],Data_Log[],2,FALSE)</f>
        <v>#N/A</v>
      </c>
      <c r="C1317" s="8"/>
      <c r="D1317" s="8"/>
      <c r="E1317" s="7"/>
      <c r="F1317" s="7"/>
      <c r="G1317" s="7"/>
      <c r="H1317" s="118"/>
      <c r="I1317" s="7"/>
      <c r="J1317" s="7"/>
      <c r="K1317" s="7"/>
      <c r="L1317" s="7"/>
      <c r="M1317" s="7"/>
      <c r="N1317" s="7"/>
      <c r="O1317" s="84" t="e" cm="1">
        <f t="array" ref="O1317">_xlfn.XLOOKUP(1,(A1317=Geotech!$A$4:$A$10094)*(Data_Discontinuities[[#This Row],[Depth (m)]]&gt;=Geotech!$C$4:$C$10094)*(Data_Discontinuities[[#This Row],[Depth (m)]]&lt;Geotech!$D$4:$D$10094),Geotech!$M$4:$M$10094)</f>
        <v>#N/A</v>
      </c>
      <c r="P1317" s="84"/>
      <c r="Q1317" s="84"/>
      <c r="R1317" s="84"/>
      <c r="S13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7" s="71" t="str">
        <f>IFERROR(Data_Discontinuities[[#This Row],[Joint roughness]]/Data_Discontinuities[[#This Row],[Joint alteration]],"")</f>
        <v/>
      </c>
      <c r="V13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7" s="87"/>
    </row>
    <row r="1318" spans="2:23" ht="15" customHeight="1" x14ac:dyDescent="0.25">
      <c r="B1318" s="17" t="e">
        <f>VLOOKUP(Data_Discontinuities[[#This Row],[Hole ID]],Data_Log[],2,FALSE)</f>
        <v>#N/A</v>
      </c>
      <c r="C1318" s="8"/>
      <c r="D1318" s="8"/>
      <c r="E1318" s="7"/>
      <c r="F1318" s="7"/>
      <c r="G1318" s="7"/>
      <c r="H1318" s="118"/>
      <c r="I1318" s="7"/>
      <c r="J1318" s="7"/>
      <c r="K1318" s="7"/>
      <c r="L1318" s="7"/>
      <c r="M1318" s="7"/>
      <c r="N1318" s="7"/>
      <c r="O1318" s="84" t="e" cm="1">
        <f t="array" ref="O1318">_xlfn.XLOOKUP(1,(A1318=Geotech!$A$4:$A$10094)*(Data_Discontinuities[[#This Row],[Depth (m)]]&gt;=Geotech!$C$4:$C$10094)*(Data_Discontinuities[[#This Row],[Depth (m)]]&lt;Geotech!$D$4:$D$10094),Geotech!$M$4:$M$10094)</f>
        <v>#N/A</v>
      </c>
      <c r="P1318" s="84"/>
      <c r="Q1318" s="84"/>
      <c r="R1318" s="84"/>
      <c r="S13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8" s="71" t="str">
        <f>IFERROR(Data_Discontinuities[[#This Row],[Joint roughness]]/Data_Discontinuities[[#This Row],[Joint alteration]],"")</f>
        <v/>
      </c>
      <c r="V13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8" s="87"/>
    </row>
    <row r="1319" spans="2:23" ht="15" customHeight="1" x14ac:dyDescent="0.25">
      <c r="B1319" s="17" t="e">
        <f>VLOOKUP(Data_Discontinuities[[#This Row],[Hole ID]],Data_Log[],2,FALSE)</f>
        <v>#N/A</v>
      </c>
      <c r="C1319" s="8"/>
      <c r="D1319" s="8"/>
      <c r="E1319" s="7"/>
      <c r="F1319" s="7"/>
      <c r="G1319" s="7"/>
      <c r="H1319" s="118"/>
      <c r="I1319" s="7"/>
      <c r="J1319" s="7"/>
      <c r="K1319" s="7"/>
      <c r="L1319" s="7"/>
      <c r="M1319" s="7"/>
      <c r="N1319" s="7"/>
      <c r="O1319" s="84" t="e" cm="1">
        <f t="array" ref="O1319">_xlfn.XLOOKUP(1,(A1319=Geotech!$A$4:$A$10094)*(Data_Discontinuities[[#This Row],[Depth (m)]]&gt;=Geotech!$C$4:$C$10094)*(Data_Discontinuities[[#This Row],[Depth (m)]]&lt;Geotech!$D$4:$D$10094),Geotech!$M$4:$M$10094)</f>
        <v>#N/A</v>
      </c>
      <c r="P1319" s="84"/>
      <c r="Q1319" s="84"/>
      <c r="R1319" s="84"/>
      <c r="S13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19" s="71" t="str">
        <f>IFERROR(Data_Discontinuities[[#This Row],[Joint roughness]]/Data_Discontinuities[[#This Row],[Joint alteration]],"")</f>
        <v/>
      </c>
      <c r="V13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19" s="87"/>
    </row>
    <row r="1320" spans="2:23" ht="15" customHeight="1" x14ac:dyDescent="0.25">
      <c r="B1320" s="17" t="e">
        <f>VLOOKUP(Data_Discontinuities[[#This Row],[Hole ID]],Data_Log[],2,FALSE)</f>
        <v>#N/A</v>
      </c>
      <c r="C1320" s="8"/>
      <c r="D1320" s="8"/>
      <c r="E1320" s="7"/>
      <c r="F1320" s="7"/>
      <c r="G1320" s="7"/>
      <c r="H1320" s="118"/>
      <c r="I1320" s="7"/>
      <c r="J1320" s="7"/>
      <c r="K1320" s="7"/>
      <c r="L1320" s="7"/>
      <c r="M1320" s="7"/>
      <c r="N1320" s="7"/>
      <c r="O1320" s="84" t="e" cm="1">
        <f t="array" ref="O1320">_xlfn.XLOOKUP(1,(A1320=Geotech!$A$4:$A$10094)*(Data_Discontinuities[[#This Row],[Depth (m)]]&gt;=Geotech!$C$4:$C$10094)*(Data_Discontinuities[[#This Row],[Depth (m)]]&lt;Geotech!$D$4:$D$10094),Geotech!$M$4:$M$10094)</f>
        <v>#N/A</v>
      </c>
      <c r="P1320" s="84"/>
      <c r="Q1320" s="84"/>
      <c r="R1320" s="84"/>
      <c r="S13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0" s="71" t="str">
        <f>IFERROR(Data_Discontinuities[[#This Row],[Joint roughness]]/Data_Discontinuities[[#This Row],[Joint alteration]],"")</f>
        <v/>
      </c>
      <c r="V13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0" s="87"/>
    </row>
    <row r="1321" spans="2:23" ht="15" customHeight="1" x14ac:dyDescent="0.25">
      <c r="B1321" s="17" t="e">
        <f>VLOOKUP(Data_Discontinuities[[#This Row],[Hole ID]],Data_Log[],2,FALSE)</f>
        <v>#N/A</v>
      </c>
      <c r="C1321" s="8"/>
      <c r="D1321" s="8"/>
      <c r="E1321" s="7"/>
      <c r="F1321" s="7"/>
      <c r="G1321" s="7"/>
      <c r="H1321" s="118"/>
      <c r="I1321" s="7"/>
      <c r="J1321" s="7"/>
      <c r="K1321" s="7"/>
      <c r="L1321" s="7"/>
      <c r="M1321" s="7"/>
      <c r="N1321" s="7"/>
      <c r="O1321" s="84" t="e" cm="1">
        <f t="array" ref="O1321">_xlfn.XLOOKUP(1,(A1321=Geotech!$A$4:$A$10094)*(Data_Discontinuities[[#This Row],[Depth (m)]]&gt;=Geotech!$C$4:$C$10094)*(Data_Discontinuities[[#This Row],[Depth (m)]]&lt;Geotech!$D$4:$D$10094),Geotech!$M$4:$M$10094)</f>
        <v>#N/A</v>
      </c>
      <c r="P1321" s="84"/>
      <c r="Q1321" s="84"/>
      <c r="R1321" s="84"/>
      <c r="S13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1" s="71" t="str">
        <f>IFERROR(Data_Discontinuities[[#This Row],[Joint roughness]]/Data_Discontinuities[[#This Row],[Joint alteration]],"")</f>
        <v/>
      </c>
      <c r="V13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1" s="87"/>
    </row>
    <row r="1322" spans="2:23" ht="15" customHeight="1" x14ac:dyDescent="0.25">
      <c r="B1322" s="17" t="e">
        <f>VLOOKUP(Data_Discontinuities[[#This Row],[Hole ID]],Data_Log[],2,FALSE)</f>
        <v>#N/A</v>
      </c>
      <c r="C1322" s="8"/>
      <c r="D1322" s="8"/>
      <c r="E1322" s="7"/>
      <c r="F1322" s="7"/>
      <c r="G1322" s="7"/>
      <c r="H1322" s="118"/>
      <c r="I1322" s="7"/>
      <c r="J1322" s="7"/>
      <c r="K1322" s="7"/>
      <c r="L1322" s="7"/>
      <c r="M1322" s="7"/>
      <c r="N1322" s="7"/>
      <c r="O1322" s="84" t="e" cm="1">
        <f t="array" ref="O1322">_xlfn.XLOOKUP(1,(A1322=Geotech!$A$4:$A$10094)*(Data_Discontinuities[[#This Row],[Depth (m)]]&gt;=Geotech!$C$4:$C$10094)*(Data_Discontinuities[[#This Row],[Depth (m)]]&lt;Geotech!$D$4:$D$10094),Geotech!$M$4:$M$10094)</f>
        <v>#N/A</v>
      </c>
      <c r="P1322" s="84"/>
      <c r="Q1322" s="84"/>
      <c r="R1322" s="84"/>
      <c r="S13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2" s="71" t="str">
        <f>IFERROR(Data_Discontinuities[[#This Row],[Joint roughness]]/Data_Discontinuities[[#This Row],[Joint alteration]],"")</f>
        <v/>
      </c>
      <c r="V13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2" s="87"/>
    </row>
    <row r="1323" spans="2:23" ht="15" customHeight="1" x14ac:dyDescent="0.25">
      <c r="B1323" s="17" t="e">
        <f>VLOOKUP(Data_Discontinuities[[#This Row],[Hole ID]],Data_Log[],2,FALSE)</f>
        <v>#N/A</v>
      </c>
      <c r="C1323" s="8"/>
      <c r="D1323" s="8"/>
      <c r="E1323" s="7"/>
      <c r="F1323" s="7"/>
      <c r="G1323" s="7"/>
      <c r="H1323" s="118"/>
      <c r="I1323" s="7"/>
      <c r="J1323" s="7"/>
      <c r="K1323" s="7"/>
      <c r="L1323" s="7"/>
      <c r="M1323" s="7"/>
      <c r="N1323" s="7"/>
      <c r="O1323" s="84" t="e" cm="1">
        <f t="array" ref="O1323">_xlfn.XLOOKUP(1,(A1323=Geotech!$A$4:$A$10094)*(Data_Discontinuities[[#This Row],[Depth (m)]]&gt;=Geotech!$C$4:$C$10094)*(Data_Discontinuities[[#This Row],[Depth (m)]]&lt;Geotech!$D$4:$D$10094),Geotech!$M$4:$M$10094)</f>
        <v>#N/A</v>
      </c>
      <c r="P1323" s="84"/>
      <c r="Q1323" s="84"/>
      <c r="R1323" s="84"/>
      <c r="S13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3" s="71" t="str">
        <f>IFERROR(Data_Discontinuities[[#This Row],[Joint roughness]]/Data_Discontinuities[[#This Row],[Joint alteration]],"")</f>
        <v/>
      </c>
      <c r="V13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3" s="87"/>
    </row>
    <row r="1324" spans="2:23" ht="15" customHeight="1" x14ac:dyDescent="0.25">
      <c r="B1324" s="17" t="e">
        <f>VLOOKUP(Data_Discontinuities[[#This Row],[Hole ID]],Data_Log[],2,FALSE)</f>
        <v>#N/A</v>
      </c>
      <c r="C1324" s="8"/>
      <c r="D1324" s="8"/>
      <c r="E1324" s="7"/>
      <c r="F1324" s="7"/>
      <c r="G1324" s="7"/>
      <c r="H1324" s="118"/>
      <c r="I1324" s="7"/>
      <c r="J1324" s="7"/>
      <c r="K1324" s="7"/>
      <c r="L1324" s="7"/>
      <c r="M1324" s="7"/>
      <c r="N1324" s="7"/>
      <c r="O1324" s="84" t="e" cm="1">
        <f t="array" ref="O1324">_xlfn.XLOOKUP(1,(A1324=Geotech!$A$4:$A$10094)*(Data_Discontinuities[[#This Row],[Depth (m)]]&gt;=Geotech!$C$4:$C$10094)*(Data_Discontinuities[[#This Row],[Depth (m)]]&lt;Geotech!$D$4:$D$10094),Geotech!$M$4:$M$10094)</f>
        <v>#N/A</v>
      </c>
      <c r="P1324" s="84"/>
      <c r="Q1324" s="84"/>
      <c r="R1324" s="84"/>
      <c r="S13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4" s="71" t="str">
        <f>IFERROR(Data_Discontinuities[[#This Row],[Joint roughness]]/Data_Discontinuities[[#This Row],[Joint alteration]],"")</f>
        <v/>
      </c>
      <c r="V13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4" s="87"/>
    </row>
    <row r="1325" spans="2:23" ht="15" customHeight="1" x14ac:dyDescent="0.25">
      <c r="B1325" s="17" t="e">
        <f>VLOOKUP(Data_Discontinuities[[#This Row],[Hole ID]],Data_Log[],2,FALSE)</f>
        <v>#N/A</v>
      </c>
      <c r="C1325" s="8"/>
      <c r="D1325" s="8"/>
      <c r="E1325" s="7"/>
      <c r="F1325" s="7"/>
      <c r="G1325" s="7"/>
      <c r="H1325" s="118"/>
      <c r="I1325" s="7"/>
      <c r="J1325" s="7"/>
      <c r="K1325" s="7"/>
      <c r="L1325" s="7"/>
      <c r="M1325" s="7"/>
      <c r="N1325" s="7"/>
      <c r="O1325" s="84" t="e" cm="1">
        <f t="array" ref="O1325">_xlfn.XLOOKUP(1,(A1325=Geotech!$A$4:$A$10094)*(Data_Discontinuities[[#This Row],[Depth (m)]]&gt;=Geotech!$C$4:$C$10094)*(Data_Discontinuities[[#This Row],[Depth (m)]]&lt;Geotech!$D$4:$D$10094),Geotech!$M$4:$M$10094)</f>
        <v>#N/A</v>
      </c>
      <c r="P1325" s="84"/>
      <c r="Q1325" s="84"/>
      <c r="R1325" s="84"/>
      <c r="S13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5" s="71" t="str">
        <f>IFERROR(Data_Discontinuities[[#This Row],[Joint roughness]]/Data_Discontinuities[[#This Row],[Joint alteration]],"")</f>
        <v/>
      </c>
      <c r="V13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5" s="87"/>
    </row>
    <row r="1326" spans="2:23" ht="15" customHeight="1" x14ac:dyDescent="0.25">
      <c r="B1326" s="17" t="e">
        <f>VLOOKUP(Data_Discontinuities[[#This Row],[Hole ID]],Data_Log[],2,FALSE)</f>
        <v>#N/A</v>
      </c>
      <c r="C1326" s="8"/>
      <c r="D1326" s="8"/>
      <c r="E1326" s="7"/>
      <c r="F1326" s="7"/>
      <c r="G1326" s="7"/>
      <c r="H1326" s="118"/>
      <c r="I1326" s="7"/>
      <c r="J1326" s="7"/>
      <c r="K1326" s="7"/>
      <c r="L1326" s="7"/>
      <c r="M1326" s="7"/>
      <c r="N1326" s="7"/>
      <c r="O1326" s="84" t="e" cm="1">
        <f t="array" ref="O1326">_xlfn.XLOOKUP(1,(A1326=Geotech!$A$4:$A$10094)*(Data_Discontinuities[[#This Row],[Depth (m)]]&gt;=Geotech!$C$4:$C$10094)*(Data_Discontinuities[[#This Row],[Depth (m)]]&lt;Geotech!$D$4:$D$10094),Geotech!$M$4:$M$10094)</f>
        <v>#N/A</v>
      </c>
      <c r="P1326" s="84"/>
      <c r="Q1326" s="84"/>
      <c r="R1326" s="84"/>
      <c r="S13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6" s="71" t="str">
        <f>IFERROR(Data_Discontinuities[[#This Row],[Joint roughness]]/Data_Discontinuities[[#This Row],[Joint alteration]],"")</f>
        <v/>
      </c>
      <c r="V13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6" s="87"/>
    </row>
    <row r="1327" spans="2:23" ht="15" customHeight="1" x14ac:dyDescent="0.25">
      <c r="B1327" s="17" t="e">
        <f>VLOOKUP(Data_Discontinuities[[#This Row],[Hole ID]],Data_Log[],2,FALSE)</f>
        <v>#N/A</v>
      </c>
      <c r="C1327" s="8"/>
      <c r="D1327" s="8"/>
      <c r="E1327" s="7"/>
      <c r="F1327" s="7"/>
      <c r="G1327" s="7"/>
      <c r="H1327" s="118"/>
      <c r="I1327" s="7"/>
      <c r="J1327" s="7"/>
      <c r="K1327" s="7"/>
      <c r="L1327" s="7"/>
      <c r="M1327" s="7"/>
      <c r="N1327" s="7"/>
      <c r="O1327" s="84" t="e" cm="1">
        <f t="array" ref="O1327">_xlfn.XLOOKUP(1,(A1327=Geotech!$A$4:$A$10094)*(Data_Discontinuities[[#This Row],[Depth (m)]]&gt;=Geotech!$C$4:$C$10094)*(Data_Discontinuities[[#This Row],[Depth (m)]]&lt;Geotech!$D$4:$D$10094),Geotech!$M$4:$M$10094)</f>
        <v>#N/A</v>
      </c>
      <c r="P1327" s="84"/>
      <c r="Q1327" s="84"/>
      <c r="R1327" s="84"/>
      <c r="S13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7" s="71" t="str">
        <f>IFERROR(Data_Discontinuities[[#This Row],[Joint roughness]]/Data_Discontinuities[[#This Row],[Joint alteration]],"")</f>
        <v/>
      </c>
      <c r="V13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7" s="87"/>
    </row>
    <row r="1328" spans="2:23" ht="15" customHeight="1" x14ac:dyDescent="0.25">
      <c r="B1328" s="17" t="e">
        <f>VLOOKUP(Data_Discontinuities[[#This Row],[Hole ID]],Data_Log[],2,FALSE)</f>
        <v>#N/A</v>
      </c>
      <c r="C1328" s="8"/>
      <c r="D1328" s="8"/>
      <c r="E1328" s="7"/>
      <c r="F1328" s="7"/>
      <c r="G1328" s="7"/>
      <c r="H1328" s="118"/>
      <c r="I1328" s="7"/>
      <c r="J1328" s="7"/>
      <c r="K1328" s="7"/>
      <c r="L1328" s="7"/>
      <c r="M1328" s="7"/>
      <c r="N1328" s="7"/>
      <c r="O1328" s="84" t="e" cm="1">
        <f t="array" ref="O1328">_xlfn.XLOOKUP(1,(A1328=Geotech!$A$4:$A$10094)*(Data_Discontinuities[[#This Row],[Depth (m)]]&gt;=Geotech!$C$4:$C$10094)*(Data_Discontinuities[[#This Row],[Depth (m)]]&lt;Geotech!$D$4:$D$10094),Geotech!$M$4:$M$10094)</f>
        <v>#N/A</v>
      </c>
      <c r="P1328" s="84"/>
      <c r="Q1328" s="84"/>
      <c r="R1328" s="84"/>
      <c r="S13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8" s="71" t="str">
        <f>IFERROR(Data_Discontinuities[[#This Row],[Joint roughness]]/Data_Discontinuities[[#This Row],[Joint alteration]],"")</f>
        <v/>
      </c>
      <c r="V13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8" s="87"/>
    </row>
    <row r="1329" spans="2:23" ht="15" customHeight="1" x14ac:dyDescent="0.25">
      <c r="B1329" s="17" t="e">
        <f>VLOOKUP(Data_Discontinuities[[#This Row],[Hole ID]],Data_Log[],2,FALSE)</f>
        <v>#N/A</v>
      </c>
      <c r="C1329" s="8"/>
      <c r="D1329" s="8"/>
      <c r="E1329" s="7"/>
      <c r="F1329" s="7"/>
      <c r="G1329" s="7"/>
      <c r="H1329" s="118"/>
      <c r="I1329" s="7"/>
      <c r="J1329" s="7"/>
      <c r="K1329" s="7"/>
      <c r="L1329" s="7"/>
      <c r="M1329" s="7"/>
      <c r="N1329" s="7"/>
      <c r="O1329" s="84" t="e" cm="1">
        <f t="array" ref="O1329">_xlfn.XLOOKUP(1,(A1329=Geotech!$A$4:$A$10094)*(Data_Discontinuities[[#This Row],[Depth (m)]]&gt;=Geotech!$C$4:$C$10094)*(Data_Discontinuities[[#This Row],[Depth (m)]]&lt;Geotech!$D$4:$D$10094),Geotech!$M$4:$M$10094)</f>
        <v>#N/A</v>
      </c>
      <c r="P1329" s="84"/>
      <c r="Q1329" s="84"/>
      <c r="R1329" s="84"/>
      <c r="S13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29" s="71" t="str">
        <f>IFERROR(Data_Discontinuities[[#This Row],[Joint roughness]]/Data_Discontinuities[[#This Row],[Joint alteration]],"")</f>
        <v/>
      </c>
      <c r="V13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29" s="87"/>
    </row>
    <row r="1330" spans="2:23" ht="15" customHeight="1" x14ac:dyDescent="0.25">
      <c r="B1330" s="17" t="e">
        <f>VLOOKUP(Data_Discontinuities[[#This Row],[Hole ID]],Data_Log[],2,FALSE)</f>
        <v>#N/A</v>
      </c>
      <c r="C1330" s="8"/>
      <c r="D1330" s="8"/>
      <c r="E1330" s="7"/>
      <c r="F1330" s="7"/>
      <c r="G1330" s="7"/>
      <c r="H1330" s="118"/>
      <c r="I1330" s="7"/>
      <c r="J1330" s="7"/>
      <c r="K1330" s="7"/>
      <c r="L1330" s="7"/>
      <c r="M1330" s="7"/>
      <c r="N1330" s="7"/>
      <c r="O1330" s="84" t="e" cm="1">
        <f t="array" ref="O1330">_xlfn.XLOOKUP(1,(A1330=Geotech!$A$4:$A$10094)*(Data_Discontinuities[[#This Row],[Depth (m)]]&gt;=Geotech!$C$4:$C$10094)*(Data_Discontinuities[[#This Row],[Depth (m)]]&lt;Geotech!$D$4:$D$10094),Geotech!$M$4:$M$10094)</f>
        <v>#N/A</v>
      </c>
      <c r="P1330" s="84"/>
      <c r="Q1330" s="84"/>
      <c r="R1330" s="84"/>
      <c r="S13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0" s="71" t="str">
        <f>IFERROR(Data_Discontinuities[[#This Row],[Joint roughness]]/Data_Discontinuities[[#This Row],[Joint alteration]],"")</f>
        <v/>
      </c>
      <c r="V13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0" s="87"/>
    </row>
    <row r="1331" spans="2:23" ht="15" customHeight="1" x14ac:dyDescent="0.25">
      <c r="B1331" s="17" t="e">
        <f>VLOOKUP(Data_Discontinuities[[#This Row],[Hole ID]],Data_Log[],2,FALSE)</f>
        <v>#N/A</v>
      </c>
      <c r="C1331" s="8"/>
      <c r="D1331" s="8"/>
      <c r="E1331" s="7"/>
      <c r="F1331" s="7"/>
      <c r="G1331" s="7"/>
      <c r="H1331" s="118"/>
      <c r="I1331" s="7"/>
      <c r="J1331" s="7"/>
      <c r="K1331" s="7"/>
      <c r="L1331" s="7"/>
      <c r="M1331" s="7"/>
      <c r="N1331" s="7"/>
      <c r="O1331" s="84" t="e" cm="1">
        <f t="array" ref="O1331">_xlfn.XLOOKUP(1,(A1331=Geotech!$A$4:$A$10094)*(Data_Discontinuities[[#This Row],[Depth (m)]]&gt;=Geotech!$C$4:$C$10094)*(Data_Discontinuities[[#This Row],[Depth (m)]]&lt;Geotech!$D$4:$D$10094),Geotech!$M$4:$M$10094)</f>
        <v>#N/A</v>
      </c>
      <c r="P1331" s="84"/>
      <c r="Q1331" s="84"/>
      <c r="R1331" s="84"/>
      <c r="S13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1" s="71" t="str">
        <f>IFERROR(Data_Discontinuities[[#This Row],[Joint roughness]]/Data_Discontinuities[[#This Row],[Joint alteration]],"")</f>
        <v/>
      </c>
      <c r="V13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1" s="87"/>
    </row>
    <row r="1332" spans="2:23" ht="15" customHeight="1" x14ac:dyDescent="0.25">
      <c r="B1332" s="17" t="e">
        <f>VLOOKUP(Data_Discontinuities[[#This Row],[Hole ID]],Data_Log[],2,FALSE)</f>
        <v>#N/A</v>
      </c>
      <c r="C1332" s="8"/>
      <c r="D1332" s="8"/>
      <c r="E1332" s="7"/>
      <c r="F1332" s="7"/>
      <c r="G1332" s="7"/>
      <c r="H1332" s="118"/>
      <c r="I1332" s="7"/>
      <c r="J1332" s="7"/>
      <c r="K1332" s="7"/>
      <c r="L1332" s="7"/>
      <c r="M1332" s="7"/>
      <c r="N1332" s="7"/>
      <c r="O1332" s="84" t="e" cm="1">
        <f t="array" ref="O1332">_xlfn.XLOOKUP(1,(A1332=Geotech!$A$4:$A$10094)*(Data_Discontinuities[[#This Row],[Depth (m)]]&gt;=Geotech!$C$4:$C$10094)*(Data_Discontinuities[[#This Row],[Depth (m)]]&lt;Geotech!$D$4:$D$10094),Geotech!$M$4:$M$10094)</f>
        <v>#N/A</v>
      </c>
      <c r="P1332" s="84"/>
      <c r="Q1332" s="84"/>
      <c r="R1332" s="84"/>
      <c r="S13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2" s="71" t="str">
        <f>IFERROR(Data_Discontinuities[[#This Row],[Joint roughness]]/Data_Discontinuities[[#This Row],[Joint alteration]],"")</f>
        <v/>
      </c>
      <c r="V13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2" s="87"/>
    </row>
    <row r="1333" spans="2:23" ht="15" customHeight="1" x14ac:dyDescent="0.25">
      <c r="B1333" s="17" t="e">
        <f>VLOOKUP(Data_Discontinuities[[#This Row],[Hole ID]],Data_Log[],2,FALSE)</f>
        <v>#N/A</v>
      </c>
      <c r="C1333" s="8"/>
      <c r="D1333" s="8"/>
      <c r="E1333" s="7"/>
      <c r="F1333" s="7"/>
      <c r="G1333" s="7"/>
      <c r="H1333" s="118"/>
      <c r="I1333" s="7"/>
      <c r="J1333" s="7"/>
      <c r="K1333" s="7"/>
      <c r="L1333" s="7"/>
      <c r="M1333" s="7"/>
      <c r="N1333" s="7"/>
      <c r="O1333" s="84" t="e" cm="1">
        <f t="array" ref="O1333">_xlfn.XLOOKUP(1,(A1333=Geotech!$A$4:$A$10094)*(Data_Discontinuities[[#This Row],[Depth (m)]]&gt;=Geotech!$C$4:$C$10094)*(Data_Discontinuities[[#This Row],[Depth (m)]]&lt;Geotech!$D$4:$D$10094),Geotech!$M$4:$M$10094)</f>
        <v>#N/A</v>
      </c>
      <c r="P1333" s="84"/>
      <c r="Q1333" s="84"/>
      <c r="R1333" s="84"/>
      <c r="S13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3" s="71" t="str">
        <f>IFERROR(Data_Discontinuities[[#This Row],[Joint roughness]]/Data_Discontinuities[[#This Row],[Joint alteration]],"")</f>
        <v/>
      </c>
      <c r="V13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3" s="87"/>
    </row>
    <row r="1334" spans="2:23" ht="15" customHeight="1" x14ac:dyDescent="0.25">
      <c r="B1334" s="17" t="e">
        <f>VLOOKUP(Data_Discontinuities[[#This Row],[Hole ID]],Data_Log[],2,FALSE)</f>
        <v>#N/A</v>
      </c>
      <c r="C1334" s="8"/>
      <c r="D1334" s="8"/>
      <c r="E1334" s="7"/>
      <c r="F1334" s="7"/>
      <c r="G1334" s="7"/>
      <c r="H1334" s="118"/>
      <c r="I1334" s="7"/>
      <c r="J1334" s="7"/>
      <c r="K1334" s="7"/>
      <c r="L1334" s="7"/>
      <c r="M1334" s="7"/>
      <c r="N1334" s="7"/>
      <c r="O1334" s="84" t="e" cm="1">
        <f t="array" ref="O1334">_xlfn.XLOOKUP(1,(A1334=Geotech!$A$4:$A$10094)*(Data_Discontinuities[[#This Row],[Depth (m)]]&gt;=Geotech!$C$4:$C$10094)*(Data_Discontinuities[[#This Row],[Depth (m)]]&lt;Geotech!$D$4:$D$10094),Geotech!$M$4:$M$10094)</f>
        <v>#N/A</v>
      </c>
      <c r="P1334" s="84"/>
      <c r="Q1334" s="84"/>
      <c r="R1334" s="84"/>
      <c r="S13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4" s="71" t="str">
        <f>IFERROR(Data_Discontinuities[[#This Row],[Joint roughness]]/Data_Discontinuities[[#This Row],[Joint alteration]],"")</f>
        <v/>
      </c>
      <c r="V13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4" s="87"/>
    </row>
    <row r="1335" spans="2:23" ht="15" customHeight="1" x14ac:dyDescent="0.25">
      <c r="B1335" s="17" t="e">
        <f>VLOOKUP(Data_Discontinuities[[#This Row],[Hole ID]],Data_Log[],2,FALSE)</f>
        <v>#N/A</v>
      </c>
      <c r="C1335" s="8"/>
      <c r="D1335" s="8"/>
      <c r="E1335" s="7"/>
      <c r="F1335" s="7"/>
      <c r="G1335" s="7"/>
      <c r="H1335" s="118"/>
      <c r="I1335" s="7"/>
      <c r="J1335" s="7"/>
      <c r="K1335" s="7"/>
      <c r="L1335" s="7"/>
      <c r="M1335" s="7"/>
      <c r="N1335" s="7"/>
      <c r="O1335" s="84" t="e" cm="1">
        <f t="array" ref="O1335">_xlfn.XLOOKUP(1,(A1335=Geotech!$A$4:$A$10094)*(Data_Discontinuities[[#This Row],[Depth (m)]]&gt;=Geotech!$C$4:$C$10094)*(Data_Discontinuities[[#This Row],[Depth (m)]]&lt;Geotech!$D$4:$D$10094),Geotech!$M$4:$M$10094)</f>
        <v>#N/A</v>
      </c>
      <c r="P1335" s="84"/>
      <c r="Q1335" s="84"/>
      <c r="R1335" s="84"/>
      <c r="S13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5" s="71" t="str">
        <f>IFERROR(Data_Discontinuities[[#This Row],[Joint roughness]]/Data_Discontinuities[[#This Row],[Joint alteration]],"")</f>
        <v/>
      </c>
      <c r="V13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5" s="87"/>
    </row>
    <row r="1336" spans="2:23" ht="15" customHeight="1" x14ac:dyDescent="0.25">
      <c r="B1336" s="17" t="e">
        <f>VLOOKUP(Data_Discontinuities[[#This Row],[Hole ID]],Data_Log[],2,FALSE)</f>
        <v>#N/A</v>
      </c>
      <c r="C1336" s="8"/>
      <c r="D1336" s="8"/>
      <c r="E1336" s="7"/>
      <c r="F1336" s="7"/>
      <c r="G1336" s="7"/>
      <c r="H1336" s="118"/>
      <c r="I1336" s="7"/>
      <c r="J1336" s="7"/>
      <c r="K1336" s="7"/>
      <c r="L1336" s="7"/>
      <c r="M1336" s="7"/>
      <c r="N1336" s="7"/>
      <c r="O1336" s="84" t="e" cm="1">
        <f t="array" ref="O1336">_xlfn.XLOOKUP(1,(A1336=Geotech!$A$4:$A$10094)*(Data_Discontinuities[[#This Row],[Depth (m)]]&gt;=Geotech!$C$4:$C$10094)*(Data_Discontinuities[[#This Row],[Depth (m)]]&lt;Geotech!$D$4:$D$10094),Geotech!$M$4:$M$10094)</f>
        <v>#N/A</v>
      </c>
      <c r="P1336" s="84"/>
      <c r="Q1336" s="84"/>
      <c r="R1336" s="84"/>
      <c r="S13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6" s="71" t="str">
        <f>IFERROR(Data_Discontinuities[[#This Row],[Joint roughness]]/Data_Discontinuities[[#This Row],[Joint alteration]],"")</f>
        <v/>
      </c>
      <c r="V13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6" s="87"/>
    </row>
    <row r="1337" spans="2:23" ht="15" customHeight="1" x14ac:dyDescent="0.25">
      <c r="B1337" s="17" t="e">
        <f>VLOOKUP(Data_Discontinuities[[#This Row],[Hole ID]],Data_Log[],2,FALSE)</f>
        <v>#N/A</v>
      </c>
      <c r="C1337" s="8"/>
      <c r="D1337" s="8"/>
      <c r="E1337" s="7"/>
      <c r="F1337" s="7"/>
      <c r="G1337" s="7"/>
      <c r="H1337" s="118"/>
      <c r="I1337" s="7"/>
      <c r="J1337" s="7"/>
      <c r="K1337" s="7"/>
      <c r="L1337" s="7"/>
      <c r="M1337" s="7"/>
      <c r="N1337" s="7"/>
      <c r="O1337" s="84" t="e" cm="1">
        <f t="array" ref="O1337">_xlfn.XLOOKUP(1,(A1337=Geotech!$A$4:$A$10094)*(Data_Discontinuities[[#This Row],[Depth (m)]]&gt;=Geotech!$C$4:$C$10094)*(Data_Discontinuities[[#This Row],[Depth (m)]]&lt;Geotech!$D$4:$D$10094),Geotech!$M$4:$M$10094)</f>
        <v>#N/A</v>
      </c>
      <c r="P1337" s="84"/>
      <c r="Q1337" s="84"/>
      <c r="R1337" s="84"/>
      <c r="S13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7" s="71" t="str">
        <f>IFERROR(Data_Discontinuities[[#This Row],[Joint roughness]]/Data_Discontinuities[[#This Row],[Joint alteration]],"")</f>
        <v/>
      </c>
      <c r="V13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7" s="87"/>
    </row>
    <row r="1338" spans="2:23" ht="15" customHeight="1" x14ac:dyDescent="0.25">
      <c r="B1338" s="17" t="e">
        <f>VLOOKUP(Data_Discontinuities[[#This Row],[Hole ID]],Data_Log[],2,FALSE)</f>
        <v>#N/A</v>
      </c>
      <c r="C1338" s="8"/>
      <c r="D1338" s="8"/>
      <c r="E1338" s="7"/>
      <c r="F1338" s="7"/>
      <c r="G1338" s="7"/>
      <c r="H1338" s="118"/>
      <c r="I1338" s="7"/>
      <c r="J1338" s="7"/>
      <c r="K1338" s="7"/>
      <c r="L1338" s="7"/>
      <c r="M1338" s="7"/>
      <c r="N1338" s="7"/>
      <c r="O1338" s="84" t="e" cm="1">
        <f t="array" ref="O1338">_xlfn.XLOOKUP(1,(A1338=Geotech!$A$4:$A$10094)*(Data_Discontinuities[[#This Row],[Depth (m)]]&gt;=Geotech!$C$4:$C$10094)*(Data_Discontinuities[[#This Row],[Depth (m)]]&lt;Geotech!$D$4:$D$10094),Geotech!$M$4:$M$10094)</f>
        <v>#N/A</v>
      </c>
      <c r="P1338" s="84"/>
      <c r="Q1338" s="84"/>
      <c r="R1338" s="84"/>
      <c r="S13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8" s="71" t="str">
        <f>IFERROR(Data_Discontinuities[[#This Row],[Joint roughness]]/Data_Discontinuities[[#This Row],[Joint alteration]],"")</f>
        <v/>
      </c>
      <c r="V13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8" s="87"/>
    </row>
    <row r="1339" spans="2:23" ht="15" customHeight="1" x14ac:dyDescent="0.25">
      <c r="B1339" s="17" t="e">
        <f>VLOOKUP(Data_Discontinuities[[#This Row],[Hole ID]],Data_Log[],2,FALSE)</f>
        <v>#N/A</v>
      </c>
      <c r="C1339" s="8"/>
      <c r="D1339" s="8"/>
      <c r="E1339" s="7"/>
      <c r="F1339" s="7"/>
      <c r="G1339" s="7"/>
      <c r="H1339" s="118"/>
      <c r="I1339" s="7"/>
      <c r="J1339" s="7"/>
      <c r="K1339" s="7"/>
      <c r="L1339" s="7"/>
      <c r="M1339" s="7"/>
      <c r="N1339" s="7"/>
      <c r="O1339" s="84" t="e" cm="1">
        <f t="array" ref="O1339">_xlfn.XLOOKUP(1,(A1339=Geotech!$A$4:$A$10094)*(Data_Discontinuities[[#This Row],[Depth (m)]]&gt;=Geotech!$C$4:$C$10094)*(Data_Discontinuities[[#This Row],[Depth (m)]]&lt;Geotech!$D$4:$D$10094),Geotech!$M$4:$M$10094)</f>
        <v>#N/A</v>
      </c>
      <c r="P1339" s="84"/>
      <c r="Q1339" s="84"/>
      <c r="R1339" s="84"/>
      <c r="S13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39" s="71" t="str">
        <f>IFERROR(Data_Discontinuities[[#This Row],[Joint roughness]]/Data_Discontinuities[[#This Row],[Joint alteration]],"")</f>
        <v/>
      </c>
      <c r="V13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39" s="87"/>
    </row>
    <row r="1340" spans="2:23" ht="15" customHeight="1" x14ac:dyDescent="0.25">
      <c r="B1340" s="17" t="e">
        <f>VLOOKUP(Data_Discontinuities[[#This Row],[Hole ID]],Data_Log[],2,FALSE)</f>
        <v>#N/A</v>
      </c>
      <c r="C1340" s="8"/>
      <c r="D1340" s="8"/>
      <c r="E1340" s="7"/>
      <c r="F1340" s="7"/>
      <c r="G1340" s="7"/>
      <c r="H1340" s="118"/>
      <c r="I1340" s="7"/>
      <c r="J1340" s="7"/>
      <c r="K1340" s="7"/>
      <c r="L1340" s="7"/>
      <c r="M1340" s="7"/>
      <c r="N1340" s="7"/>
      <c r="O1340" s="84" t="e" cm="1">
        <f t="array" ref="O1340">_xlfn.XLOOKUP(1,(A1340=Geotech!$A$4:$A$10094)*(Data_Discontinuities[[#This Row],[Depth (m)]]&gt;=Geotech!$C$4:$C$10094)*(Data_Discontinuities[[#This Row],[Depth (m)]]&lt;Geotech!$D$4:$D$10094),Geotech!$M$4:$M$10094)</f>
        <v>#N/A</v>
      </c>
      <c r="P1340" s="84"/>
      <c r="Q1340" s="84"/>
      <c r="R1340" s="84"/>
      <c r="S13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0" s="71" t="str">
        <f>IFERROR(Data_Discontinuities[[#This Row],[Joint roughness]]/Data_Discontinuities[[#This Row],[Joint alteration]],"")</f>
        <v/>
      </c>
      <c r="V13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0" s="87"/>
    </row>
    <row r="1341" spans="2:23" ht="15" customHeight="1" x14ac:dyDescent="0.25">
      <c r="B1341" s="17" t="e">
        <f>VLOOKUP(Data_Discontinuities[[#This Row],[Hole ID]],Data_Log[],2,FALSE)</f>
        <v>#N/A</v>
      </c>
      <c r="C1341" s="8"/>
      <c r="D1341" s="8"/>
      <c r="E1341" s="7"/>
      <c r="F1341" s="7"/>
      <c r="G1341" s="7"/>
      <c r="H1341" s="118"/>
      <c r="I1341" s="7"/>
      <c r="J1341" s="7"/>
      <c r="K1341" s="7"/>
      <c r="L1341" s="7"/>
      <c r="M1341" s="7"/>
      <c r="N1341" s="7"/>
      <c r="O1341" s="84" t="e" cm="1">
        <f t="array" ref="O1341">_xlfn.XLOOKUP(1,(A1341=Geotech!$A$4:$A$10094)*(Data_Discontinuities[[#This Row],[Depth (m)]]&gt;=Geotech!$C$4:$C$10094)*(Data_Discontinuities[[#This Row],[Depth (m)]]&lt;Geotech!$D$4:$D$10094),Geotech!$M$4:$M$10094)</f>
        <v>#N/A</v>
      </c>
      <c r="P1341" s="84"/>
      <c r="Q1341" s="84"/>
      <c r="R1341" s="84"/>
      <c r="S13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1" s="71" t="str">
        <f>IFERROR(Data_Discontinuities[[#This Row],[Joint roughness]]/Data_Discontinuities[[#This Row],[Joint alteration]],"")</f>
        <v/>
      </c>
      <c r="V13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1" s="87"/>
    </row>
    <row r="1342" spans="2:23" ht="15" customHeight="1" x14ac:dyDescent="0.25">
      <c r="B1342" s="17" t="e">
        <f>VLOOKUP(Data_Discontinuities[[#This Row],[Hole ID]],Data_Log[],2,FALSE)</f>
        <v>#N/A</v>
      </c>
      <c r="C1342" s="8"/>
      <c r="D1342" s="8"/>
      <c r="E1342" s="7"/>
      <c r="F1342" s="7"/>
      <c r="G1342" s="7"/>
      <c r="H1342" s="118"/>
      <c r="I1342" s="7"/>
      <c r="J1342" s="7"/>
      <c r="K1342" s="7"/>
      <c r="L1342" s="7"/>
      <c r="M1342" s="7"/>
      <c r="N1342" s="7"/>
      <c r="O1342" s="84" t="e" cm="1">
        <f t="array" ref="O1342">_xlfn.XLOOKUP(1,(A1342=Geotech!$A$4:$A$10094)*(Data_Discontinuities[[#This Row],[Depth (m)]]&gt;=Geotech!$C$4:$C$10094)*(Data_Discontinuities[[#This Row],[Depth (m)]]&lt;Geotech!$D$4:$D$10094),Geotech!$M$4:$M$10094)</f>
        <v>#N/A</v>
      </c>
      <c r="P1342" s="84"/>
      <c r="Q1342" s="84"/>
      <c r="R1342" s="84"/>
      <c r="S13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2" s="71" t="str">
        <f>IFERROR(Data_Discontinuities[[#This Row],[Joint roughness]]/Data_Discontinuities[[#This Row],[Joint alteration]],"")</f>
        <v/>
      </c>
      <c r="V13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2" s="87"/>
    </row>
    <row r="1343" spans="2:23" ht="15" customHeight="1" x14ac:dyDescent="0.25">
      <c r="B1343" s="17" t="e">
        <f>VLOOKUP(Data_Discontinuities[[#This Row],[Hole ID]],Data_Log[],2,FALSE)</f>
        <v>#N/A</v>
      </c>
      <c r="C1343" s="8"/>
      <c r="D1343" s="8"/>
      <c r="E1343" s="7"/>
      <c r="F1343" s="7"/>
      <c r="G1343" s="7"/>
      <c r="H1343" s="118"/>
      <c r="I1343" s="7"/>
      <c r="J1343" s="7"/>
      <c r="K1343" s="7"/>
      <c r="L1343" s="7"/>
      <c r="M1343" s="7"/>
      <c r="N1343" s="7"/>
      <c r="O1343" s="84" t="e" cm="1">
        <f t="array" ref="O1343">_xlfn.XLOOKUP(1,(A1343=Geotech!$A$4:$A$10094)*(Data_Discontinuities[[#This Row],[Depth (m)]]&gt;=Geotech!$C$4:$C$10094)*(Data_Discontinuities[[#This Row],[Depth (m)]]&lt;Geotech!$D$4:$D$10094),Geotech!$M$4:$M$10094)</f>
        <v>#N/A</v>
      </c>
      <c r="P1343" s="84"/>
      <c r="Q1343" s="84"/>
      <c r="R1343" s="84"/>
      <c r="S13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3" s="71" t="str">
        <f>IFERROR(Data_Discontinuities[[#This Row],[Joint roughness]]/Data_Discontinuities[[#This Row],[Joint alteration]],"")</f>
        <v/>
      </c>
      <c r="V13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3" s="87"/>
    </row>
    <row r="1344" spans="2:23" ht="15" customHeight="1" x14ac:dyDescent="0.25">
      <c r="B1344" s="17" t="e">
        <f>VLOOKUP(Data_Discontinuities[[#This Row],[Hole ID]],Data_Log[],2,FALSE)</f>
        <v>#N/A</v>
      </c>
      <c r="C1344" s="8"/>
      <c r="D1344" s="8"/>
      <c r="E1344" s="7"/>
      <c r="F1344" s="7"/>
      <c r="G1344" s="7"/>
      <c r="H1344" s="118"/>
      <c r="I1344" s="7"/>
      <c r="J1344" s="7"/>
      <c r="K1344" s="7"/>
      <c r="L1344" s="7"/>
      <c r="M1344" s="7"/>
      <c r="N1344" s="7"/>
      <c r="O1344" s="84" t="e" cm="1">
        <f t="array" ref="O1344">_xlfn.XLOOKUP(1,(A1344=Geotech!$A$4:$A$10094)*(Data_Discontinuities[[#This Row],[Depth (m)]]&gt;=Geotech!$C$4:$C$10094)*(Data_Discontinuities[[#This Row],[Depth (m)]]&lt;Geotech!$D$4:$D$10094),Geotech!$M$4:$M$10094)</f>
        <v>#N/A</v>
      </c>
      <c r="P1344" s="84"/>
      <c r="Q1344" s="84"/>
      <c r="R1344" s="84"/>
      <c r="S13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4" s="71" t="str">
        <f>IFERROR(Data_Discontinuities[[#This Row],[Joint roughness]]/Data_Discontinuities[[#This Row],[Joint alteration]],"")</f>
        <v/>
      </c>
      <c r="V13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4" s="87"/>
    </row>
    <row r="1345" spans="2:23" ht="15" customHeight="1" x14ac:dyDescent="0.25">
      <c r="B1345" s="17" t="e">
        <f>VLOOKUP(Data_Discontinuities[[#This Row],[Hole ID]],Data_Log[],2,FALSE)</f>
        <v>#N/A</v>
      </c>
      <c r="C1345" s="8"/>
      <c r="D1345" s="8"/>
      <c r="E1345" s="7"/>
      <c r="F1345" s="7"/>
      <c r="G1345" s="7"/>
      <c r="H1345" s="118"/>
      <c r="I1345" s="7"/>
      <c r="J1345" s="7"/>
      <c r="K1345" s="7"/>
      <c r="L1345" s="7"/>
      <c r="M1345" s="7"/>
      <c r="N1345" s="7"/>
      <c r="O1345" s="84" t="e" cm="1">
        <f t="array" ref="O1345">_xlfn.XLOOKUP(1,(A1345=Geotech!$A$4:$A$10094)*(Data_Discontinuities[[#This Row],[Depth (m)]]&gt;=Geotech!$C$4:$C$10094)*(Data_Discontinuities[[#This Row],[Depth (m)]]&lt;Geotech!$D$4:$D$10094),Geotech!$M$4:$M$10094)</f>
        <v>#N/A</v>
      </c>
      <c r="P1345" s="84"/>
      <c r="Q1345" s="84"/>
      <c r="R1345" s="84"/>
      <c r="S13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5" s="71" t="str">
        <f>IFERROR(Data_Discontinuities[[#This Row],[Joint roughness]]/Data_Discontinuities[[#This Row],[Joint alteration]],"")</f>
        <v/>
      </c>
      <c r="V13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5" s="87"/>
    </row>
    <row r="1346" spans="2:23" ht="15" customHeight="1" x14ac:dyDescent="0.25">
      <c r="B1346" s="17" t="e">
        <f>VLOOKUP(Data_Discontinuities[[#This Row],[Hole ID]],Data_Log[],2,FALSE)</f>
        <v>#N/A</v>
      </c>
      <c r="C1346" s="8"/>
      <c r="D1346" s="8"/>
      <c r="E1346" s="7"/>
      <c r="F1346" s="7"/>
      <c r="G1346" s="7"/>
      <c r="H1346" s="118"/>
      <c r="I1346" s="7"/>
      <c r="J1346" s="7"/>
      <c r="K1346" s="7"/>
      <c r="L1346" s="7"/>
      <c r="M1346" s="7"/>
      <c r="N1346" s="7"/>
      <c r="O1346" s="84" t="e" cm="1">
        <f t="array" ref="O1346">_xlfn.XLOOKUP(1,(A1346=Geotech!$A$4:$A$10094)*(Data_Discontinuities[[#This Row],[Depth (m)]]&gt;=Geotech!$C$4:$C$10094)*(Data_Discontinuities[[#This Row],[Depth (m)]]&lt;Geotech!$D$4:$D$10094),Geotech!$M$4:$M$10094)</f>
        <v>#N/A</v>
      </c>
      <c r="P1346" s="84"/>
      <c r="Q1346" s="84"/>
      <c r="R1346" s="84"/>
      <c r="S13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6" s="71" t="str">
        <f>IFERROR(Data_Discontinuities[[#This Row],[Joint roughness]]/Data_Discontinuities[[#This Row],[Joint alteration]],"")</f>
        <v/>
      </c>
      <c r="V13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6" s="87"/>
    </row>
    <row r="1347" spans="2:23" ht="15" customHeight="1" x14ac:dyDescent="0.25">
      <c r="B1347" s="17" t="e">
        <f>VLOOKUP(Data_Discontinuities[[#This Row],[Hole ID]],Data_Log[],2,FALSE)</f>
        <v>#N/A</v>
      </c>
      <c r="C1347" s="8"/>
      <c r="D1347" s="8"/>
      <c r="E1347" s="7"/>
      <c r="F1347" s="7"/>
      <c r="G1347" s="7"/>
      <c r="H1347" s="118"/>
      <c r="I1347" s="7"/>
      <c r="J1347" s="7"/>
      <c r="K1347" s="7"/>
      <c r="L1347" s="7"/>
      <c r="M1347" s="7"/>
      <c r="N1347" s="7"/>
      <c r="O1347" s="84" t="e" cm="1">
        <f t="array" ref="O1347">_xlfn.XLOOKUP(1,(A1347=Geotech!$A$4:$A$10094)*(Data_Discontinuities[[#This Row],[Depth (m)]]&gt;=Geotech!$C$4:$C$10094)*(Data_Discontinuities[[#This Row],[Depth (m)]]&lt;Geotech!$D$4:$D$10094),Geotech!$M$4:$M$10094)</f>
        <v>#N/A</v>
      </c>
      <c r="P1347" s="84"/>
      <c r="Q1347" s="84"/>
      <c r="R1347" s="84"/>
      <c r="S13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7" s="71" t="str">
        <f>IFERROR(Data_Discontinuities[[#This Row],[Joint roughness]]/Data_Discontinuities[[#This Row],[Joint alteration]],"")</f>
        <v/>
      </c>
      <c r="V13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7" s="87"/>
    </row>
    <row r="1348" spans="2:23" ht="15" customHeight="1" x14ac:dyDescent="0.25">
      <c r="B1348" s="17" t="e">
        <f>VLOOKUP(Data_Discontinuities[[#This Row],[Hole ID]],Data_Log[],2,FALSE)</f>
        <v>#N/A</v>
      </c>
      <c r="C1348" s="8"/>
      <c r="D1348" s="8"/>
      <c r="E1348" s="7"/>
      <c r="F1348" s="7"/>
      <c r="G1348" s="7"/>
      <c r="H1348" s="118"/>
      <c r="I1348" s="7"/>
      <c r="J1348" s="7"/>
      <c r="K1348" s="7"/>
      <c r="L1348" s="7"/>
      <c r="M1348" s="7"/>
      <c r="N1348" s="7"/>
      <c r="O1348" s="84" t="e" cm="1">
        <f t="array" ref="O1348">_xlfn.XLOOKUP(1,(A1348=Geotech!$A$4:$A$10094)*(Data_Discontinuities[[#This Row],[Depth (m)]]&gt;=Geotech!$C$4:$C$10094)*(Data_Discontinuities[[#This Row],[Depth (m)]]&lt;Geotech!$D$4:$D$10094),Geotech!$M$4:$M$10094)</f>
        <v>#N/A</v>
      </c>
      <c r="P1348" s="84"/>
      <c r="Q1348" s="84"/>
      <c r="R1348" s="84"/>
      <c r="S13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8" s="71" t="str">
        <f>IFERROR(Data_Discontinuities[[#This Row],[Joint roughness]]/Data_Discontinuities[[#This Row],[Joint alteration]],"")</f>
        <v/>
      </c>
      <c r="V13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8" s="87"/>
    </row>
    <row r="1349" spans="2:23" ht="15" customHeight="1" x14ac:dyDescent="0.25">
      <c r="B1349" s="17" t="e">
        <f>VLOOKUP(Data_Discontinuities[[#This Row],[Hole ID]],Data_Log[],2,FALSE)</f>
        <v>#N/A</v>
      </c>
      <c r="C1349" s="8"/>
      <c r="D1349" s="8"/>
      <c r="E1349" s="7"/>
      <c r="F1349" s="7"/>
      <c r="G1349" s="7"/>
      <c r="H1349" s="118"/>
      <c r="I1349" s="7"/>
      <c r="J1349" s="7"/>
      <c r="K1349" s="7"/>
      <c r="L1349" s="7"/>
      <c r="M1349" s="7"/>
      <c r="N1349" s="7"/>
      <c r="O1349" s="84" t="e" cm="1">
        <f t="array" ref="O1349">_xlfn.XLOOKUP(1,(A1349=Geotech!$A$4:$A$10094)*(Data_Discontinuities[[#This Row],[Depth (m)]]&gt;=Geotech!$C$4:$C$10094)*(Data_Discontinuities[[#This Row],[Depth (m)]]&lt;Geotech!$D$4:$D$10094),Geotech!$M$4:$M$10094)</f>
        <v>#N/A</v>
      </c>
      <c r="P1349" s="84"/>
      <c r="Q1349" s="84"/>
      <c r="R1349" s="84"/>
      <c r="S13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49" s="71" t="str">
        <f>IFERROR(Data_Discontinuities[[#This Row],[Joint roughness]]/Data_Discontinuities[[#This Row],[Joint alteration]],"")</f>
        <v/>
      </c>
      <c r="V13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49" s="87"/>
    </row>
    <row r="1350" spans="2:23" ht="15" customHeight="1" x14ac:dyDescent="0.25">
      <c r="B1350" s="17" t="e">
        <f>VLOOKUP(Data_Discontinuities[[#This Row],[Hole ID]],Data_Log[],2,FALSE)</f>
        <v>#N/A</v>
      </c>
      <c r="C1350" s="8"/>
      <c r="D1350" s="8"/>
      <c r="E1350" s="7"/>
      <c r="F1350" s="7"/>
      <c r="G1350" s="7"/>
      <c r="H1350" s="118"/>
      <c r="I1350" s="7"/>
      <c r="J1350" s="7"/>
      <c r="K1350" s="7"/>
      <c r="L1350" s="7"/>
      <c r="M1350" s="7"/>
      <c r="N1350" s="7"/>
      <c r="O1350" s="84" t="e" cm="1">
        <f t="array" ref="O1350">_xlfn.XLOOKUP(1,(A1350=Geotech!$A$4:$A$10094)*(Data_Discontinuities[[#This Row],[Depth (m)]]&gt;=Geotech!$C$4:$C$10094)*(Data_Discontinuities[[#This Row],[Depth (m)]]&lt;Geotech!$D$4:$D$10094),Geotech!$M$4:$M$10094)</f>
        <v>#N/A</v>
      </c>
      <c r="P1350" s="84"/>
      <c r="Q1350" s="84"/>
      <c r="R1350" s="84"/>
      <c r="S13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0" s="71" t="str">
        <f>IFERROR(Data_Discontinuities[[#This Row],[Joint roughness]]/Data_Discontinuities[[#This Row],[Joint alteration]],"")</f>
        <v/>
      </c>
      <c r="V13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0" s="87"/>
    </row>
    <row r="1351" spans="2:23" ht="15" customHeight="1" x14ac:dyDescent="0.25">
      <c r="B1351" s="17" t="e">
        <f>VLOOKUP(Data_Discontinuities[[#This Row],[Hole ID]],Data_Log[],2,FALSE)</f>
        <v>#N/A</v>
      </c>
      <c r="C1351" s="8"/>
      <c r="D1351" s="8"/>
      <c r="E1351" s="7"/>
      <c r="F1351" s="7"/>
      <c r="G1351" s="7"/>
      <c r="H1351" s="118"/>
      <c r="I1351" s="7"/>
      <c r="J1351" s="7"/>
      <c r="K1351" s="7"/>
      <c r="L1351" s="7"/>
      <c r="M1351" s="7"/>
      <c r="N1351" s="7"/>
      <c r="O1351" s="84" t="e" cm="1">
        <f t="array" ref="O1351">_xlfn.XLOOKUP(1,(A1351=Geotech!$A$4:$A$10094)*(Data_Discontinuities[[#This Row],[Depth (m)]]&gt;=Geotech!$C$4:$C$10094)*(Data_Discontinuities[[#This Row],[Depth (m)]]&lt;Geotech!$D$4:$D$10094),Geotech!$M$4:$M$10094)</f>
        <v>#N/A</v>
      </c>
      <c r="P1351" s="84"/>
      <c r="Q1351" s="84"/>
      <c r="R1351" s="84"/>
      <c r="S13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1" s="71" t="str">
        <f>IFERROR(Data_Discontinuities[[#This Row],[Joint roughness]]/Data_Discontinuities[[#This Row],[Joint alteration]],"")</f>
        <v/>
      </c>
      <c r="V13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1" s="87"/>
    </row>
    <row r="1352" spans="2:23" ht="15" customHeight="1" x14ac:dyDescent="0.25">
      <c r="B1352" s="17" t="e">
        <f>VLOOKUP(Data_Discontinuities[[#This Row],[Hole ID]],Data_Log[],2,FALSE)</f>
        <v>#N/A</v>
      </c>
      <c r="C1352" s="8"/>
      <c r="D1352" s="8"/>
      <c r="E1352" s="7"/>
      <c r="F1352" s="7"/>
      <c r="G1352" s="7"/>
      <c r="H1352" s="118"/>
      <c r="I1352" s="7"/>
      <c r="J1352" s="7"/>
      <c r="K1352" s="7"/>
      <c r="L1352" s="7"/>
      <c r="M1352" s="7"/>
      <c r="N1352" s="7"/>
      <c r="O1352" s="84" t="e" cm="1">
        <f t="array" ref="O1352">_xlfn.XLOOKUP(1,(A1352=Geotech!$A$4:$A$10094)*(Data_Discontinuities[[#This Row],[Depth (m)]]&gt;=Geotech!$C$4:$C$10094)*(Data_Discontinuities[[#This Row],[Depth (m)]]&lt;Geotech!$D$4:$D$10094),Geotech!$M$4:$M$10094)</f>
        <v>#N/A</v>
      </c>
      <c r="P1352" s="84"/>
      <c r="Q1352" s="84"/>
      <c r="R1352" s="84"/>
      <c r="S13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2" s="71" t="str">
        <f>IFERROR(Data_Discontinuities[[#This Row],[Joint roughness]]/Data_Discontinuities[[#This Row],[Joint alteration]],"")</f>
        <v/>
      </c>
      <c r="V13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2" s="87"/>
    </row>
    <row r="1353" spans="2:23" ht="15" customHeight="1" x14ac:dyDescent="0.25">
      <c r="B1353" s="17" t="e">
        <f>VLOOKUP(Data_Discontinuities[[#This Row],[Hole ID]],Data_Log[],2,FALSE)</f>
        <v>#N/A</v>
      </c>
      <c r="C1353" s="8"/>
      <c r="D1353" s="8"/>
      <c r="E1353" s="7"/>
      <c r="F1353" s="7"/>
      <c r="G1353" s="7"/>
      <c r="H1353" s="118"/>
      <c r="I1353" s="7"/>
      <c r="J1353" s="7"/>
      <c r="K1353" s="7"/>
      <c r="L1353" s="7"/>
      <c r="M1353" s="7"/>
      <c r="N1353" s="7"/>
      <c r="O1353" s="84" t="e" cm="1">
        <f t="array" ref="O1353">_xlfn.XLOOKUP(1,(A1353=Geotech!$A$4:$A$10094)*(Data_Discontinuities[[#This Row],[Depth (m)]]&gt;=Geotech!$C$4:$C$10094)*(Data_Discontinuities[[#This Row],[Depth (m)]]&lt;Geotech!$D$4:$D$10094),Geotech!$M$4:$M$10094)</f>
        <v>#N/A</v>
      </c>
      <c r="P1353" s="84"/>
      <c r="Q1353" s="84"/>
      <c r="R1353" s="84"/>
      <c r="S13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3" s="71" t="str">
        <f>IFERROR(Data_Discontinuities[[#This Row],[Joint roughness]]/Data_Discontinuities[[#This Row],[Joint alteration]],"")</f>
        <v/>
      </c>
      <c r="V13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3" s="87"/>
    </row>
    <row r="1354" spans="2:23" ht="15" customHeight="1" x14ac:dyDescent="0.25">
      <c r="B1354" s="17" t="e">
        <f>VLOOKUP(Data_Discontinuities[[#This Row],[Hole ID]],Data_Log[],2,FALSE)</f>
        <v>#N/A</v>
      </c>
      <c r="C1354" s="8"/>
      <c r="D1354" s="8"/>
      <c r="E1354" s="7"/>
      <c r="F1354" s="7"/>
      <c r="G1354" s="7"/>
      <c r="H1354" s="118"/>
      <c r="I1354" s="7"/>
      <c r="J1354" s="7"/>
      <c r="K1354" s="7"/>
      <c r="L1354" s="7"/>
      <c r="M1354" s="7"/>
      <c r="N1354" s="7"/>
      <c r="O1354" s="84" t="e" cm="1">
        <f t="array" ref="O1354">_xlfn.XLOOKUP(1,(A1354=Geotech!$A$4:$A$10094)*(Data_Discontinuities[[#This Row],[Depth (m)]]&gt;=Geotech!$C$4:$C$10094)*(Data_Discontinuities[[#This Row],[Depth (m)]]&lt;Geotech!$D$4:$D$10094),Geotech!$M$4:$M$10094)</f>
        <v>#N/A</v>
      </c>
      <c r="P1354" s="84"/>
      <c r="Q1354" s="84"/>
      <c r="R1354" s="84"/>
      <c r="S13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4" s="71" t="str">
        <f>IFERROR(Data_Discontinuities[[#This Row],[Joint roughness]]/Data_Discontinuities[[#This Row],[Joint alteration]],"")</f>
        <v/>
      </c>
      <c r="V13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4" s="87"/>
    </row>
    <row r="1355" spans="2:23" ht="15" customHeight="1" x14ac:dyDescent="0.25">
      <c r="B1355" s="17" t="e">
        <f>VLOOKUP(Data_Discontinuities[[#This Row],[Hole ID]],Data_Log[],2,FALSE)</f>
        <v>#N/A</v>
      </c>
      <c r="C1355" s="8"/>
      <c r="D1355" s="8"/>
      <c r="E1355" s="7"/>
      <c r="F1355" s="7"/>
      <c r="G1355" s="7"/>
      <c r="H1355" s="118"/>
      <c r="I1355" s="7"/>
      <c r="J1355" s="7"/>
      <c r="K1355" s="7"/>
      <c r="L1355" s="7"/>
      <c r="M1355" s="7"/>
      <c r="N1355" s="7"/>
      <c r="O1355" s="84" t="e" cm="1">
        <f t="array" ref="O1355">_xlfn.XLOOKUP(1,(A1355=Geotech!$A$4:$A$10094)*(Data_Discontinuities[[#This Row],[Depth (m)]]&gt;=Geotech!$C$4:$C$10094)*(Data_Discontinuities[[#This Row],[Depth (m)]]&lt;Geotech!$D$4:$D$10094),Geotech!$M$4:$M$10094)</f>
        <v>#N/A</v>
      </c>
      <c r="P1355" s="84"/>
      <c r="Q1355" s="84"/>
      <c r="R1355" s="84"/>
      <c r="S13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5" s="71" t="str">
        <f>IFERROR(Data_Discontinuities[[#This Row],[Joint roughness]]/Data_Discontinuities[[#This Row],[Joint alteration]],"")</f>
        <v/>
      </c>
      <c r="V13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5" s="87"/>
    </row>
    <row r="1356" spans="2:23" ht="15" customHeight="1" x14ac:dyDescent="0.25">
      <c r="B1356" s="17" t="e">
        <f>VLOOKUP(Data_Discontinuities[[#This Row],[Hole ID]],Data_Log[],2,FALSE)</f>
        <v>#N/A</v>
      </c>
      <c r="C1356" s="8"/>
      <c r="D1356" s="8"/>
      <c r="E1356" s="7"/>
      <c r="F1356" s="7"/>
      <c r="G1356" s="7"/>
      <c r="H1356" s="118"/>
      <c r="I1356" s="7"/>
      <c r="J1356" s="7"/>
      <c r="K1356" s="7"/>
      <c r="L1356" s="7"/>
      <c r="M1356" s="7"/>
      <c r="N1356" s="7"/>
      <c r="O1356" s="84" t="e" cm="1">
        <f t="array" ref="O1356">_xlfn.XLOOKUP(1,(A1356=Geotech!$A$4:$A$10094)*(Data_Discontinuities[[#This Row],[Depth (m)]]&gt;=Geotech!$C$4:$C$10094)*(Data_Discontinuities[[#This Row],[Depth (m)]]&lt;Geotech!$D$4:$D$10094),Geotech!$M$4:$M$10094)</f>
        <v>#N/A</v>
      </c>
      <c r="P1356" s="84"/>
      <c r="Q1356" s="84"/>
      <c r="R1356" s="84"/>
      <c r="S13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6" s="71" t="str">
        <f>IFERROR(Data_Discontinuities[[#This Row],[Joint roughness]]/Data_Discontinuities[[#This Row],[Joint alteration]],"")</f>
        <v/>
      </c>
      <c r="V13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6" s="87"/>
    </row>
    <row r="1357" spans="2:23" ht="15" customHeight="1" x14ac:dyDescent="0.25">
      <c r="B1357" s="17" t="e">
        <f>VLOOKUP(Data_Discontinuities[[#This Row],[Hole ID]],Data_Log[],2,FALSE)</f>
        <v>#N/A</v>
      </c>
      <c r="C1357" s="8"/>
      <c r="D1357" s="8"/>
      <c r="E1357" s="7"/>
      <c r="F1357" s="7"/>
      <c r="G1357" s="7"/>
      <c r="H1357" s="118"/>
      <c r="I1357" s="7"/>
      <c r="J1357" s="7"/>
      <c r="K1357" s="7"/>
      <c r="L1357" s="7"/>
      <c r="M1357" s="7"/>
      <c r="N1357" s="7"/>
      <c r="O1357" s="84" t="e" cm="1">
        <f t="array" ref="O1357">_xlfn.XLOOKUP(1,(A1357=Geotech!$A$4:$A$10094)*(Data_Discontinuities[[#This Row],[Depth (m)]]&gt;=Geotech!$C$4:$C$10094)*(Data_Discontinuities[[#This Row],[Depth (m)]]&lt;Geotech!$D$4:$D$10094),Geotech!$M$4:$M$10094)</f>
        <v>#N/A</v>
      </c>
      <c r="P1357" s="84"/>
      <c r="Q1357" s="84"/>
      <c r="R1357" s="84"/>
      <c r="S13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7" s="71" t="str">
        <f>IFERROR(Data_Discontinuities[[#This Row],[Joint roughness]]/Data_Discontinuities[[#This Row],[Joint alteration]],"")</f>
        <v/>
      </c>
      <c r="V13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7" s="87"/>
    </row>
    <row r="1358" spans="2:23" ht="15" customHeight="1" x14ac:dyDescent="0.25">
      <c r="B1358" s="17" t="e">
        <f>VLOOKUP(Data_Discontinuities[[#This Row],[Hole ID]],Data_Log[],2,FALSE)</f>
        <v>#N/A</v>
      </c>
      <c r="C1358" s="8"/>
      <c r="D1358" s="8"/>
      <c r="E1358" s="7"/>
      <c r="F1358" s="7"/>
      <c r="G1358" s="7"/>
      <c r="H1358" s="118"/>
      <c r="I1358" s="7"/>
      <c r="J1358" s="7"/>
      <c r="K1358" s="7"/>
      <c r="L1358" s="7"/>
      <c r="M1358" s="7"/>
      <c r="N1358" s="7"/>
      <c r="O1358" s="84" t="e" cm="1">
        <f t="array" ref="O1358">_xlfn.XLOOKUP(1,(A1358=Geotech!$A$4:$A$10094)*(Data_Discontinuities[[#This Row],[Depth (m)]]&gt;=Geotech!$C$4:$C$10094)*(Data_Discontinuities[[#This Row],[Depth (m)]]&lt;Geotech!$D$4:$D$10094),Geotech!$M$4:$M$10094)</f>
        <v>#N/A</v>
      </c>
      <c r="P1358" s="84"/>
      <c r="Q1358" s="84"/>
      <c r="R1358" s="84"/>
      <c r="S13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8" s="71" t="str">
        <f>IFERROR(Data_Discontinuities[[#This Row],[Joint roughness]]/Data_Discontinuities[[#This Row],[Joint alteration]],"")</f>
        <v/>
      </c>
      <c r="V13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8" s="87"/>
    </row>
    <row r="1359" spans="2:23" ht="15" customHeight="1" x14ac:dyDescent="0.25">
      <c r="B1359" s="17" t="e">
        <f>VLOOKUP(Data_Discontinuities[[#This Row],[Hole ID]],Data_Log[],2,FALSE)</f>
        <v>#N/A</v>
      </c>
      <c r="C1359" s="8"/>
      <c r="D1359" s="8"/>
      <c r="E1359" s="7"/>
      <c r="F1359" s="7"/>
      <c r="G1359" s="7"/>
      <c r="H1359" s="118"/>
      <c r="I1359" s="7"/>
      <c r="J1359" s="7"/>
      <c r="K1359" s="7"/>
      <c r="L1359" s="7"/>
      <c r="M1359" s="7"/>
      <c r="N1359" s="7"/>
      <c r="O1359" s="84" t="e" cm="1">
        <f t="array" ref="O1359">_xlfn.XLOOKUP(1,(A1359=Geotech!$A$4:$A$10094)*(Data_Discontinuities[[#This Row],[Depth (m)]]&gt;=Geotech!$C$4:$C$10094)*(Data_Discontinuities[[#This Row],[Depth (m)]]&lt;Geotech!$D$4:$D$10094),Geotech!$M$4:$M$10094)</f>
        <v>#N/A</v>
      </c>
      <c r="P1359" s="84"/>
      <c r="Q1359" s="84"/>
      <c r="R1359" s="84"/>
      <c r="S13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59" s="71" t="str">
        <f>IFERROR(Data_Discontinuities[[#This Row],[Joint roughness]]/Data_Discontinuities[[#This Row],[Joint alteration]],"")</f>
        <v/>
      </c>
      <c r="V13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59" s="87"/>
    </row>
    <row r="1360" spans="2:23" ht="15" customHeight="1" x14ac:dyDescent="0.25">
      <c r="B1360" s="17" t="e">
        <f>VLOOKUP(Data_Discontinuities[[#This Row],[Hole ID]],Data_Log[],2,FALSE)</f>
        <v>#N/A</v>
      </c>
      <c r="C1360" s="8"/>
      <c r="D1360" s="8"/>
      <c r="E1360" s="7"/>
      <c r="F1360" s="7"/>
      <c r="G1360" s="7"/>
      <c r="H1360" s="118"/>
      <c r="I1360" s="7"/>
      <c r="J1360" s="7"/>
      <c r="K1360" s="7"/>
      <c r="L1360" s="7"/>
      <c r="M1360" s="7"/>
      <c r="N1360" s="7"/>
      <c r="O1360" s="84" t="e" cm="1">
        <f t="array" ref="O1360">_xlfn.XLOOKUP(1,(A1360=Geotech!$A$4:$A$10094)*(Data_Discontinuities[[#This Row],[Depth (m)]]&gt;=Geotech!$C$4:$C$10094)*(Data_Discontinuities[[#This Row],[Depth (m)]]&lt;Geotech!$D$4:$D$10094),Geotech!$M$4:$M$10094)</f>
        <v>#N/A</v>
      </c>
      <c r="P1360" s="84"/>
      <c r="Q1360" s="84"/>
      <c r="R1360" s="84"/>
      <c r="S13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0" s="71" t="str">
        <f>IFERROR(Data_Discontinuities[[#This Row],[Joint roughness]]/Data_Discontinuities[[#This Row],[Joint alteration]],"")</f>
        <v/>
      </c>
      <c r="V13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0" s="87"/>
    </row>
    <row r="1361" spans="2:23" ht="15" customHeight="1" x14ac:dyDescent="0.25">
      <c r="B1361" s="17" t="e">
        <f>VLOOKUP(Data_Discontinuities[[#This Row],[Hole ID]],Data_Log[],2,FALSE)</f>
        <v>#N/A</v>
      </c>
      <c r="C1361" s="8"/>
      <c r="D1361" s="8"/>
      <c r="E1361" s="7"/>
      <c r="F1361" s="7"/>
      <c r="G1361" s="7"/>
      <c r="H1361" s="118"/>
      <c r="I1361" s="7"/>
      <c r="J1361" s="7"/>
      <c r="K1361" s="7"/>
      <c r="L1361" s="7"/>
      <c r="M1361" s="7"/>
      <c r="N1361" s="7"/>
      <c r="O1361" s="84" t="e" cm="1">
        <f t="array" ref="O1361">_xlfn.XLOOKUP(1,(A1361=Geotech!$A$4:$A$10094)*(Data_Discontinuities[[#This Row],[Depth (m)]]&gt;=Geotech!$C$4:$C$10094)*(Data_Discontinuities[[#This Row],[Depth (m)]]&lt;Geotech!$D$4:$D$10094),Geotech!$M$4:$M$10094)</f>
        <v>#N/A</v>
      </c>
      <c r="P1361" s="84"/>
      <c r="Q1361" s="84"/>
      <c r="R1361" s="84"/>
      <c r="S13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1" s="71" t="str">
        <f>IFERROR(Data_Discontinuities[[#This Row],[Joint roughness]]/Data_Discontinuities[[#This Row],[Joint alteration]],"")</f>
        <v/>
      </c>
      <c r="V13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1" s="87"/>
    </row>
    <row r="1362" spans="2:23" ht="15" customHeight="1" x14ac:dyDescent="0.25">
      <c r="B1362" s="17" t="e">
        <f>VLOOKUP(Data_Discontinuities[[#This Row],[Hole ID]],Data_Log[],2,FALSE)</f>
        <v>#N/A</v>
      </c>
      <c r="C1362" s="8"/>
      <c r="D1362" s="8"/>
      <c r="E1362" s="7"/>
      <c r="F1362" s="7"/>
      <c r="G1362" s="7"/>
      <c r="H1362" s="118"/>
      <c r="I1362" s="7"/>
      <c r="J1362" s="7"/>
      <c r="K1362" s="7"/>
      <c r="L1362" s="7"/>
      <c r="M1362" s="7"/>
      <c r="N1362" s="7"/>
      <c r="O1362" s="84" t="e" cm="1">
        <f t="array" ref="O1362">_xlfn.XLOOKUP(1,(A1362=Geotech!$A$4:$A$10094)*(Data_Discontinuities[[#This Row],[Depth (m)]]&gt;=Geotech!$C$4:$C$10094)*(Data_Discontinuities[[#This Row],[Depth (m)]]&lt;Geotech!$D$4:$D$10094),Geotech!$M$4:$M$10094)</f>
        <v>#N/A</v>
      </c>
      <c r="P1362" s="84"/>
      <c r="Q1362" s="84"/>
      <c r="R1362" s="84"/>
      <c r="S13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2" s="71" t="str">
        <f>IFERROR(Data_Discontinuities[[#This Row],[Joint roughness]]/Data_Discontinuities[[#This Row],[Joint alteration]],"")</f>
        <v/>
      </c>
      <c r="V13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2" s="87"/>
    </row>
    <row r="1363" spans="2:23" ht="15" customHeight="1" x14ac:dyDescent="0.25">
      <c r="B1363" s="17" t="e">
        <f>VLOOKUP(Data_Discontinuities[[#This Row],[Hole ID]],Data_Log[],2,FALSE)</f>
        <v>#N/A</v>
      </c>
      <c r="C1363" s="8"/>
      <c r="D1363" s="8"/>
      <c r="E1363" s="7"/>
      <c r="F1363" s="7"/>
      <c r="G1363" s="7"/>
      <c r="H1363" s="118"/>
      <c r="I1363" s="7"/>
      <c r="J1363" s="7"/>
      <c r="K1363" s="7"/>
      <c r="L1363" s="7"/>
      <c r="M1363" s="7"/>
      <c r="N1363" s="7"/>
      <c r="O1363" s="84" t="e" cm="1">
        <f t="array" ref="O1363">_xlfn.XLOOKUP(1,(A1363=Geotech!$A$4:$A$10094)*(Data_Discontinuities[[#This Row],[Depth (m)]]&gt;=Geotech!$C$4:$C$10094)*(Data_Discontinuities[[#This Row],[Depth (m)]]&lt;Geotech!$D$4:$D$10094),Geotech!$M$4:$M$10094)</f>
        <v>#N/A</v>
      </c>
      <c r="P1363" s="84"/>
      <c r="Q1363" s="84"/>
      <c r="R1363" s="84"/>
      <c r="S13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3" s="71" t="str">
        <f>IFERROR(Data_Discontinuities[[#This Row],[Joint roughness]]/Data_Discontinuities[[#This Row],[Joint alteration]],"")</f>
        <v/>
      </c>
      <c r="V13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3" s="87"/>
    </row>
    <row r="1364" spans="2:23" ht="15" customHeight="1" x14ac:dyDescent="0.25">
      <c r="B1364" s="17" t="e">
        <f>VLOOKUP(Data_Discontinuities[[#This Row],[Hole ID]],Data_Log[],2,FALSE)</f>
        <v>#N/A</v>
      </c>
      <c r="C1364" s="8"/>
      <c r="D1364" s="8"/>
      <c r="E1364" s="7"/>
      <c r="F1364" s="7"/>
      <c r="G1364" s="7"/>
      <c r="H1364" s="118"/>
      <c r="I1364" s="7"/>
      <c r="J1364" s="7"/>
      <c r="K1364" s="7"/>
      <c r="L1364" s="7"/>
      <c r="M1364" s="7"/>
      <c r="N1364" s="7"/>
      <c r="O1364" s="84" t="e" cm="1">
        <f t="array" ref="O1364">_xlfn.XLOOKUP(1,(A1364=Geotech!$A$4:$A$10094)*(Data_Discontinuities[[#This Row],[Depth (m)]]&gt;=Geotech!$C$4:$C$10094)*(Data_Discontinuities[[#This Row],[Depth (m)]]&lt;Geotech!$D$4:$D$10094),Geotech!$M$4:$M$10094)</f>
        <v>#N/A</v>
      </c>
      <c r="P1364" s="84"/>
      <c r="Q1364" s="84"/>
      <c r="R1364" s="84"/>
      <c r="S13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4" s="71" t="str">
        <f>IFERROR(Data_Discontinuities[[#This Row],[Joint roughness]]/Data_Discontinuities[[#This Row],[Joint alteration]],"")</f>
        <v/>
      </c>
      <c r="V13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4" s="87"/>
    </row>
    <row r="1365" spans="2:23" ht="15" customHeight="1" x14ac:dyDescent="0.25">
      <c r="B1365" s="17" t="e">
        <f>VLOOKUP(Data_Discontinuities[[#This Row],[Hole ID]],Data_Log[],2,FALSE)</f>
        <v>#N/A</v>
      </c>
      <c r="C1365" s="8"/>
      <c r="D1365" s="8"/>
      <c r="E1365" s="7"/>
      <c r="F1365" s="7"/>
      <c r="G1365" s="7"/>
      <c r="H1365" s="118"/>
      <c r="I1365" s="7"/>
      <c r="J1365" s="7"/>
      <c r="K1365" s="7"/>
      <c r="L1365" s="7"/>
      <c r="M1365" s="7"/>
      <c r="N1365" s="7"/>
      <c r="O1365" s="84" t="e" cm="1">
        <f t="array" ref="O1365">_xlfn.XLOOKUP(1,(A1365=Geotech!$A$4:$A$10094)*(Data_Discontinuities[[#This Row],[Depth (m)]]&gt;=Geotech!$C$4:$C$10094)*(Data_Discontinuities[[#This Row],[Depth (m)]]&lt;Geotech!$D$4:$D$10094),Geotech!$M$4:$M$10094)</f>
        <v>#N/A</v>
      </c>
      <c r="P1365" s="84"/>
      <c r="Q1365" s="84"/>
      <c r="R1365" s="84"/>
      <c r="S13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5" s="71" t="str">
        <f>IFERROR(Data_Discontinuities[[#This Row],[Joint roughness]]/Data_Discontinuities[[#This Row],[Joint alteration]],"")</f>
        <v/>
      </c>
      <c r="V13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5" s="87"/>
    </row>
    <row r="1366" spans="2:23" ht="15" customHeight="1" x14ac:dyDescent="0.25">
      <c r="B1366" s="17" t="e">
        <f>VLOOKUP(Data_Discontinuities[[#This Row],[Hole ID]],Data_Log[],2,FALSE)</f>
        <v>#N/A</v>
      </c>
      <c r="C1366" s="8"/>
      <c r="D1366" s="8"/>
      <c r="E1366" s="7"/>
      <c r="F1366" s="7"/>
      <c r="G1366" s="7"/>
      <c r="H1366" s="118"/>
      <c r="I1366" s="7"/>
      <c r="J1366" s="7"/>
      <c r="K1366" s="7"/>
      <c r="L1366" s="7"/>
      <c r="M1366" s="7"/>
      <c r="N1366" s="7"/>
      <c r="O1366" s="84" t="e" cm="1">
        <f t="array" ref="O1366">_xlfn.XLOOKUP(1,(A1366=Geotech!$A$4:$A$10094)*(Data_Discontinuities[[#This Row],[Depth (m)]]&gt;=Geotech!$C$4:$C$10094)*(Data_Discontinuities[[#This Row],[Depth (m)]]&lt;Geotech!$D$4:$D$10094),Geotech!$M$4:$M$10094)</f>
        <v>#N/A</v>
      </c>
      <c r="P1366" s="84"/>
      <c r="Q1366" s="84"/>
      <c r="R1366" s="84"/>
      <c r="S13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6" s="71" t="str">
        <f>IFERROR(Data_Discontinuities[[#This Row],[Joint roughness]]/Data_Discontinuities[[#This Row],[Joint alteration]],"")</f>
        <v/>
      </c>
      <c r="V13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6" s="87"/>
    </row>
    <row r="1367" spans="2:23" ht="15" customHeight="1" x14ac:dyDescent="0.25">
      <c r="B1367" s="17" t="e">
        <f>VLOOKUP(Data_Discontinuities[[#This Row],[Hole ID]],Data_Log[],2,FALSE)</f>
        <v>#N/A</v>
      </c>
      <c r="C1367" s="8"/>
      <c r="D1367" s="8"/>
      <c r="E1367" s="7"/>
      <c r="F1367" s="7"/>
      <c r="G1367" s="7"/>
      <c r="H1367" s="118"/>
      <c r="I1367" s="7"/>
      <c r="J1367" s="7"/>
      <c r="K1367" s="7"/>
      <c r="L1367" s="7"/>
      <c r="M1367" s="7"/>
      <c r="N1367" s="7"/>
      <c r="O1367" s="84" t="e" cm="1">
        <f t="array" ref="O1367">_xlfn.XLOOKUP(1,(A1367=Geotech!$A$4:$A$10094)*(Data_Discontinuities[[#This Row],[Depth (m)]]&gt;=Geotech!$C$4:$C$10094)*(Data_Discontinuities[[#This Row],[Depth (m)]]&lt;Geotech!$D$4:$D$10094),Geotech!$M$4:$M$10094)</f>
        <v>#N/A</v>
      </c>
      <c r="P1367" s="84"/>
      <c r="Q1367" s="84"/>
      <c r="R1367" s="84"/>
      <c r="S13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7" s="71" t="str">
        <f>IFERROR(Data_Discontinuities[[#This Row],[Joint roughness]]/Data_Discontinuities[[#This Row],[Joint alteration]],"")</f>
        <v/>
      </c>
      <c r="V13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7" s="87"/>
    </row>
    <row r="1368" spans="2:23" ht="15" customHeight="1" x14ac:dyDescent="0.25">
      <c r="B1368" s="17" t="e">
        <f>VLOOKUP(Data_Discontinuities[[#This Row],[Hole ID]],Data_Log[],2,FALSE)</f>
        <v>#N/A</v>
      </c>
      <c r="C1368" s="8"/>
      <c r="D1368" s="8"/>
      <c r="E1368" s="7"/>
      <c r="F1368" s="7"/>
      <c r="G1368" s="7"/>
      <c r="H1368" s="118"/>
      <c r="I1368" s="7"/>
      <c r="J1368" s="7"/>
      <c r="K1368" s="7"/>
      <c r="L1368" s="7"/>
      <c r="M1368" s="7"/>
      <c r="N1368" s="7"/>
      <c r="O1368" s="84" t="e" cm="1">
        <f t="array" ref="O1368">_xlfn.XLOOKUP(1,(A1368=Geotech!$A$4:$A$10094)*(Data_Discontinuities[[#This Row],[Depth (m)]]&gt;=Geotech!$C$4:$C$10094)*(Data_Discontinuities[[#This Row],[Depth (m)]]&lt;Geotech!$D$4:$D$10094),Geotech!$M$4:$M$10094)</f>
        <v>#N/A</v>
      </c>
      <c r="P1368" s="84"/>
      <c r="Q1368" s="84"/>
      <c r="R1368" s="84"/>
      <c r="S13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8" s="71" t="str">
        <f>IFERROR(Data_Discontinuities[[#This Row],[Joint roughness]]/Data_Discontinuities[[#This Row],[Joint alteration]],"")</f>
        <v/>
      </c>
      <c r="V13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8" s="87"/>
    </row>
    <row r="1369" spans="2:23" ht="15" customHeight="1" x14ac:dyDescent="0.25">
      <c r="B1369" s="17" t="e">
        <f>VLOOKUP(Data_Discontinuities[[#This Row],[Hole ID]],Data_Log[],2,FALSE)</f>
        <v>#N/A</v>
      </c>
      <c r="C1369" s="8"/>
      <c r="D1369" s="8"/>
      <c r="E1369" s="7"/>
      <c r="F1369" s="7"/>
      <c r="G1369" s="7"/>
      <c r="H1369" s="118"/>
      <c r="I1369" s="7"/>
      <c r="J1369" s="7"/>
      <c r="K1369" s="7"/>
      <c r="L1369" s="7"/>
      <c r="M1369" s="7"/>
      <c r="N1369" s="7"/>
      <c r="O1369" s="84" t="e" cm="1">
        <f t="array" ref="O1369">_xlfn.XLOOKUP(1,(A1369=Geotech!$A$4:$A$10094)*(Data_Discontinuities[[#This Row],[Depth (m)]]&gt;=Geotech!$C$4:$C$10094)*(Data_Discontinuities[[#This Row],[Depth (m)]]&lt;Geotech!$D$4:$D$10094),Geotech!$M$4:$M$10094)</f>
        <v>#N/A</v>
      </c>
      <c r="P1369" s="84"/>
      <c r="Q1369" s="84"/>
      <c r="R1369" s="84"/>
      <c r="S13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69" s="71" t="str">
        <f>IFERROR(Data_Discontinuities[[#This Row],[Joint roughness]]/Data_Discontinuities[[#This Row],[Joint alteration]],"")</f>
        <v/>
      </c>
      <c r="V13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69" s="87"/>
    </row>
    <row r="1370" spans="2:23" ht="15" customHeight="1" x14ac:dyDescent="0.25">
      <c r="B1370" s="17" t="e">
        <f>VLOOKUP(Data_Discontinuities[[#This Row],[Hole ID]],Data_Log[],2,FALSE)</f>
        <v>#N/A</v>
      </c>
      <c r="C1370" s="8"/>
      <c r="D1370" s="8"/>
      <c r="E1370" s="7"/>
      <c r="F1370" s="7"/>
      <c r="G1370" s="7"/>
      <c r="H1370" s="118"/>
      <c r="I1370" s="7"/>
      <c r="J1370" s="7"/>
      <c r="K1370" s="7"/>
      <c r="L1370" s="7"/>
      <c r="M1370" s="7"/>
      <c r="N1370" s="7"/>
      <c r="O1370" s="84" t="e" cm="1">
        <f t="array" ref="O1370">_xlfn.XLOOKUP(1,(A1370=Geotech!$A$4:$A$10094)*(Data_Discontinuities[[#This Row],[Depth (m)]]&gt;=Geotech!$C$4:$C$10094)*(Data_Discontinuities[[#This Row],[Depth (m)]]&lt;Geotech!$D$4:$D$10094),Geotech!$M$4:$M$10094)</f>
        <v>#N/A</v>
      </c>
      <c r="P1370" s="84"/>
      <c r="Q1370" s="84"/>
      <c r="R1370" s="84"/>
      <c r="S13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0" s="71" t="str">
        <f>IFERROR(Data_Discontinuities[[#This Row],[Joint roughness]]/Data_Discontinuities[[#This Row],[Joint alteration]],"")</f>
        <v/>
      </c>
      <c r="V13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0" s="87"/>
    </row>
    <row r="1371" spans="2:23" ht="15" customHeight="1" x14ac:dyDescent="0.25">
      <c r="B1371" s="17" t="e">
        <f>VLOOKUP(Data_Discontinuities[[#This Row],[Hole ID]],Data_Log[],2,FALSE)</f>
        <v>#N/A</v>
      </c>
      <c r="C1371" s="8"/>
      <c r="D1371" s="8"/>
      <c r="E1371" s="7"/>
      <c r="F1371" s="7"/>
      <c r="G1371" s="7"/>
      <c r="H1371" s="118"/>
      <c r="I1371" s="7"/>
      <c r="J1371" s="7"/>
      <c r="K1371" s="7"/>
      <c r="L1371" s="7"/>
      <c r="M1371" s="7"/>
      <c r="N1371" s="7"/>
      <c r="O1371" s="84" t="e" cm="1">
        <f t="array" ref="O1371">_xlfn.XLOOKUP(1,(A1371=Geotech!$A$4:$A$10094)*(Data_Discontinuities[[#This Row],[Depth (m)]]&gt;=Geotech!$C$4:$C$10094)*(Data_Discontinuities[[#This Row],[Depth (m)]]&lt;Geotech!$D$4:$D$10094),Geotech!$M$4:$M$10094)</f>
        <v>#N/A</v>
      </c>
      <c r="P1371" s="84"/>
      <c r="Q1371" s="84"/>
      <c r="R1371" s="84"/>
      <c r="S13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1" s="71" t="str">
        <f>IFERROR(Data_Discontinuities[[#This Row],[Joint roughness]]/Data_Discontinuities[[#This Row],[Joint alteration]],"")</f>
        <v/>
      </c>
      <c r="V13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1" s="87"/>
    </row>
    <row r="1372" spans="2:23" ht="15" customHeight="1" x14ac:dyDescent="0.25">
      <c r="B1372" s="17" t="e">
        <f>VLOOKUP(Data_Discontinuities[[#This Row],[Hole ID]],Data_Log[],2,FALSE)</f>
        <v>#N/A</v>
      </c>
      <c r="C1372" s="8"/>
      <c r="D1372" s="8"/>
      <c r="E1372" s="7"/>
      <c r="F1372" s="7"/>
      <c r="G1372" s="7"/>
      <c r="H1372" s="118"/>
      <c r="I1372" s="7"/>
      <c r="J1372" s="7"/>
      <c r="K1372" s="7"/>
      <c r="L1372" s="7"/>
      <c r="M1372" s="7"/>
      <c r="N1372" s="7"/>
      <c r="O1372" s="84" t="e" cm="1">
        <f t="array" ref="O1372">_xlfn.XLOOKUP(1,(A1372=Geotech!$A$4:$A$10094)*(Data_Discontinuities[[#This Row],[Depth (m)]]&gt;=Geotech!$C$4:$C$10094)*(Data_Discontinuities[[#This Row],[Depth (m)]]&lt;Geotech!$D$4:$D$10094),Geotech!$M$4:$M$10094)</f>
        <v>#N/A</v>
      </c>
      <c r="P1372" s="84"/>
      <c r="Q1372" s="84"/>
      <c r="R1372" s="84"/>
      <c r="S13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2" s="71" t="str">
        <f>IFERROR(Data_Discontinuities[[#This Row],[Joint roughness]]/Data_Discontinuities[[#This Row],[Joint alteration]],"")</f>
        <v/>
      </c>
      <c r="V13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2" s="87"/>
    </row>
    <row r="1373" spans="2:23" ht="15" customHeight="1" x14ac:dyDescent="0.25">
      <c r="B1373" s="17" t="e">
        <f>VLOOKUP(Data_Discontinuities[[#This Row],[Hole ID]],Data_Log[],2,FALSE)</f>
        <v>#N/A</v>
      </c>
      <c r="C1373" s="8"/>
      <c r="D1373" s="8"/>
      <c r="E1373" s="7"/>
      <c r="F1373" s="7"/>
      <c r="G1373" s="7"/>
      <c r="H1373" s="118"/>
      <c r="I1373" s="7"/>
      <c r="J1373" s="7"/>
      <c r="K1373" s="7"/>
      <c r="L1373" s="7"/>
      <c r="M1373" s="7"/>
      <c r="N1373" s="7"/>
      <c r="O1373" s="84" t="e" cm="1">
        <f t="array" ref="O1373">_xlfn.XLOOKUP(1,(A1373=Geotech!$A$4:$A$10094)*(Data_Discontinuities[[#This Row],[Depth (m)]]&gt;=Geotech!$C$4:$C$10094)*(Data_Discontinuities[[#This Row],[Depth (m)]]&lt;Geotech!$D$4:$D$10094),Geotech!$M$4:$M$10094)</f>
        <v>#N/A</v>
      </c>
      <c r="P1373" s="84"/>
      <c r="Q1373" s="84"/>
      <c r="R1373" s="84"/>
      <c r="S13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3" s="71" t="str">
        <f>IFERROR(Data_Discontinuities[[#This Row],[Joint roughness]]/Data_Discontinuities[[#This Row],[Joint alteration]],"")</f>
        <v/>
      </c>
      <c r="V13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3" s="87"/>
    </row>
    <row r="1374" spans="2:23" ht="15" customHeight="1" x14ac:dyDescent="0.25">
      <c r="B1374" s="17" t="e">
        <f>VLOOKUP(Data_Discontinuities[[#This Row],[Hole ID]],Data_Log[],2,FALSE)</f>
        <v>#N/A</v>
      </c>
      <c r="C1374" s="8"/>
      <c r="D1374" s="8"/>
      <c r="E1374" s="7"/>
      <c r="F1374" s="7"/>
      <c r="G1374" s="7"/>
      <c r="H1374" s="118"/>
      <c r="I1374" s="7"/>
      <c r="J1374" s="7"/>
      <c r="K1374" s="7"/>
      <c r="L1374" s="7"/>
      <c r="M1374" s="7"/>
      <c r="N1374" s="7"/>
      <c r="O1374" s="84" t="e" cm="1">
        <f t="array" ref="O1374">_xlfn.XLOOKUP(1,(A1374=Geotech!$A$4:$A$10094)*(Data_Discontinuities[[#This Row],[Depth (m)]]&gt;=Geotech!$C$4:$C$10094)*(Data_Discontinuities[[#This Row],[Depth (m)]]&lt;Geotech!$D$4:$D$10094),Geotech!$M$4:$M$10094)</f>
        <v>#N/A</v>
      </c>
      <c r="P1374" s="84"/>
      <c r="Q1374" s="84"/>
      <c r="R1374" s="84"/>
      <c r="S13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4" s="71" t="str">
        <f>IFERROR(Data_Discontinuities[[#This Row],[Joint roughness]]/Data_Discontinuities[[#This Row],[Joint alteration]],"")</f>
        <v/>
      </c>
      <c r="V13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4" s="87"/>
    </row>
    <row r="1375" spans="2:23" ht="15" customHeight="1" x14ac:dyDescent="0.25">
      <c r="B1375" s="17" t="e">
        <f>VLOOKUP(Data_Discontinuities[[#This Row],[Hole ID]],Data_Log[],2,FALSE)</f>
        <v>#N/A</v>
      </c>
      <c r="C1375" s="8"/>
      <c r="D1375" s="8"/>
      <c r="E1375" s="7"/>
      <c r="F1375" s="7"/>
      <c r="G1375" s="7"/>
      <c r="H1375" s="118"/>
      <c r="I1375" s="7"/>
      <c r="J1375" s="7"/>
      <c r="K1375" s="7"/>
      <c r="L1375" s="7"/>
      <c r="M1375" s="7"/>
      <c r="N1375" s="7"/>
      <c r="O1375" s="84" t="e" cm="1">
        <f t="array" ref="O1375">_xlfn.XLOOKUP(1,(A1375=Geotech!$A$4:$A$10094)*(Data_Discontinuities[[#This Row],[Depth (m)]]&gt;=Geotech!$C$4:$C$10094)*(Data_Discontinuities[[#This Row],[Depth (m)]]&lt;Geotech!$D$4:$D$10094),Geotech!$M$4:$M$10094)</f>
        <v>#N/A</v>
      </c>
      <c r="P1375" s="84"/>
      <c r="Q1375" s="84"/>
      <c r="R1375" s="84"/>
      <c r="S13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5" s="71" t="str">
        <f>IFERROR(Data_Discontinuities[[#This Row],[Joint roughness]]/Data_Discontinuities[[#This Row],[Joint alteration]],"")</f>
        <v/>
      </c>
      <c r="V13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5" s="87"/>
    </row>
    <row r="1376" spans="2:23" ht="15" customHeight="1" x14ac:dyDescent="0.25">
      <c r="B1376" s="17" t="e">
        <f>VLOOKUP(Data_Discontinuities[[#This Row],[Hole ID]],Data_Log[],2,FALSE)</f>
        <v>#N/A</v>
      </c>
      <c r="C1376" s="8"/>
      <c r="D1376" s="8"/>
      <c r="E1376" s="7"/>
      <c r="F1376" s="7"/>
      <c r="G1376" s="7"/>
      <c r="H1376" s="118"/>
      <c r="I1376" s="7"/>
      <c r="J1376" s="7"/>
      <c r="K1376" s="7"/>
      <c r="L1376" s="7"/>
      <c r="M1376" s="7"/>
      <c r="N1376" s="7"/>
      <c r="O1376" s="84" t="e" cm="1">
        <f t="array" ref="O1376">_xlfn.XLOOKUP(1,(A1376=Geotech!$A$4:$A$10094)*(Data_Discontinuities[[#This Row],[Depth (m)]]&gt;=Geotech!$C$4:$C$10094)*(Data_Discontinuities[[#This Row],[Depth (m)]]&lt;Geotech!$D$4:$D$10094),Geotech!$M$4:$M$10094)</f>
        <v>#N/A</v>
      </c>
      <c r="P1376" s="84"/>
      <c r="Q1376" s="84"/>
      <c r="R1376" s="84"/>
      <c r="S13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6" s="71" t="str">
        <f>IFERROR(Data_Discontinuities[[#This Row],[Joint roughness]]/Data_Discontinuities[[#This Row],[Joint alteration]],"")</f>
        <v/>
      </c>
      <c r="V13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6" s="87"/>
    </row>
    <row r="1377" spans="2:23" ht="15" customHeight="1" x14ac:dyDescent="0.25">
      <c r="B1377" s="17" t="e">
        <f>VLOOKUP(Data_Discontinuities[[#This Row],[Hole ID]],Data_Log[],2,FALSE)</f>
        <v>#N/A</v>
      </c>
      <c r="C1377" s="8"/>
      <c r="D1377" s="8"/>
      <c r="E1377" s="7"/>
      <c r="F1377" s="7"/>
      <c r="G1377" s="7"/>
      <c r="H1377" s="118"/>
      <c r="I1377" s="7"/>
      <c r="J1377" s="7"/>
      <c r="K1377" s="7"/>
      <c r="L1377" s="7"/>
      <c r="M1377" s="7"/>
      <c r="N1377" s="7"/>
      <c r="O1377" s="84" t="e" cm="1">
        <f t="array" ref="O1377">_xlfn.XLOOKUP(1,(A1377=Geotech!$A$4:$A$10094)*(Data_Discontinuities[[#This Row],[Depth (m)]]&gt;=Geotech!$C$4:$C$10094)*(Data_Discontinuities[[#This Row],[Depth (m)]]&lt;Geotech!$D$4:$D$10094),Geotech!$M$4:$M$10094)</f>
        <v>#N/A</v>
      </c>
      <c r="P1377" s="84"/>
      <c r="Q1377" s="84"/>
      <c r="R1377" s="84"/>
      <c r="S13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7" s="71" t="str">
        <f>IFERROR(Data_Discontinuities[[#This Row],[Joint roughness]]/Data_Discontinuities[[#This Row],[Joint alteration]],"")</f>
        <v/>
      </c>
      <c r="V13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7" s="87"/>
    </row>
    <row r="1378" spans="2:23" ht="15" customHeight="1" x14ac:dyDescent="0.25">
      <c r="B1378" s="17" t="e">
        <f>VLOOKUP(Data_Discontinuities[[#This Row],[Hole ID]],Data_Log[],2,FALSE)</f>
        <v>#N/A</v>
      </c>
      <c r="C1378" s="8"/>
      <c r="D1378" s="8"/>
      <c r="E1378" s="7"/>
      <c r="F1378" s="7"/>
      <c r="G1378" s="7"/>
      <c r="H1378" s="118"/>
      <c r="I1378" s="7"/>
      <c r="J1378" s="7"/>
      <c r="K1378" s="7"/>
      <c r="L1378" s="7"/>
      <c r="M1378" s="7"/>
      <c r="N1378" s="7"/>
      <c r="O1378" s="84" t="e" cm="1">
        <f t="array" ref="O1378">_xlfn.XLOOKUP(1,(A1378=Geotech!$A$4:$A$10094)*(Data_Discontinuities[[#This Row],[Depth (m)]]&gt;=Geotech!$C$4:$C$10094)*(Data_Discontinuities[[#This Row],[Depth (m)]]&lt;Geotech!$D$4:$D$10094),Geotech!$M$4:$M$10094)</f>
        <v>#N/A</v>
      </c>
      <c r="P1378" s="84"/>
      <c r="Q1378" s="84"/>
      <c r="R1378" s="84"/>
      <c r="S13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8" s="71" t="str">
        <f>IFERROR(Data_Discontinuities[[#This Row],[Joint roughness]]/Data_Discontinuities[[#This Row],[Joint alteration]],"")</f>
        <v/>
      </c>
      <c r="V13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8" s="87"/>
    </row>
    <row r="1379" spans="2:23" ht="15" customHeight="1" x14ac:dyDescent="0.25">
      <c r="B1379" s="17" t="e">
        <f>VLOOKUP(Data_Discontinuities[[#This Row],[Hole ID]],Data_Log[],2,FALSE)</f>
        <v>#N/A</v>
      </c>
      <c r="C1379" s="8"/>
      <c r="D1379" s="8"/>
      <c r="E1379" s="7"/>
      <c r="F1379" s="7"/>
      <c r="G1379" s="7"/>
      <c r="H1379" s="118"/>
      <c r="I1379" s="7"/>
      <c r="J1379" s="7"/>
      <c r="K1379" s="7"/>
      <c r="L1379" s="7"/>
      <c r="M1379" s="7"/>
      <c r="N1379" s="7"/>
      <c r="O1379" s="84" t="e" cm="1">
        <f t="array" ref="O1379">_xlfn.XLOOKUP(1,(A1379=Geotech!$A$4:$A$10094)*(Data_Discontinuities[[#This Row],[Depth (m)]]&gt;=Geotech!$C$4:$C$10094)*(Data_Discontinuities[[#This Row],[Depth (m)]]&lt;Geotech!$D$4:$D$10094),Geotech!$M$4:$M$10094)</f>
        <v>#N/A</v>
      </c>
      <c r="P1379" s="84"/>
      <c r="Q1379" s="84"/>
      <c r="R1379" s="84"/>
      <c r="S13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79" s="71" t="str">
        <f>IFERROR(Data_Discontinuities[[#This Row],[Joint roughness]]/Data_Discontinuities[[#This Row],[Joint alteration]],"")</f>
        <v/>
      </c>
      <c r="V13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79" s="87"/>
    </row>
    <row r="1380" spans="2:23" ht="15" customHeight="1" x14ac:dyDescent="0.25">
      <c r="B1380" s="17" t="e">
        <f>VLOOKUP(Data_Discontinuities[[#This Row],[Hole ID]],Data_Log[],2,FALSE)</f>
        <v>#N/A</v>
      </c>
      <c r="C1380" s="8"/>
      <c r="D1380" s="8"/>
      <c r="E1380" s="7"/>
      <c r="F1380" s="7"/>
      <c r="G1380" s="7"/>
      <c r="H1380" s="118"/>
      <c r="I1380" s="7"/>
      <c r="J1380" s="7"/>
      <c r="K1380" s="7"/>
      <c r="L1380" s="7"/>
      <c r="M1380" s="7"/>
      <c r="N1380" s="7"/>
      <c r="O1380" s="84" t="e" cm="1">
        <f t="array" ref="O1380">_xlfn.XLOOKUP(1,(A1380=Geotech!$A$4:$A$10094)*(Data_Discontinuities[[#This Row],[Depth (m)]]&gt;=Geotech!$C$4:$C$10094)*(Data_Discontinuities[[#This Row],[Depth (m)]]&lt;Geotech!$D$4:$D$10094),Geotech!$M$4:$M$10094)</f>
        <v>#N/A</v>
      </c>
      <c r="P1380" s="84"/>
      <c r="Q1380" s="84"/>
      <c r="R1380" s="84"/>
      <c r="S13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0" s="71" t="str">
        <f>IFERROR(Data_Discontinuities[[#This Row],[Joint roughness]]/Data_Discontinuities[[#This Row],[Joint alteration]],"")</f>
        <v/>
      </c>
      <c r="V13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0" s="87"/>
    </row>
    <row r="1381" spans="2:23" ht="15" customHeight="1" x14ac:dyDescent="0.25">
      <c r="B1381" s="17" t="e">
        <f>VLOOKUP(Data_Discontinuities[[#This Row],[Hole ID]],Data_Log[],2,FALSE)</f>
        <v>#N/A</v>
      </c>
      <c r="C1381" s="8"/>
      <c r="D1381" s="8"/>
      <c r="E1381" s="7"/>
      <c r="F1381" s="7"/>
      <c r="G1381" s="7"/>
      <c r="H1381" s="118"/>
      <c r="I1381" s="7"/>
      <c r="J1381" s="7"/>
      <c r="K1381" s="7"/>
      <c r="L1381" s="7"/>
      <c r="M1381" s="7"/>
      <c r="N1381" s="7"/>
      <c r="O1381" s="84" t="e" cm="1">
        <f t="array" ref="O1381">_xlfn.XLOOKUP(1,(A1381=Geotech!$A$4:$A$10094)*(Data_Discontinuities[[#This Row],[Depth (m)]]&gt;=Geotech!$C$4:$C$10094)*(Data_Discontinuities[[#This Row],[Depth (m)]]&lt;Geotech!$D$4:$D$10094),Geotech!$M$4:$M$10094)</f>
        <v>#N/A</v>
      </c>
      <c r="P1381" s="84"/>
      <c r="Q1381" s="84"/>
      <c r="R1381" s="84"/>
      <c r="S13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1" s="71" t="str">
        <f>IFERROR(Data_Discontinuities[[#This Row],[Joint roughness]]/Data_Discontinuities[[#This Row],[Joint alteration]],"")</f>
        <v/>
      </c>
      <c r="V13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1" s="87"/>
    </row>
    <row r="1382" spans="2:23" ht="15" customHeight="1" x14ac:dyDescent="0.25">
      <c r="B1382" s="17" t="e">
        <f>VLOOKUP(Data_Discontinuities[[#This Row],[Hole ID]],Data_Log[],2,FALSE)</f>
        <v>#N/A</v>
      </c>
      <c r="C1382" s="8"/>
      <c r="D1382" s="8"/>
      <c r="E1382" s="7"/>
      <c r="F1382" s="7"/>
      <c r="G1382" s="7"/>
      <c r="H1382" s="118"/>
      <c r="I1382" s="7"/>
      <c r="J1382" s="7"/>
      <c r="K1382" s="7"/>
      <c r="L1382" s="7"/>
      <c r="M1382" s="7"/>
      <c r="N1382" s="7"/>
      <c r="O1382" s="84" t="e" cm="1">
        <f t="array" ref="O1382">_xlfn.XLOOKUP(1,(A1382=Geotech!$A$4:$A$10094)*(Data_Discontinuities[[#This Row],[Depth (m)]]&gt;=Geotech!$C$4:$C$10094)*(Data_Discontinuities[[#This Row],[Depth (m)]]&lt;Geotech!$D$4:$D$10094),Geotech!$M$4:$M$10094)</f>
        <v>#N/A</v>
      </c>
      <c r="P1382" s="84"/>
      <c r="Q1382" s="84"/>
      <c r="R1382" s="84"/>
      <c r="S13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2" s="71" t="str">
        <f>IFERROR(Data_Discontinuities[[#This Row],[Joint roughness]]/Data_Discontinuities[[#This Row],[Joint alteration]],"")</f>
        <v/>
      </c>
      <c r="V13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2" s="87"/>
    </row>
    <row r="1383" spans="2:23" ht="15" customHeight="1" x14ac:dyDescent="0.25">
      <c r="B1383" s="17" t="e">
        <f>VLOOKUP(Data_Discontinuities[[#This Row],[Hole ID]],Data_Log[],2,FALSE)</f>
        <v>#N/A</v>
      </c>
      <c r="C1383" s="8"/>
      <c r="D1383" s="8"/>
      <c r="E1383" s="7"/>
      <c r="F1383" s="7"/>
      <c r="G1383" s="7"/>
      <c r="H1383" s="118"/>
      <c r="I1383" s="7"/>
      <c r="J1383" s="7"/>
      <c r="K1383" s="7"/>
      <c r="L1383" s="7"/>
      <c r="M1383" s="7"/>
      <c r="N1383" s="7"/>
      <c r="O1383" s="84" t="e" cm="1">
        <f t="array" ref="O1383">_xlfn.XLOOKUP(1,(A1383=Geotech!$A$4:$A$10094)*(Data_Discontinuities[[#This Row],[Depth (m)]]&gt;=Geotech!$C$4:$C$10094)*(Data_Discontinuities[[#This Row],[Depth (m)]]&lt;Geotech!$D$4:$D$10094),Geotech!$M$4:$M$10094)</f>
        <v>#N/A</v>
      </c>
      <c r="P1383" s="84"/>
      <c r="Q1383" s="84"/>
      <c r="R1383" s="84"/>
      <c r="S13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3" s="71" t="str">
        <f>IFERROR(Data_Discontinuities[[#This Row],[Joint roughness]]/Data_Discontinuities[[#This Row],[Joint alteration]],"")</f>
        <v/>
      </c>
      <c r="V13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3" s="87"/>
    </row>
    <row r="1384" spans="2:23" ht="15" customHeight="1" x14ac:dyDescent="0.25">
      <c r="B1384" s="17" t="e">
        <f>VLOOKUP(Data_Discontinuities[[#This Row],[Hole ID]],Data_Log[],2,FALSE)</f>
        <v>#N/A</v>
      </c>
      <c r="C1384" s="8"/>
      <c r="D1384" s="8"/>
      <c r="E1384" s="7"/>
      <c r="F1384" s="7"/>
      <c r="G1384" s="7"/>
      <c r="H1384" s="118"/>
      <c r="I1384" s="7"/>
      <c r="J1384" s="7"/>
      <c r="K1384" s="7"/>
      <c r="L1384" s="7"/>
      <c r="M1384" s="7"/>
      <c r="N1384" s="7"/>
      <c r="O1384" s="84" t="e" cm="1">
        <f t="array" ref="O1384">_xlfn.XLOOKUP(1,(A1384=Geotech!$A$4:$A$10094)*(Data_Discontinuities[[#This Row],[Depth (m)]]&gt;=Geotech!$C$4:$C$10094)*(Data_Discontinuities[[#This Row],[Depth (m)]]&lt;Geotech!$D$4:$D$10094),Geotech!$M$4:$M$10094)</f>
        <v>#N/A</v>
      </c>
      <c r="P1384" s="84"/>
      <c r="Q1384" s="84"/>
      <c r="R1384" s="84"/>
      <c r="S13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4" s="71" t="str">
        <f>IFERROR(Data_Discontinuities[[#This Row],[Joint roughness]]/Data_Discontinuities[[#This Row],[Joint alteration]],"")</f>
        <v/>
      </c>
      <c r="V13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4" s="87"/>
    </row>
    <row r="1385" spans="2:23" ht="15" customHeight="1" x14ac:dyDescent="0.25">
      <c r="B1385" s="17" t="e">
        <f>VLOOKUP(Data_Discontinuities[[#This Row],[Hole ID]],Data_Log[],2,FALSE)</f>
        <v>#N/A</v>
      </c>
      <c r="C1385" s="8"/>
      <c r="D1385" s="8"/>
      <c r="E1385" s="7"/>
      <c r="F1385" s="7"/>
      <c r="G1385" s="7"/>
      <c r="H1385" s="118"/>
      <c r="I1385" s="7"/>
      <c r="J1385" s="7"/>
      <c r="K1385" s="7"/>
      <c r="L1385" s="7"/>
      <c r="M1385" s="7"/>
      <c r="N1385" s="7"/>
      <c r="O1385" s="84" t="e" cm="1">
        <f t="array" ref="O1385">_xlfn.XLOOKUP(1,(A1385=Geotech!$A$4:$A$10094)*(Data_Discontinuities[[#This Row],[Depth (m)]]&gt;=Geotech!$C$4:$C$10094)*(Data_Discontinuities[[#This Row],[Depth (m)]]&lt;Geotech!$D$4:$D$10094),Geotech!$M$4:$M$10094)</f>
        <v>#N/A</v>
      </c>
      <c r="P1385" s="84"/>
      <c r="Q1385" s="84"/>
      <c r="R1385" s="84"/>
      <c r="S13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5" s="71" t="str">
        <f>IFERROR(Data_Discontinuities[[#This Row],[Joint roughness]]/Data_Discontinuities[[#This Row],[Joint alteration]],"")</f>
        <v/>
      </c>
      <c r="V13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5" s="87"/>
    </row>
    <row r="1386" spans="2:23" ht="15" customHeight="1" x14ac:dyDescent="0.25">
      <c r="B1386" s="17" t="e">
        <f>VLOOKUP(Data_Discontinuities[[#This Row],[Hole ID]],Data_Log[],2,FALSE)</f>
        <v>#N/A</v>
      </c>
      <c r="C1386" s="8"/>
      <c r="D1386" s="8"/>
      <c r="E1386" s="7"/>
      <c r="F1386" s="7"/>
      <c r="G1386" s="7"/>
      <c r="H1386" s="118"/>
      <c r="I1386" s="7"/>
      <c r="J1386" s="7"/>
      <c r="K1386" s="7"/>
      <c r="L1386" s="7"/>
      <c r="M1386" s="7"/>
      <c r="N1386" s="7"/>
      <c r="O1386" s="84" t="e" cm="1">
        <f t="array" ref="O1386">_xlfn.XLOOKUP(1,(A1386=Geotech!$A$4:$A$10094)*(Data_Discontinuities[[#This Row],[Depth (m)]]&gt;=Geotech!$C$4:$C$10094)*(Data_Discontinuities[[#This Row],[Depth (m)]]&lt;Geotech!$D$4:$D$10094),Geotech!$M$4:$M$10094)</f>
        <v>#N/A</v>
      </c>
      <c r="P1386" s="84"/>
      <c r="Q1386" s="84"/>
      <c r="R1386" s="84"/>
      <c r="S13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6" s="71" t="str">
        <f>IFERROR(Data_Discontinuities[[#This Row],[Joint roughness]]/Data_Discontinuities[[#This Row],[Joint alteration]],"")</f>
        <v/>
      </c>
      <c r="V13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6" s="87"/>
    </row>
    <row r="1387" spans="2:23" ht="15" customHeight="1" x14ac:dyDescent="0.25">
      <c r="B1387" s="17" t="e">
        <f>VLOOKUP(Data_Discontinuities[[#This Row],[Hole ID]],Data_Log[],2,FALSE)</f>
        <v>#N/A</v>
      </c>
      <c r="C1387" s="8"/>
      <c r="D1387" s="8"/>
      <c r="E1387" s="7"/>
      <c r="F1387" s="7"/>
      <c r="G1387" s="7"/>
      <c r="H1387" s="118"/>
      <c r="I1387" s="7"/>
      <c r="J1387" s="7"/>
      <c r="K1387" s="7"/>
      <c r="L1387" s="7"/>
      <c r="M1387" s="7"/>
      <c r="N1387" s="7"/>
      <c r="O1387" s="84" t="e" cm="1">
        <f t="array" ref="O1387">_xlfn.XLOOKUP(1,(A1387=Geotech!$A$4:$A$10094)*(Data_Discontinuities[[#This Row],[Depth (m)]]&gt;=Geotech!$C$4:$C$10094)*(Data_Discontinuities[[#This Row],[Depth (m)]]&lt;Geotech!$D$4:$D$10094),Geotech!$M$4:$M$10094)</f>
        <v>#N/A</v>
      </c>
      <c r="P1387" s="84"/>
      <c r="Q1387" s="84"/>
      <c r="R1387" s="84"/>
      <c r="S13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7" s="71" t="str">
        <f>IFERROR(Data_Discontinuities[[#This Row],[Joint roughness]]/Data_Discontinuities[[#This Row],[Joint alteration]],"")</f>
        <v/>
      </c>
      <c r="V13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7" s="87"/>
    </row>
    <row r="1388" spans="2:23" ht="15" customHeight="1" x14ac:dyDescent="0.25">
      <c r="B1388" s="17" t="e">
        <f>VLOOKUP(Data_Discontinuities[[#This Row],[Hole ID]],Data_Log[],2,FALSE)</f>
        <v>#N/A</v>
      </c>
      <c r="C1388" s="8"/>
      <c r="D1388" s="8"/>
      <c r="E1388" s="7"/>
      <c r="F1388" s="7"/>
      <c r="G1388" s="7"/>
      <c r="H1388" s="118"/>
      <c r="I1388" s="7"/>
      <c r="J1388" s="7"/>
      <c r="K1388" s="7"/>
      <c r="L1388" s="7"/>
      <c r="M1388" s="7"/>
      <c r="N1388" s="7"/>
      <c r="O1388" s="84" t="e" cm="1">
        <f t="array" ref="O1388">_xlfn.XLOOKUP(1,(A1388=Geotech!$A$4:$A$10094)*(Data_Discontinuities[[#This Row],[Depth (m)]]&gt;=Geotech!$C$4:$C$10094)*(Data_Discontinuities[[#This Row],[Depth (m)]]&lt;Geotech!$D$4:$D$10094),Geotech!$M$4:$M$10094)</f>
        <v>#N/A</v>
      </c>
      <c r="P1388" s="84"/>
      <c r="Q1388" s="84"/>
      <c r="R1388" s="84"/>
      <c r="S13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8" s="71" t="str">
        <f>IFERROR(Data_Discontinuities[[#This Row],[Joint roughness]]/Data_Discontinuities[[#This Row],[Joint alteration]],"")</f>
        <v/>
      </c>
      <c r="V13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8" s="87"/>
    </row>
    <row r="1389" spans="2:23" ht="15" customHeight="1" x14ac:dyDescent="0.25">
      <c r="B1389" s="17" t="e">
        <f>VLOOKUP(Data_Discontinuities[[#This Row],[Hole ID]],Data_Log[],2,FALSE)</f>
        <v>#N/A</v>
      </c>
      <c r="C1389" s="8"/>
      <c r="D1389" s="8"/>
      <c r="E1389" s="7"/>
      <c r="F1389" s="7"/>
      <c r="G1389" s="7"/>
      <c r="H1389" s="118"/>
      <c r="I1389" s="7"/>
      <c r="J1389" s="7"/>
      <c r="K1389" s="7"/>
      <c r="L1389" s="7"/>
      <c r="M1389" s="7"/>
      <c r="N1389" s="7"/>
      <c r="O1389" s="84" t="e" cm="1">
        <f t="array" ref="O1389">_xlfn.XLOOKUP(1,(A1389=Geotech!$A$4:$A$10094)*(Data_Discontinuities[[#This Row],[Depth (m)]]&gt;=Geotech!$C$4:$C$10094)*(Data_Discontinuities[[#This Row],[Depth (m)]]&lt;Geotech!$D$4:$D$10094),Geotech!$M$4:$M$10094)</f>
        <v>#N/A</v>
      </c>
      <c r="P1389" s="84"/>
      <c r="Q1389" s="84"/>
      <c r="R1389" s="84"/>
      <c r="S13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89" s="71" t="str">
        <f>IFERROR(Data_Discontinuities[[#This Row],[Joint roughness]]/Data_Discontinuities[[#This Row],[Joint alteration]],"")</f>
        <v/>
      </c>
      <c r="V13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89" s="87"/>
    </row>
    <row r="1390" spans="2:23" ht="15" customHeight="1" x14ac:dyDescent="0.25">
      <c r="B1390" s="17" t="e">
        <f>VLOOKUP(Data_Discontinuities[[#This Row],[Hole ID]],Data_Log[],2,FALSE)</f>
        <v>#N/A</v>
      </c>
      <c r="C1390" s="8"/>
      <c r="D1390" s="8"/>
      <c r="E1390" s="7"/>
      <c r="F1390" s="7"/>
      <c r="G1390" s="7"/>
      <c r="H1390" s="118"/>
      <c r="I1390" s="7"/>
      <c r="J1390" s="7"/>
      <c r="K1390" s="7"/>
      <c r="L1390" s="7"/>
      <c r="M1390" s="7"/>
      <c r="N1390" s="7"/>
      <c r="O1390" s="84" t="e" cm="1">
        <f t="array" ref="O1390">_xlfn.XLOOKUP(1,(A1390=Geotech!$A$4:$A$10094)*(Data_Discontinuities[[#This Row],[Depth (m)]]&gt;=Geotech!$C$4:$C$10094)*(Data_Discontinuities[[#This Row],[Depth (m)]]&lt;Geotech!$D$4:$D$10094),Geotech!$M$4:$M$10094)</f>
        <v>#N/A</v>
      </c>
      <c r="P1390" s="84"/>
      <c r="Q1390" s="84"/>
      <c r="R1390" s="84"/>
      <c r="S13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0" s="71" t="str">
        <f>IFERROR(Data_Discontinuities[[#This Row],[Joint roughness]]/Data_Discontinuities[[#This Row],[Joint alteration]],"")</f>
        <v/>
      </c>
      <c r="V13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0" s="87"/>
    </row>
    <row r="1391" spans="2:23" ht="15" customHeight="1" x14ac:dyDescent="0.25">
      <c r="B1391" s="17" t="e">
        <f>VLOOKUP(Data_Discontinuities[[#This Row],[Hole ID]],Data_Log[],2,FALSE)</f>
        <v>#N/A</v>
      </c>
      <c r="C1391" s="8"/>
      <c r="D1391" s="8"/>
      <c r="E1391" s="7"/>
      <c r="F1391" s="7"/>
      <c r="G1391" s="7"/>
      <c r="H1391" s="118"/>
      <c r="I1391" s="7"/>
      <c r="J1391" s="7"/>
      <c r="K1391" s="7"/>
      <c r="L1391" s="7"/>
      <c r="M1391" s="7"/>
      <c r="N1391" s="7"/>
      <c r="O1391" s="84" t="e" cm="1">
        <f t="array" ref="O1391">_xlfn.XLOOKUP(1,(A1391=Geotech!$A$4:$A$10094)*(Data_Discontinuities[[#This Row],[Depth (m)]]&gt;=Geotech!$C$4:$C$10094)*(Data_Discontinuities[[#This Row],[Depth (m)]]&lt;Geotech!$D$4:$D$10094),Geotech!$M$4:$M$10094)</f>
        <v>#N/A</v>
      </c>
      <c r="P1391" s="84"/>
      <c r="Q1391" s="84"/>
      <c r="R1391" s="84"/>
      <c r="S13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1" s="71" t="str">
        <f>IFERROR(Data_Discontinuities[[#This Row],[Joint roughness]]/Data_Discontinuities[[#This Row],[Joint alteration]],"")</f>
        <v/>
      </c>
      <c r="V13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1" s="87"/>
    </row>
    <row r="1392" spans="2:23" ht="15" customHeight="1" x14ac:dyDescent="0.25">
      <c r="B1392" s="17" t="e">
        <f>VLOOKUP(Data_Discontinuities[[#This Row],[Hole ID]],Data_Log[],2,FALSE)</f>
        <v>#N/A</v>
      </c>
      <c r="C1392" s="8"/>
      <c r="D1392" s="8"/>
      <c r="E1392" s="7"/>
      <c r="F1392" s="7"/>
      <c r="G1392" s="7"/>
      <c r="H1392" s="118"/>
      <c r="I1392" s="7"/>
      <c r="J1392" s="7"/>
      <c r="K1392" s="7"/>
      <c r="L1392" s="7"/>
      <c r="M1392" s="7"/>
      <c r="N1392" s="7"/>
      <c r="O1392" s="84" t="e" cm="1">
        <f t="array" ref="O1392">_xlfn.XLOOKUP(1,(A1392=Geotech!$A$4:$A$10094)*(Data_Discontinuities[[#This Row],[Depth (m)]]&gt;=Geotech!$C$4:$C$10094)*(Data_Discontinuities[[#This Row],[Depth (m)]]&lt;Geotech!$D$4:$D$10094),Geotech!$M$4:$M$10094)</f>
        <v>#N/A</v>
      </c>
      <c r="P1392" s="84"/>
      <c r="Q1392" s="84"/>
      <c r="R1392" s="84"/>
      <c r="S13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2" s="71" t="str">
        <f>IFERROR(Data_Discontinuities[[#This Row],[Joint roughness]]/Data_Discontinuities[[#This Row],[Joint alteration]],"")</f>
        <v/>
      </c>
      <c r="V13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2" s="87"/>
    </row>
    <row r="1393" spans="2:23" ht="15" customHeight="1" x14ac:dyDescent="0.25">
      <c r="B1393" s="17" t="e">
        <f>VLOOKUP(Data_Discontinuities[[#This Row],[Hole ID]],Data_Log[],2,FALSE)</f>
        <v>#N/A</v>
      </c>
      <c r="C1393" s="8"/>
      <c r="D1393" s="8"/>
      <c r="E1393" s="7"/>
      <c r="F1393" s="7"/>
      <c r="G1393" s="7"/>
      <c r="H1393" s="118"/>
      <c r="I1393" s="7"/>
      <c r="J1393" s="7"/>
      <c r="K1393" s="7"/>
      <c r="L1393" s="7"/>
      <c r="M1393" s="7"/>
      <c r="N1393" s="7"/>
      <c r="O1393" s="84" t="e" cm="1">
        <f t="array" ref="O1393">_xlfn.XLOOKUP(1,(A1393=Geotech!$A$4:$A$10094)*(Data_Discontinuities[[#This Row],[Depth (m)]]&gt;=Geotech!$C$4:$C$10094)*(Data_Discontinuities[[#This Row],[Depth (m)]]&lt;Geotech!$D$4:$D$10094),Geotech!$M$4:$M$10094)</f>
        <v>#N/A</v>
      </c>
      <c r="P1393" s="84"/>
      <c r="Q1393" s="84"/>
      <c r="R1393" s="84"/>
      <c r="S13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3" s="71" t="str">
        <f>IFERROR(Data_Discontinuities[[#This Row],[Joint roughness]]/Data_Discontinuities[[#This Row],[Joint alteration]],"")</f>
        <v/>
      </c>
      <c r="V13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3" s="87"/>
    </row>
    <row r="1394" spans="2:23" ht="15" customHeight="1" x14ac:dyDescent="0.25">
      <c r="B1394" s="17" t="e">
        <f>VLOOKUP(Data_Discontinuities[[#This Row],[Hole ID]],Data_Log[],2,FALSE)</f>
        <v>#N/A</v>
      </c>
      <c r="C1394" s="8"/>
      <c r="D1394" s="8"/>
      <c r="E1394" s="7"/>
      <c r="F1394" s="7"/>
      <c r="G1394" s="7"/>
      <c r="H1394" s="118"/>
      <c r="I1394" s="7"/>
      <c r="J1394" s="7"/>
      <c r="K1394" s="7"/>
      <c r="L1394" s="7"/>
      <c r="M1394" s="7"/>
      <c r="N1394" s="7"/>
      <c r="O1394" s="84" t="e" cm="1">
        <f t="array" ref="O1394">_xlfn.XLOOKUP(1,(A1394=Geotech!$A$4:$A$10094)*(Data_Discontinuities[[#This Row],[Depth (m)]]&gt;=Geotech!$C$4:$C$10094)*(Data_Discontinuities[[#This Row],[Depth (m)]]&lt;Geotech!$D$4:$D$10094),Geotech!$M$4:$M$10094)</f>
        <v>#N/A</v>
      </c>
      <c r="P1394" s="84"/>
      <c r="Q1394" s="84"/>
      <c r="R1394" s="84"/>
      <c r="S13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4" s="71" t="str">
        <f>IFERROR(Data_Discontinuities[[#This Row],[Joint roughness]]/Data_Discontinuities[[#This Row],[Joint alteration]],"")</f>
        <v/>
      </c>
      <c r="V13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4" s="87"/>
    </row>
    <row r="1395" spans="2:23" ht="15" customHeight="1" x14ac:dyDescent="0.25">
      <c r="B1395" s="17" t="e">
        <f>VLOOKUP(Data_Discontinuities[[#This Row],[Hole ID]],Data_Log[],2,FALSE)</f>
        <v>#N/A</v>
      </c>
      <c r="C1395" s="8"/>
      <c r="D1395" s="8"/>
      <c r="E1395" s="7"/>
      <c r="F1395" s="7"/>
      <c r="G1395" s="7"/>
      <c r="H1395" s="118"/>
      <c r="I1395" s="7"/>
      <c r="J1395" s="7"/>
      <c r="K1395" s="7"/>
      <c r="L1395" s="7"/>
      <c r="M1395" s="7"/>
      <c r="N1395" s="7"/>
      <c r="O1395" s="84" t="e" cm="1">
        <f t="array" ref="O1395">_xlfn.XLOOKUP(1,(A1395=Geotech!$A$4:$A$10094)*(Data_Discontinuities[[#This Row],[Depth (m)]]&gt;=Geotech!$C$4:$C$10094)*(Data_Discontinuities[[#This Row],[Depth (m)]]&lt;Geotech!$D$4:$D$10094),Geotech!$M$4:$M$10094)</f>
        <v>#N/A</v>
      </c>
      <c r="P1395" s="84"/>
      <c r="Q1395" s="84"/>
      <c r="R1395" s="84"/>
      <c r="S13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5" s="71" t="str">
        <f>IFERROR(Data_Discontinuities[[#This Row],[Joint roughness]]/Data_Discontinuities[[#This Row],[Joint alteration]],"")</f>
        <v/>
      </c>
      <c r="V13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5" s="87"/>
    </row>
    <row r="1396" spans="2:23" ht="15" customHeight="1" x14ac:dyDescent="0.25">
      <c r="B1396" s="17" t="e">
        <f>VLOOKUP(Data_Discontinuities[[#This Row],[Hole ID]],Data_Log[],2,FALSE)</f>
        <v>#N/A</v>
      </c>
      <c r="C1396" s="8"/>
      <c r="D1396" s="8"/>
      <c r="E1396" s="7"/>
      <c r="F1396" s="7"/>
      <c r="G1396" s="7"/>
      <c r="H1396" s="118"/>
      <c r="I1396" s="7"/>
      <c r="J1396" s="7"/>
      <c r="K1396" s="7"/>
      <c r="L1396" s="7"/>
      <c r="M1396" s="7"/>
      <c r="N1396" s="7"/>
      <c r="O1396" s="84" t="e" cm="1">
        <f t="array" ref="O1396">_xlfn.XLOOKUP(1,(A1396=Geotech!$A$4:$A$10094)*(Data_Discontinuities[[#This Row],[Depth (m)]]&gt;=Geotech!$C$4:$C$10094)*(Data_Discontinuities[[#This Row],[Depth (m)]]&lt;Geotech!$D$4:$D$10094),Geotech!$M$4:$M$10094)</f>
        <v>#N/A</v>
      </c>
      <c r="P1396" s="84"/>
      <c r="Q1396" s="84"/>
      <c r="R1396" s="84"/>
      <c r="S13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6" s="71" t="str">
        <f>IFERROR(Data_Discontinuities[[#This Row],[Joint roughness]]/Data_Discontinuities[[#This Row],[Joint alteration]],"")</f>
        <v/>
      </c>
      <c r="V13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6" s="87"/>
    </row>
    <row r="1397" spans="2:23" ht="15" customHeight="1" x14ac:dyDescent="0.25">
      <c r="B1397" s="17" t="e">
        <f>VLOOKUP(Data_Discontinuities[[#This Row],[Hole ID]],Data_Log[],2,FALSE)</f>
        <v>#N/A</v>
      </c>
      <c r="C1397" s="8"/>
      <c r="D1397" s="8"/>
      <c r="E1397" s="7"/>
      <c r="F1397" s="7"/>
      <c r="G1397" s="7"/>
      <c r="H1397" s="118"/>
      <c r="I1397" s="7"/>
      <c r="J1397" s="7"/>
      <c r="K1397" s="7"/>
      <c r="L1397" s="7"/>
      <c r="M1397" s="7"/>
      <c r="N1397" s="7"/>
      <c r="O1397" s="84" t="e" cm="1">
        <f t="array" ref="O1397">_xlfn.XLOOKUP(1,(A1397=Geotech!$A$4:$A$10094)*(Data_Discontinuities[[#This Row],[Depth (m)]]&gt;=Geotech!$C$4:$C$10094)*(Data_Discontinuities[[#This Row],[Depth (m)]]&lt;Geotech!$D$4:$D$10094),Geotech!$M$4:$M$10094)</f>
        <v>#N/A</v>
      </c>
      <c r="P1397" s="84"/>
      <c r="Q1397" s="84"/>
      <c r="R1397" s="84"/>
      <c r="S13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7" s="71" t="str">
        <f>IFERROR(Data_Discontinuities[[#This Row],[Joint roughness]]/Data_Discontinuities[[#This Row],[Joint alteration]],"")</f>
        <v/>
      </c>
      <c r="V13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7" s="87"/>
    </row>
    <row r="1398" spans="2:23" ht="15" customHeight="1" x14ac:dyDescent="0.25">
      <c r="B1398" s="17" t="e">
        <f>VLOOKUP(Data_Discontinuities[[#This Row],[Hole ID]],Data_Log[],2,FALSE)</f>
        <v>#N/A</v>
      </c>
      <c r="C1398" s="8"/>
      <c r="D1398" s="8"/>
      <c r="E1398" s="7"/>
      <c r="F1398" s="7"/>
      <c r="G1398" s="7"/>
      <c r="H1398" s="118"/>
      <c r="I1398" s="7"/>
      <c r="J1398" s="7"/>
      <c r="K1398" s="7"/>
      <c r="L1398" s="7"/>
      <c r="M1398" s="7"/>
      <c r="N1398" s="7"/>
      <c r="O1398" s="84" t="e" cm="1">
        <f t="array" ref="O1398">_xlfn.XLOOKUP(1,(A1398=Geotech!$A$4:$A$10094)*(Data_Discontinuities[[#This Row],[Depth (m)]]&gt;=Geotech!$C$4:$C$10094)*(Data_Discontinuities[[#This Row],[Depth (m)]]&lt;Geotech!$D$4:$D$10094),Geotech!$M$4:$M$10094)</f>
        <v>#N/A</v>
      </c>
      <c r="P1398" s="84"/>
      <c r="Q1398" s="84"/>
      <c r="R1398" s="84"/>
      <c r="S13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8" s="71" t="str">
        <f>IFERROR(Data_Discontinuities[[#This Row],[Joint roughness]]/Data_Discontinuities[[#This Row],[Joint alteration]],"")</f>
        <v/>
      </c>
      <c r="V13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8" s="87"/>
    </row>
    <row r="1399" spans="2:23" ht="15" customHeight="1" x14ac:dyDescent="0.25">
      <c r="B1399" s="17" t="e">
        <f>VLOOKUP(Data_Discontinuities[[#This Row],[Hole ID]],Data_Log[],2,FALSE)</f>
        <v>#N/A</v>
      </c>
      <c r="C1399" s="8"/>
      <c r="D1399" s="8"/>
      <c r="E1399" s="7"/>
      <c r="F1399" s="7"/>
      <c r="G1399" s="7"/>
      <c r="H1399" s="118"/>
      <c r="I1399" s="7"/>
      <c r="J1399" s="7"/>
      <c r="K1399" s="7"/>
      <c r="L1399" s="7"/>
      <c r="M1399" s="7"/>
      <c r="N1399" s="7"/>
      <c r="O1399" s="84" t="e" cm="1">
        <f t="array" ref="O1399">_xlfn.XLOOKUP(1,(A1399=Geotech!$A$4:$A$10094)*(Data_Discontinuities[[#This Row],[Depth (m)]]&gt;=Geotech!$C$4:$C$10094)*(Data_Discontinuities[[#This Row],[Depth (m)]]&lt;Geotech!$D$4:$D$10094),Geotech!$M$4:$M$10094)</f>
        <v>#N/A</v>
      </c>
      <c r="P1399" s="84"/>
      <c r="Q1399" s="84"/>
      <c r="R1399" s="84"/>
      <c r="S13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3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399" s="71" t="str">
        <f>IFERROR(Data_Discontinuities[[#This Row],[Joint roughness]]/Data_Discontinuities[[#This Row],[Joint alteration]],"")</f>
        <v/>
      </c>
      <c r="V13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399" s="87"/>
    </row>
    <row r="1400" spans="2:23" ht="15" customHeight="1" x14ac:dyDescent="0.25">
      <c r="B1400" s="17" t="e">
        <f>VLOOKUP(Data_Discontinuities[[#This Row],[Hole ID]],Data_Log[],2,FALSE)</f>
        <v>#N/A</v>
      </c>
      <c r="C1400" s="8"/>
      <c r="D1400" s="8"/>
      <c r="E1400" s="7"/>
      <c r="F1400" s="7"/>
      <c r="G1400" s="7"/>
      <c r="H1400" s="118"/>
      <c r="I1400" s="7"/>
      <c r="J1400" s="7"/>
      <c r="K1400" s="7"/>
      <c r="L1400" s="7"/>
      <c r="M1400" s="7"/>
      <c r="N1400" s="7"/>
      <c r="O1400" s="84" t="e" cm="1">
        <f t="array" ref="O1400">_xlfn.XLOOKUP(1,(A1400=Geotech!$A$4:$A$10094)*(Data_Discontinuities[[#This Row],[Depth (m)]]&gt;=Geotech!$C$4:$C$10094)*(Data_Discontinuities[[#This Row],[Depth (m)]]&lt;Geotech!$D$4:$D$10094),Geotech!$M$4:$M$10094)</f>
        <v>#N/A</v>
      </c>
      <c r="P1400" s="84"/>
      <c r="Q1400" s="84"/>
      <c r="R1400" s="84"/>
      <c r="S14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0" s="71" t="str">
        <f>IFERROR(Data_Discontinuities[[#This Row],[Joint roughness]]/Data_Discontinuities[[#This Row],[Joint alteration]],"")</f>
        <v/>
      </c>
      <c r="V14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0" s="87"/>
    </row>
    <row r="1401" spans="2:23" ht="15" customHeight="1" x14ac:dyDescent="0.25">
      <c r="B1401" s="17" t="e">
        <f>VLOOKUP(Data_Discontinuities[[#This Row],[Hole ID]],Data_Log[],2,FALSE)</f>
        <v>#N/A</v>
      </c>
      <c r="C1401" s="8"/>
      <c r="D1401" s="8"/>
      <c r="E1401" s="7"/>
      <c r="F1401" s="7"/>
      <c r="G1401" s="7"/>
      <c r="H1401" s="118"/>
      <c r="I1401" s="7"/>
      <c r="J1401" s="7"/>
      <c r="K1401" s="7"/>
      <c r="L1401" s="7"/>
      <c r="M1401" s="7"/>
      <c r="N1401" s="7"/>
      <c r="O1401" s="84" t="e" cm="1">
        <f t="array" ref="O1401">_xlfn.XLOOKUP(1,(A1401=Geotech!$A$4:$A$10094)*(Data_Discontinuities[[#This Row],[Depth (m)]]&gt;=Geotech!$C$4:$C$10094)*(Data_Discontinuities[[#This Row],[Depth (m)]]&lt;Geotech!$D$4:$D$10094),Geotech!$M$4:$M$10094)</f>
        <v>#N/A</v>
      </c>
      <c r="P1401" s="84"/>
      <c r="Q1401" s="84"/>
      <c r="R1401" s="84"/>
      <c r="S14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1" s="71" t="str">
        <f>IFERROR(Data_Discontinuities[[#This Row],[Joint roughness]]/Data_Discontinuities[[#This Row],[Joint alteration]],"")</f>
        <v/>
      </c>
      <c r="V14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1" s="87"/>
    </row>
    <row r="1402" spans="2:23" ht="15" customHeight="1" x14ac:dyDescent="0.25">
      <c r="B1402" s="17" t="e">
        <f>VLOOKUP(Data_Discontinuities[[#This Row],[Hole ID]],Data_Log[],2,FALSE)</f>
        <v>#N/A</v>
      </c>
      <c r="C1402" s="8"/>
      <c r="D1402" s="8"/>
      <c r="E1402" s="7"/>
      <c r="F1402" s="7"/>
      <c r="G1402" s="7"/>
      <c r="H1402" s="118"/>
      <c r="I1402" s="7"/>
      <c r="J1402" s="7"/>
      <c r="K1402" s="7"/>
      <c r="L1402" s="7"/>
      <c r="M1402" s="7"/>
      <c r="N1402" s="7"/>
      <c r="O1402" s="84" t="e" cm="1">
        <f t="array" ref="O1402">_xlfn.XLOOKUP(1,(A1402=Geotech!$A$4:$A$10094)*(Data_Discontinuities[[#This Row],[Depth (m)]]&gt;=Geotech!$C$4:$C$10094)*(Data_Discontinuities[[#This Row],[Depth (m)]]&lt;Geotech!$D$4:$D$10094),Geotech!$M$4:$M$10094)</f>
        <v>#N/A</v>
      </c>
      <c r="P1402" s="84"/>
      <c r="Q1402" s="84"/>
      <c r="R1402" s="84"/>
      <c r="S14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2" s="71" t="str">
        <f>IFERROR(Data_Discontinuities[[#This Row],[Joint roughness]]/Data_Discontinuities[[#This Row],[Joint alteration]],"")</f>
        <v/>
      </c>
      <c r="V14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2" s="87"/>
    </row>
    <row r="1403" spans="2:23" ht="15" customHeight="1" x14ac:dyDescent="0.25">
      <c r="B1403" s="17" t="e">
        <f>VLOOKUP(Data_Discontinuities[[#This Row],[Hole ID]],Data_Log[],2,FALSE)</f>
        <v>#N/A</v>
      </c>
      <c r="C1403" s="8"/>
      <c r="D1403" s="8"/>
      <c r="E1403" s="7"/>
      <c r="F1403" s="7"/>
      <c r="G1403" s="7"/>
      <c r="H1403" s="118"/>
      <c r="I1403" s="7"/>
      <c r="J1403" s="7"/>
      <c r="K1403" s="7"/>
      <c r="L1403" s="7"/>
      <c r="M1403" s="7"/>
      <c r="N1403" s="7"/>
      <c r="O1403" s="84" t="e" cm="1">
        <f t="array" ref="O1403">_xlfn.XLOOKUP(1,(A1403=Geotech!$A$4:$A$10094)*(Data_Discontinuities[[#This Row],[Depth (m)]]&gt;=Geotech!$C$4:$C$10094)*(Data_Discontinuities[[#This Row],[Depth (m)]]&lt;Geotech!$D$4:$D$10094),Geotech!$M$4:$M$10094)</f>
        <v>#N/A</v>
      </c>
      <c r="P1403" s="84"/>
      <c r="Q1403" s="84"/>
      <c r="R1403" s="84"/>
      <c r="S14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3" s="71" t="str">
        <f>IFERROR(Data_Discontinuities[[#This Row],[Joint roughness]]/Data_Discontinuities[[#This Row],[Joint alteration]],"")</f>
        <v/>
      </c>
      <c r="V14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3" s="87"/>
    </row>
    <row r="1404" spans="2:23" ht="15" customHeight="1" x14ac:dyDescent="0.25">
      <c r="B1404" s="17" t="e">
        <f>VLOOKUP(Data_Discontinuities[[#This Row],[Hole ID]],Data_Log[],2,FALSE)</f>
        <v>#N/A</v>
      </c>
      <c r="C1404" s="8"/>
      <c r="D1404" s="8"/>
      <c r="E1404" s="7"/>
      <c r="F1404" s="7"/>
      <c r="G1404" s="7"/>
      <c r="H1404" s="118"/>
      <c r="I1404" s="7"/>
      <c r="J1404" s="7"/>
      <c r="K1404" s="7"/>
      <c r="L1404" s="7"/>
      <c r="M1404" s="7"/>
      <c r="N1404" s="7"/>
      <c r="O1404" s="84" t="e" cm="1">
        <f t="array" ref="O1404">_xlfn.XLOOKUP(1,(A1404=Geotech!$A$4:$A$10094)*(Data_Discontinuities[[#This Row],[Depth (m)]]&gt;=Geotech!$C$4:$C$10094)*(Data_Discontinuities[[#This Row],[Depth (m)]]&lt;Geotech!$D$4:$D$10094),Geotech!$M$4:$M$10094)</f>
        <v>#N/A</v>
      </c>
      <c r="P1404" s="84"/>
      <c r="Q1404" s="84"/>
      <c r="R1404" s="84"/>
      <c r="S14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4" s="71" t="str">
        <f>IFERROR(Data_Discontinuities[[#This Row],[Joint roughness]]/Data_Discontinuities[[#This Row],[Joint alteration]],"")</f>
        <v/>
      </c>
      <c r="V14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4" s="87"/>
    </row>
    <row r="1405" spans="2:23" ht="15" customHeight="1" x14ac:dyDescent="0.25">
      <c r="B1405" s="17" t="e">
        <f>VLOOKUP(Data_Discontinuities[[#This Row],[Hole ID]],Data_Log[],2,FALSE)</f>
        <v>#N/A</v>
      </c>
      <c r="C1405" s="8"/>
      <c r="D1405" s="8"/>
      <c r="E1405" s="7"/>
      <c r="F1405" s="7"/>
      <c r="G1405" s="7"/>
      <c r="H1405" s="118"/>
      <c r="I1405" s="7"/>
      <c r="J1405" s="7"/>
      <c r="K1405" s="7"/>
      <c r="L1405" s="7"/>
      <c r="M1405" s="7"/>
      <c r="N1405" s="7"/>
      <c r="O1405" s="84" t="e" cm="1">
        <f t="array" ref="O1405">_xlfn.XLOOKUP(1,(A1405=Geotech!$A$4:$A$10094)*(Data_Discontinuities[[#This Row],[Depth (m)]]&gt;=Geotech!$C$4:$C$10094)*(Data_Discontinuities[[#This Row],[Depth (m)]]&lt;Geotech!$D$4:$D$10094),Geotech!$M$4:$M$10094)</f>
        <v>#N/A</v>
      </c>
      <c r="P1405" s="84"/>
      <c r="Q1405" s="84"/>
      <c r="R1405" s="84"/>
      <c r="S14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5" s="71" t="str">
        <f>IFERROR(Data_Discontinuities[[#This Row],[Joint roughness]]/Data_Discontinuities[[#This Row],[Joint alteration]],"")</f>
        <v/>
      </c>
      <c r="V14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5" s="87"/>
    </row>
    <row r="1406" spans="2:23" ht="15" customHeight="1" x14ac:dyDescent="0.25">
      <c r="B1406" s="17" t="e">
        <f>VLOOKUP(Data_Discontinuities[[#This Row],[Hole ID]],Data_Log[],2,FALSE)</f>
        <v>#N/A</v>
      </c>
      <c r="C1406" s="8"/>
      <c r="D1406" s="8"/>
      <c r="E1406" s="7"/>
      <c r="F1406" s="7"/>
      <c r="G1406" s="7"/>
      <c r="H1406" s="118"/>
      <c r="I1406" s="7"/>
      <c r="J1406" s="7"/>
      <c r="K1406" s="7"/>
      <c r="L1406" s="7"/>
      <c r="M1406" s="7"/>
      <c r="N1406" s="7"/>
      <c r="O1406" s="84" t="e" cm="1">
        <f t="array" ref="O1406">_xlfn.XLOOKUP(1,(A1406=Geotech!$A$4:$A$10094)*(Data_Discontinuities[[#This Row],[Depth (m)]]&gt;=Geotech!$C$4:$C$10094)*(Data_Discontinuities[[#This Row],[Depth (m)]]&lt;Geotech!$D$4:$D$10094),Geotech!$M$4:$M$10094)</f>
        <v>#N/A</v>
      </c>
      <c r="P1406" s="84"/>
      <c r="Q1406" s="84"/>
      <c r="R1406" s="84"/>
      <c r="S14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6" s="71" t="str">
        <f>IFERROR(Data_Discontinuities[[#This Row],[Joint roughness]]/Data_Discontinuities[[#This Row],[Joint alteration]],"")</f>
        <v/>
      </c>
      <c r="V14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6" s="87"/>
    </row>
    <row r="1407" spans="2:23" ht="15" customHeight="1" x14ac:dyDescent="0.25">
      <c r="B1407" s="17" t="e">
        <f>VLOOKUP(Data_Discontinuities[[#This Row],[Hole ID]],Data_Log[],2,FALSE)</f>
        <v>#N/A</v>
      </c>
      <c r="C1407" s="8"/>
      <c r="D1407" s="8"/>
      <c r="E1407" s="7"/>
      <c r="F1407" s="7"/>
      <c r="G1407" s="7"/>
      <c r="H1407" s="118"/>
      <c r="I1407" s="7"/>
      <c r="J1407" s="7"/>
      <c r="K1407" s="7"/>
      <c r="L1407" s="7"/>
      <c r="M1407" s="7"/>
      <c r="N1407" s="7"/>
      <c r="O1407" s="84" t="e" cm="1">
        <f t="array" ref="O1407">_xlfn.XLOOKUP(1,(A1407=Geotech!$A$4:$A$10094)*(Data_Discontinuities[[#This Row],[Depth (m)]]&gt;=Geotech!$C$4:$C$10094)*(Data_Discontinuities[[#This Row],[Depth (m)]]&lt;Geotech!$D$4:$D$10094),Geotech!$M$4:$M$10094)</f>
        <v>#N/A</v>
      </c>
      <c r="P1407" s="84"/>
      <c r="Q1407" s="84"/>
      <c r="R1407" s="84"/>
      <c r="S14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7" s="71" t="str">
        <f>IFERROR(Data_Discontinuities[[#This Row],[Joint roughness]]/Data_Discontinuities[[#This Row],[Joint alteration]],"")</f>
        <v/>
      </c>
      <c r="V14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7" s="87"/>
    </row>
    <row r="1408" spans="2:23" ht="15" customHeight="1" x14ac:dyDescent="0.25">
      <c r="B1408" s="17" t="e">
        <f>VLOOKUP(Data_Discontinuities[[#This Row],[Hole ID]],Data_Log[],2,FALSE)</f>
        <v>#N/A</v>
      </c>
      <c r="C1408" s="8"/>
      <c r="D1408" s="8"/>
      <c r="E1408" s="7"/>
      <c r="F1408" s="7"/>
      <c r="G1408" s="7"/>
      <c r="H1408" s="118"/>
      <c r="I1408" s="7"/>
      <c r="J1408" s="7"/>
      <c r="K1408" s="7"/>
      <c r="L1408" s="7"/>
      <c r="M1408" s="7"/>
      <c r="N1408" s="7"/>
      <c r="O1408" s="84" t="e" cm="1">
        <f t="array" ref="O1408">_xlfn.XLOOKUP(1,(A1408=Geotech!$A$4:$A$10094)*(Data_Discontinuities[[#This Row],[Depth (m)]]&gt;=Geotech!$C$4:$C$10094)*(Data_Discontinuities[[#This Row],[Depth (m)]]&lt;Geotech!$D$4:$D$10094),Geotech!$M$4:$M$10094)</f>
        <v>#N/A</v>
      </c>
      <c r="P1408" s="84"/>
      <c r="Q1408" s="84"/>
      <c r="R1408" s="84"/>
      <c r="S14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8" s="71" t="str">
        <f>IFERROR(Data_Discontinuities[[#This Row],[Joint roughness]]/Data_Discontinuities[[#This Row],[Joint alteration]],"")</f>
        <v/>
      </c>
      <c r="V14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8" s="87"/>
    </row>
    <row r="1409" spans="2:23" ht="15" customHeight="1" x14ac:dyDescent="0.25">
      <c r="B1409" s="17" t="e">
        <f>VLOOKUP(Data_Discontinuities[[#This Row],[Hole ID]],Data_Log[],2,FALSE)</f>
        <v>#N/A</v>
      </c>
      <c r="C1409" s="8"/>
      <c r="D1409" s="8"/>
      <c r="E1409" s="7"/>
      <c r="F1409" s="7"/>
      <c r="G1409" s="7"/>
      <c r="H1409" s="118"/>
      <c r="I1409" s="7"/>
      <c r="J1409" s="7"/>
      <c r="K1409" s="7"/>
      <c r="L1409" s="7"/>
      <c r="M1409" s="7"/>
      <c r="N1409" s="7"/>
      <c r="O1409" s="84" t="e" cm="1">
        <f t="array" ref="O1409">_xlfn.XLOOKUP(1,(A1409=Geotech!$A$4:$A$10094)*(Data_Discontinuities[[#This Row],[Depth (m)]]&gt;=Geotech!$C$4:$C$10094)*(Data_Discontinuities[[#This Row],[Depth (m)]]&lt;Geotech!$D$4:$D$10094),Geotech!$M$4:$M$10094)</f>
        <v>#N/A</v>
      </c>
      <c r="P1409" s="84"/>
      <c r="Q1409" s="84"/>
      <c r="R1409" s="84"/>
      <c r="S14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09" s="71" t="str">
        <f>IFERROR(Data_Discontinuities[[#This Row],[Joint roughness]]/Data_Discontinuities[[#This Row],[Joint alteration]],"")</f>
        <v/>
      </c>
      <c r="V14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09" s="87"/>
    </row>
    <row r="1410" spans="2:23" ht="15" customHeight="1" x14ac:dyDescent="0.25">
      <c r="B1410" s="17" t="e">
        <f>VLOOKUP(Data_Discontinuities[[#This Row],[Hole ID]],Data_Log[],2,FALSE)</f>
        <v>#N/A</v>
      </c>
      <c r="C1410" s="8"/>
      <c r="D1410" s="8"/>
      <c r="E1410" s="7"/>
      <c r="F1410" s="7"/>
      <c r="G1410" s="7"/>
      <c r="H1410" s="118"/>
      <c r="I1410" s="7"/>
      <c r="J1410" s="7"/>
      <c r="K1410" s="7"/>
      <c r="L1410" s="7"/>
      <c r="M1410" s="7"/>
      <c r="N1410" s="7"/>
      <c r="O1410" s="84" t="e" cm="1">
        <f t="array" ref="O1410">_xlfn.XLOOKUP(1,(A1410=Geotech!$A$4:$A$10094)*(Data_Discontinuities[[#This Row],[Depth (m)]]&gt;=Geotech!$C$4:$C$10094)*(Data_Discontinuities[[#This Row],[Depth (m)]]&lt;Geotech!$D$4:$D$10094),Geotech!$M$4:$M$10094)</f>
        <v>#N/A</v>
      </c>
      <c r="P1410" s="84"/>
      <c r="Q1410" s="84"/>
      <c r="R1410" s="84"/>
      <c r="S14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0" s="71" t="str">
        <f>IFERROR(Data_Discontinuities[[#This Row],[Joint roughness]]/Data_Discontinuities[[#This Row],[Joint alteration]],"")</f>
        <v/>
      </c>
      <c r="V14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0" s="87"/>
    </row>
    <row r="1411" spans="2:23" ht="15" customHeight="1" x14ac:dyDescent="0.25">
      <c r="B1411" s="17" t="e">
        <f>VLOOKUP(Data_Discontinuities[[#This Row],[Hole ID]],Data_Log[],2,FALSE)</f>
        <v>#N/A</v>
      </c>
      <c r="C1411" s="8"/>
      <c r="D1411" s="8"/>
      <c r="E1411" s="7"/>
      <c r="F1411" s="7"/>
      <c r="G1411" s="7"/>
      <c r="H1411" s="118"/>
      <c r="I1411" s="7"/>
      <c r="J1411" s="7"/>
      <c r="K1411" s="7"/>
      <c r="L1411" s="7"/>
      <c r="M1411" s="7"/>
      <c r="N1411" s="7"/>
      <c r="O1411" s="84" t="e" cm="1">
        <f t="array" ref="O1411">_xlfn.XLOOKUP(1,(A1411=Geotech!$A$4:$A$10094)*(Data_Discontinuities[[#This Row],[Depth (m)]]&gt;=Geotech!$C$4:$C$10094)*(Data_Discontinuities[[#This Row],[Depth (m)]]&lt;Geotech!$D$4:$D$10094),Geotech!$M$4:$M$10094)</f>
        <v>#N/A</v>
      </c>
      <c r="P1411" s="84"/>
      <c r="Q1411" s="84"/>
      <c r="R1411" s="84"/>
      <c r="S14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1" s="71" t="str">
        <f>IFERROR(Data_Discontinuities[[#This Row],[Joint roughness]]/Data_Discontinuities[[#This Row],[Joint alteration]],"")</f>
        <v/>
      </c>
      <c r="V14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1" s="87"/>
    </row>
    <row r="1412" spans="2:23" ht="15" customHeight="1" x14ac:dyDescent="0.25">
      <c r="B1412" s="17" t="e">
        <f>VLOOKUP(Data_Discontinuities[[#This Row],[Hole ID]],Data_Log[],2,FALSE)</f>
        <v>#N/A</v>
      </c>
      <c r="C1412" s="8"/>
      <c r="D1412" s="8"/>
      <c r="E1412" s="7"/>
      <c r="F1412" s="7"/>
      <c r="G1412" s="7"/>
      <c r="H1412" s="118"/>
      <c r="I1412" s="7"/>
      <c r="J1412" s="7"/>
      <c r="K1412" s="7"/>
      <c r="L1412" s="7"/>
      <c r="M1412" s="7"/>
      <c r="N1412" s="7"/>
      <c r="O1412" s="84" t="e" cm="1">
        <f t="array" ref="O1412">_xlfn.XLOOKUP(1,(A1412=Geotech!$A$4:$A$10094)*(Data_Discontinuities[[#This Row],[Depth (m)]]&gt;=Geotech!$C$4:$C$10094)*(Data_Discontinuities[[#This Row],[Depth (m)]]&lt;Geotech!$D$4:$D$10094),Geotech!$M$4:$M$10094)</f>
        <v>#N/A</v>
      </c>
      <c r="P1412" s="84"/>
      <c r="Q1412" s="84"/>
      <c r="R1412" s="84"/>
      <c r="S14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2" s="71" t="str">
        <f>IFERROR(Data_Discontinuities[[#This Row],[Joint roughness]]/Data_Discontinuities[[#This Row],[Joint alteration]],"")</f>
        <v/>
      </c>
      <c r="V14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2" s="87"/>
    </row>
    <row r="1413" spans="2:23" ht="15" customHeight="1" x14ac:dyDescent="0.25">
      <c r="B1413" s="17" t="e">
        <f>VLOOKUP(Data_Discontinuities[[#This Row],[Hole ID]],Data_Log[],2,FALSE)</f>
        <v>#N/A</v>
      </c>
      <c r="C1413" s="8"/>
      <c r="D1413" s="8"/>
      <c r="E1413" s="7"/>
      <c r="F1413" s="7"/>
      <c r="G1413" s="7"/>
      <c r="H1413" s="118"/>
      <c r="I1413" s="7"/>
      <c r="J1413" s="7"/>
      <c r="K1413" s="7"/>
      <c r="L1413" s="7"/>
      <c r="M1413" s="7"/>
      <c r="N1413" s="7"/>
      <c r="O1413" s="84" t="e" cm="1">
        <f t="array" ref="O1413">_xlfn.XLOOKUP(1,(A1413=Geotech!$A$4:$A$10094)*(Data_Discontinuities[[#This Row],[Depth (m)]]&gt;=Geotech!$C$4:$C$10094)*(Data_Discontinuities[[#This Row],[Depth (m)]]&lt;Geotech!$D$4:$D$10094),Geotech!$M$4:$M$10094)</f>
        <v>#N/A</v>
      </c>
      <c r="P1413" s="84"/>
      <c r="Q1413" s="84"/>
      <c r="R1413" s="84"/>
      <c r="S14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3" s="71" t="str">
        <f>IFERROR(Data_Discontinuities[[#This Row],[Joint roughness]]/Data_Discontinuities[[#This Row],[Joint alteration]],"")</f>
        <v/>
      </c>
      <c r="V14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3" s="87"/>
    </row>
    <row r="1414" spans="2:23" ht="15" customHeight="1" x14ac:dyDescent="0.25">
      <c r="B1414" s="17" t="e">
        <f>VLOOKUP(Data_Discontinuities[[#This Row],[Hole ID]],Data_Log[],2,FALSE)</f>
        <v>#N/A</v>
      </c>
      <c r="C1414" s="8"/>
      <c r="D1414" s="8"/>
      <c r="E1414" s="7"/>
      <c r="F1414" s="7"/>
      <c r="G1414" s="7"/>
      <c r="H1414" s="118"/>
      <c r="I1414" s="7"/>
      <c r="J1414" s="7"/>
      <c r="K1414" s="7"/>
      <c r="L1414" s="7"/>
      <c r="M1414" s="7"/>
      <c r="N1414" s="7"/>
      <c r="O1414" s="84" t="e" cm="1">
        <f t="array" ref="O1414">_xlfn.XLOOKUP(1,(A1414=Geotech!$A$4:$A$10094)*(Data_Discontinuities[[#This Row],[Depth (m)]]&gt;=Geotech!$C$4:$C$10094)*(Data_Discontinuities[[#This Row],[Depth (m)]]&lt;Geotech!$D$4:$D$10094),Geotech!$M$4:$M$10094)</f>
        <v>#N/A</v>
      </c>
      <c r="P1414" s="84"/>
      <c r="Q1414" s="84"/>
      <c r="R1414" s="84"/>
      <c r="S14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4" s="71" t="str">
        <f>IFERROR(Data_Discontinuities[[#This Row],[Joint roughness]]/Data_Discontinuities[[#This Row],[Joint alteration]],"")</f>
        <v/>
      </c>
      <c r="V14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4" s="87"/>
    </row>
    <row r="1415" spans="2:23" ht="15" customHeight="1" x14ac:dyDescent="0.25">
      <c r="B1415" s="17" t="e">
        <f>VLOOKUP(Data_Discontinuities[[#This Row],[Hole ID]],Data_Log[],2,FALSE)</f>
        <v>#N/A</v>
      </c>
      <c r="C1415" s="8"/>
      <c r="D1415" s="8"/>
      <c r="E1415" s="7"/>
      <c r="F1415" s="7"/>
      <c r="G1415" s="7"/>
      <c r="H1415" s="118"/>
      <c r="I1415" s="7"/>
      <c r="J1415" s="7"/>
      <c r="K1415" s="7"/>
      <c r="L1415" s="7"/>
      <c r="M1415" s="7"/>
      <c r="N1415" s="7"/>
      <c r="O1415" s="84" t="e" cm="1">
        <f t="array" ref="O1415">_xlfn.XLOOKUP(1,(A1415=Geotech!$A$4:$A$10094)*(Data_Discontinuities[[#This Row],[Depth (m)]]&gt;=Geotech!$C$4:$C$10094)*(Data_Discontinuities[[#This Row],[Depth (m)]]&lt;Geotech!$D$4:$D$10094),Geotech!$M$4:$M$10094)</f>
        <v>#N/A</v>
      </c>
      <c r="P1415" s="84"/>
      <c r="Q1415" s="84"/>
      <c r="R1415" s="84"/>
      <c r="S14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5" s="71" t="str">
        <f>IFERROR(Data_Discontinuities[[#This Row],[Joint roughness]]/Data_Discontinuities[[#This Row],[Joint alteration]],"")</f>
        <v/>
      </c>
      <c r="V14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5" s="87"/>
    </row>
    <row r="1416" spans="2:23" ht="15" customHeight="1" x14ac:dyDescent="0.25">
      <c r="B1416" s="17" t="e">
        <f>VLOOKUP(Data_Discontinuities[[#This Row],[Hole ID]],Data_Log[],2,FALSE)</f>
        <v>#N/A</v>
      </c>
      <c r="C1416" s="8"/>
      <c r="D1416" s="8"/>
      <c r="E1416" s="7"/>
      <c r="F1416" s="7"/>
      <c r="G1416" s="7"/>
      <c r="H1416" s="118"/>
      <c r="I1416" s="7"/>
      <c r="J1416" s="7"/>
      <c r="K1416" s="7"/>
      <c r="L1416" s="7"/>
      <c r="M1416" s="7"/>
      <c r="N1416" s="7"/>
      <c r="O1416" s="84" t="e" cm="1">
        <f t="array" ref="O1416">_xlfn.XLOOKUP(1,(A1416=Geotech!$A$4:$A$10094)*(Data_Discontinuities[[#This Row],[Depth (m)]]&gt;=Geotech!$C$4:$C$10094)*(Data_Discontinuities[[#This Row],[Depth (m)]]&lt;Geotech!$D$4:$D$10094),Geotech!$M$4:$M$10094)</f>
        <v>#N/A</v>
      </c>
      <c r="P1416" s="84"/>
      <c r="Q1416" s="84"/>
      <c r="R1416" s="84"/>
      <c r="S14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6" s="71" t="str">
        <f>IFERROR(Data_Discontinuities[[#This Row],[Joint roughness]]/Data_Discontinuities[[#This Row],[Joint alteration]],"")</f>
        <v/>
      </c>
      <c r="V14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6" s="87"/>
    </row>
    <row r="1417" spans="2:23" ht="15" customHeight="1" x14ac:dyDescent="0.25">
      <c r="B1417" s="17" t="e">
        <f>VLOOKUP(Data_Discontinuities[[#This Row],[Hole ID]],Data_Log[],2,FALSE)</f>
        <v>#N/A</v>
      </c>
      <c r="C1417" s="8"/>
      <c r="D1417" s="8"/>
      <c r="E1417" s="7"/>
      <c r="F1417" s="7"/>
      <c r="G1417" s="7"/>
      <c r="H1417" s="118"/>
      <c r="I1417" s="7"/>
      <c r="J1417" s="7"/>
      <c r="K1417" s="7"/>
      <c r="L1417" s="7"/>
      <c r="M1417" s="7"/>
      <c r="N1417" s="7"/>
      <c r="O1417" s="84" t="e" cm="1">
        <f t="array" ref="O1417">_xlfn.XLOOKUP(1,(A1417=Geotech!$A$4:$A$10094)*(Data_Discontinuities[[#This Row],[Depth (m)]]&gt;=Geotech!$C$4:$C$10094)*(Data_Discontinuities[[#This Row],[Depth (m)]]&lt;Geotech!$D$4:$D$10094),Geotech!$M$4:$M$10094)</f>
        <v>#N/A</v>
      </c>
      <c r="P1417" s="84"/>
      <c r="Q1417" s="84"/>
      <c r="R1417" s="84"/>
      <c r="S14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7" s="71" t="str">
        <f>IFERROR(Data_Discontinuities[[#This Row],[Joint roughness]]/Data_Discontinuities[[#This Row],[Joint alteration]],"")</f>
        <v/>
      </c>
      <c r="V14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7" s="87"/>
    </row>
    <row r="1418" spans="2:23" ht="15" customHeight="1" x14ac:dyDescent="0.25">
      <c r="B1418" s="17" t="e">
        <f>VLOOKUP(Data_Discontinuities[[#This Row],[Hole ID]],Data_Log[],2,FALSE)</f>
        <v>#N/A</v>
      </c>
      <c r="C1418" s="8"/>
      <c r="D1418" s="8"/>
      <c r="E1418" s="7"/>
      <c r="F1418" s="7"/>
      <c r="G1418" s="7"/>
      <c r="H1418" s="118"/>
      <c r="I1418" s="7"/>
      <c r="J1418" s="7"/>
      <c r="K1418" s="7"/>
      <c r="L1418" s="7"/>
      <c r="M1418" s="7"/>
      <c r="N1418" s="7"/>
      <c r="O1418" s="84" t="e" cm="1">
        <f t="array" ref="O1418">_xlfn.XLOOKUP(1,(A1418=Geotech!$A$4:$A$10094)*(Data_Discontinuities[[#This Row],[Depth (m)]]&gt;=Geotech!$C$4:$C$10094)*(Data_Discontinuities[[#This Row],[Depth (m)]]&lt;Geotech!$D$4:$D$10094),Geotech!$M$4:$M$10094)</f>
        <v>#N/A</v>
      </c>
      <c r="P1418" s="84"/>
      <c r="Q1418" s="84"/>
      <c r="R1418" s="84"/>
      <c r="S14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8" s="71" t="str">
        <f>IFERROR(Data_Discontinuities[[#This Row],[Joint roughness]]/Data_Discontinuities[[#This Row],[Joint alteration]],"")</f>
        <v/>
      </c>
      <c r="V14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8" s="87"/>
    </row>
    <row r="1419" spans="2:23" ht="15" customHeight="1" x14ac:dyDescent="0.25">
      <c r="B1419" s="17" t="e">
        <f>VLOOKUP(Data_Discontinuities[[#This Row],[Hole ID]],Data_Log[],2,FALSE)</f>
        <v>#N/A</v>
      </c>
      <c r="C1419" s="8"/>
      <c r="D1419" s="8"/>
      <c r="E1419" s="7"/>
      <c r="F1419" s="7"/>
      <c r="G1419" s="7"/>
      <c r="H1419" s="118"/>
      <c r="I1419" s="7"/>
      <c r="J1419" s="7"/>
      <c r="K1419" s="7"/>
      <c r="L1419" s="7"/>
      <c r="M1419" s="7"/>
      <c r="N1419" s="7"/>
      <c r="O1419" s="84" t="e" cm="1">
        <f t="array" ref="O1419">_xlfn.XLOOKUP(1,(A1419=Geotech!$A$4:$A$10094)*(Data_Discontinuities[[#This Row],[Depth (m)]]&gt;=Geotech!$C$4:$C$10094)*(Data_Discontinuities[[#This Row],[Depth (m)]]&lt;Geotech!$D$4:$D$10094),Geotech!$M$4:$M$10094)</f>
        <v>#N/A</v>
      </c>
      <c r="P1419" s="84"/>
      <c r="Q1419" s="84"/>
      <c r="R1419" s="84"/>
      <c r="S14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19" s="71" t="str">
        <f>IFERROR(Data_Discontinuities[[#This Row],[Joint roughness]]/Data_Discontinuities[[#This Row],[Joint alteration]],"")</f>
        <v/>
      </c>
      <c r="V14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19" s="87"/>
    </row>
    <row r="1420" spans="2:23" ht="15" customHeight="1" x14ac:dyDescent="0.25">
      <c r="B1420" s="17" t="e">
        <f>VLOOKUP(Data_Discontinuities[[#This Row],[Hole ID]],Data_Log[],2,FALSE)</f>
        <v>#N/A</v>
      </c>
      <c r="C1420" s="8"/>
      <c r="D1420" s="8"/>
      <c r="E1420" s="7"/>
      <c r="F1420" s="7"/>
      <c r="G1420" s="7"/>
      <c r="H1420" s="118"/>
      <c r="I1420" s="7"/>
      <c r="J1420" s="7"/>
      <c r="K1420" s="7"/>
      <c r="L1420" s="7"/>
      <c r="M1420" s="7"/>
      <c r="N1420" s="7"/>
      <c r="O1420" s="84" t="e" cm="1">
        <f t="array" ref="O1420">_xlfn.XLOOKUP(1,(A1420=Geotech!$A$4:$A$10094)*(Data_Discontinuities[[#This Row],[Depth (m)]]&gt;=Geotech!$C$4:$C$10094)*(Data_Discontinuities[[#This Row],[Depth (m)]]&lt;Geotech!$D$4:$D$10094),Geotech!$M$4:$M$10094)</f>
        <v>#N/A</v>
      </c>
      <c r="P1420" s="84"/>
      <c r="Q1420" s="84"/>
      <c r="R1420" s="84"/>
      <c r="S14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0" s="71" t="str">
        <f>IFERROR(Data_Discontinuities[[#This Row],[Joint roughness]]/Data_Discontinuities[[#This Row],[Joint alteration]],"")</f>
        <v/>
      </c>
      <c r="V14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0" s="87"/>
    </row>
    <row r="1421" spans="2:23" ht="15" customHeight="1" x14ac:dyDescent="0.25">
      <c r="B1421" s="17" t="e">
        <f>VLOOKUP(Data_Discontinuities[[#This Row],[Hole ID]],Data_Log[],2,FALSE)</f>
        <v>#N/A</v>
      </c>
      <c r="C1421" s="8"/>
      <c r="D1421" s="8"/>
      <c r="E1421" s="7"/>
      <c r="F1421" s="7"/>
      <c r="G1421" s="7"/>
      <c r="H1421" s="118"/>
      <c r="I1421" s="7"/>
      <c r="J1421" s="7"/>
      <c r="K1421" s="7"/>
      <c r="L1421" s="7"/>
      <c r="M1421" s="7"/>
      <c r="N1421" s="7"/>
      <c r="O1421" s="84" t="e" cm="1">
        <f t="array" ref="O1421">_xlfn.XLOOKUP(1,(A1421=Geotech!$A$4:$A$10094)*(Data_Discontinuities[[#This Row],[Depth (m)]]&gt;=Geotech!$C$4:$C$10094)*(Data_Discontinuities[[#This Row],[Depth (m)]]&lt;Geotech!$D$4:$D$10094),Geotech!$M$4:$M$10094)</f>
        <v>#N/A</v>
      </c>
      <c r="P1421" s="84"/>
      <c r="Q1421" s="84"/>
      <c r="R1421" s="84"/>
      <c r="S14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1" s="71" t="str">
        <f>IFERROR(Data_Discontinuities[[#This Row],[Joint roughness]]/Data_Discontinuities[[#This Row],[Joint alteration]],"")</f>
        <v/>
      </c>
      <c r="V14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1" s="87"/>
    </row>
    <row r="1422" spans="2:23" ht="15" customHeight="1" x14ac:dyDescent="0.25">
      <c r="B1422" s="17" t="e">
        <f>VLOOKUP(Data_Discontinuities[[#This Row],[Hole ID]],Data_Log[],2,FALSE)</f>
        <v>#N/A</v>
      </c>
      <c r="C1422" s="8"/>
      <c r="D1422" s="8"/>
      <c r="E1422" s="7"/>
      <c r="F1422" s="7"/>
      <c r="G1422" s="7"/>
      <c r="H1422" s="118"/>
      <c r="I1422" s="7"/>
      <c r="J1422" s="7"/>
      <c r="K1422" s="7"/>
      <c r="L1422" s="7"/>
      <c r="M1422" s="7"/>
      <c r="N1422" s="7"/>
      <c r="O1422" s="84" t="e" cm="1">
        <f t="array" ref="O1422">_xlfn.XLOOKUP(1,(A1422=Geotech!$A$4:$A$10094)*(Data_Discontinuities[[#This Row],[Depth (m)]]&gt;=Geotech!$C$4:$C$10094)*(Data_Discontinuities[[#This Row],[Depth (m)]]&lt;Geotech!$D$4:$D$10094),Geotech!$M$4:$M$10094)</f>
        <v>#N/A</v>
      </c>
      <c r="P1422" s="84"/>
      <c r="Q1422" s="84"/>
      <c r="R1422" s="84"/>
      <c r="S14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2" s="71" t="str">
        <f>IFERROR(Data_Discontinuities[[#This Row],[Joint roughness]]/Data_Discontinuities[[#This Row],[Joint alteration]],"")</f>
        <v/>
      </c>
      <c r="V14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2" s="87"/>
    </row>
    <row r="1423" spans="2:23" ht="15" customHeight="1" x14ac:dyDescent="0.25">
      <c r="B1423" s="17" t="e">
        <f>VLOOKUP(Data_Discontinuities[[#This Row],[Hole ID]],Data_Log[],2,FALSE)</f>
        <v>#N/A</v>
      </c>
      <c r="C1423" s="8"/>
      <c r="D1423" s="8"/>
      <c r="E1423" s="7"/>
      <c r="F1423" s="7"/>
      <c r="G1423" s="7"/>
      <c r="H1423" s="118"/>
      <c r="I1423" s="7"/>
      <c r="J1423" s="7"/>
      <c r="K1423" s="7"/>
      <c r="L1423" s="7"/>
      <c r="M1423" s="7"/>
      <c r="N1423" s="7"/>
      <c r="O1423" s="84" t="e" cm="1">
        <f t="array" ref="O1423">_xlfn.XLOOKUP(1,(A1423=Geotech!$A$4:$A$10094)*(Data_Discontinuities[[#This Row],[Depth (m)]]&gt;=Geotech!$C$4:$C$10094)*(Data_Discontinuities[[#This Row],[Depth (m)]]&lt;Geotech!$D$4:$D$10094),Geotech!$M$4:$M$10094)</f>
        <v>#N/A</v>
      </c>
      <c r="P1423" s="84"/>
      <c r="Q1423" s="84"/>
      <c r="R1423" s="84"/>
      <c r="S14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3" s="71" t="str">
        <f>IFERROR(Data_Discontinuities[[#This Row],[Joint roughness]]/Data_Discontinuities[[#This Row],[Joint alteration]],"")</f>
        <v/>
      </c>
      <c r="V14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3" s="87"/>
    </row>
    <row r="1424" spans="2:23" ht="15" customHeight="1" x14ac:dyDescent="0.25">
      <c r="B1424" s="17" t="e">
        <f>VLOOKUP(Data_Discontinuities[[#This Row],[Hole ID]],Data_Log[],2,FALSE)</f>
        <v>#N/A</v>
      </c>
      <c r="C1424" s="8"/>
      <c r="D1424" s="8"/>
      <c r="E1424" s="7"/>
      <c r="F1424" s="7"/>
      <c r="G1424" s="7"/>
      <c r="H1424" s="118"/>
      <c r="I1424" s="7"/>
      <c r="J1424" s="7"/>
      <c r="K1424" s="7"/>
      <c r="L1424" s="7"/>
      <c r="M1424" s="7"/>
      <c r="N1424" s="7"/>
      <c r="O1424" s="84" t="e" cm="1">
        <f t="array" ref="O1424">_xlfn.XLOOKUP(1,(A1424=Geotech!$A$4:$A$10094)*(Data_Discontinuities[[#This Row],[Depth (m)]]&gt;=Geotech!$C$4:$C$10094)*(Data_Discontinuities[[#This Row],[Depth (m)]]&lt;Geotech!$D$4:$D$10094),Geotech!$M$4:$M$10094)</f>
        <v>#N/A</v>
      </c>
      <c r="P1424" s="84"/>
      <c r="Q1424" s="84"/>
      <c r="R1424" s="84"/>
      <c r="S14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4" s="71" t="str">
        <f>IFERROR(Data_Discontinuities[[#This Row],[Joint roughness]]/Data_Discontinuities[[#This Row],[Joint alteration]],"")</f>
        <v/>
      </c>
      <c r="V14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4" s="87"/>
    </row>
    <row r="1425" spans="2:23" ht="15" customHeight="1" x14ac:dyDescent="0.25">
      <c r="B1425" s="17" t="e">
        <f>VLOOKUP(Data_Discontinuities[[#This Row],[Hole ID]],Data_Log[],2,FALSE)</f>
        <v>#N/A</v>
      </c>
      <c r="C1425" s="8"/>
      <c r="D1425" s="8"/>
      <c r="E1425" s="7"/>
      <c r="F1425" s="7"/>
      <c r="G1425" s="7"/>
      <c r="H1425" s="118"/>
      <c r="I1425" s="7"/>
      <c r="J1425" s="7"/>
      <c r="K1425" s="7"/>
      <c r="L1425" s="7"/>
      <c r="M1425" s="7"/>
      <c r="N1425" s="7"/>
      <c r="O1425" s="84" t="e" cm="1">
        <f t="array" ref="O1425">_xlfn.XLOOKUP(1,(A1425=Geotech!$A$4:$A$10094)*(Data_Discontinuities[[#This Row],[Depth (m)]]&gt;=Geotech!$C$4:$C$10094)*(Data_Discontinuities[[#This Row],[Depth (m)]]&lt;Geotech!$D$4:$D$10094),Geotech!$M$4:$M$10094)</f>
        <v>#N/A</v>
      </c>
      <c r="P1425" s="84"/>
      <c r="Q1425" s="84"/>
      <c r="R1425" s="84"/>
      <c r="S14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5" s="71" t="str">
        <f>IFERROR(Data_Discontinuities[[#This Row],[Joint roughness]]/Data_Discontinuities[[#This Row],[Joint alteration]],"")</f>
        <v/>
      </c>
      <c r="V14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5" s="87"/>
    </row>
    <row r="1426" spans="2:23" ht="15" customHeight="1" x14ac:dyDescent="0.25">
      <c r="B1426" s="17" t="e">
        <f>VLOOKUP(Data_Discontinuities[[#This Row],[Hole ID]],Data_Log[],2,FALSE)</f>
        <v>#N/A</v>
      </c>
      <c r="C1426" s="8"/>
      <c r="D1426" s="8"/>
      <c r="E1426" s="7"/>
      <c r="F1426" s="7"/>
      <c r="G1426" s="7"/>
      <c r="H1426" s="118"/>
      <c r="I1426" s="7"/>
      <c r="J1426" s="7"/>
      <c r="K1426" s="7"/>
      <c r="L1426" s="7"/>
      <c r="M1426" s="7"/>
      <c r="N1426" s="7"/>
      <c r="O1426" s="84" t="e" cm="1">
        <f t="array" ref="O1426">_xlfn.XLOOKUP(1,(A1426=Geotech!$A$4:$A$10094)*(Data_Discontinuities[[#This Row],[Depth (m)]]&gt;=Geotech!$C$4:$C$10094)*(Data_Discontinuities[[#This Row],[Depth (m)]]&lt;Geotech!$D$4:$D$10094),Geotech!$M$4:$M$10094)</f>
        <v>#N/A</v>
      </c>
      <c r="P1426" s="84"/>
      <c r="Q1426" s="84"/>
      <c r="R1426" s="84"/>
      <c r="S14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6" s="71" t="str">
        <f>IFERROR(Data_Discontinuities[[#This Row],[Joint roughness]]/Data_Discontinuities[[#This Row],[Joint alteration]],"")</f>
        <v/>
      </c>
      <c r="V14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6" s="87"/>
    </row>
    <row r="1427" spans="2:23" ht="15" customHeight="1" x14ac:dyDescent="0.25">
      <c r="B1427" s="17" t="e">
        <f>VLOOKUP(Data_Discontinuities[[#This Row],[Hole ID]],Data_Log[],2,FALSE)</f>
        <v>#N/A</v>
      </c>
      <c r="C1427" s="8"/>
      <c r="D1427" s="8"/>
      <c r="E1427" s="7"/>
      <c r="F1427" s="7"/>
      <c r="G1427" s="7"/>
      <c r="H1427" s="118"/>
      <c r="I1427" s="7"/>
      <c r="J1427" s="7"/>
      <c r="K1427" s="7"/>
      <c r="L1427" s="7"/>
      <c r="M1427" s="7"/>
      <c r="N1427" s="7"/>
      <c r="O1427" s="84" t="e" cm="1">
        <f t="array" ref="O1427">_xlfn.XLOOKUP(1,(A1427=Geotech!$A$4:$A$10094)*(Data_Discontinuities[[#This Row],[Depth (m)]]&gt;=Geotech!$C$4:$C$10094)*(Data_Discontinuities[[#This Row],[Depth (m)]]&lt;Geotech!$D$4:$D$10094),Geotech!$M$4:$M$10094)</f>
        <v>#N/A</v>
      </c>
      <c r="P1427" s="84"/>
      <c r="Q1427" s="84"/>
      <c r="R1427" s="84"/>
      <c r="S14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7" s="71" t="str">
        <f>IFERROR(Data_Discontinuities[[#This Row],[Joint roughness]]/Data_Discontinuities[[#This Row],[Joint alteration]],"")</f>
        <v/>
      </c>
      <c r="V14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7" s="87"/>
    </row>
    <row r="1428" spans="2:23" ht="15" customHeight="1" x14ac:dyDescent="0.25">
      <c r="B1428" s="17" t="e">
        <f>VLOOKUP(Data_Discontinuities[[#This Row],[Hole ID]],Data_Log[],2,FALSE)</f>
        <v>#N/A</v>
      </c>
      <c r="C1428" s="8"/>
      <c r="D1428" s="8"/>
      <c r="E1428" s="7"/>
      <c r="F1428" s="7"/>
      <c r="G1428" s="7"/>
      <c r="H1428" s="118"/>
      <c r="I1428" s="7"/>
      <c r="J1428" s="7"/>
      <c r="K1428" s="7"/>
      <c r="L1428" s="7"/>
      <c r="M1428" s="7"/>
      <c r="N1428" s="7"/>
      <c r="O1428" s="84" t="e" cm="1">
        <f t="array" ref="O1428">_xlfn.XLOOKUP(1,(A1428=Geotech!$A$4:$A$10094)*(Data_Discontinuities[[#This Row],[Depth (m)]]&gt;=Geotech!$C$4:$C$10094)*(Data_Discontinuities[[#This Row],[Depth (m)]]&lt;Geotech!$D$4:$D$10094),Geotech!$M$4:$M$10094)</f>
        <v>#N/A</v>
      </c>
      <c r="P1428" s="84"/>
      <c r="Q1428" s="84"/>
      <c r="R1428" s="84"/>
      <c r="S14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8" s="71" t="str">
        <f>IFERROR(Data_Discontinuities[[#This Row],[Joint roughness]]/Data_Discontinuities[[#This Row],[Joint alteration]],"")</f>
        <v/>
      </c>
      <c r="V14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8" s="87"/>
    </row>
    <row r="1429" spans="2:23" ht="15" customHeight="1" x14ac:dyDescent="0.25">
      <c r="B1429" s="17" t="e">
        <f>VLOOKUP(Data_Discontinuities[[#This Row],[Hole ID]],Data_Log[],2,FALSE)</f>
        <v>#N/A</v>
      </c>
      <c r="C1429" s="8"/>
      <c r="D1429" s="8"/>
      <c r="E1429" s="7"/>
      <c r="F1429" s="7"/>
      <c r="G1429" s="7"/>
      <c r="H1429" s="118"/>
      <c r="I1429" s="7"/>
      <c r="J1429" s="7"/>
      <c r="K1429" s="7"/>
      <c r="L1429" s="7"/>
      <c r="M1429" s="7"/>
      <c r="N1429" s="7"/>
      <c r="O1429" s="84" t="e" cm="1">
        <f t="array" ref="O1429">_xlfn.XLOOKUP(1,(A1429=Geotech!$A$4:$A$10094)*(Data_Discontinuities[[#This Row],[Depth (m)]]&gt;=Geotech!$C$4:$C$10094)*(Data_Discontinuities[[#This Row],[Depth (m)]]&lt;Geotech!$D$4:$D$10094),Geotech!$M$4:$M$10094)</f>
        <v>#N/A</v>
      </c>
      <c r="P1429" s="84"/>
      <c r="Q1429" s="84"/>
      <c r="R1429" s="84"/>
      <c r="S14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29" s="71" t="str">
        <f>IFERROR(Data_Discontinuities[[#This Row],[Joint roughness]]/Data_Discontinuities[[#This Row],[Joint alteration]],"")</f>
        <v/>
      </c>
      <c r="V14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29" s="87"/>
    </row>
    <row r="1430" spans="2:23" ht="15" customHeight="1" x14ac:dyDescent="0.25">
      <c r="B1430" s="17" t="e">
        <f>VLOOKUP(Data_Discontinuities[[#This Row],[Hole ID]],Data_Log[],2,FALSE)</f>
        <v>#N/A</v>
      </c>
      <c r="C1430" s="8"/>
      <c r="D1430" s="8"/>
      <c r="E1430" s="7"/>
      <c r="F1430" s="7"/>
      <c r="G1430" s="7"/>
      <c r="H1430" s="118"/>
      <c r="I1430" s="7"/>
      <c r="J1430" s="7"/>
      <c r="K1430" s="7"/>
      <c r="L1430" s="7"/>
      <c r="M1430" s="7"/>
      <c r="N1430" s="7"/>
      <c r="O1430" s="84" t="e" cm="1">
        <f t="array" ref="O1430">_xlfn.XLOOKUP(1,(A1430=Geotech!$A$4:$A$10094)*(Data_Discontinuities[[#This Row],[Depth (m)]]&gt;=Geotech!$C$4:$C$10094)*(Data_Discontinuities[[#This Row],[Depth (m)]]&lt;Geotech!$D$4:$D$10094),Geotech!$M$4:$M$10094)</f>
        <v>#N/A</v>
      </c>
      <c r="P1430" s="84"/>
      <c r="Q1430" s="84"/>
      <c r="R1430" s="84"/>
      <c r="S14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0" s="71" t="str">
        <f>IFERROR(Data_Discontinuities[[#This Row],[Joint roughness]]/Data_Discontinuities[[#This Row],[Joint alteration]],"")</f>
        <v/>
      </c>
      <c r="V14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0" s="87"/>
    </row>
    <row r="1431" spans="2:23" ht="15" customHeight="1" x14ac:dyDescent="0.25">
      <c r="B1431" s="17" t="e">
        <f>VLOOKUP(Data_Discontinuities[[#This Row],[Hole ID]],Data_Log[],2,FALSE)</f>
        <v>#N/A</v>
      </c>
      <c r="C1431" s="8"/>
      <c r="D1431" s="8"/>
      <c r="E1431" s="7"/>
      <c r="F1431" s="7"/>
      <c r="G1431" s="7"/>
      <c r="H1431" s="118"/>
      <c r="I1431" s="7"/>
      <c r="J1431" s="7"/>
      <c r="K1431" s="7"/>
      <c r="L1431" s="7"/>
      <c r="M1431" s="7"/>
      <c r="N1431" s="7"/>
      <c r="O1431" s="84" t="e" cm="1">
        <f t="array" ref="O1431">_xlfn.XLOOKUP(1,(A1431=Geotech!$A$4:$A$10094)*(Data_Discontinuities[[#This Row],[Depth (m)]]&gt;=Geotech!$C$4:$C$10094)*(Data_Discontinuities[[#This Row],[Depth (m)]]&lt;Geotech!$D$4:$D$10094),Geotech!$M$4:$M$10094)</f>
        <v>#N/A</v>
      </c>
      <c r="P1431" s="84"/>
      <c r="Q1431" s="84"/>
      <c r="R1431" s="84"/>
      <c r="S14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1" s="71" t="str">
        <f>IFERROR(Data_Discontinuities[[#This Row],[Joint roughness]]/Data_Discontinuities[[#This Row],[Joint alteration]],"")</f>
        <v/>
      </c>
      <c r="V14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1" s="87"/>
    </row>
    <row r="1432" spans="2:23" ht="15" customHeight="1" x14ac:dyDescent="0.25">
      <c r="B1432" s="17" t="e">
        <f>VLOOKUP(Data_Discontinuities[[#This Row],[Hole ID]],Data_Log[],2,FALSE)</f>
        <v>#N/A</v>
      </c>
      <c r="C1432" s="8"/>
      <c r="D1432" s="8"/>
      <c r="E1432" s="7"/>
      <c r="F1432" s="7"/>
      <c r="G1432" s="7"/>
      <c r="H1432" s="118"/>
      <c r="I1432" s="7"/>
      <c r="J1432" s="7"/>
      <c r="K1432" s="7"/>
      <c r="L1432" s="7"/>
      <c r="M1432" s="7"/>
      <c r="N1432" s="7"/>
      <c r="O1432" s="84" t="e" cm="1">
        <f t="array" ref="O1432">_xlfn.XLOOKUP(1,(A1432=Geotech!$A$4:$A$10094)*(Data_Discontinuities[[#This Row],[Depth (m)]]&gt;=Geotech!$C$4:$C$10094)*(Data_Discontinuities[[#This Row],[Depth (m)]]&lt;Geotech!$D$4:$D$10094),Geotech!$M$4:$M$10094)</f>
        <v>#N/A</v>
      </c>
      <c r="P1432" s="84"/>
      <c r="Q1432" s="84"/>
      <c r="R1432" s="84"/>
      <c r="S14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2" s="71" t="str">
        <f>IFERROR(Data_Discontinuities[[#This Row],[Joint roughness]]/Data_Discontinuities[[#This Row],[Joint alteration]],"")</f>
        <v/>
      </c>
      <c r="V14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2" s="87"/>
    </row>
    <row r="1433" spans="2:23" ht="15" customHeight="1" x14ac:dyDescent="0.25">
      <c r="B1433" s="17" t="e">
        <f>VLOOKUP(Data_Discontinuities[[#This Row],[Hole ID]],Data_Log[],2,FALSE)</f>
        <v>#N/A</v>
      </c>
      <c r="C1433" s="8"/>
      <c r="D1433" s="8"/>
      <c r="E1433" s="7"/>
      <c r="F1433" s="7"/>
      <c r="G1433" s="7"/>
      <c r="H1433" s="118"/>
      <c r="I1433" s="7"/>
      <c r="J1433" s="7"/>
      <c r="K1433" s="7"/>
      <c r="L1433" s="7"/>
      <c r="M1433" s="7"/>
      <c r="N1433" s="7"/>
      <c r="O1433" s="84" t="e" cm="1">
        <f t="array" ref="O1433">_xlfn.XLOOKUP(1,(A1433=Geotech!$A$4:$A$10094)*(Data_Discontinuities[[#This Row],[Depth (m)]]&gt;=Geotech!$C$4:$C$10094)*(Data_Discontinuities[[#This Row],[Depth (m)]]&lt;Geotech!$D$4:$D$10094),Geotech!$M$4:$M$10094)</f>
        <v>#N/A</v>
      </c>
      <c r="P1433" s="84"/>
      <c r="Q1433" s="84"/>
      <c r="R1433" s="84"/>
      <c r="S14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3" s="71" t="str">
        <f>IFERROR(Data_Discontinuities[[#This Row],[Joint roughness]]/Data_Discontinuities[[#This Row],[Joint alteration]],"")</f>
        <v/>
      </c>
      <c r="V14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3" s="87"/>
    </row>
    <row r="1434" spans="2:23" ht="15" customHeight="1" x14ac:dyDescent="0.25">
      <c r="B1434" s="17" t="e">
        <f>VLOOKUP(Data_Discontinuities[[#This Row],[Hole ID]],Data_Log[],2,FALSE)</f>
        <v>#N/A</v>
      </c>
      <c r="C1434" s="8"/>
      <c r="D1434" s="8"/>
      <c r="E1434" s="7"/>
      <c r="F1434" s="7"/>
      <c r="G1434" s="7"/>
      <c r="H1434" s="118"/>
      <c r="I1434" s="7"/>
      <c r="J1434" s="7"/>
      <c r="K1434" s="7"/>
      <c r="L1434" s="7"/>
      <c r="M1434" s="7"/>
      <c r="N1434" s="7"/>
      <c r="O1434" s="84" t="e" cm="1">
        <f t="array" ref="O1434">_xlfn.XLOOKUP(1,(A1434=Geotech!$A$4:$A$10094)*(Data_Discontinuities[[#This Row],[Depth (m)]]&gt;=Geotech!$C$4:$C$10094)*(Data_Discontinuities[[#This Row],[Depth (m)]]&lt;Geotech!$D$4:$D$10094),Geotech!$M$4:$M$10094)</f>
        <v>#N/A</v>
      </c>
      <c r="P1434" s="84"/>
      <c r="Q1434" s="84"/>
      <c r="R1434" s="84"/>
      <c r="S14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4" s="71" t="str">
        <f>IFERROR(Data_Discontinuities[[#This Row],[Joint roughness]]/Data_Discontinuities[[#This Row],[Joint alteration]],"")</f>
        <v/>
      </c>
      <c r="V14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4" s="87"/>
    </row>
    <row r="1435" spans="2:23" ht="15" customHeight="1" x14ac:dyDescent="0.25">
      <c r="B1435" s="17" t="e">
        <f>VLOOKUP(Data_Discontinuities[[#This Row],[Hole ID]],Data_Log[],2,FALSE)</f>
        <v>#N/A</v>
      </c>
      <c r="C1435" s="8"/>
      <c r="D1435" s="8"/>
      <c r="E1435" s="7"/>
      <c r="F1435" s="7"/>
      <c r="G1435" s="7"/>
      <c r="H1435" s="118"/>
      <c r="I1435" s="7"/>
      <c r="J1435" s="7"/>
      <c r="K1435" s="7"/>
      <c r="L1435" s="7"/>
      <c r="M1435" s="7"/>
      <c r="N1435" s="7"/>
      <c r="O1435" s="84" t="e" cm="1">
        <f t="array" ref="O1435">_xlfn.XLOOKUP(1,(A1435=Geotech!$A$4:$A$10094)*(Data_Discontinuities[[#This Row],[Depth (m)]]&gt;=Geotech!$C$4:$C$10094)*(Data_Discontinuities[[#This Row],[Depth (m)]]&lt;Geotech!$D$4:$D$10094),Geotech!$M$4:$M$10094)</f>
        <v>#N/A</v>
      </c>
      <c r="P1435" s="84"/>
      <c r="Q1435" s="84"/>
      <c r="R1435" s="84"/>
      <c r="S14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5" s="71" t="str">
        <f>IFERROR(Data_Discontinuities[[#This Row],[Joint roughness]]/Data_Discontinuities[[#This Row],[Joint alteration]],"")</f>
        <v/>
      </c>
      <c r="V14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5" s="87"/>
    </row>
    <row r="1436" spans="2:23" ht="15" customHeight="1" x14ac:dyDescent="0.25">
      <c r="B1436" s="17" t="e">
        <f>VLOOKUP(Data_Discontinuities[[#This Row],[Hole ID]],Data_Log[],2,FALSE)</f>
        <v>#N/A</v>
      </c>
      <c r="C1436" s="8"/>
      <c r="D1436" s="8"/>
      <c r="E1436" s="7"/>
      <c r="F1436" s="7"/>
      <c r="G1436" s="7"/>
      <c r="H1436" s="118"/>
      <c r="I1436" s="7"/>
      <c r="J1436" s="7"/>
      <c r="K1436" s="7"/>
      <c r="L1436" s="7"/>
      <c r="M1436" s="7"/>
      <c r="N1436" s="7"/>
      <c r="O1436" s="84" t="e" cm="1">
        <f t="array" ref="O1436">_xlfn.XLOOKUP(1,(A1436=Geotech!$A$4:$A$10094)*(Data_Discontinuities[[#This Row],[Depth (m)]]&gt;=Geotech!$C$4:$C$10094)*(Data_Discontinuities[[#This Row],[Depth (m)]]&lt;Geotech!$D$4:$D$10094),Geotech!$M$4:$M$10094)</f>
        <v>#N/A</v>
      </c>
      <c r="P1436" s="84"/>
      <c r="Q1436" s="84"/>
      <c r="R1436" s="84"/>
      <c r="S14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6" s="71" t="str">
        <f>IFERROR(Data_Discontinuities[[#This Row],[Joint roughness]]/Data_Discontinuities[[#This Row],[Joint alteration]],"")</f>
        <v/>
      </c>
      <c r="V14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6" s="87"/>
    </row>
    <row r="1437" spans="2:23" ht="15" customHeight="1" x14ac:dyDescent="0.25">
      <c r="B1437" s="17" t="e">
        <f>VLOOKUP(Data_Discontinuities[[#This Row],[Hole ID]],Data_Log[],2,FALSE)</f>
        <v>#N/A</v>
      </c>
      <c r="C1437" s="8"/>
      <c r="D1437" s="8"/>
      <c r="E1437" s="7"/>
      <c r="F1437" s="7"/>
      <c r="G1437" s="7"/>
      <c r="H1437" s="118"/>
      <c r="I1437" s="7"/>
      <c r="J1437" s="7"/>
      <c r="K1437" s="7"/>
      <c r="L1437" s="7"/>
      <c r="M1437" s="7"/>
      <c r="N1437" s="7"/>
      <c r="O1437" s="84" t="e" cm="1">
        <f t="array" ref="O1437">_xlfn.XLOOKUP(1,(A1437=Geotech!$A$4:$A$10094)*(Data_Discontinuities[[#This Row],[Depth (m)]]&gt;=Geotech!$C$4:$C$10094)*(Data_Discontinuities[[#This Row],[Depth (m)]]&lt;Geotech!$D$4:$D$10094),Geotech!$M$4:$M$10094)</f>
        <v>#N/A</v>
      </c>
      <c r="P1437" s="84"/>
      <c r="Q1437" s="84"/>
      <c r="R1437" s="84"/>
      <c r="S14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7" s="71" t="str">
        <f>IFERROR(Data_Discontinuities[[#This Row],[Joint roughness]]/Data_Discontinuities[[#This Row],[Joint alteration]],"")</f>
        <v/>
      </c>
      <c r="V14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7" s="87"/>
    </row>
    <row r="1438" spans="2:23" ht="15" customHeight="1" x14ac:dyDescent="0.25">
      <c r="B1438" s="17" t="e">
        <f>VLOOKUP(Data_Discontinuities[[#This Row],[Hole ID]],Data_Log[],2,FALSE)</f>
        <v>#N/A</v>
      </c>
      <c r="C1438" s="8"/>
      <c r="D1438" s="8"/>
      <c r="E1438" s="7"/>
      <c r="F1438" s="7"/>
      <c r="G1438" s="7"/>
      <c r="H1438" s="118"/>
      <c r="I1438" s="7"/>
      <c r="J1438" s="7"/>
      <c r="K1438" s="7"/>
      <c r="L1438" s="7"/>
      <c r="M1438" s="7"/>
      <c r="N1438" s="7"/>
      <c r="O1438" s="84" t="e" cm="1">
        <f t="array" ref="O1438">_xlfn.XLOOKUP(1,(A1438=Geotech!$A$4:$A$10094)*(Data_Discontinuities[[#This Row],[Depth (m)]]&gt;=Geotech!$C$4:$C$10094)*(Data_Discontinuities[[#This Row],[Depth (m)]]&lt;Geotech!$D$4:$D$10094),Geotech!$M$4:$M$10094)</f>
        <v>#N/A</v>
      </c>
      <c r="P1438" s="84"/>
      <c r="Q1438" s="84"/>
      <c r="R1438" s="84"/>
      <c r="S14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8" s="71" t="str">
        <f>IFERROR(Data_Discontinuities[[#This Row],[Joint roughness]]/Data_Discontinuities[[#This Row],[Joint alteration]],"")</f>
        <v/>
      </c>
      <c r="V14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8" s="87"/>
    </row>
    <row r="1439" spans="2:23" ht="15" customHeight="1" x14ac:dyDescent="0.25">
      <c r="B1439" s="17" t="e">
        <f>VLOOKUP(Data_Discontinuities[[#This Row],[Hole ID]],Data_Log[],2,FALSE)</f>
        <v>#N/A</v>
      </c>
      <c r="C1439" s="8"/>
      <c r="D1439" s="8"/>
      <c r="E1439" s="7"/>
      <c r="F1439" s="7"/>
      <c r="G1439" s="7"/>
      <c r="H1439" s="118"/>
      <c r="I1439" s="7"/>
      <c r="J1439" s="7"/>
      <c r="K1439" s="7"/>
      <c r="L1439" s="7"/>
      <c r="M1439" s="7"/>
      <c r="N1439" s="7"/>
      <c r="O1439" s="84" t="e" cm="1">
        <f t="array" ref="O1439">_xlfn.XLOOKUP(1,(A1439=Geotech!$A$4:$A$10094)*(Data_Discontinuities[[#This Row],[Depth (m)]]&gt;=Geotech!$C$4:$C$10094)*(Data_Discontinuities[[#This Row],[Depth (m)]]&lt;Geotech!$D$4:$D$10094),Geotech!$M$4:$M$10094)</f>
        <v>#N/A</v>
      </c>
      <c r="P1439" s="84"/>
      <c r="Q1439" s="84"/>
      <c r="R1439" s="84"/>
      <c r="S14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39" s="71" t="str">
        <f>IFERROR(Data_Discontinuities[[#This Row],[Joint roughness]]/Data_Discontinuities[[#This Row],[Joint alteration]],"")</f>
        <v/>
      </c>
      <c r="V14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39" s="87"/>
    </row>
    <row r="1440" spans="2:23" ht="15" customHeight="1" x14ac:dyDescent="0.25">
      <c r="B1440" s="17" t="e">
        <f>VLOOKUP(Data_Discontinuities[[#This Row],[Hole ID]],Data_Log[],2,FALSE)</f>
        <v>#N/A</v>
      </c>
      <c r="C1440" s="8"/>
      <c r="D1440" s="8"/>
      <c r="E1440" s="7"/>
      <c r="F1440" s="7"/>
      <c r="G1440" s="7"/>
      <c r="H1440" s="118"/>
      <c r="I1440" s="7"/>
      <c r="J1440" s="7"/>
      <c r="K1440" s="7"/>
      <c r="L1440" s="7"/>
      <c r="M1440" s="7"/>
      <c r="N1440" s="7"/>
      <c r="O1440" s="84" t="e" cm="1">
        <f t="array" ref="O1440">_xlfn.XLOOKUP(1,(A1440=Geotech!$A$4:$A$10094)*(Data_Discontinuities[[#This Row],[Depth (m)]]&gt;=Geotech!$C$4:$C$10094)*(Data_Discontinuities[[#This Row],[Depth (m)]]&lt;Geotech!$D$4:$D$10094),Geotech!$M$4:$M$10094)</f>
        <v>#N/A</v>
      </c>
      <c r="P1440" s="84"/>
      <c r="Q1440" s="84"/>
      <c r="R1440" s="84"/>
      <c r="S14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0" s="71" t="str">
        <f>IFERROR(Data_Discontinuities[[#This Row],[Joint roughness]]/Data_Discontinuities[[#This Row],[Joint alteration]],"")</f>
        <v/>
      </c>
      <c r="V14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0" s="87"/>
    </row>
    <row r="1441" spans="2:23" ht="15" customHeight="1" x14ac:dyDescent="0.25">
      <c r="B1441" s="17" t="e">
        <f>VLOOKUP(Data_Discontinuities[[#This Row],[Hole ID]],Data_Log[],2,FALSE)</f>
        <v>#N/A</v>
      </c>
      <c r="C1441" s="8"/>
      <c r="D1441" s="8"/>
      <c r="E1441" s="7"/>
      <c r="F1441" s="7"/>
      <c r="G1441" s="7"/>
      <c r="H1441" s="118"/>
      <c r="I1441" s="7"/>
      <c r="J1441" s="7"/>
      <c r="K1441" s="7"/>
      <c r="L1441" s="7"/>
      <c r="M1441" s="7"/>
      <c r="N1441" s="7"/>
      <c r="O1441" s="84" t="e" cm="1">
        <f t="array" ref="O1441">_xlfn.XLOOKUP(1,(A1441=Geotech!$A$4:$A$10094)*(Data_Discontinuities[[#This Row],[Depth (m)]]&gt;=Geotech!$C$4:$C$10094)*(Data_Discontinuities[[#This Row],[Depth (m)]]&lt;Geotech!$D$4:$D$10094),Geotech!$M$4:$M$10094)</f>
        <v>#N/A</v>
      </c>
      <c r="P1441" s="84"/>
      <c r="Q1441" s="84"/>
      <c r="R1441" s="84"/>
      <c r="S14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1" s="71" t="str">
        <f>IFERROR(Data_Discontinuities[[#This Row],[Joint roughness]]/Data_Discontinuities[[#This Row],[Joint alteration]],"")</f>
        <v/>
      </c>
      <c r="V14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1" s="87"/>
    </row>
    <row r="1442" spans="2:23" ht="15" customHeight="1" x14ac:dyDescent="0.25">
      <c r="B1442" s="17" t="e">
        <f>VLOOKUP(Data_Discontinuities[[#This Row],[Hole ID]],Data_Log[],2,FALSE)</f>
        <v>#N/A</v>
      </c>
      <c r="C1442" s="8"/>
      <c r="D1442" s="8"/>
      <c r="E1442" s="7"/>
      <c r="F1442" s="7"/>
      <c r="G1442" s="7"/>
      <c r="H1442" s="118"/>
      <c r="I1442" s="7"/>
      <c r="J1442" s="7"/>
      <c r="K1442" s="7"/>
      <c r="L1442" s="7"/>
      <c r="M1442" s="7"/>
      <c r="N1442" s="7"/>
      <c r="O1442" s="84" t="e" cm="1">
        <f t="array" ref="O1442">_xlfn.XLOOKUP(1,(A1442=Geotech!$A$4:$A$10094)*(Data_Discontinuities[[#This Row],[Depth (m)]]&gt;=Geotech!$C$4:$C$10094)*(Data_Discontinuities[[#This Row],[Depth (m)]]&lt;Geotech!$D$4:$D$10094),Geotech!$M$4:$M$10094)</f>
        <v>#N/A</v>
      </c>
      <c r="P1442" s="84"/>
      <c r="Q1442" s="84"/>
      <c r="R1442" s="84"/>
      <c r="S14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2" s="71" t="str">
        <f>IFERROR(Data_Discontinuities[[#This Row],[Joint roughness]]/Data_Discontinuities[[#This Row],[Joint alteration]],"")</f>
        <v/>
      </c>
      <c r="V14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2" s="87"/>
    </row>
    <row r="1443" spans="2:23" ht="15" customHeight="1" x14ac:dyDescent="0.25">
      <c r="B1443" s="17" t="e">
        <f>VLOOKUP(Data_Discontinuities[[#This Row],[Hole ID]],Data_Log[],2,FALSE)</f>
        <v>#N/A</v>
      </c>
      <c r="C1443" s="8"/>
      <c r="D1443" s="8"/>
      <c r="E1443" s="7"/>
      <c r="F1443" s="7"/>
      <c r="G1443" s="7"/>
      <c r="H1443" s="118"/>
      <c r="I1443" s="7"/>
      <c r="J1443" s="7"/>
      <c r="K1443" s="7"/>
      <c r="L1443" s="7"/>
      <c r="M1443" s="7"/>
      <c r="N1443" s="7"/>
      <c r="O1443" s="84" t="e" cm="1">
        <f t="array" ref="O1443">_xlfn.XLOOKUP(1,(A1443=Geotech!$A$4:$A$10094)*(Data_Discontinuities[[#This Row],[Depth (m)]]&gt;=Geotech!$C$4:$C$10094)*(Data_Discontinuities[[#This Row],[Depth (m)]]&lt;Geotech!$D$4:$D$10094),Geotech!$M$4:$M$10094)</f>
        <v>#N/A</v>
      </c>
      <c r="P1443" s="84"/>
      <c r="Q1443" s="84"/>
      <c r="R1443" s="84"/>
      <c r="S14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3" s="71" t="str">
        <f>IFERROR(Data_Discontinuities[[#This Row],[Joint roughness]]/Data_Discontinuities[[#This Row],[Joint alteration]],"")</f>
        <v/>
      </c>
      <c r="V14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3" s="87"/>
    </row>
    <row r="1444" spans="2:23" ht="15" customHeight="1" x14ac:dyDescent="0.25">
      <c r="B1444" s="17" t="e">
        <f>VLOOKUP(Data_Discontinuities[[#This Row],[Hole ID]],Data_Log[],2,FALSE)</f>
        <v>#N/A</v>
      </c>
      <c r="C1444" s="8"/>
      <c r="D1444" s="8"/>
      <c r="E1444" s="7"/>
      <c r="F1444" s="7"/>
      <c r="G1444" s="7"/>
      <c r="H1444" s="118"/>
      <c r="I1444" s="7"/>
      <c r="J1444" s="7"/>
      <c r="K1444" s="7"/>
      <c r="L1444" s="7"/>
      <c r="M1444" s="7"/>
      <c r="N1444" s="7"/>
      <c r="O1444" s="84" t="e" cm="1">
        <f t="array" ref="O1444">_xlfn.XLOOKUP(1,(A1444=Geotech!$A$4:$A$10094)*(Data_Discontinuities[[#This Row],[Depth (m)]]&gt;=Geotech!$C$4:$C$10094)*(Data_Discontinuities[[#This Row],[Depth (m)]]&lt;Geotech!$D$4:$D$10094),Geotech!$M$4:$M$10094)</f>
        <v>#N/A</v>
      </c>
      <c r="P1444" s="84"/>
      <c r="Q1444" s="84"/>
      <c r="R1444" s="84"/>
      <c r="S14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4" s="71" t="str">
        <f>IFERROR(Data_Discontinuities[[#This Row],[Joint roughness]]/Data_Discontinuities[[#This Row],[Joint alteration]],"")</f>
        <v/>
      </c>
      <c r="V14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4" s="87"/>
    </row>
    <row r="1445" spans="2:23" ht="15" customHeight="1" x14ac:dyDescent="0.25">
      <c r="B1445" s="17" t="e">
        <f>VLOOKUP(Data_Discontinuities[[#This Row],[Hole ID]],Data_Log[],2,FALSE)</f>
        <v>#N/A</v>
      </c>
      <c r="C1445" s="8"/>
      <c r="D1445" s="8"/>
      <c r="E1445" s="7"/>
      <c r="F1445" s="7"/>
      <c r="G1445" s="7"/>
      <c r="H1445" s="118"/>
      <c r="I1445" s="7"/>
      <c r="J1445" s="7"/>
      <c r="K1445" s="7"/>
      <c r="L1445" s="7"/>
      <c r="M1445" s="7"/>
      <c r="N1445" s="7"/>
      <c r="O1445" s="84" t="e" cm="1">
        <f t="array" ref="O1445">_xlfn.XLOOKUP(1,(A1445=Geotech!$A$4:$A$10094)*(Data_Discontinuities[[#This Row],[Depth (m)]]&gt;=Geotech!$C$4:$C$10094)*(Data_Discontinuities[[#This Row],[Depth (m)]]&lt;Geotech!$D$4:$D$10094),Geotech!$M$4:$M$10094)</f>
        <v>#N/A</v>
      </c>
      <c r="P1445" s="84"/>
      <c r="Q1445" s="84"/>
      <c r="R1445" s="84"/>
      <c r="S14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5" s="71" t="str">
        <f>IFERROR(Data_Discontinuities[[#This Row],[Joint roughness]]/Data_Discontinuities[[#This Row],[Joint alteration]],"")</f>
        <v/>
      </c>
      <c r="V14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5" s="87"/>
    </row>
    <row r="1446" spans="2:23" ht="15" customHeight="1" x14ac:dyDescent="0.25">
      <c r="B1446" s="17" t="e">
        <f>VLOOKUP(Data_Discontinuities[[#This Row],[Hole ID]],Data_Log[],2,FALSE)</f>
        <v>#N/A</v>
      </c>
      <c r="C1446" s="8"/>
      <c r="D1446" s="8"/>
      <c r="E1446" s="7"/>
      <c r="F1446" s="7"/>
      <c r="G1446" s="7"/>
      <c r="H1446" s="118"/>
      <c r="I1446" s="7"/>
      <c r="J1446" s="7"/>
      <c r="K1446" s="7"/>
      <c r="L1446" s="7"/>
      <c r="M1446" s="7"/>
      <c r="N1446" s="7"/>
      <c r="O1446" s="84" t="e" cm="1">
        <f t="array" ref="O1446">_xlfn.XLOOKUP(1,(A1446=Geotech!$A$4:$A$10094)*(Data_Discontinuities[[#This Row],[Depth (m)]]&gt;=Geotech!$C$4:$C$10094)*(Data_Discontinuities[[#This Row],[Depth (m)]]&lt;Geotech!$D$4:$D$10094),Geotech!$M$4:$M$10094)</f>
        <v>#N/A</v>
      </c>
      <c r="P1446" s="84"/>
      <c r="Q1446" s="84"/>
      <c r="R1446" s="84"/>
      <c r="S14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6" s="71" t="str">
        <f>IFERROR(Data_Discontinuities[[#This Row],[Joint roughness]]/Data_Discontinuities[[#This Row],[Joint alteration]],"")</f>
        <v/>
      </c>
      <c r="V14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6" s="87"/>
    </row>
    <row r="1447" spans="2:23" ht="15" customHeight="1" x14ac:dyDescent="0.25">
      <c r="B1447" s="17" t="e">
        <f>VLOOKUP(Data_Discontinuities[[#This Row],[Hole ID]],Data_Log[],2,FALSE)</f>
        <v>#N/A</v>
      </c>
      <c r="C1447" s="8"/>
      <c r="D1447" s="8"/>
      <c r="E1447" s="7"/>
      <c r="F1447" s="7"/>
      <c r="G1447" s="7"/>
      <c r="H1447" s="118"/>
      <c r="I1447" s="7"/>
      <c r="J1447" s="7"/>
      <c r="K1447" s="7"/>
      <c r="L1447" s="7"/>
      <c r="M1447" s="7"/>
      <c r="N1447" s="7"/>
      <c r="O1447" s="84" t="e" cm="1">
        <f t="array" ref="O1447">_xlfn.XLOOKUP(1,(A1447=Geotech!$A$4:$A$10094)*(Data_Discontinuities[[#This Row],[Depth (m)]]&gt;=Geotech!$C$4:$C$10094)*(Data_Discontinuities[[#This Row],[Depth (m)]]&lt;Geotech!$D$4:$D$10094),Geotech!$M$4:$M$10094)</f>
        <v>#N/A</v>
      </c>
      <c r="P1447" s="84"/>
      <c r="Q1447" s="84"/>
      <c r="R1447" s="84"/>
      <c r="S14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7" s="71" t="str">
        <f>IFERROR(Data_Discontinuities[[#This Row],[Joint roughness]]/Data_Discontinuities[[#This Row],[Joint alteration]],"")</f>
        <v/>
      </c>
      <c r="V14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7" s="87"/>
    </row>
    <row r="1448" spans="2:23" ht="15" customHeight="1" x14ac:dyDescent="0.25">
      <c r="B1448" s="17" t="e">
        <f>VLOOKUP(Data_Discontinuities[[#This Row],[Hole ID]],Data_Log[],2,FALSE)</f>
        <v>#N/A</v>
      </c>
      <c r="C1448" s="8"/>
      <c r="D1448" s="8"/>
      <c r="E1448" s="7"/>
      <c r="F1448" s="7"/>
      <c r="G1448" s="7"/>
      <c r="H1448" s="118"/>
      <c r="I1448" s="7"/>
      <c r="J1448" s="7"/>
      <c r="K1448" s="7"/>
      <c r="L1448" s="7"/>
      <c r="M1448" s="7"/>
      <c r="N1448" s="7"/>
      <c r="O1448" s="84" t="e" cm="1">
        <f t="array" ref="O1448">_xlfn.XLOOKUP(1,(A1448=Geotech!$A$4:$A$10094)*(Data_Discontinuities[[#This Row],[Depth (m)]]&gt;=Geotech!$C$4:$C$10094)*(Data_Discontinuities[[#This Row],[Depth (m)]]&lt;Geotech!$D$4:$D$10094),Geotech!$M$4:$M$10094)</f>
        <v>#N/A</v>
      </c>
      <c r="P1448" s="84"/>
      <c r="Q1448" s="84"/>
      <c r="R1448" s="84"/>
      <c r="S14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8" s="71" t="str">
        <f>IFERROR(Data_Discontinuities[[#This Row],[Joint roughness]]/Data_Discontinuities[[#This Row],[Joint alteration]],"")</f>
        <v/>
      </c>
      <c r="V14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8" s="87"/>
    </row>
    <row r="1449" spans="2:23" ht="15" customHeight="1" x14ac:dyDescent="0.25">
      <c r="B1449" s="17" t="e">
        <f>VLOOKUP(Data_Discontinuities[[#This Row],[Hole ID]],Data_Log[],2,FALSE)</f>
        <v>#N/A</v>
      </c>
      <c r="C1449" s="8"/>
      <c r="D1449" s="8"/>
      <c r="E1449" s="7"/>
      <c r="F1449" s="7"/>
      <c r="G1449" s="7"/>
      <c r="H1449" s="118"/>
      <c r="I1449" s="7"/>
      <c r="J1449" s="7"/>
      <c r="K1449" s="7"/>
      <c r="L1449" s="7"/>
      <c r="M1449" s="7"/>
      <c r="N1449" s="7"/>
      <c r="O1449" s="84" t="e" cm="1">
        <f t="array" ref="O1449">_xlfn.XLOOKUP(1,(A1449=Geotech!$A$4:$A$10094)*(Data_Discontinuities[[#This Row],[Depth (m)]]&gt;=Geotech!$C$4:$C$10094)*(Data_Discontinuities[[#This Row],[Depth (m)]]&lt;Geotech!$D$4:$D$10094),Geotech!$M$4:$M$10094)</f>
        <v>#N/A</v>
      </c>
      <c r="P1449" s="84"/>
      <c r="Q1449" s="84"/>
      <c r="R1449" s="84"/>
      <c r="S14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49" s="71" t="str">
        <f>IFERROR(Data_Discontinuities[[#This Row],[Joint roughness]]/Data_Discontinuities[[#This Row],[Joint alteration]],"")</f>
        <v/>
      </c>
      <c r="V14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49" s="87"/>
    </row>
    <row r="1450" spans="2:23" ht="15" customHeight="1" x14ac:dyDescent="0.25">
      <c r="B1450" s="17" t="e">
        <f>VLOOKUP(Data_Discontinuities[[#This Row],[Hole ID]],Data_Log[],2,FALSE)</f>
        <v>#N/A</v>
      </c>
      <c r="C1450" s="8"/>
      <c r="D1450" s="8"/>
      <c r="E1450" s="7"/>
      <c r="F1450" s="7"/>
      <c r="G1450" s="7"/>
      <c r="H1450" s="118"/>
      <c r="I1450" s="7"/>
      <c r="J1450" s="7"/>
      <c r="K1450" s="7"/>
      <c r="L1450" s="7"/>
      <c r="M1450" s="7"/>
      <c r="N1450" s="7"/>
      <c r="O1450" s="84" t="e" cm="1">
        <f t="array" ref="O1450">_xlfn.XLOOKUP(1,(A1450=Geotech!$A$4:$A$10094)*(Data_Discontinuities[[#This Row],[Depth (m)]]&gt;=Geotech!$C$4:$C$10094)*(Data_Discontinuities[[#This Row],[Depth (m)]]&lt;Geotech!$D$4:$D$10094),Geotech!$M$4:$M$10094)</f>
        <v>#N/A</v>
      </c>
      <c r="P1450" s="84"/>
      <c r="Q1450" s="84"/>
      <c r="R1450" s="84"/>
      <c r="S14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0" s="71" t="str">
        <f>IFERROR(Data_Discontinuities[[#This Row],[Joint roughness]]/Data_Discontinuities[[#This Row],[Joint alteration]],"")</f>
        <v/>
      </c>
      <c r="V14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0" s="87"/>
    </row>
    <row r="1451" spans="2:23" ht="15" customHeight="1" x14ac:dyDescent="0.25">
      <c r="B1451" s="17" t="e">
        <f>VLOOKUP(Data_Discontinuities[[#This Row],[Hole ID]],Data_Log[],2,FALSE)</f>
        <v>#N/A</v>
      </c>
      <c r="C1451" s="8"/>
      <c r="D1451" s="8"/>
      <c r="E1451" s="7"/>
      <c r="F1451" s="7"/>
      <c r="G1451" s="7"/>
      <c r="H1451" s="118"/>
      <c r="I1451" s="7"/>
      <c r="J1451" s="7"/>
      <c r="K1451" s="7"/>
      <c r="L1451" s="7"/>
      <c r="M1451" s="7"/>
      <c r="N1451" s="7"/>
      <c r="O1451" s="84" t="e" cm="1">
        <f t="array" ref="O1451">_xlfn.XLOOKUP(1,(A1451=Geotech!$A$4:$A$10094)*(Data_Discontinuities[[#This Row],[Depth (m)]]&gt;=Geotech!$C$4:$C$10094)*(Data_Discontinuities[[#This Row],[Depth (m)]]&lt;Geotech!$D$4:$D$10094),Geotech!$M$4:$M$10094)</f>
        <v>#N/A</v>
      </c>
      <c r="P1451" s="84"/>
      <c r="Q1451" s="84"/>
      <c r="R1451" s="84"/>
      <c r="S14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1" s="71" t="str">
        <f>IFERROR(Data_Discontinuities[[#This Row],[Joint roughness]]/Data_Discontinuities[[#This Row],[Joint alteration]],"")</f>
        <v/>
      </c>
      <c r="V14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1" s="87"/>
    </row>
    <row r="1452" spans="2:23" ht="15" customHeight="1" x14ac:dyDescent="0.25">
      <c r="B1452" s="17" t="e">
        <f>VLOOKUP(Data_Discontinuities[[#This Row],[Hole ID]],Data_Log[],2,FALSE)</f>
        <v>#N/A</v>
      </c>
      <c r="C1452" s="8"/>
      <c r="D1452" s="8"/>
      <c r="E1452" s="7"/>
      <c r="F1452" s="7"/>
      <c r="G1452" s="7"/>
      <c r="H1452" s="118"/>
      <c r="I1452" s="7"/>
      <c r="J1452" s="7"/>
      <c r="K1452" s="7"/>
      <c r="L1452" s="7"/>
      <c r="M1452" s="7"/>
      <c r="N1452" s="7"/>
      <c r="O1452" s="84" t="e" cm="1">
        <f t="array" ref="O1452">_xlfn.XLOOKUP(1,(A1452=Geotech!$A$4:$A$10094)*(Data_Discontinuities[[#This Row],[Depth (m)]]&gt;=Geotech!$C$4:$C$10094)*(Data_Discontinuities[[#This Row],[Depth (m)]]&lt;Geotech!$D$4:$D$10094),Geotech!$M$4:$M$10094)</f>
        <v>#N/A</v>
      </c>
      <c r="P1452" s="84"/>
      <c r="Q1452" s="84"/>
      <c r="R1452" s="84"/>
      <c r="S14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2" s="71" t="str">
        <f>IFERROR(Data_Discontinuities[[#This Row],[Joint roughness]]/Data_Discontinuities[[#This Row],[Joint alteration]],"")</f>
        <v/>
      </c>
      <c r="V14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2" s="87"/>
    </row>
    <row r="1453" spans="2:23" ht="15" customHeight="1" x14ac:dyDescent="0.25">
      <c r="B1453" s="17" t="e">
        <f>VLOOKUP(Data_Discontinuities[[#This Row],[Hole ID]],Data_Log[],2,FALSE)</f>
        <v>#N/A</v>
      </c>
      <c r="C1453" s="8"/>
      <c r="D1453" s="8"/>
      <c r="E1453" s="7"/>
      <c r="F1453" s="7"/>
      <c r="G1453" s="7"/>
      <c r="H1453" s="118"/>
      <c r="I1453" s="7"/>
      <c r="J1453" s="7"/>
      <c r="K1453" s="7"/>
      <c r="L1453" s="7"/>
      <c r="M1453" s="7"/>
      <c r="N1453" s="7"/>
      <c r="O1453" s="84" t="e" cm="1">
        <f t="array" ref="O1453">_xlfn.XLOOKUP(1,(A1453=Geotech!$A$4:$A$10094)*(Data_Discontinuities[[#This Row],[Depth (m)]]&gt;=Geotech!$C$4:$C$10094)*(Data_Discontinuities[[#This Row],[Depth (m)]]&lt;Geotech!$D$4:$D$10094),Geotech!$M$4:$M$10094)</f>
        <v>#N/A</v>
      </c>
      <c r="P1453" s="84"/>
      <c r="Q1453" s="84"/>
      <c r="R1453" s="84"/>
      <c r="S14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3" s="71" t="str">
        <f>IFERROR(Data_Discontinuities[[#This Row],[Joint roughness]]/Data_Discontinuities[[#This Row],[Joint alteration]],"")</f>
        <v/>
      </c>
      <c r="V14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3" s="87"/>
    </row>
    <row r="1454" spans="2:23" ht="15" customHeight="1" x14ac:dyDescent="0.25">
      <c r="B1454" s="17" t="e">
        <f>VLOOKUP(Data_Discontinuities[[#This Row],[Hole ID]],Data_Log[],2,FALSE)</f>
        <v>#N/A</v>
      </c>
      <c r="C1454" s="8"/>
      <c r="D1454" s="8"/>
      <c r="E1454" s="7"/>
      <c r="F1454" s="7"/>
      <c r="G1454" s="7"/>
      <c r="H1454" s="118"/>
      <c r="I1454" s="7"/>
      <c r="J1454" s="7"/>
      <c r="K1454" s="7"/>
      <c r="L1454" s="7"/>
      <c r="M1454" s="7"/>
      <c r="N1454" s="7"/>
      <c r="O1454" s="84" t="e" cm="1">
        <f t="array" ref="O1454">_xlfn.XLOOKUP(1,(A1454=Geotech!$A$4:$A$10094)*(Data_Discontinuities[[#This Row],[Depth (m)]]&gt;=Geotech!$C$4:$C$10094)*(Data_Discontinuities[[#This Row],[Depth (m)]]&lt;Geotech!$D$4:$D$10094),Geotech!$M$4:$M$10094)</f>
        <v>#N/A</v>
      </c>
      <c r="P1454" s="84"/>
      <c r="Q1454" s="84"/>
      <c r="R1454" s="84"/>
      <c r="S14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4" s="71" t="str">
        <f>IFERROR(Data_Discontinuities[[#This Row],[Joint roughness]]/Data_Discontinuities[[#This Row],[Joint alteration]],"")</f>
        <v/>
      </c>
      <c r="V14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4" s="87"/>
    </row>
    <row r="1455" spans="2:23" ht="15" customHeight="1" x14ac:dyDescent="0.25">
      <c r="B1455" s="17" t="e">
        <f>VLOOKUP(Data_Discontinuities[[#This Row],[Hole ID]],Data_Log[],2,FALSE)</f>
        <v>#N/A</v>
      </c>
      <c r="C1455" s="8"/>
      <c r="D1455" s="8"/>
      <c r="E1455" s="7"/>
      <c r="F1455" s="7"/>
      <c r="G1455" s="7"/>
      <c r="H1455" s="118"/>
      <c r="I1455" s="7"/>
      <c r="J1455" s="7"/>
      <c r="K1455" s="7"/>
      <c r="L1455" s="7"/>
      <c r="M1455" s="7"/>
      <c r="N1455" s="7"/>
      <c r="O1455" s="84" t="e" cm="1">
        <f t="array" ref="O1455">_xlfn.XLOOKUP(1,(A1455=Geotech!$A$4:$A$10094)*(Data_Discontinuities[[#This Row],[Depth (m)]]&gt;=Geotech!$C$4:$C$10094)*(Data_Discontinuities[[#This Row],[Depth (m)]]&lt;Geotech!$D$4:$D$10094),Geotech!$M$4:$M$10094)</f>
        <v>#N/A</v>
      </c>
      <c r="P1455" s="84"/>
      <c r="Q1455" s="84"/>
      <c r="R1455" s="84"/>
      <c r="S14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5" s="71" t="str">
        <f>IFERROR(Data_Discontinuities[[#This Row],[Joint roughness]]/Data_Discontinuities[[#This Row],[Joint alteration]],"")</f>
        <v/>
      </c>
      <c r="V14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5" s="87"/>
    </row>
    <row r="1456" spans="2:23" ht="15" customHeight="1" x14ac:dyDescent="0.25">
      <c r="B1456" s="17" t="e">
        <f>VLOOKUP(Data_Discontinuities[[#This Row],[Hole ID]],Data_Log[],2,FALSE)</f>
        <v>#N/A</v>
      </c>
      <c r="C1456" s="8"/>
      <c r="D1456" s="8"/>
      <c r="E1456" s="7"/>
      <c r="F1456" s="7"/>
      <c r="G1456" s="7"/>
      <c r="H1456" s="118"/>
      <c r="I1456" s="7"/>
      <c r="J1456" s="7"/>
      <c r="K1456" s="7"/>
      <c r="L1456" s="7"/>
      <c r="M1456" s="7"/>
      <c r="N1456" s="7"/>
      <c r="O1456" s="84" t="e" cm="1">
        <f t="array" ref="O1456">_xlfn.XLOOKUP(1,(A1456=Geotech!$A$4:$A$10094)*(Data_Discontinuities[[#This Row],[Depth (m)]]&gt;=Geotech!$C$4:$C$10094)*(Data_Discontinuities[[#This Row],[Depth (m)]]&lt;Geotech!$D$4:$D$10094),Geotech!$M$4:$M$10094)</f>
        <v>#N/A</v>
      </c>
      <c r="P1456" s="84"/>
      <c r="Q1456" s="84"/>
      <c r="R1456" s="84"/>
      <c r="S14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6" s="71" t="str">
        <f>IFERROR(Data_Discontinuities[[#This Row],[Joint roughness]]/Data_Discontinuities[[#This Row],[Joint alteration]],"")</f>
        <v/>
      </c>
      <c r="V14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6" s="87"/>
    </row>
    <row r="1457" spans="2:23" ht="15" customHeight="1" x14ac:dyDescent="0.25">
      <c r="B1457" s="17" t="e">
        <f>VLOOKUP(Data_Discontinuities[[#This Row],[Hole ID]],Data_Log[],2,FALSE)</f>
        <v>#N/A</v>
      </c>
      <c r="C1457" s="8"/>
      <c r="D1457" s="8"/>
      <c r="E1457" s="7"/>
      <c r="F1457" s="7"/>
      <c r="G1457" s="7"/>
      <c r="H1457" s="118"/>
      <c r="I1457" s="7"/>
      <c r="J1457" s="7"/>
      <c r="K1457" s="7"/>
      <c r="L1457" s="7"/>
      <c r="M1457" s="7"/>
      <c r="N1457" s="7"/>
      <c r="O1457" s="84" t="e" cm="1">
        <f t="array" ref="O1457">_xlfn.XLOOKUP(1,(A1457=Geotech!$A$4:$A$10094)*(Data_Discontinuities[[#This Row],[Depth (m)]]&gt;=Geotech!$C$4:$C$10094)*(Data_Discontinuities[[#This Row],[Depth (m)]]&lt;Geotech!$D$4:$D$10094),Geotech!$M$4:$M$10094)</f>
        <v>#N/A</v>
      </c>
      <c r="P1457" s="84"/>
      <c r="Q1457" s="84"/>
      <c r="R1457" s="84"/>
      <c r="S14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7" s="71" t="str">
        <f>IFERROR(Data_Discontinuities[[#This Row],[Joint roughness]]/Data_Discontinuities[[#This Row],[Joint alteration]],"")</f>
        <v/>
      </c>
      <c r="V14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7" s="87"/>
    </row>
    <row r="1458" spans="2:23" ht="15" customHeight="1" x14ac:dyDescent="0.25">
      <c r="B1458" s="17" t="e">
        <f>VLOOKUP(Data_Discontinuities[[#This Row],[Hole ID]],Data_Log[],2,FALSE)</f>
        <v>#N/A</v>
      </c>
      <c r="C1458" s="8"/>
      <c r="D1458" s="8"/>
      <c r="E1458" s="7"/>
      <c r="F1458" s="7"/>
      <c r="G1458" s="7"/>
      <c r="H1458" s="118"/>
      <c r="I1458" s="7"/>
      <c r="J1458" s="7"/>
      <c r="K1458" s="7"/>
      <c r="L1458" s="7"/>
      <c r="M1458" s="7"/>
      <c r="N1458" s="7"/>
      <c r="O1458" s="84" t="e" cm="1">
        <f t="array" ref="O1458">_xlfn.XLOOKUP(1,(A1458=Geotech!$A$4:$A$10094)*(Data_Discontinuities[[#This Row],[Depth (m)]]&gt;=Geotech!$C$4:$C$10094)*(Data_Discontinuities[[#This Row],[Depth (m)]]&lt;Geotech!$D$4:$D$10094),Geotech!$M$4:$M$10094)</f>
        <v>#N/A</v>
      </c>
      <c r="P1458" s="84"/>
      <c r="Q1458" s="84"/>
      <c r="R1458" s="84"/>
      <c r="S14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8" s="71" t="str">
        <f>IFERROR(Data_Discontinuities[[#This Row],[Joint roughness]]/Data_Discontinuities[[#This Row],[Joint alteration]],"")</f>
        <v/>
      </c>
      <c r="V14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8" s="87"/>
    </row>
    <row r="1459" spans="2:23" ht="15" customHeight="1" x14ac:dyDescent="0.25">
      <c r="B1459" s="17" t="e">
        <f>VLOOKUP(Data_Discontinuities[[#This Row],[Hole ID]],Data_Log[],2,FALSE)</f>
        <v>#N/A</v>
      </c>
      <c r="C1459" s="8"/>
      <c r="D1459" s="8"/>
      <c r="E1459" s="7"/>
      <c r="F1459" s="7"/>
      <c r="G1459" s="7"/>
      <c r="H1459" s="118"/>
      <c r="I1459" s="7"/>
      <c r="J1459" s="7"/>
      <c r="K1459" s="7"/>
      <c r="L1459" s="7"/>
      <c r="M1459" s="7"/>
      <c r="N1459" s="7"/>
      <c r="O1459" s="84" t="e" cm="1">
        <f t="array" ref="O1459">_xlfn.XLOOKUP(1,(A1459=Geotech!$A$4:$A$10094)*(Data_Discontinuities[[#This Row],[Depth (m)]]&gt;=Geotech!$C$4:$C$10094)*(Data_Discontinuities[[#This Row],[Depth (m)]]&lt;Geotech!$D$4:$D$10094),Geotech!$M$4:$M$10094)</f>
        <v>#N/A</v>
      </c>
      <c r="P1459" s="84"/>
      <c r="Q1459" s="84"/>
      <c r="R1459" s="84"/>
      <c r="S14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59" s="71" t="str">
        <f>IFERROR(Data_Discontinuities[[#This Row],[Joint roughness]]/Data_Discontinuities[[#This Row],[Joint alteration]],"")</f>
        <v/>
      </c>
      <c r="V14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59" s="87"/>
    </row>
    <row r="1460" spans="2:23" ht="15" customHeight="1" x14ac:dyDescent="0.25">
      <c r="B1460" s="17" t="e">
        <f>VLOOKUP(Data_Discontinuities[[#This Row],[Hole ID]],Data_Log[],2,FALSE)</f>
        <v>#N/A</v>
      </c>
      <c r="C1460" s="8"/>
      <c r="D1460" s="8"/>
      <c r="E1460" s="7"/>
      <c r="F1460" s="7"/>
      <c r="G1460" s="7"/>
      <c r="H1460" s="118"/>
      <c r="I1460" s="7"/>
      <c r="J1460" s="7"/>
      <c r="K1460" s="7"/>
      <c r="L1460" s="7"/>
      <c r="M1460" s="7"/>
      <c r="N1460" s="7"/>
      <c r="O1460" s="84" t="e" cm="1">
        <f t="array" ref="O1460">_xlfn.XLOOKUP(1,(A1460=Geotech!$A$4:$A$10094)*(Data_Discontinuities[[#This Row],[Depth (m)]]&gt;=Geotech!$C$4:$C$10094)*(Data_Discontinuities[[#This Row],[Depth (m)]]&lt;Geotech!$D$4:$D$10094),Geotech!$M$4:$M$10094)</f>
        <v>#N/A</v>
      </c>
      <c r="P1460" s="84"/>
      <c r="Q1460" s="84"/>
      <c r="R1460" s="84"/>
      <c r="S14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0" s="71" t="str">
        <f>IFERROR(Data_Discontinuities[[#This Row],[Joint roughness]]/Data_Discontinuities[[#This Row],[Joint alteration]],"")</f>
        <v/>
      </c>
      <c r="V14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0" s="87"/>
    </row>
    <row r="1461" spans="2:23" ht="15" customHeight="1" x14ac:dyDescent="0.25">
      <c r="B1461" s="17" t="e">
        <f>VLOOKUP(Data_Discontinuities[[#This Row],[Hole ID]],Data_Log[],2,FALSE)</f>
        <v>#N/A</v>
      </c>
      <c r="C1461" s="8"/>
      <c r="D1461" s="8"/>
      <c r="E1461" s="7"/>
      <c r="F1461" s="7"/>
      <c r="G1461" s="7"/>
      <c r="H1461" s="118"/>
      <c r="I1461" s="7"/>
      <c r="J1461" s="7"/>
      <c r="K1461" s="7"/>
      <c r="L1461" s="7"/>
      <c r="M1461" s="7"/>
      <c r="N1461" s="7"/>
      <c r="O1461" s="84" t="e" cm="1">
        <f t="array" ref="O1461">_xlfn.XLOOKUP(1,(A1461=Geotech!$A$4:$A$10094)*(Data_Discontinuities[[#This Row],[Depth (m)]]&gt;=Geotech!$C$4:$C$10094)*(Data_Discontinuities[[#This Row],[Depth (m)]]&lt;Geotech!$D$4:$D$10094),Geotech!$M$4:$M$10094)</f>
        <v>#N/A</v>
      </c>
      <c r="P1461" s="84"/>
      <c r="Q1461" s="84"/>
      <c r="R1461" s="84"/>
      <c r="S14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1" s="71" t="str">
        <f>IFERROR(Data_Discontinuities[[#This Row],[Joint roughness]]/Data_Discontinuities[[#This Row],[Joint alteration]],"")</f>
        <v/>
      </c>
      <c r="V14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1" s="87"/>
    </row>
    <row r="1462" spans="2:23" ht="15" customHeight="1" x14ac:dyDescent="0.25">
      <c r="B1462" s="17" t="e">
        <f>VLOOKUP(Data_Discontinuities[[#This Row],[Hole ID]],Data_Log[],2,FALSE)</f>
        <v>#N/A</v>
      </c>
      <c r="C1462" s="8"/>
      <c r="D1462" s="8"/>
      <c r="E1462" s="7"/>
      <c r="F1462" s="7"/>
      <c r="G1462" s="7"/>
      <c r="H1462" s="118"/>
      <c r="I1462" s="7"/>
      <c r="J1462" s="7"/>
      <c r="K1462" s="7"/>
      <c r="L1462" s="7"/>
      <c r="M1462" s="7"/>
      <c r="N1462" s="7"/>
      <c r="O1462" s="84" t="e" cm="1">
        <f t="array" ref="O1462">_xlfn.XLOOKUP(1,(A1462=Geotech!$A$4:$A$10094)*(Data_Discontinuities[[#This Row],[Depth (m)]]&gt;=Geotech!$C$4:$C$10094)*(Data_Discontinuities[[#This Row],[Depth (m)]]&lt;Geotech!$D$4:$D$10094),Geotech!$M$4:$M$10094)</f>
        <v>#N/A</v>
      </c>
      <c r="P1462" s="84"/>
      <c r="Q1462" s="84"/>
      <c r="R1462" s="84"/>
      <c r="S14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2" s="71" t="str">
        <f>IFERROR(Data_Discontinuities[[#This Row],[Joint roughness]]/Data_Discontinuities[[#This Row],[Joint alteration]],"")</f>
        <v/>
      </c>
      <c r="V14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2" s="87"/>
    </row>
    <row r="1463" spans="2:23" ht="15" customHeight="1" x14ac:dyDescent="0.25">
      <c r="B1463" s="17" t="e">
        <f>VLOOKUP(Data_Discontinuities[[#This Row],[Hole ID]],Data_Log[],2,FALSE)</f>
        <v>#N/A</v>
      </c>
      <c r="C1463" s="8"/>
      <c r="D1463" s="8"/>
      <c r="E1463" s="7"/>
      <c r="F1463" s="7"/>
      <c r="G1463" s="7"/>
      <c r="H1463" s="118"/>
      <c r="I1463" s="7"/>
      <c r="J1463" s="7"/>
      <c r="K1463" s="7"/>
      <c r="L1463" s="7"/>
      <c r="M1463" s="7"/>
      <c r="N1463" s="7"/>
      <c r="O1463" s="84" t="e" cm="1">
        <f t="array" ref="O1463">_xlfn.XLOOKUP(1,(A1463=Geotech!$A$4:$A$10094)*(Data_Discontinuities[[#This Row],[Depth (m)]]&gt;=Geotech!$C$4:$C$10094)*(Data_Discontinuities[[#This Row],[Depth (m)]]&lt;Geotech!$D$4:$D$10094),Geotech!$M$4:$M$10094)</f>
        <v>#N/A</v>
      </c>
      <c r="P1463" s="84"/>
      <c r="Q1463" s="84"/>
      <c r="R1463" s="84"/>
      <c r="S14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3" s="71" t="str">
        <f>IFERROR(Data_Discontinuities[[#This Row],[Joint roughness]]/Data_Discontinuities[[#This Row],[Joint alteration]],"")</f>
        <v/>
      </c>
      <c r="V14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3" s="87"/>
    </row>
    <row r="1464" spans="2:23" ht="15" customHeight="1" x14ac:dyDescent="0.25">
      <c r="B1464" s="17" t="e">
        <f>VLOOKUP(Data_Discontinuities[[#This Row],[Hole ID]],Data_Log[],2,FALSE)</f>
        <v>#N/A</v>
      </c>
      <c r="C1464" s="8"/>
      <c r="D1464" s="8"/>
      <c r="E1464" s="7"/>
      <c r="F1464" s="7"/>
      <c r="G1464" s="7"/>
      <c r="H1464" s="118"/>
      <c r="I1464" s="7"/>
      <c r="J1464" s="7"/>
      <c r="K1464" s="7"/>
      <c r="L1464" s="7"/>
      <c r="M1464" s="7"/>
      <c r="N1464" s="7"/>
      <c r="O1464" s="84" t="e" cm="1">
        <f t="array" ref="O1464">_xlfn.XLOOKUP(1,(A1464=Geotech!$A$4:$A$10094)*(Data_Discontinuities[[#This Row],[Depth (m)]]&gt;=Geotech!$C$4:$C$10094)*(Data_Discontinuities[[#This Row],[Depth (m)]]&lt;Geotech!$D$4:$D$10094),Geotech!$M$4:$M$10094)</f>
        <v>#N/A</v>
      </c>
      <c r="P1464" s="84"/>
      <c r="Q1464" s="84"/>
      <c r="R1464" s="84"/>
      <c r="S14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4" s="71" t="str">
        <f>IFERROR(Data_Discontinuities[[#This Row],[Joint roughness]]/Data_Discontinuities[[#This Row],[Joint alteration]],"")</f>
        <v/>
      </c>
      <c r="V14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4" s="87"/>
    </row>
    <row r="1465" spans="2:23" ht="15" customHeight="1" x14ac:dyDescent="0.25">
      <c r="B1465" s="17" t="e">
        <f>VLOOKUP(Data_Discontinuities[[#This Row],[Hole ID]],Data_Log[],2,FALSE)</f>
        <v>#N/A</v>
      </c>
      <c r="C1465" s="8"/>
      <c r="D1465" s="8"/>
      <c r="E1465" s="7"/>
      <c r="F1465" s="7"/>
      <c r="G1465" s="7"/>
      <c r="H1465" s="118"/>
      <c r="I1465" s="7"/>
      <c r="J1465" s="7"/>
      <c r="K1465" s="7"/>
      <c r="L1465" s="7"/>
      <c r="M1465" s="7"/>
      <c r="N1465" s="7"/>
      <c r="O1465" s="84" t="e" cm="1">
        <f t="array" ref="O1465">_xlfn.XLOOKUP(1,(A1465=Geotech!$A$4:$A$10094)*(Data_Discontinuities[[#This Row],[Depth (m)]]&gt;=Geotech!$C$4:$C$10094)*(Data_Discontinuities[[#This Row],[Depth (m)]]&lt;Geotech!$D$4:$D$10094),Geotech!$M$4:$M$10094)</f>
        <v>#N/A</v>
      </c>
      <c r="P1465" s="84"/>
      <c r="Q1465" s="84"/>
      <c r="R1465" s="84"/>
      <c r="S14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5" s="71" t="str">
        <f>IFERROR(Data_Discontinuities[[#This Row],[Joint roughness]]/Data_Discontinuities[[#This Row],[Joint alteration]],"")</f>
        <v/>
      </c>
      <c r="V14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5" s="87"/>
    </row>
    <row r="1466" spans="2:23" ht="15" customHeight="1" x14ac:dyDescent="0.25">
      <c r="B1466" s="17" t="e">
        <f>VLOOKUP(Data_Discontinuities[[#This Row],[Hole ID]],Data_Log[],2,FALSE)</f>
        <v>#N/A</v>
      </c>
      <c r="C1466" s="8"/>
      <c r="D1466" s="8"/>
      <c r="E1466" s="7"/>
      <c r="F1466" s="7"/>
      <c r="G1466" s="7"/>
      <c r="H1466" s="118"/>
      <c r="I1466" s="7"/>
      <c r="J1466" s="7"/>
      <c r="K1466" s="7"/>
      <c r="L1466" s="7"/>
      <c r="M1466" s="7"/>
      <c r="N1466" s="7"/>
      <c r="O1466" s="84" t="e" cm="1">
        <f t="array" ref="O1466">_xlfn.XLOOKUP(1,(A1466=Geotech!$A$4:$A$10094)*(Data_Discontinuities[[#This Row],[Depth (m)]]&gt;=Geotech!$C$4:$C$10094)*(Data_Discontinuities[[#This Row],[Depth (m)]]&lt;Geotech!$D$4:$D$10094),Geotech!$M$4:$M$10094)</f>
        <v>#N/A</v>
      </c>
      <c r="P1466" s="84"/>
      <c r="Q1466" s="84"/>
      <c r="R1466" s="84"/>
      <c r="S14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6" s="71" t="str">
        <f>IFERROR(Data_Discontinuities[[#This Row],[Joint roughness]]/Data_Discontinuities[[#This Row],[Joint alteration]],"")</f>
        <v/>
      </c>
      <c r="V14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6" s="87"/>
    </row>
    <row r="1467" spans="2:23" ht="15" customHeight="1" x14ac:dyDescent="0.25">
      <c r="B1467" s="17" t="e">
        <f>VLOOKUP(Data_Discontinuities[[#This Row],[Hole ID]],Data_Log[],2,FALSE)</f>
        <v>#N/A</v>
      </c>
      <c r="C1467" s="8"/>
      <c r="D1467" s="8"/>
      <c r="E1467" s="7"/>
      <c r="F1467" s="7"/>
      <c r="G1467" s="7"/>
      <c r="H1467" s="118"/>
      <c r="I1467" s="7"/>
      <c r="J1467" s="7"/>
      <c r="K1467" s="7"/>
      <c r="L1467" s="7"/>
      <c r="M1467" s="7"/>
      <c r="N1467" s="7"/>
      <c r="O1467" s="84" t="e" cm="1">
        <f t="array" ref="O1467">_xlfn.XLOOKUP(1,(A1467=Geotech!$A$4:$A$10094)*(Data_Discontinuities[[#This Row],[Depth (m)]]&gt;=Geotech!$C$4:$C$10094)*(Data_Discontinuities[[#This Row],[Depth (m)]]&lt;Geotech!$D$4:$D$10094),Geotech!$M$4:$M$10094)</f>
        <v>#N/A</v>
      </c>
      <c r="P1467" s="84"/>
      <c r="Q1467" s="84"/>
      <c r="R1467" s="84"/>
      <c r="S14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7" s="71" t="str">
        <f>IFERROR(Data_Discontinuities[[#This Row],[Joint roughness]]/Data_Discontinuities[[#This Row],[Joint alteration]],"")</f>
        <v/>
      </c>
      <c r="V14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7" s="87"/>
    </row>
    <row r="1468" spans="2:23" ht="15" customHeight="1" x14ac:dyDescent="0.25">
      <c r="B1468" s="17" t="e">
        <f>VLOOKUP(Data_Discontinuities[[#This Row],[Hole ID]],Data_Log[],2,FALSE)</f>
        <v>#N/A</v>
      </c>
      <c r="C1468" s="8"/>
      <c r="D1468" s="8"/>
      <c r="E1468" s="7"/>
      <c r="F1468" s="7"/>
      <c r="G1468" s="7"/>
      <c r="H1468" s="118"/>
      <c r="I1468" s="7"/>
      <c r="J1468" s="7"/>
      <c r="K1468" s="7"/>
      <c r="L1468" s="7"/>
      <c r="M1468" s="7"/>
      <c r="N1468" s="7"/>
      <c r="O1468" s="84" t="e" cm="1">
        <f t="array" ref="O1468">_xlfn.XLOOKUP(1,(A1468=Geotech!$A$4:$A$10094)*(Data_Discontinuities[[#This Row],[Depth (m)]]&gt;=Geotech!$C$4:$C$10094)*(Data_Discontinuities[[#This Row],[Depth (m)]]&lt;Geotech!$D$4:$D$10094),Geotech!$M$4:$M$10094)</f>
        <v>#N/A</v>
      </c>
      <c r="P1468" s="84"/>
      <c r="Q1468" s="84"/>
      <c r="R1468" s="84"/>
      <c r="S14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8" s="71" t="str">
        <f>IFERROR(Data_Discontinuities[[#This Row],[Joint roughness]]/Data_Discontinuities[[#This Row],[Joint alteration]],"")</f>
        <v/>
      </c>
      <c r="V14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8" s="87"/>
    </row>
    <row r="1469" spans="2:23" ht="15" customHeight="1" x14ac:dyDescent="0.25">
      <c r="B1469" s="17" t="e">
        <f>VLOOKUP(Data_Discontinuities[[#This Row],[Hole ID]],Data_Log[],2,FALSE)</f>
        <v>#N/A</v>
      </c>
      <c r="C1469" s="8"/>
      <c r="D1469" s="8"/>
      <c r="E1469" s="7"/>
      <c r="F1469" s="7"/>
      <c r="G1469" s="7"/>
      <c r="H1469" s="118"/>
      <c r="I1469" s="7"/>
      <c r="J1469" s="7"/>
      <c r="K1469" s="7"/>
      <c r="L1469" s="7"/>
      <c r="M1469" s="7"/>
      <c r="N1469" s="7"/>
      <c r="O1469" s="84" t="e" cm="1">
        <f t="array" ref="O1469">_xlfn.XLOOKUP(1,(A1469=Geotech!$A$4:$A$10094)*(Data_Discontinuities[[#This Row],[Depth (m)]]&gt;=Geotech!$C$4:$C$10094)*(Data_Discontinuities[[#This Row],[Depth (m)]]&lt;Geotech!$D$4:$D$10094),Geotech!$M$4:$M$10094)</f>
        <v>#N/A</v>
      </c>
      <c r="P1469" s="84"/>
      <c r="Q1469" s="84"/>
      <c r="R1469" s="84"/>
      <c r="S14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69" s="71" t="str">
        <f>IFERROR(Data_Discontinuities[[#This Row],[Joint roughness]]/Data_Discontinuities[[#This Row],[Joint alteration]],"")</f>
        <v/>
      </c>
      <c r="V14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69" s="87"/>
    </row>
    <row r="1470" spans="2:23" ht="15" customHeight="1" x14ac:dyDescent="0.25">
      <c r="B1470" s="17" t="e">
        <f>VLOOKUP(Data_Discontinuities[[#This Row],[Hole ID]],Data_Log[],2,FALSE)</f>
        <v>#N/A</v>
      </c>
      <c r="C1470" s="8"/>
      <c r="D1470" s="8"/>
      <c r="E1470" s="7"/>
      <c r="F1470" s="7"/>
      <c r="G1470" s="7"/>
      <c r="H1470" s="118"/>
      <c r="I1470" s="7"/>
      <c r="J1470" s="7"/>
      <c r="K1470" s="7"/>
      <c r="L1470" s="7"/>
      <c r="M1470" s="7"/>
      <c r="N1470" s="7"/>
      <c r="O1470" s="84" t="e" cm="1">
        <f t="array" ref="O1470">_xlfn.XLOOKUP(1,(A1470=Geotech!$A$4:$A$10094)*(Data_Discontinuities[[#This Row],[Depth (m)]]&gt;=Geotech!$C$4:$C$10094)*(Data_Discontinuities[[#This Row],[Depth (m)]]&lt;Geotech!$D$4:$D$10094),Geotech!$M$4:$M$10094)</f>
        <v>#N/A</v>
      </c>
      <c r="P1470" s="84"/>
      <c r="Q1470" s="84"/>
      <c r="R1470" s="84"/>
      <c r="S14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0" s="71" t="str">
        <f>IFERROR(Data_Discontinuities[[#This Row],[Joint roughness]]/Data_Discontinuities[[#This Row],[Joint alteration]],"")</f>
        <v/>
      </c>
      <c r="V14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0" s="87"/>
    </row>
    <row r="1471" spans="2:23" ht="15" customHeight="1" x14ac:dyDescent="0.25">
      <c r="B1471" s="17" t="e">
        <f>VLOOKUP(Data_Discontinuities[[#This Row],[Hole ID]],Data_Log[],2,FALSE)</f>
        <v>#N/A</v>
      </c>
      <c r="C1471" s="8"/>
      <c r="D1471" s="8"/>
      <c r="E1471" s="7"/>
      <c r="F1471" s="7"/>
      <c r="G1471" s="7"/>
      <c r="H1471" s="118"/>
      <c r="I1471" s="7"/>
      <c r="J1471" s="7"/>
      <c r="K1471" s="7"/>
      <c r="L1471" s="7"/>
      <c r="M1471" s="7"/>
      <c r="N1471" s="7"/>
      <c r="O1471" s="84" t="e" cm="1">
        <f t="array" ref="O1471">_xlfn.XLOOKUP(1,(A1471=Geotech!$A$4:$A$10094)*(Data_Discontinuities[[#This Row],[Depth (m)]]&gt;=Geotech!$C$4:$C$10094)*(Data_Discontinuities[[#This Row],[Depth (m)]]&lt;Geotech!$D$4:$D$10094),Geotech!$M$4:$M$10094)</f>
        <v>#N/A</v>
      </c>
      <c r="P1471" s="84"/>
      <c r="Q1471" s="84"/>
      <c r="R1471" s="84"/>
      <c r="S14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1" s="71" t="str">
        <f>IFERROR(Data_Discontinuities[[#This Row],[Joint roughness]]/Data_Discontinuities[[#This Row],[Joint alteration]],"")</f>
        <v/>
      </c>
      <c r="V14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1" s="87"/>
    </row>
    <row r="1472" spans="2:23" ht="15" customHeight="1" x14ac:dyDescent="0.25">
      <c r="B1472" s="17" t="e">
        <f>VLOOKUP(Data_Discontinuities[[#This Row],[Hole ID]],Data_Log[],2,FALSE)</f>
        <v>#N/A</v>
      </c>
      <c r="C1472" s="8"/>
      <c r="D1472" s="8"/>
      <c r="E1472" s="7"/>
      <c r="F1472" s="7"/>
      <c r="G1472" s="7"/>
      <c r="H1472" s="118"/>
      <c r="I1472" s="7"/>
      <c r="J1472" s="7"/>
      <c r="K1472" s="7"/>
      <c r="L1472" s="7"/>
      <c r="M1472" s="7"/>
      <c r="N1472" s="7"/>
      <c r="O1472" s="84" t="e" cm="1">
        <f t="array" ref="O1472">_xlfn.XLOOKUP(1,(A1472=Geotech!$A$4:$A$10094)*(Data_Discontinuities[[#This Row],[Depth (m)]]&gt;=Geotech!$C$4:$C$10094)*(Data_Discontinuities[[#This Row],[Depth (m)]]&lt;Geotech!$D$4:$D$10094),Geotech!$M$4:$M$10094)</f>
        <v>#N/A</v>
      </c>
      <c r="P1472" s="84"/>
      <c r="Q1472" s="84"/>
      <c r="R1472" s="84"/>
      <c r="S14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2" s="71" t="str">
        <f>IFERROR(Data_Discontinuities[[#This Row],[Joint roughness]]/Data_Discontinuities[[#This Row],[Joint alteration]],"")</f>
        <v/>
      </c>
      <c r="V14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2" s="87"/>
    </row>
    <row r="1473" spans="2:23" ht="15" customHeight="1" x14ac:dyDescent="0.25">
      <c r="B1473" s="17" t="e">
        <f>VLOOKUP(Data_Discontinuities[[#This Row],[Hole ID]],Data_Log[],2,FALSE)</f>
        <v>#N/A</v>
      </c>
      <c r="C1473" s="8"/>
      <c r="D1473" s="8"/>
      <c r="E1473" s="7"/>
      <c r="F1473" s="7"/>
      <c r="G1473" s="7"/>
      <c r="H1473" s="118"/>
      <c r="I1473" s="7"/>
      <c r="J1473" s="7"/>
      <c r="K1473" s="7"/>
      <c r="L1473" s="7"/>
      <c r="M1473" s="7"/>
      <c r="N1473" s="7"/>
      <c r="O1473" s="84" t="e" cm="1">
        <f t="array" ref="O1473">_xlfn.XLOOKUP(1,(A1473=Geotech!$A$4:$A$10094)*(Data_Discontinuities[[#This Row],[Depth (m)]]&gt;=Geotech!$C$4:$C$10094)*(Data_Discontinuities[[#This Row],[Depth (m)]]&lt;Geotech!$D$4:$D$10094),Geotech!$M$4:$M$10094)</f>
        <v>#N/A</v>
      </c>
      <c r="P1473" s="84"/>
      <c r="Q1473" s="84"/>
      <c r="R1473" s="84"/>
      <c r="S14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3" s="71" t="str">
        <f>IFERROR(Data_Discontinuities[[#This Row],[Joint roughness]]/Data_Discontinuities[[#This Row],[Joint alteration]],"")</f>
        <v/>
      </c>
      <c r="V14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3" s="87"/>
    </row>
    <row r="1474" spans="2:23" ht="15" customHeight="1" x14ac:dyDescent="0.25">
      <c r="B1474" s="17" t="e">
        <f>VLOOKUP(Data_Discontinuities[[#This Row],[Hole ID]],Data_Log[],2,FALSE)</f>
        <v>#N/A</v>
      </c>
      <c r="C1474" s="8"/>
      <c r="D1474" s="8"/>
      <c r="E1474" s="7"/>
      <c r="F1474" s="7"/>
      <c r="G1474" s="7"/>
      <c r="H1474" s="118"/>
      <c r="I1474" s="7"/>
      <c r="J1474" s="7"/>
      <c r="K1474" s="7"/>
      <c r="L1474" s="7"/>
      <c r="M1474" s="7"/>
      <c r="N1474" s="7"/>
      <c r="O1474" s="84" t="e" cm="1">
        <f t="array" ref="O1474">_xlfn.XLOOKUP(1,(A1474=Geotech!$A$4:$A$10094)*(Data_Discontinuities[[#This Row],[Depth (m)]]&gt;=Geotech!$C$4:$C$10094)*(Data_Discontinuities[[#This Row],[Depth (m)]]&lt;Geotech!$D$4:$D$10094),Geotech!$M$4:$M$10094)</f>
        <v>#N/A</v>
      </c>
      <c r="P1474" s="84"/>
      <c r="Q1474" s="84"/>
      <c r="R1474" s="84"/>
      <c r="S14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4" s="71" t="str">
        <f>IFERROR(Data_Discontinuities[[#This Row],[Joint roughness]]/Data_Discontinuities[[#This Row],[Joint alteration]],"")</f>
        <v/>
      </c>
      <c r="V14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4" s="87"/>
    </row>
    <row r="1475" spans="2:23" ht="15" customHeight="1" x14ac:dyDescent="0.25">
      <c r="B1475" s="17" t="e">
        <f>VLOOKUP(Data_Discontinuities[[#This Row],[Hole ID]],Data_Log[],2,FALSE)</f>
        <v>#N/A</v>
      </c>
      <c r="C1475" s="8"/>
      <c r="D1475" s="8"/>
      <c r="E1475" s="7"/>
      <c r="F1475" s="7"/>
      <c r="G1475" s="7"/>
      <c r="H1475" s="118"/>
      <c r="I1475" s="7"/>
      <c r="J1475" s="7"/>
      <c r="K1475" s="7"/>
      <c r="L1475" s="7"/>
      <c r="M1475" s="7"/>
      <c r="N1475" s="7"/>
      <c r="O1475" s="84" t="e" cm="1">
        <f t="array" ref="O1475">_xlfn.XLOOKUP(1,(A1475=Geotech!$A$4:$A$10094)*(Data_Discontinuities[[#This Row],[Depth (m)]]&gt;=Geotech!$C$4:$C$10094)*(Data_Discontinuities[[#This Row],[Depth (m)]]&lt;Geotech!$D$4:$D$10094),Geotech!$M$4:$M$10094)</f>
        <v>#N/A</v>
      </c>
      <c r="P1475" s="84"/>
      <c r="Q1475" s="84"/>
      <c r="R1475" s="84"/>
      <c r="S14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5" s="71" t="str">
        <f>IFERROR(Data_Discontinuities[[#This Row],[Joint roughness]]/Data_Discontinuities[[#This Row],[Joint alteration]],"")</f>
        <v/>
      </c>
      <c r="V14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5" s="87"/>
    </row>
    <row r="1476" spans="2:23" ht="15" customHeight="1" x14ac:dyDescent="0.25">
      <c r="B1476" s="17" t="e">
        <f>VLOOKUP(Data_Discontinuities[[#This Row],[Hole ID]],Data_Log[],2,FALSE)</f>
        <v>#N/A</v>
      </c>
      <c r="C1476" s="8"/>
      <c r="D1476" s="8"/>
      <c r="E1476" s="7"/>
      <c r="F1476" s="7"/>
      <c r="G1476" s="7"/>
      <c r="H1476" s="118"/>
      <c r="I1476" s="7"/>
      <c r="J1476" s="7"/>
      <c r="K1476" s="7"/>
      <c r="L1476" s="7"/>
      <c r="M1476" s="7"/>
      <c r="N1476" s="7"/>
      <c r="O1476" s="84" t="e" cm="1">
        <f t="array" ref="O1476">_xlfn.XLOOKUP(1,(A1476=Geotech!$A$4:$A$10094)*(Data_Discontinuities[[#This Row],[Depth (m)]]&gt;=Geotech!$C$4:$C$10094)*(Data_Discontinuities[[#This Row],[Depth (m)]]&lt;Geotech!$D$4:$D$10094),Geotech!$M$4:$M$10094)</f>
        <v>#N/A</v>
      </c>
      <c r="P1476" s="84"/>
      <c r="Q1476" s="84"/>
      <c r="R1476" s="84"/>
      <c r="S14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6" s="71" t="str">
        <f>IFERROR(Data_Discontinuities[[#This Row],[Joint roughness]]/Data_Discontinuities[[#This Row],[Joint alteration]],"")</f>
        <v/>
      </c>
      <c r="V14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6" s="87"/>
    </row>
    <row r="1477" spans="2:23" ht="15" customHeight="1" x14ac:dyDescent="0.25">
      <c r="B1477" s="17" t="e">
        <f>VLOOKUP(Data_Discontinuities[[#This Row],[Hole ID]],Data_Log[],2,FALSE)</f>
        <v>#N/A</v>
      </c>
      <c r="C1477" s="8"/>
      <c r="D1477" s="8"/>
      <c r="E1477" s="7"/>
      <c r="F1477" s="7"/>
      <c r="G1477" s="7"/>
      <c r="H1477" s="118"/>
      <c r="I1477" s="7"/>
      <c r="J1477" s="7"/>
      <c r="K1477" s="7"/>
      <c r="L1477" s="7"/>
      <c r="M1477" s="7"/>
      <c r="N1477" s="7"/>
      <c r="O1477" s="84" t="e" cm="1">
        <f t="array" ref="O1477">_xlfn.XLOOKUP(1,(A1477=Geotech!$A$4:$A$10094)*(Data_Discontinuities[[#This Row],[Depth (m)]]&gt;=Geotech!$C$4:$C$10094)*(Data_Discontinuities[[#This Row],[Depth (m)]]&lt;Geotech!$D$4:$D$10094),Geotech!$M$4:$M$10094)</f>
        <v>#N/A</v>
      </c>
      <c r="P1477" s="84"/>
      <c r="Q1477" s="84"/>
      <c r="R1477" s="84"/>
      <c r="S14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7" s="71" t="str">
        <f>IFERROR(Data_Discontinuities[[#This Row],[Joint roughness]]/Data_Discontinuities[[#This Row],[Joint alteration]],"")</f>
        <v/>
      </c>
      <c r="V14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7" s="87"/>
    </row>
    <row r="1478" spans="2:23" ht="15" customHeight="1" x14ac:dyDescent="0.25">
      <c r="B1478" s="17" t="e">
        <f>VLOOKUP(Data_Discontinuities[[#This Row],[Hole ID]],Data_Log[],2,FALSE)</f>
        <v>#N/A</v>
      </c>
      <c r="C1478" s="8"/>
      <c r="D1478" s="8"/>
      <c r="E1478" s="7"/>
      <c r="F1478" s="7"/>
      <c r="G1478" s="7"/>
      <c r="H1478" s="118"/>
      <c r="I1478" s="7"/>
      <c r="J1478" s="7"/>
      <c r="K1478" s="7"/>
      <c r="L1478" s="7"/>
      <c r="M1478" s="7"/>
      <c r="N1478" s="7"/>
      <c r="O1478" s="84" t="e" cm="1">
        <f t="array" ref="O1478">_xlfn.XLOOKUP(1,(A1478=Geotech!$A$4:$A$10094)*(Data_Discontinuities[[#This Row],[Depth (m)]]&gt;=Geotech!$C$4:$C$10094)*(Data_Discontinuities[[#This Row],[Depth (m)]]&lt;Geotech!$D$4:$D$10094),Geotech!$M$4:$M$10094)</f>
        <v>#N/A</v>
      </c>
      <c r="P1478" s="84"/>
      <c r="Q1478" s="84"/>
      <c r="R1478" s="84"/>
      <c r="S14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8" s="71" t="str">
        <f>IFERROR(Data_Discontinuities[[#This Row],[Joint roughness]]/Data_Discontinuities[[#This Row],[Joint alteration]],"")</f>
        <v/>
      </c>
      <c r="V14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8" s="87"/>
    </row>
    <row r="1479" spans="2:23" ht="15" customHeight="1" x14ac:dyDescent="0.25">
      <c r="B1479" s="17" t="e">
        <f>VLOOKUP(Data_Discontinuities[[#This Row],[Hole ID]],Data_Log[],2,FALSE)</f>
        <v>#N/A</v>
      </c>
      <c r="C1479" s="8"/>
      <c r="D1479" s="8"/>
      <c r="E1479" s="7"/>
      <c r="F1479" s="7"/>
      <c r="G1479" s="7"/>
      <c r="H1479" s="118"/>
      <c r="I1479" s="7"/>
      <c r="J1479" s="7"/>
      <c r="K1479" s="7"/>
      <c r="L1479" s="7"/>
      <c r="M1479" s="7"/>
      <c r="N1479" s="7"/>
      <c r="O1479" s="84" t="e" cm="1">
        <f t="array" ref="O1479">_xlfn.XLOOKUP(1,(A1479=Geotech!$A$4:$A$10094)*(Data_Discontinuities[[#This Row],[Depth (m)]]&gt;=Geotech!$C$4:$C$10094)*(Data_Discontinuities[[#This Row],[Depth (m)]]&lt;Geotech!$D$4:$D$10094),Geotech!$M$4:$M$10094)</f>
        <v>#N/A</v>
      </c>
      <c r="P1479" s="84"/>
      <c r="Q1479" s="84"/>
      <c r="R1479" s="84"/>
      <c r="S14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79" s="71" t="str">
        <f>IFERROR(Data_Discontinuities[[#This Row],[Joint roughness]]/Data_Discontinuities[[#This Row],[Joint alteration]],"")</f>
        <v/>
      </c>
      <c r="V14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79" s="87"/>
    </row>
    <row r="1480" spans="2:23" ht="15" customHeight="1" x14ac:dyDescent="0.25">
      <c r="B1480" s="17" t="e">
        <f>VLOOKUP(Data_Discontinuities[[#This Row],[Hole ID]],Data_Log[],2,FALSE)</f>
        <v>#N/A</v>
      </c>
      <c r="C1480" s="8"/>
      <c r="D1480" s="8"/>
      <c r="E1480" s="7"/>
      <c r="F1480" s="7"/>
      <c r="G1480" s="7"/>
      <c r="H1480" s="118"/>
      <c r="I1480" s="7"/>
      <c r="J1480" s="7"/>
      <c r="K1480" s="7"/>
      <c r="L1480" s="7"/>
      <c r="M1480" s="7"/>
      <c r="N1480" s="7"/>
      <c r="O1480" s="84" t="e" cm="1">
        <f t="array" ref="O1480">_xlfn.XLOOKUP(1,(A1480=Geotech!$A$4:$A$10094)*(Data_Discontinuities[[#This Row],[Depth (m)]]&gt;=Geotech!$C$4:$C$10094)*(Data_Discontinuities[[#This Row],[Depth (m)]]&lt;Geotech!$D$4:$D$10094),Geotech!$M$4:$M$10094)</f>
        <v>#N/A</v>
      </c>
      <c r="P1480" s="84"/>
      <c r="Q1480" s="84"/>
      <c r="R1480" s="84"/>
      <c r="S14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0" s="71" t="str">
        <f>IFERROR(Data_Discontinuities[[#This Row],[Joint roughness]]/Data_Discontinuities[[#This Row],[Joint alteration]],"")</f>
        <v/>
      </c>
      <c r="V14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0" s="87"/>
    </row>
    <row r="1481" spans="2:23" ht="15" customHeight="1" x14ac:dyDescent="0.25">
      <c r="B1481" s="17" t="e">
        <f>VLOOKUP(Data_Discontinuities[[#This Row],[Hole ID]],Data_Log[],2,FALSE)</f>
        <v>#N/A</v>
      </c>
      <c r="C1481" s="8"/>
      <c r="D1481" s="8"/>
      <c r="E1481" s="7"/>
      <c r="F1481" s="7"/>
      <c r="G1481" s="7"/>
      <c r="H1481" s="118"/>
      <c r="I1481" s="7"/>
      <c r="J1481" s="7"/>
      <c r="K1481" s="7"/>
      <c r="L1481" s="7"/>
      <c r="M1481" s="7"/>
      <c r="N1481" s="7"/>
      <c r="O1481" s="84" t="e" cm="1">
        <f t="array" ref="O1481">_xlfn.XLOOKUP(1,(A1481=Geotech!$A$4:$A$10094)*(Data_Discontinuities[[#This Row],[Depth (m)]]&gt;=Geotech!$C$4:$C$10094)*(Data_Discontinuities[[#This Row],[Depth (m)]]&lt;Geotech!$D$4:$D$10094),Geotech!$M$4:$M$10094)</f>
        <v>#N/A</v>
      </c>
      <c r="P1481" s="84"/>
      <c r="Q1481" s="84"/>
      <c r="R1481" s="84"/>
      <c r="S14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1" s="71" t="str">
        <f>IFERROR(Data_Discontinuities[[#This Row],[Joint roughness]]/Data_Discontinuities[[#This Row],[Joint alteration]],"")</f>
        <v/>
      </c>
      <c r="V14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1" s="87"/>
    </row>
    <row r="1482" spans="2:23" ht="15" customHeight="1" x14ac:dyDescent="0.25">
      <c r="B1482" s="17" t="e">
        <f>VLOOKUP(Data_Discontinuities[[#This Row],[Hole ID]],Data_Log[],2,FALSE)</f>
        <v>#N/A</v>
      </c>
      <c r="C1482" s="8"/>
      <c r="D1482" s="8"/>
      <c r="E1482" s="7"/>
      <c r="F1482" s="7"/>
      <c r="G1482" s="7"/>
      <c r="H1482" s="118"/>
      <c r="I1482" s="7"/>
      <c r="J1482" s="7"/>
      <c r="K1482" s="7"/>
      <c r="L1482" s="7"/>
      <c r="M1482" s="7"/>
      <c r="N1482" s="7"/>
      <c r="O1482" s="84" t="e" cm="1">
        <f t="array" ref="O1482">_xlfn.XLOOKUP(1,(A1482=Geotech!$A$4:$A$10094)*(Data_Discontinuities[[#This Row],[Depth (m)]]&gt;=Geotech!$C$4:$C$10094)*(Data_Discontinuities[[#This Row],[Depth (m)]]&lt;Geotech!$D$4:$D$10094),Geotech!$M$4:$M$10094)</f>
        <v>#N/A</v>
      </c>
      <c r="P1482" s="84"/>
      <c r="Q1482" s="84"/>
      <c r="R1482" s="84"/>
      <c r="S14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2" s="71" t="str">
        <f>IFERROR(Data_Discontinuities[[#This Row],[Joint roughness]]/Data_Discontinuities[[#This Row],[Joint alteration]],"")</f>
        <v/>
      </c>
      <c r="V14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2" s="87"/>
    </row>
    <row r="1483" spans="2:23" ht="15" customHeight="1" x14ac:dyDescent="0.25">
      <c r="B1483" s="17" t="e">
        <f>VLOOKUP(Data_Discontinuities[[#This Row],[Hole ID]],Data_Log[],2,FALSE)</f>
        <v>#N/A</v>
      </c>
      <c r="C1483" s="8"/>
      <c r="D1483" s="8"/>
      <c r="E1483" s="7"/>
      <c r="F1483" s="7"/>
      <c r="G1483" s="7"/>
      <c r="H1483" s="118"/>
      <c r="I1483" s="7"/>
      <c r="J1483" s="7"/>
      <c r="K1483" s="7"/>
      <c r="L1483" s="7"/>
      <c r="M1483" s="7"/>
      <c r="N1483" s="7"/>
      <c r="O1483" s="84" t="e" cm="1">
        <f t="array" ref="O1483">_xlfn.XLOOKUP(1,(A1483=Geotech!$A$4:$A$10094)*(Data_Discontinuities[[#This Row],[Depth (m)]]&gt;=Geotech!$C$4:$C$10094)*(Data_Discontinuities[[#This Row],[Depth (m)]]&lt;Geotech!$D$4:$D$10094),Geotech!$M$4:$M$10094)</f>
        <v>#N/A</v>
      </c>
      <c r="P1483" s="84"/>
      <c r="Q1483" s="84"/>
      <c r="R1483" s="84"/>
      <c r="S14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3" s="71" t="str">
        <f>IFERROR(Data_Discontinuities[[#This Row],[Joint roughness]]/Data_Discontinuities[[#This Row],[Joint alteration]],"")</f>
        <v/>
      </c>
      <c r="V14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3" s="87"/>
    </row>
    <row r="1484" spans="2:23" ht="15" customHeight="1" x14ac:dyDescent="0.25">
      <c r="B1484" s="17" t="e">
        <f>VLOOKUP(Data_Discontinuities[[#This Row],[Hole ID]],Data_Log[],2,FALSE)</f>
        <v>#N/A</v>
      </c>
      <c r="C1484" s="8"/>
      <c r="D1484" s="8"/>
      <c r="E1484" s="7"/>
      <c r="F1484" s="7"/>
      <c r="G1484" s="7"/>
      <c r="H1484" s="118"/>
      <c r="I1484" s="7"/>
      <c r="J1484" s="7"/>
      <c r="K1484" s="7"/>
      <c r="L1484" s="7"/>
      <c r="M1484" s="7"/>
      <c r="N1484" s="7"/>
      <c r="O1484" s="84" t="e" cm="1">
        <f t="array" ref="O1484">_xlfn.XLOOKUP(1,(A1484=Geotech!$A$4:$A$10094)*(Data_Discontinuities[[#This Row],[Depth (m)]]&gt;=Geotech!$C$4:$C$10094)*(Data_Discontinuities[[#This Row],[Depth (m)]]&lt;Geotech!$D$4:$D$10094),Geotech!$M$4:$M$10094)</f>
        <v>#N/A</v>
      </c>
      <c r="P1484" s="84"/>
      <c r="Q1484" s="84"/>
      <c r="R1484" s="84"/>
      <c r="S14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4" s="71" t="str">
        <f>IFERROR(Data_Discontinuities[[#This Row],[Joint roughness]]/Data_Discontinuities[[#This Row],[Joint alteration]],"")</f>
        <v/>
      </c>
      <c r="V14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4" s="87"/>
    </row>
    <row r="1485" spans="2:23" ht="15" customHeight="1" x14ac:dyDescent="0.25">
      <c r="B1485" s="17" t="e">
        <f>VLOOKUP(Data_Discontinuities[[#This Row],[Hole ID]],Data_Log[],2,FALSE)</f>
        <v>#N/A</v>
      </c>
      <c r="C1485" s="8"/>
      <c r="D1485" s="8"/>
      <c r="E1485" s="7"/>
      <c r="F1485" s="7"/>
      <c r="G1485" s="7"/>
      <c r="H1485" s="118"/>
      <c r="I1485" s="7"/>
      <c r="J1485" s="7"/>
      <c r="K1485" s="7"/>
      <c r="L1485" s="7"/>
      <c r="M1485" s="7"/>
      <c r="N1485" s="7"/>
      <c r="O1485" s="84" t="e" cm="1">
        <f t="array" ref="O1485">_xlfn.XLOOKUP(1,(A1485=Geotech!$A$4:$A$10094)*(Data_Discontinuities[[#This Row],[Depth (m)]]&gt;=Geotech!$C$4:$C$10094)*(Data_Discontinuities[[#This Row],[Depth (m)]]&lt;Geotech!$D$4:$D$10094),Geotech!$M$4:$M$10094)</f>
        <v>#N/A</v>
      </c>
      <c r="P1485" s="84"/>
      <c r="Q1485" s="84"/>
      <c r="R1485" s="84"/>
      <c r="S14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5" s="71" t="str">
        <f>IFERROR(Data_Discontinuities[[#This Row],[Joint roughness]]/Data_Discontinuities[[#This Row],[Joint alteration]],"")</f>
        <v/>
      </c>
      <c r="V14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5" s="87"/>
    </row>
    <row r="1486" spans="2:23" ht="15" customHeight="1" x14ac:dyDescent="0.25">
      <c r="B1486" s="17" t="e">
        <f>VLOOKUP(Data_Discontinuities[[#This Row],[Hole ID]],Data_Log[],2,FALSE)</f>
        <v>#N/A</v>
      </c>
      <c r="C1486" s="8"/>
      <c r="D1486" s="8"/>
      <c r="E1486" s="7"/>
      <c r="F1486" s="7"/>
      <c r="G1486" s="7"/>
      <c r="H1486" s="118"/>
      <c r="I1486" s="7"/>
      <c r="J1486" s="7"/>
      <c r="K1486" s="7"/>
      <c r="L1486" s="7"/>
      <c r="M1486" s="7"/>
      <c r="N1486" s="7"/>
      <c r="O1486" s="84" t="e" cm="1">
        <f t="array" ref="O1486">_xlfn.XLOOKUP(1,(A1486=Geotech!$A$4:$A$10094)*(Data_Discontinuities[[#This Row],[Depth (m)]]&gt;=Geotech!$C$4:$C$10094)*(Data_Discontinuities[[#This Row],[Depth (m)]]&lt;Geotech!$D$4:$D$10094),Geotech!$M$4:$M$10094)</f>
        <v>#N/A</v>
      </c>
      <c r="P1486" s="84"/>
      <c r="Q1486" s="84"/>
      <c r="R1486" s="84"/>
      <c r="S14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6" s="71" t="str">
        <f>IFERROR(Data_Discontinuities[[#This Row],[Joint roughness]]/Data_Discontinuities[[#This Row],[Joint alteration]],"")</f>
        <v/>
      </c>
      <c r="V14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6" s="87"/>
    </row>
    <row r="1487" spans="2:23" ht="15" customHeight="1" x14ac:dyDescent="0.25">
      <c r="B1487" s="17" t="e">
        <f>VLOOKUP(Data_Discontinuities[[#This Row],[Hole ID]],Data_Log[],2,FALSE)</f>
        <v>#N/A</v>
      </c>
      <c r="C1487" s="8"/>
      <c r="D1487" s="8"/>
      <c r="E1487" s="7"/>
      <c r="F1487" s="7"/>
      <c r="G1487" s="7"/>
      <c r="H1487" s="118"/>
      <c r="I1487" s="7"/>
      <c r="J1487" s="7"/>
      <c r="K1487" s="7"/>
      <c r="L1487" s="7"/>
      <c r="M1487" s="7"/>
      <c r="N1487" s="7"/>
      <c r="O1487" s="84" t="e" cm="1">
        <f t="array" ref="O1487">_xlfn.XLOOKUP(1,(A1487=Geotech!$A$4:$A$10094)*(Data_Discontinuities[[#This Row],[Depth (m)]]&gt;=Geotech!$C$4:$C$10094)*(Data_Discontinuities[[#This Row],[Depth (m)]]&lt;Geotech!$D$4:$D$10094),Geotech!$M$4:$M$10094)</f>
        <v>#N/A</v>
      </c>
      <c r="P1487" s="84"/>
      <c r="Q1487" s="84"/>
      <c r="R1487" s="84"/>
      <c r="S14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7" s="71" t="str">
        <f>IFERROR(Data_Discontinuities[[#This Row],[Joint roughness]]/Data_Discontinuities[[#This Row],[Joint alteration]],"")</f>
        <v/>
      </c>
      <c r="V14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7" s="87"/>
    </row>
    <row r="1488" spans="2:23" ht="15" customHeight="1" x14ac:dyDescent="0.25">
      <c r="B1488" s="17" t="e">
        <f>VLOOKUP(Data_Discontinuities[[#This Row],[Hole ID]],Data_Log[],2,FALSE)</f>
        <v>#N/A</v>
      </c>
      <c r="C1488" s="8"/>
      <c r="D1488" s="8"/>
      <c r="E1488" s="7"/>
      <c r="F1488" s="7"/>
      <c r="G1488" s="7"/>
      <c r="H1488" s="118"/>
      <c r="I1488" s="7"/>
      <c r="J1488" s="7"/>
      <c r="K1488" s="7"/>
      <c r="L1488" s="7"/>
      <c r="M1488" s="7"/>
      <c r="N1488" s="7"/>
      <c r="O1488" s="84" t="e" cm="1">
        <f t="array" ref="O1488">_xlfn.XLOOKUP(1,(A1488=Geotech!$A$4:$A$10094)*(Data_Discontinuities[[#This Row],[Depth (m)]]&gt;=Geotech!$C$4:$C$10094)*(Data_Discontinuities[[#This Row],[Depth (m)]]&lt;Geotech!$D$4:$D$10094),Geotech!$M$4:$M$10094)</f>
        <v>#N/A</v>
      </c>
      <c r="P1488" s="84"/>
      <c r="Q1488" s="84"/>
      <c r="R1488" s="84"/>
      <c r="S14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8" s="71" t="str">
        <f>IFERROR(Data_Discontinuities[[#This Row],[Joint roughness]]/Data_Discontinuities[[#This Row],[Joint alteration]],"")</f>
        <v/>
      </c>
      <c r="V14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8" s="87"/>
    </row>
    <row r="1489" spans="2:23" ht="15" customHeight="1" x14ac:dyDescent="0.25">
      <c r="B1489" s="17" t="e">
        <f>VLOOKUP(Data_Discontinuities[[#This Row],[Hole ID]],Data_Log[],2,FALSE)</f>
        <v>#N/A</v>
      </c>
      <c r="C1489" s="8"/>
      <c r="D1489" s="8"/>
      <c r="E1489" s="7"/>
      <c r="F1489" s="7"/>
      <c r="G1489" s="7"/>
      <c r="H1489" s="118"/>
      <c r="I1489" s="7"/>
      <c r="J1489" s="7"/>
      <c r="K1489" s="7"/>
      <c r="L1489" s="7"/>
      <c r="M1489" s="7"/>
      <c r="N1489" s="7"/>
      <c r="O1489" s="84" t="e" cm="1">
        <f t="array" ref="O1489">_xlfn.XLOOKUP(1,(A1489=Geotech!$A$4:$A$10094)*(Data_Discontinuities[[#This Row],[Depth (m)]]&gt;=Geotech!$C$4:$C$10094)*(Data_Discontinuities[[#This Row],[Depth (m)]]&lt;Geotech!$D$4:$D$10094),Geotech!$M$4:$M$10094)</f>
        <v>#N/A</v>
      </c>
      <c r="P1489" s="84"/>
      <c r="Q1489" s="84"/>
      <c r="R1489" s="84"/>
      <c r="S14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89" s="71" t="str">
        <f>IFERROR(Data_Discontinuities[[#This Row],[Joint roughness]]/Data_Discontinuities[[#This Row],[Joint alteration]],"")</f>
        <v/>
      </c>
      <c r="V14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89" s="87"/>
    </row>
    <row r="1490" spans="2:23" ht="15" customHeight="1" x14ac:dyDescent="0.25">
      <c r="B1490" s="17" t="e">
        <f>VLOOKUP(Data_Discontinuities[[#This Row],[Hole ID]],Data_Log[],2,FALSE)</f>
        <v>#N/A</v>
      </c>
      <c r="C1490" s="8"/>
      <c r="D1490" s="8"/>
      <c r="E1490" s="7"/>
      <c r="F1490" s="7"/>
      <c r="G1490" s="7"/>
      <c r="H1490" s="118"/>
      <c r="I1490" s="7"/>
      <c r="J1490" s="7"/>
      <c r="K1490" s="7"/>
      <c r="L1490" s="7"/>
      <c r="M1490" s="7"/>
      <c r="N1490" s="7"/>
      <c r="O1490" s="84" t="e" cm="1">
        <f t="array" ref="O1490">_xlfn.XLOOKUP(1,(A1490=Geotech!$A$4:$A$10094)*(Data_Discontinuities[[#This Row],[Depth (m)]]&gt;=Geotech!$C$4:$C$10094)*(Data_Discontinuities[[#This Row],[Depth (m)]]&lt;Geotech!$D$4:$D$10094),Geotech!$M$4:$M$10094)</f>
        <v>#N/A</v>
      </c>
      <c r="P1490" s="84"/>
      <c r="Q1490" s="84"/>
      <c r="R1490" s="84"/>
      <c r="S14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0" s="71" t="str">
        <f>IFERROR(Data_Discontinuities[[#This Row],[Joint roughness]]/Data_Discontinuities[[#This Row],[Joint alteration]],"")</f>
        <v/>
      </c>
      <c r="V14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0" s="87"/>
    </row>
    <row r="1491" spans="2:23" ht="15" customHeight="1" x14ac:dyDescent="0.25">
      <c r="B1491" s="17" t="e">
        <f>VLOOKUP(Data_Discontinuities[[#This Row],[Hole ID]],Data_Log[],2,FALSE)</f>
        <v>#N/A</v>
      </c>
      <c r="C1491" s="8"/>
      <c r="D1491" s="8"/>
      <c r="E1491" s="7"/>
      <c r="F1491" s="7"/>
      <c r="G1491" s="7"/>
      <c r="H1491" s="118"/>
      <c r="I1491" s="7"/>
      <c r="J1491" s="7"/>
      <c r="K1491" s="7"/>
      <c r="L1491" s="7"/>
      <c r="M1491" s="7"/>
      <c r="N1491" s="7"/>
      <c r="O1491" s="84" t="e" cm="1">
        <f t="array" ref="O1491">_xlfn.XLOOKUP(1,(A1491=Geotech!$A$4:$A$10094)*(Data_Discontinuities[[#This Row],[Depth (m)]]&gt;=Geotech!$C$4:$C$10094)*(Data_Discontinuities[[#This Row],[Depth (m)]]&lt;Geotech!$D$4:$D$10094),Geotech!$M$4:$M$10094)</f>
        <v>#N/A</v>
      </c>
      <c r="P1491" s="84"/>
      <c r="Q1491" s="84"/>
      <c r="R1491" s="84"/>
      <c r="S14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1" s="71" t="str">
        <f>IFERROR(Data_Discontinuities[[#This Row],[Joint roughness]]/Data_Discontinuities[[#This Row],[Joint alteration]],"")</f>
        <v/>
      </c>
      <c r="V14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1" s="87"/>
    </row>
    <row r="1492" spans="2:23" ht="15" customHeight="1" x14ac:dyDescent="0.25">
      <c r="B1492" s="17" t="e">
        <f>VLOOKUP(Data_Discontinuities[[#This Row],[Hole ID]],Data_Log[],2,FALSE)</f>
        <v>#N/A</v>
      </c>
      <c r="C1492" s="8"/>
      <c r="D1492" s="8"/>
      <c r="E1492" s="7"/>
      <c r="F1492" s="7"/>
      <c r="G1492" s="7"/>
      <c r="H1492" s="118"/>
      <c r="I1492" s="7"/>
      <c r="J1492" s="7"/>
      <c r="K1492" s="7"/>
      <c r="L1492" s="7"/>
      <c r="M1492" s="7"/>
      <c r="N1492" s="7"/>
      <c r="O1492" s="84" t="e" cm="1">
        <f t="array" ref="O1492">_xlfn.XLOOKUP(1,(A1492=Geotech!$A$4:$A$10094)*(Data_Discontinuities[[#This Row],[Depth (m)]]&gt;=Geotech!$C$4:$C$10094)*(Data_Discontinuities[[#This Row],[Depth (m)]]&lt;Geotech!$D$4:$D$10094),Geotech!$M$4:$M$10094)</f>
        <v>#N/A</v>
      </c>
      <c r="P1492" s="84"/>
      <c r="Q1492" s="84"/>
      <c r="R1492" s="84"/>
      <c r="S14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2" s="71" t="str">
        <f>IFERROR(Data_Discontinuities[[#This Row],[Joint roughness]]/Data_Discontinuities[[#This Row],[Joint alteration]],"")</f>
        <v/>
      </c>
      <c r="V14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2" s="87"/>
    </row>
    <row r="1493" spans="2:23" ht="15" customHeight="1" x14ac:dyDescent="0.25">
      <c r="B1493" s="17" t="e">
        <f>VLOOKUP(Data_Discontinuities[[#This Row],[Hole ID]],Data_Log[],2,FALSE)</f>
        <v>#N/A</v>
      </c>
      <c r="C1493" s="8"/>
      <c r="D1493" s="8"/>
      <c r="E1493" s="7"/>
      <c r="F1493" s="7"/>
      <c r="G1493" s="7"/>
      <c r="H1493" s="118"/>
      <c r="I1493" s="7"/>
      <c r="J1493" s="7"/>
      <c r="K1493" s="7"/>
      <c r="L1493" s="7"/>
      <c r="M1493" s="7"/>
      <c r="N1493" s="7"/>
      <c r="O1493" s="84" t="e" cm="1">
        <f t="array" ref="O1493">_xlfn.XLOOKUP(1,(A1493=Geotech!$A$4:$A$10094)*(Data_Discontinuities[[#This Row],[Depth (m)]]&gt;=Geotech!$C$4:$C$10094)*(Data_Discontinuities[[#This Row],[Depth (m)]]&lt;Geotech!$D$4:$D$10094),Geotech!$M$4:$M$10094)</f>
        <v>#N/A</v>
      </c>
      <c r="P1493" s="84"/>
      <c r="Q1493" s="84"/>
      <c r="R1493" s="84"/>
      <c r="S14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3" s="71" t="str">
        <f>IFERROR(Data_Discontinuities[[#This Row],[Joint roughness]]/Data_Discontinuities[[#This Row],[Joint alteration]],"")</f>
        <v/>
      </c>
      <c r="V14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3" s="87"/>
    </row>
    <row r="1494" spans="2:23" ht="15" customHeight="1" x14ac:dyDescent="0.25">
      <c r="B1494" s="17" t="e">
        <f>VLOOKUP(Data_Discontinuities[[#This Row],[Hole ID]],Data_Log[],2,FALSE)</f>
        <v>#N/A</v>
      </c>
      <c r="C1494" s="8"/>
      <c r="D1494" s="8"/>
      <c r="E1494" s="7"/>
      <c r="F1494" s="7"/>
      <c r="G1494" s="7"/>
      <c r="H1494" s="118"/>
      <c r="I1494" s="7"/>
      <c r="J1494" s="7"/>
      <c r="K1494" s="7"/>
      <c r="L1494" s="7"/>
      <c r="M1494" s="7"/>
      <c r="N1494" s="7"/>
      <c r="O1494" s="84" t="e" cm="1">
        <f t="array" ref="O1494">_xlfn.XLOOKUP(1,(A1494=Geotech!$A$4:$A$10094)*(Data_Discontinuities[[#This Row],[Depth (m)]]&gt;=Geotech!$C$4:$C$10094)*(Data_Discontinuities[[#This Row],[Depth (m)]]&lt;Geotech!$D$4:$D$10094),Geotech!$M$4:$M$10094)</f>
        <v>#N/A</v>
      </c>
      <c r="P1494" s="84"/>
      <c r="Q1494" s="84"/>
      <c r="R1494" s="84"/>
      <c r="S14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4" s="71" t="str">
        <f>IFERROR(Data_Discontinuities[[#This Row],[Joint roughness]]/Data_Discontinuities[[#This Row],[Joint alteration]],"")</f>
        <v/>
      </c>
      <c r="V14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4" s="87"/>
    </row>
    <row r="1495" spans="2:23" ht="15" customHeight="1" x14ac:dyDescent="0.25">
      <c r="B1495" s="17" t="e">
        <f>VLOOKUP(Data_Discontinuities[[#This Row],[Hole ID]],Data_Log[],2,FALSE)</f>
        <v>#N/A</v>
      </c>
      <c r="C1495" s="8"/>
      <c r="D1495" s="8"/>
      <c r="E1495" s="7"/>
      <c r="F1495" s="7"/>
      <c r="G1495" s="7"/>
      <c r="H1495" s="118"/>
      <c r="I1495" s="7"/>
      <c r="J1495" s="7"/>
      <c r="K1495" s="7"/>
      <c r="L1495" s="7"/>
      <c r="M1495" s="7"/>
      <c r="N1495" s="7"/>
      <c r="O1495" s="84" t="e" cm="1">
        <f t="array" ref="O1495">_xlfn.XLOOKUP(1,(A1495=Geotech!$A$4:$A$10094)*(Data_Discontinuities[[#This Row],[Depth (m)]]&gt;=Geotech!$C$4:$C$10094)*(Data_Discontinuities[[#This Row],[Depth (m)]]&lt;Geotech!$D$4:$D$10094),Geotech!$M$4:$M$10094)</f>
        <v>#N/A</v>
      </c>
      <c r="P1495" s="84"/>
      <c r="Q1495" s="84"/>
      <c r="R1495" s="84"/>
      <c r="S14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5" s="71" t="str">
        <f>IFERROR(Data_Discontinuities[[#This Row],[Joint roughness]]/Data_Discontinuities[[#This Row],[Joint alteration]],"")</f>
        <v/>
      </c>
      <c r="V14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5" s="87"/>
    </row>
    <row r="1496" spans="2:23" ht="15" customHeight="1" x14ac:dyDescent="0.25">
      <c r="B1496" s="17" t="e">
        <f>VLOOKUP(Data_Discontinuities[[#This Row],[Hole ID]],Data_Log[],2,FALSE)</f>
        <v>#N/A</v>
      </c>
      <c r="C1496" s="8"/>
      <c r="D1496" s="8"/>
      <c r="E1496" s="7"/>
      <c r="F1496" s="7"/>
      <c r="G1496" s="7"/>
      <c r="H1496" s="118"/>
      <c r="I1496" s="7"/>
      <c r="J1496" s="7"/>
      <c r="K1496" s="7"/>
      <c r="L1496" s="7"/>
      <c r="M1496" s="7"/>
      <c r="N1496" s="7"/>
      <c r="O1496" s="84" t="e" cm="1">
        <f t="array" ref="O1496">_xlfn.XLOOKUP(1,(A1496=Geotech!$A$4:$A$10094)*(Data_Discontinuities[[#This Row],[Depth (m)]]&gt;=Geotech!$C$4:$C$10094)*(Data_Discontinuities[[#This Row],[Depth (m)]]&lt;Geotech!$D$4:$D$10094),Geotech!$M$4:$M$10094)</f>
        <v>#N/A</v>
      </c>
      <c r="P1496" s="84"/>
      <c r="Q1496" s="84"/>
      <c r="R1496" s="84"/>
      <c r="S14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6" s="71" t="str">
        <f>IFERROR(Data_Discontinuities[[#This Row],[Joint roughness]]/Data_Discontinuities[[#This Row],[Joint alteration]],"")</f>
        <v/>
      </c>
      <c r="V14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6" s="87"/>
    </row>
    <row r="1497" spans="2:23" ht="15" customHeight="1" x14ac:dyDescent="0.25">
      <c r="B1497" s="17" t="e">
        <f>VLOOKUP(Data_Discontinuities[[#This Row],[Hole ID]],Data_Log[],2,FALSE)</f>
        <v>#N/A</v>
      </c>
      <c r="C1497" s="8"/>
      <c r="D1497" s="8"/>
      <c r="E1497" s="7"/>
      <c r="F1497" s="7"/>
      <c r="G1497" s="7"/>
      <c r="H1497" s="118"/>
      <c r="I1497" s="7"/>
      <c r="J1497" s="7"/>
      <c r="K1497" s="7"/>
      <c r="L1497" s="7"/>
      <c r="M1497" s="7"/>
      <c r="N1497" s="7"/>
      <c r="O1497" s="84" t="e" cm="1">
        <f t="array" ref="O1497">_xlfn.XLOOKUP(1,(A1497=Geotech!$A$4:$A$10094)*(Data_Discontinuities[[#This Row],[Depth (m)]]&gt;=Geotech!$C$4:$C$10094)*(Data_Discontinuities[[#This Row],[Depth (m)]]&lt;Geotech!$D$4:$D$10094),Geotech!$M$4:$M$10094)</f>
        <v>#N/A</v>
      </c>
      <c r="P1497" s="84"/>
      <c r="Q1497" s="84"/>
      <c r="R1497" s="84"/>
      <c r="S14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7" s="71" t="str">
        <f>IFERROR(Data_Discontinuities[[#This Row],[Joint roughness]]/Data_Discontinuities[[#This Row],[Joint alteration]],"")</f>
        <v/>
      </c>
      <c r="V14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7" s="87"/>
    </row>
    <row r="1498" spans="2:23" ht="15" customHeight="1" x14ac:dyDescent="0.25">
      <c r="B1498" s="17" t="e">
        <f>VLOOKUP(Data_Discontinuities[[#This Row],[Hole ID]],Data_Log[],2,FALSE)</f>
        <v>#N/A</v>
      </c>
      <c r="C1498" s="8"/>
      <c r="D1498" s="8"/>
      <c r="E1498" s="7"/>
      <c r="F1498" s="7"/>
      <c r="G1498" s="7"/>
      <c r="H1498" s="118"/>
      <c r="I1498" s="7"/>
      <c r="J1498" s="7"/>
      <c r="K1498" s="7"/>
      <c r="L1498" s="7"/>
      <c r="M1498" s="7"/>
      <c r="N1498" s="7"/>
      <c r="O1498" s="84" t="e" cm="1">
        <f t="array" ref="O1498">_xlfn.XLOOKUP(1,(A1498=Geotech!$A$4:$A$10094)*(Data_Discontinuities[[#This Row],[Depth (m)]]&gt;=Geotech!$C$4:$C$10094)*(Data_Discontinuities[[#This Row],[Depth (m)]]&lt;Geotech!$D$4:$D$10094),Geotech!$M$4:$M$10094)</f>
        <v>#N/A</v>
      </c>
      <c r="P1498" s="84"/>
      <c r="Q1498" s="84"/>
      <c r="R1498" s="84"/>
      <c r="S14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8" s="71" t="str">
        <f>IFERROR(Data_Discontinuities[[#This Row],[Joint roughness]]/Data_Discontinuities[[#This Row],[Joint alteration]],"")</f>
        <v/>
      </c>
      <c r="V14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8" s="87"/>
    </row>
    <row r="1499" spans="2:23" ht="15" customHeight="1" x14ac:dyDescent="0.25">
      <c r="B1499" s="17" t="e">
        <f>VLOOKUP(Data_Discontinuities[[#This Row],[Hole ID]],Data_Log[],2,FALSE)</f>
        <v>#N/A</v>
      </c>
      <c r="C1499" s="8"/>
      <c r="D1499" s="8"/>
      <c r="E1499" s="7"/>
      <c r="F1499" s="7"/>
      <c r="G1499" s="7"/>
      <c r="H1499" s="118"/>
      <c r="I1499" s="7"/>
      <c r="J1499" s="7"/>
      <c r="K1499" s="7"/>
      <c r="L1499" s="7"/>
      <c r="M1499" s="7"/>
      <c r="N1499" s="7"/>
      <c r="O1499" s="84" t="e" cm="1">
        <f t="array" ref="O1499">_xlfn.XLOOKUP(1,(A1499=Geotech!$A$4:$A$10094)*(Data_Discontinuities[[#This Row],[Depth (m)]]&gt;=Geotech!$C$4:$C$10094)*(Data_Discontinuities[[#This Row],[Depth (m)]]&lt;Geotech!$D$4:$D$10094),Geotech!$M$4:$M$10094)</f>
        <v>#N/A</v>
      </c>
      <c r="P1499" s="84"/>
      <c r="Q1499" s="84"/>
      <c r="R1499" s="84"/>
      <c r="S14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4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499" s="71" t="str">
        <f>IFERROR(Data_Discontinuities[[#This Row],[Joint roughness]]/Data_Discontinuities[[#This Row],[Joint alteration]],"")</f>
        <v/>
      </c>
      <c r="V14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499" s="87"/>
    </row>
    <row r="1500" spans="2:23" ht="15" customHeight="1" x14ac:dyDescent="0.25">
      <c r="B1500" s="17" t="e">
        <f>VLOOKUP(Data_Discontinuities[[#This Row],[Hole ID]],Data_Log[],2,FALSE)</f>
        <v>#N/A</v>
      </c>
      <c r="C1500" s="8"/>
      <c r="D1500" s="8"/>
      <c r="E1500" s="7"/>
      <c r="F1500" s="7"/>
      <c r="G1500" s="7"/>
      <c r="H1500" s="118"/>
      <c r="I1500" s="7"/>
      <c r="J1500" s="7"/>
      <c r="K1500" s="7"/>
      <c r="L1500" s="7"/>
      <c r="M1500" s="7"/>
      <c r="N1500" s="7"/>
      <c r="O1500" s="84" t="e" cm="1">
        <f t="array" ref="O1500">_xlfn.XLOOKUP(1,(A1500=Geotech!$A$4:$A$10094)*(Data_Discontinuities[[#This Row],[Depth (m)]]&gt;=Geotech!$C$4:$C$10094)*(Data_Discontinuities[[#This Row],[Depth (m)]]&lt;Geotech!$D$4:$D$10094),Geotech!$M$4:$M$10094)</f>
        <v>#N/A</v>
      </c>
      <c r="P1500" s="84"/>
      <c r="Q1500" s="84"/>
      <c r="R1500" s="84"/>
      <c r="S15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0" s="71" t="str">
        <f>IFERROR(Data_Discontinuities[[#This Row],[Joint roughness]]/Data_Discontinuities[[#This Row],[Joint alteration]],"")</f>
        <v/>
      </c>
      <c r="V15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0" s="87"/>
    </row>
    <row r="1501" spans="2:23" ht="15" customHeight="1" x14ac:dyDescent="0.25">
      <c r="B1501" s="17" t="e">
        <f>VLOOKUP(Data_Discontinuities[[#This Row],[Hole ID]],Data_Log[],2,FALSE)</f>
        <v>#N/A</v>
      </c>
      <c r="C1501" s="8"/>
      <c r="D1501" s="8"/>
      <c r="E1501" s="7"/>
      <c r="F1501" s="7"/>
      <c r="G1501" s="7"/>
      <c r="H1501" s="118"/>
      <c r="I1501" s="7"/>
      <c r="J1501" s="7"/>
      <c r="K1501" s="7"/>
      <c r="L1501" s="7"/>
      <c r="M1501" s="7"/>
      <c r="N1501" s="7"/>
      <c r="O1501" s="84" t="e" cm="1">
        <f t="array" ref="O1501">_xlfn.XLOOKUP(1,(A1501=Geotech!$A$4:$A$10094)*(Data_Discontinuities[[#This Row],[Depth (m)]]&gt;=Geotech!$C$4:$C$10094)*(Data_Discontinuities[[#This Row],[Depth (m)]]&lt;Geotech!$D$4:$D$10094),Geotech!$M$4:$M$10094)</f>
        <v>#N/A</v>
      </c>
      <c r="P1501" s="84"/>
      <c r="Q1501" s="84"/>
      <c r="R1501" s="84"/>
      <c r="S15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1" s="71" t="str">
        <f>IFERROR(Data_Discontinuities[[#This Row],[Joint roughness]]/Data_Discontinuities[[#This Row],[Joint alteration]],"")</f>
        <v/>
      </c>
      <c r="V15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1" s="87"/>
    </row>
    <row r="1502" spans="2:23" ht="15" customHeight="1" x14ac:dyDescent="0.25">
      <c r="B1502" s="17" t="e">
        <f>VLOOKUP(Data_Discontinuities[[#This Row],[Hole ID]],Data_Log[],2,FALSE)</f>
        <v>#N/A</v>
      </c>
      <c r="C1502" s="8"/>
      <c r="D1502" s="8"/>
      <c r="E1502" s="7"/>
      <c r="F1502" s="7"/>
      <c r="G1502" s="7"/>
      <c r="H1502" s="118"/>
      <c r="I1502" s="7"/>
      <c r="J1502" s="7"/>
      <c r="K1502" s="7"/>
      <c r="L1502" s="7"/>
      <c r="M1502" s="7"/>
      <c r="N1502" s="7"/>
      <c r="O1502" s="84" t="e" cm="1">
        <f t="array" ref="O1502">_xlfn.XLOOKUP(1,(A1502=Geotech!$A$4:$A$10094)*(Data_Discontinuities[[#This Row],[Depth (m)]]&gt;=Geotech!$C$4:$C$10094)*(Data_Discontinuities[[#This Row],[Depth (m)]]&lt;Geotech!$D$4:$D$10094),Geotech!$M$4:$M$10094)</f>
        <v>#N/A</v>
      </c>
      <c r="P1502" s="84"/>
      <c r="Q1502" s="84"/>
      <c r="R1502" s="84"/>
      <c r="S15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2" s="71" t="str">
        <f>IFERROR(Data_Discontinuities[[#This Row],[Joint roughness]]/Data_Discontinuities[[#This Row],[Joint alteration]],"")</f>
        <v/>
      </c>
      <c r="V15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2" s="87"/>
    </row>
    <row r="1503" spans="2:23" ht="15" customHeight="1" x14ac:dyDescent="0.25">
      <c r="B1503" s="17" t="e">
        <f>VLOOKUP(Data_Discontinuities[[#This Row],[Hole ID]],Data_Log[],2,FALSE)</f>
        <v>#N/A</v>
      </c>
      <c r="C1503" s="8"/>
      <c r="D1503" s="8"/>
      <c r="E1503" s="7"/>
      <c r="F1503" s="7"/>
      <c r="G1503" s="7"/>
      <c r="H1503" s="118"/>
      <c r="I1503" s="7"/>
      <c r="J1503" s="7"/>
      <c r="K1503" s="7"/>
      <c r="L1503" s="7"/>
      <c r="M1503" s="7"/>
      <c r="N1503" s="7"/>
      <c r="O1503" s="84" t="e" cm="1">
        <f t="array" ref="O1503">_xlfn.XLOOKUP(1,(A1503=Geotech!$A$4:$A$10094)*(Data_Discontinuities[[#This Row],[Depth (m)]]&gt;=Geotech!$C$4:$C$10094)*(Data_Discontinuities[[#This Row],[Depth (m)]]&lt;Geotech!$D$4:$D$10094),Geotech!$M$4:$M$10094)</f>
        <v>#N/A</v>
      </c>
      <c r="P1503" s="84"/>
      <c r="Q1503" s="84"/>
      <c r="R1503" s="84"/>
      <c r="S15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3" s="71" t="str">
        <f>IFERROR(Data_Discontinuities[[#This Row],[Joint roughness]]/Data_Discontinuities[[#This Row],[Joint alteration]],"")</f>
        <v/>
      </c>
      <c r="V15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3" s="87"/>
    </row>
    <row r="1504" spans="2:23" ht="15" customHeight="1" x14ac:dyDescent="0.25">
      <c r="B1504" s="17" t="e">
        <f>VLOOKUP(Data_Discontinuities[[#This Row],[Hole ID]],Data_Log[],2,FALSE)</f>
        <v>#N/A</v>
      </c>
      <c r="C1504" s="8"/>
      <c r="D1504" s="8"/>
      <c r="E1504" s="7"/>
      <c r="F1504" s="7"/>
      <c r="G1504" s="7"/>
      <c r="H1504" s="118"/>
      <c r="I1504" s="7"/>
      <c r="J1504" s="7"/>
      <c r="K1504" s="7"/>
      <c r="L1504" s="7"/>
      <c r="M1504" s="7"/>
      <c r="N1504" s="7"/>
      <c r="O1504" s="84" t="e" cm="1">
        <f t="array" ref="O1504">_xlfn.XLOOKUP(1,(A1504=Geotech!$A$4:$A$10094)*(Data_Discontinuities[[#This Row],[Depth (m)]]&gt;=Geotech!$C$4:$C$10094)*(Data_Discontinuities[[#This Row],[Depth (m)]]&lt;Geotech!$D$4:$D$10094),Geotech!$M$4:$M$10094)</f>
        <v>#N/A</v>
      </c>
      <c r="P1504" s="84"/>
      <c r="Q1504" s="84"/>
      <c r="R1504" s="84"/>
      <c r="S15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4" s="71" t="str">
        <f>IFERROR(Data_Discontinuities[[#This Row],[Joint roughness]]/Data_Discontinuities[[#This Row],[Joint alteration]],"")</f>
        <v/>
      </c>
      <c r="V15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4" s="87"/>
    </row>
    <row r="1505" spans="2:23" ht="15" customHeight="1" x14ac:dyDescent="0.25">
      <c r="B1505" s="17" t="e">
        <f>VLOOKUP(Data_Discontinuities[[#This Row],[Hole ID]],Data_Log[],2,FALSE)</f>
        <v>#N/A</v>
      </c>
      <c r="C1505" s="8"/>
      <c r="D1505" s="8"/>
      <c r="E1505" s="7"/>
      <c r="F1505" s="7"/>
      <c r="G1505" s="7"/>
      <c r="H1505" s="118"/>
      <c r="I1505" s="7"/>
      <c r="J1505" s="7"/>
      <c r="K1505" s="7"/>
      <c r="L1505" s="7"/>
      <c r="M1505" s="7"/>
      <c r="N1505" s="7"/>
      <c r="O1505" s="84" t="e" cm="1">
        <f t="array" ref="O1505">_xlfn.XLOOKUP(1,(A1505=Geotech!$A$4:$A$10094)*(Data_Discontinuities[[#This Row],[Depth (m)]]&gt;=Geotech!$C$4:$C$10094)*(Data_Discontinuities[[#This Row],[Depth (m)]]&lt;Geotech!$D$4:$D$10094),Geotech!$M$4:$M$10094)</f>
        <v>#N/A</v>
      </c>
      <c r="P1505" s="84"/>
      <c r="Q1505" s="84"/>
      <c r="R1505" s="84"/>
      <c r="S15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5" s="71" t="str">
        <f>IFERROR(Data_Discontinuities[[#This Row],[Joint roughness]]/Data_Discontinuities[[#This Row],[Joint alteration]],"")</f>
        <v/>
      </c>
      <c r="V15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5" s="87"/>
    </row>
    <row r="1506" spans="2:23" ht="15" customHeight="1" x14ac:dyDescent="0.25">
      <c r="B1506" s="17" t="e">
        <f>VLOOKUP(Data_Discontinuities[[#This Row],[Hole ID]],Data_Log[],2,FALSE)</f>
        <v>#N/A</v>
      </c>
      <c r="C1506" s="8"/>
      <c r="D1506" s="8"/>
      <c r="E1506" s="7"/>
      <c r="F1506" s="7"/>
      <c r="G1506" s="7"/>
      <c r="H1506" s="118"/>
      <c r="I1506" s="7"/>
      <c r="J1506" s="7"/>
      <c r="K1506" s="7"/>
      <c r="L1506" s="7"/>
      <c r="M1506" s="7"/>
      <c r="N1506" s="7"/>
      <c r="O1506" s="84" t="e" cm="1">
        <f t="array" ref="O1506">_xlfn.XLOOKUP(1,(A1506=Geotech!$A$4:$A$10094)*(Data_Discontinuities[[#This Row],[Depth (m)]]&gt;=Geotech!$C$4:$C$10094)*(Data_Discontinuities[[#This Row],[Depth (m)]]&lt;Geotech!$D$4:$D$10094),Geotech!$M$4:$M$10094)</f>
        <v>#N/A</v>
      </c>
      <c r="P1506" s="84"/>
      <c r="Q1506" s="84"/>
      <c r="R1506" s="84"/>
      <c r="S15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6" s="71" t="str">
        <f>IFERROR(Data_Discontinuities[[#This Row],[Joint roughness]]/Data_Discontinuities[[#This Row],[Joint alteration]],"")</f>
        <v/>
      </c>
      <c r="V15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6" s="87"/>
    </row>
    <row r="1507" spans="2:23" ht="15" customHeight="1" x14ac:dyDescent="0.25">
      <c r="B1507" s="17" t="e">
        <f>VLOOKUP(Data_Discontinuities[[#This Row],[Hole ID]],Data_Log[],2,FALSE)</f>
        <v>#N/A</v>
      </c>
      <c r="C1507" s="8"/>
      <c r="D1507" s="8"/>
      <c r="E1507" s="7"/>
      <c r="F1507" s="7"/>
      <c r="G1507" s="7"/>
      <c r="H1507" s="118"/>
      <c r="I1507" s="7"/>
      <c r="J1507" s="7"/>
      <c r="K1507" s="7"/>
      <c r="L1507" s="7"/>
      <c r="M1507" s="7"/>
      <c r="N1507" s="7"/>
      <c r="O1507" s="84" t="e" cm="1">
        <f t="array" ref="O1507">_xlfn.XLOOKUP(1,(A1507=Geotech!$A$4:$A$10094)*(Data_Discontinuities[[#This Row],[Depth (m)]]&gt;=Geotech!$C$4:$C$10094)*(Data_Discontinuities[[#This Row],[Depth (m)]]&lt;Geotech!$D$4:$D$10094),Geotech!$M$4:$M$10094)</f>
        <v>#N/A</v>
      </c>
      <c r="P1507" s="84"/>
      <c r="Q1507" s="84"/>
      <c r="R1507" s="84"/>
      <c r="S15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7" s="71" t="str">
        <f>IFERROR(Data_Discontinuities[[#This Row],[Joint roughness]]/Data_Discontinuities[[#This Row],[Joint alteration]],"")</f>
        <v/>
      </c>
      <c r="V15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7" s="87"/>
    </row>
    <row r="1508" spans="2:23" ht="15" customHeight="1" x14ac:dyDescent="0.25">
      <c r="B1508" s="17" t="e">
        <f>VLOOKUP(Data_Discontinuities[[#This Row],[Hole ID]],Data_Log[],2,FALSE)</f>
        <v>#N/A</v>
      </c>
      <c r="C1508" s="8"/>
      <c r="D1508" s="8"/>
      <c r="E1508" s="7"/>
      <c r="F1508" s="7"/>
      <c r="G1508" s="7"/>
      <c r="H1508" s="118"/>
      <c r="I1508" s="7"/>
      <c r="J1508" s="7"/>
      <c r="K1508" s="7"/>
      <c r="L1508" s="7"/>
      <c r="M1508" s="7"/>
      <c r="N1508" s="7"/>
      <c r="O1508" s="84" t="e" cm="1">
        <f t="array" ref="O1508">_xlfn.XLOOKUP(1,(A1508=Geotech!$A$4:$A$10094)*(Data_Discontinuities[[#This Row],[Depth (m)]]&gt;=Geotech!$C$4:$C$10094)*(Data_Discontinuities[[#This Row],[Depth (m)]]&lt;Geotech!$D$4:$D$10094),Geotech!$M$4:$M$10094)</f>
        <v>#N/A</v>
      </c>
      <c r="P1508" s="84"/>
      <c r="Q1508" s="84"/>
      <c r="R1508" s="84"/>
      <c r="S15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8" s="71" t="str">
        <f>IFERROR(Data_Discontinuities[[#This Row],[Joint roughness]]/Data_Discontinuities[[#This Row],[Joint alteration]],"")</f>
        <v/>
      </c>
      <c r="V15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8" s="87"/>
    </row>
    <row r="1509" spans="2:23" ht="15" customHeight="1" x14ac:dyDescent="0.25">
      <c r="B1509" s="17" t="e">
        <f>VLOOKUP(Data_Discontinuities[[#This Row],[Hole ID]],Data_Log[],2,FALSE)</f>
        <v>#N/A</v>
      </c>
      <c r="C1509" s="8"/>
      <c r="D1509" s="8"/>
      <c r="E1509" s="7"/>
      <c r="F1509" s="7"/>
      <c r="G1509" s="7"/>
      <c r="H1509" s="118"/>
      <c r="I1509" s="7"/>
      <c r="J1509" s="7"/>
      <c r="K1509" s="7"/>
      <c r="L1509" s="7"/>
      <c r="M1509" s="7"/>
      <c r="N1509" s="7"/>
      <c r="O1509" s="84" t="e" cm="1">
        <f t="array" ref="O1509">_xlfn.XLOOKUP(1,(A1509=Geotech!$A$4:$A$10094)*(Data_Discontinuities[[#This Row],[Depth (m)]]&gt;=Geotech!$C$4:$C$10094)*(Data_Discontinuities[[#This Row],[Depth (m)]]&lt;Geotech!$D$4:$D$10094),Geotech!$M$4:$M$10094)</f>
        <v>#N/A</v>
      </c>
      <c r="P1509" s="84"/>
      <c r="Q1509" s="84"/>
      <c r="R1509" s="84"/>
      <c r="S15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09" s="71" t="str">
        <f>IFERROR(Data_Discontinuities[[#This Row],[Joint roughness]]/Data_Discontinuities[[#This Row],[Joint alteration]],"")</f>
        <v/>
      </c>
      <c r="V15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09" s="87"/>
    </row>
    <row r="1510" spans="2:23" ht="15" customHeight="1" x14ac:dyDescent="0.25">
      <c r="B1510" s="17" t="e">
        <f>VLOOKUP(Data_Discontinuities[[#This Row],[Hole ID]],Data_Log[],2,FALSE)</f>
        <v>#N/A</v>
      </c>
      <c r="C1510" s="8"/>
      <c r="D1510" s="8"/>
      <c r="E1510" s="7"/>
      <c r="F1510" s="7"/>
      <c r="G1510" s="7"/>
      <c r="H1510" s="118"/>
      <c r="I1510" s="7"/>
      <c r="J1510" s="7"/>
      <c r="K1510" s="7"/>
      <c r="L1510" s="7"/>
      <c r="M1510" s="7"/>
      <c r="N1510" s="7"/>
      <c r="O1510" s="84" t="e" cm="1">
        <f t="array" ref="O1510">_xlfn.XLOOKUP(1,(A1510=Geotech!$A$4:$A$10094)*(Data_Discontinuities[[#This Row],[Depth (m)]]&gt;=Geotech!$C$4:$C$10094)*(Data_Discontinuities[[#This Row],[Depth (m)]]&lt;Geotech!$D$4:$D$10094),Geotech!$M$4:$M$10094)</f>
        <v>#N/A</v>
      </c>
      <c r="P1510" s="84"/>
      <c r="Q1510" s="84"/>
      <c r="R1510" s="84"/>
      <c r="S15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0" s="71" t="str">
        <f>IFERROR(Data_Discontinuities[[#This Row],[Joint roughness]]/Data_Discontinuities[[#This Row],[Joint alteration]],"")</f>
        <v/>
      </c>
      <c r="V15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0" s="87"/>
    </row>
    <row r="1511" spans="2:23" ht="15" customHeight="1" x14ac:dyDescent="0.25">
      <c r="B1511" s="17" t="e">
        <f>VLOOKUP(Data_Discontinuities[[#This Row],[Hole ID]],Data_Log[],2,FALSE)</f>
        <v>#N/A</v>
      </c>
      <c r="C1511" s="8"/>
      <c r="D1511" s="8"/>
      <c r="E1511" s="7"/>
      <c r="F1511" s="7"/>
      <c r="G1511" s="7"/>
      <c r="H1511" s="118"/>
      <c r="I1511" s="7"/>
      <c r="J1511" s="7"/>
      <c r="K1511" s="7"/>
      <c r="L1511" s="7"/>
      <c r="M1511" s="7"/>
      <c r="N1511" s="7"/>
      <c r="O1511" s="84" t="e" cm="1">
        <f t="array" ref="O1511">_xlfn.XLOOKUP(1,(A1511=Geotech!$A$4:$A$10094)*(Data_Discontinuities[[#This Row],[Depth (m)]]&gt;=Geotech!$C$4:$C$10094)*(Data_Discontinuities[[#This Row],[Depth (m)]]&lt;Geotech!$D$4:$D$10094),Geotech!$M$4:$M$10094)</f>
        <v>#N/A</v>
      </c>
      <c r="P1511" s="84"/>
      <c r="Q1511" s="84"/>
      <c r="R1511" s="84"/>
      <c r="S15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1" s="71" t="str">
        <f>IFERROR(Data_Discontinuities[[#This Row],[Joint roughness]]/Data_Discontinuities[[#This Row],[Joint alteration]],"")</f>
        <v/>
      </c>
      <c r="V15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1" s="87"/>
    </row>
    <row r="1512" spans="2:23" ht="15" customHeight="1" x14ac:dyDescent="0.25">
      <c r="B1512" s="17" t="e">
        <f>VLOOKUP(Data_Discontinuities[[#This Row],[Hole ID]],Data_Log[],2,FALSE)</f>
        <v>#N/A</v>
      </c>
      <c r="C1512" s="8"/>
      <c r="D1512" s="8"/>
      <c r="E1512" s="7"/>
      <c r="F1512" s="7"/>
      <c r="G1512" s="7"/>
      <c r="H1512" s="118"/>
      <c r="I1512" s="7"/>
      <c r="J1512" s="7"/>
      <c r="K1512" s="7"/>
      <c r="L1512" s="7"/>
      <c r="M1512" s="7"/>
      <c r="N1512" s="7"/>
      <c r="O1512" s="84" t="e" cm="1">
        <f t="array" ref="O1512">_xlfn.XLOOKUP(1,(A1512=Geotech!$A$4:$A$10094)*(Data_Discontinuities[[#This Row],[Depth (m)]]&gt;=Geotech!$C$4:$C$10094)*(Data_Discontinuities[[#This Row],[Depth (m)]]&lt;Geotech!$D$4:$D$10094),Geotech!$M$4:$M$10094)</f>
        <v>#N/A</v>
      </c>
      <c r="P1512" s="84"/>
      <c r="Q1512" s="84"/>
      <c r="R1512" s="84"/>
      <c r="S15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2" s="71" t="str">
        <f>IFERROR(Data_Discontinuities[[#This Row],[Joint roughness]]/Data_Discontinuities[[#This Row],[Joint alteration]],"")</f>
        <v/>
      </c>
      <c r="V15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2" s="87"/>
    </row>
    <row r="1513" spans="2:23" ht="15" customHeight="1" x14ac:dyDescent="0.25">
      <c r="B1513" s="17" t="e">
        <f>VLOOKUP(Data_Discontinuities[[#This Row],[Hole ID]],Data_Log[],2,FALSE)</f>
        <v>#N/A</v>
      </c>
      <c r="C1513" s="8"/>
      <c r="D1513" s="8"/>
      <c r="E1513" s="7"/>
      <c r="F1513" s="7"/>
      <c r="G1513" s="7"/>
      <c r="H1513" s="118"/>
      <c r="I1513" s="7"/>
      <c r="J1513" s="7"/>
      <c r="K1513" s="7"/>
      <c r="L1513" s="7"/>
      <c r="M1513" s="7"/>
      <c r="N1513" s="7"/>
      <c r="O1513" s="84" t="e" cm="1">
        <f t="array" ref="O1513">_xlfn.XLOOKUP(1,(A1513=Geotech!$A$4:$A$10094)*(Data_Discontinuities[[#This Row],[Depth (m)]]&gt;=Geotech!$C$4:$C$10094)*(Data_Discontinuities[[#This Row],[Depth (m)]]&lt;Geotech!$D$4:$D$10094),Geotech!$M$4:$M$10094)</f>
        <v>#N/A</v>
      </c>
      <c r="P1513" s="84"/>
      <c r="Q1513" s="84"/>
      <c r="R1513" s="84"/>
      <c r="S15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3" s="71" t="str">
        <f>IFERROR(Data_Discontinuities[[#This Row],[Joint roughness]]/Data_Discontinuities[[#This Row],[Joint alteration]],"")</f>
        <v/>
      </c>
      <c r="V15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3" s="87"/>
    </row>
    <row r="1514" spans="2:23" ht="15" customHeight="1" x14ac:dyDescent="0.25">
      <c r="B1514" s="17" t="e">
        <f>VLOOKUP(Data_Discontinuities[[#This Row],[Hole ID]],Data_Log[],2,FALSE)</f>
        <v>#N/A</v>
      </c>
      <c r="C1514" s="8"/>
      <c r="D1514" s="8"/>
      <c r="E1514" s="7"/>
      <c r="F1514" s="7"/>
      <c r="G1514" s="7"/>
      <c r="H1514" s="118"/>
      <c r="I1514" s="7"/>
      <c r="J1514" s="7"/>
      <c r="K1514" s="7"/>
      <c r="L1514" s="7"/>
      <c r="M1514" s="7"/>
      <c r="N1514" s="7"/>
      <c r="O1514" s="84" t="e" cm="1">
        <f t="array" ref="O1514">_xlfn.XLOOKUP(1,(A1514=Geotech!$A$4:$A$10094)*(Data_Discontinuities[[#This Row],[Depth (m)]]&gt;=Geotech!$C$4:$C$10094)*(Data_Discontinuities[[#This Row],[Depth (m)]]&lt;Geotech!$D$4:$D$10094),Geotech!$M$4:$M$10094)</f>
        <v>#N/A</v>
      </c>
      <c r="P1514" s="84"/>
      <c r="Q1514" s="84"/>
      <c r="R1514" s="84"/>
      <c r="S15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4" s="71" t="str">
        <f>IFERROR(Data_Discontinuities[[#This Row],[Joint roughness]]/Data_Discontinuities[[#This Row],[Joint alteration]],"")</f>
        <v/>
      </c>
      <c r="V15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4" s="87"/>
    </row>
    <row r="1515" spans="2:23" ht="15" customHeight="1" x14ac:dyDescent="0.25">
      <c r="B1515" s="17" t="e">
        <f>VLOOKUP(Data_Discontinuities[[#This Row],[Hole ID]],Data_Log[],2,FALSE)</f>
        <v>#N/A</v>
      </c>
      <c r="C1515" s="8"/>
      <c r="D1515" s="8"/>
      <c r="E1515" s="7"/>
      <c r="F1515" s="7"/>
      <c r="G1515" s="7"/>
      <c r="H1515" s="118"/>
      <c r="I1515" s="7"/>
      <c r="J1515" s="7"/>
      <c r="K1515" s="7"/>
      <c r="L1515" s="7"/>
      <c r="M1515" s="7"/>
      <c r="N1515" s="7"/>
      <c r="O1515" s="84" t="e" cm="1">
        <f t="array" ref="O1515">_xlfn.XLOOKUP(1,(A1515=Geotech!$A$4:$A$10094)*(Data_Discontinuities[[#This Row],[Depth (m)]]&gt;=Geotech!$C$4:$C$10094)*(Data_Discontinuities[[#This Row],[Depth (m)]]&lt;Geotech!$D$4:$D$10094),Geotech!$M$4:$M$10094)</f>
        <v>#N/A</v>
      </c>
      <c r="P1515" s="84"/>
      <c r="Q1515" s="84"/>
      <c r="R1515" s="84"/>
      <c r="S151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5" s="71" t="str">
        <f>IFERROR(Data_Discontinuities[[#This Row],[Joint roughness]]/Data_Discontinuities[[#This Row],[Joint alteration]],"")</f>
        <v/>
      </c>
      <c r="V151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5" s="87"/>
    </row>
    <row r="1516" spans="2:23" ht="15" customHeight="1" x14ac:dyDescent="0.25">
      <c r="B1516" s="17" t="e">
        <f>VLOOKUP(Data_Discontinuities[[#This Row],[Hole ID]],Data_Log[],2,FALSE)</f>
        <v>#N/A</v>
      </c>
      <c r="C1516" s="8"/>
      <c r="D1516" s="8"/>
      <c r="E1516" s="7"/>
      <c r="F1516" s="7"/>
      <c r="G1516" s="7"/>
      <c r="H1516" s="118"/>
      <c r="I1516" s="7"/>
      <c r="J1516" s="7"/>
      <c r="K1516" s="7"/>
      <c r="L1516" s="7"/>
      <c r="M1516" s="7"/>
      <c r="N1516" s="7"/>
      <c r="O1516" s="84" t="e" cm="1">
        <f t="array" ref="O1516">_xlfn.XLOOKUP(1,(A1516=Geotech!$A$4:$A$10094)*(Data_Discontinuities[[#This Row],[Depth (m)]]&gt;=Geotech!$C$4:$C$10094)*(Data_Discontinuities[[#This Row],[Depth (m)]]&lt;Geotech!$D$4:$D$10094),Geotech!$M$4:$M$10094)</f>
        <v>#N/A</v>
      </c>
      <c r="P1516" s="84"/>
      <c r="Q1516" s="84"/>
      <c r="R1516" s="84"/>
      <c r="S151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6" s="71" t="str">
        <f>IFERROR(Data_Discontinuities[[#This Row],[Joint roughness]]/Data_Discontinuities[[#This Row],[Joint alteration]],"")</f>
        <v/>
      </c>
      <c r="V151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6" s="87"/>
    </row>
    <row r="1517" spans="2:23" ht="15" customHeight="1" x14ac:dyDescent="0.25">
      <c r="B1517" s="17" t="e">
        <f>VLOOKUP(Data_Discontinuities[[#This Row],[Hole ID]],Data_Log[],2,FALSE)</f>
        <v>#N/A</v>
      </c>
      <c r="C1517" s="8"/>
      <c r="D1517" s="8"/>
      <c r="E1517" s="7"/>
      <c r="F1517" s="7"/>
      <c r="G1517" s="7"/>
      <c r="H1517" s="118"/>
      <c r="I1517" s="7"/>
      <c r="J1517" s="7"/>
      <c r="K1517" s="7"/>
      <c r="L1517" s="7"/>
      <c r="M1517" s="7"/>
      <c r="N1517" s="7"/>
      <c r="O1517" s="84" t="e" cm="1">
        <f t="array" ref="O1517">_xlfn.XLOOKUP(1,(A1517=Geotech!$A$4:$A$10094)*(Data_Discontinuities[[#This Row],[Depth (m)]]&gt;=Geotech!$C$4:$C$10094)*(Data_Discontinuities[[#This Row],[Depth (m)]]&lt;Geotech!$D$4:$D$10094),Geotech!$M$4:$M$10094)</f>
        <v>#N/A</v>
      </c>
      <c r="P1517" s="84"/>
      <c r="Q1517" s="84"/>
      <c r="R1517" s="84"/>
      <c r="S151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7" s="71" t="str">
        <f>IFERROR(Data_Discontinuities[[#This Row],[Joint roughness]]/Data_Discontinuities[[#This Row],[Joint alteration]],"")</f>
        <v/>
      </c>
      <c r="V151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7" s="87"/>
    </row>
    <row r="1518" spans="2:23" ht="15" customHeight="1" x14ac:dyDescent="0.25">
      <c r="B1518" s="17" t="e">
        <f>VLOOKUP(Data_Discontinuities[[#This Row],[Hole ID]],Data_Log[],2,FALSE)</f>
        <v>#N/A</v>
      </c>
      <c r="C1518" s="8"/>
      <c r="D1518" s="8"/>
      <c r="E1518" s="7"/>
      <c r="F1518" s="7"/>
      <c r="G1518" s="7"/>
      <c r="H1518" s="118"/>
      <c r="I1518" s="7"/>
      <c r="J1518" s="7"/>
      <c r="K1518" s="7"/>
      <c r="L1518" s="7"/>
      <c r="M1518" s="7"/>
      <c r="N1518" s="7"/>
      <c r="O1518" s="84" t="e" cm="1">
        <f t="array" ref="O1518">_xlfn.XLOOKUP(1,(A1518=Geotech!$A$4:$A$10094)*(Data_Discontinuities[[#This Row],[Depth (m)]]&gt;=Geotech!$C$4:$C$10094)*(Data_Discontinuities[[#This Row],[Depth (m)]]&lt;Geotech!$D$4:$D$10094),Geotech!$M$4:$M$10094)</f>
        <v>#N/A</v>
      </c>
      <c r="P1518" s="84"/>
      <c r="Q1518" s="84"/>
      <c r="R1518" s="84"/>
      <c r="S151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8" s="71" t="str">
        <f>IFERROR(Data_Discontinuities[[#This Row],[Joint roughness]]/Data_Discontinuities[[#This Row],[Joint alteration]],"")</f>
        <v/>
      </c>
      <c r="V151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8" s="87"/>
    </row>
    <row r="1519" spans="2:23" ht="15" customHeight="1" x14ac:dyDescent="0.25">
      <c r="B1519" s="17" t="e">
        <f>VLOOKUP(Data_Discontinuities[[#This Row],[Hole ID]],Data_Log[],2,FALSE)</f>
        <v>#N/A</v>
      </c>
      <c r="C1519" s="8"/>
      <c r="D1519" s="8"/>
      <c r="E1519" s="7"/>
      <c r="F1519" s="7"/>
      <c r="G1519" s="7"/>
      <c r="H1519" s="118"/>
      <c r="I1519" s="7"/>
      <c r="J1519" s="7"/>
      <c r="K1519" s="7"/>
      <c r="L1519" s="7"/>
      <c r="M1519" s="7"/>
      <c r="N1519" s="7"/>
      <c r="O1519" s="84" t="e" cm="1">
        <f t="array" ref="O1519">_xlfn.XLOOKUP(1,(A1519=Geotech!$A$4:$A$10094)*(Data_Discontinuities[[#This Row],[Depth (m)]]&gt;=Geotech!$C$4:$C$10094)*(Data_Discontinuities[[#This Row],[Depth (m)]]&lt;Geotech!$D$4:$D$10094),Geotech!$M$4:$M$10094)</f>
        <v>#N/A</v>
      </c>
      <c r="P1519" s="84"/>
      <c r="Q1519" s="84"/>
      <c r="R1519" s="84"/>
      <c r="S151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1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19" s="71" t="str">
        <f>IFERROR(Data_Discontinuities[[#This Row],[Joint roughness]]/Data_Discontinuities[[#This Row],[Joint alteration]],"")</f>
        <v/>
      </c>
      <c r="V151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19" s="87"/>
    </row>
    <row r="1520" spans="2:23" ht="15" customHeight="1" x14ac:dyDescent="0.25">
      <c r="B1520" s="17" t="e">
        <f>VLOOKUP(Data_Discontinuities[[#This Row],[Hole ID]],Data_Log[],2,FALSE)</f>
        <v>#N/A</v>
      </c>
      <c r="C1520" s="8"/>
      <c r="D1520" s="8"/>
      <c r="E1520" s="7"/>
      <c r="F1520" s="7"/>
      <c r="G1520" s="7"/>
      <c r="H1520" s="118"/>
      <c r="I1520" s="7"/>
      <c r="J1520" s="7"/>
      <c r="K1520" s="7"/>
      <c r="L1520" s="7"/>
      <c r="M1520" s="7"/>
      <c r="N1520" s="7"/>
      <c r="O1520" s="84" t="e" cm="1">
        <f t="array" ref="O1520">_xlfn.XLOOKUP(1,(A1520=Geotech!$A$4:$A$10094)*(Data_Discontinuities[[#This Row],[Depth (m)]]&gt;=Geotech!$C$4:$C$10094)*(Data_Discontinuities[[#This Row],[Depth (m)]]&lt;Geotech!$D$4:$D$10094),Geotech!$M$4:$M$10094)</f>
        <v>#N/A</v>
      </c>
      <c r="P1520" s="84"/>
      <c r="Q1520" s="84"/>
      <c r="R1520" s="84"/>
      <c r="S152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0" s="71" t="str">
        <f>IFERROR(Data_Discontinuities[[#This Row],[Joint roughness]]/Data_Discontinuities[[#This Row],[Joint alteration]],"")</f>
        <v/>
      </c>
      <c r="V152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0" s="87"/>
    </row>
    <row r="1521" spans="2:23" ht="15" customHeight="1" x14ac:dyDescent="0.25">
      <c r="B1521" s="17" t="e">
        <f>VLOOKUP(Data_Discontinuities[[#This Row],[Hole ID]],Data_Log[],2,FALSE)</f>
        <v>#N/A</v>
      </c>
      <c r="C1521" s="8"/>
      <c r="D1521" s="8"/>
      <c r="E1521" s="7"/>
      <c r="F1521" s="7"/>
      <c r="G1521" s="7"/>
      <c r="H1521" s="118"/>
      <c r="I1521" s="7"/>
      <c r="J1521" s="7"/>
      <c r="K1521" s="7"/>
      <c r="L1521" s="7"/>
      <c r="M1521" s="7"/>
      <c r="N1521" s="7"/>
      <c r="O1521" s="84" t="e" cm="1">
        <f t="array" ref="O1521">_xlfn.XLOOKUP(1,(A1521=Geotech!$A$4:$A$10094)*(Data_Discontinuities[[#This Row],[Depth (m)]]&gt;=Geotech!$C$4:$C$10094)*(Data_Discontinuities[[#This Row],[Depth (m)]]&lt;Geotech!$D$4:$D$10094),Geotech!$M$4:$M$10094)</f>
        <v>#N/A</v>
      </c>
      <c r="P1521" s="84"/>
      <c r="Q1521" s="84"/>
      <c r="R1521" s="84"/>
      <c r="S152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1" s="71" t="str">
        <f>IFERROR(Data_Discontinuities[[#This Row],[Joint roughness]]/Data_Discontinuities[[#This Row],[Joint alteration]],"")</f>
        <v/>
      </c>
      <c r="V152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1" s="87"/>
    </row>
    <row r="1522" spans="2:23" ht="15" customHeight="1" x14ac:dyDescent="0.25">
      <c r="B1522" s="17" t="e">
        <f>VLOOKUP(Data_Discontinuities[[#This Row],[Hole ID]],Data_Log[],2,FALSE)</f>
        <v>#N/A</v>
      </c>
      <c r="C1522" s="8"/>
      <c r="D1522" s="8"/>
      <c r="E1522" s="7"/>
      <c r="F1522" s="7"/>
      <c r="G1522" s="7"/>
      <c r="H1522" s="118"/>
      <c r="I1522" s="7"/>
      <c r="J1522" s="7"/>
      <c r="K1522" s="7"/>
      <c r="L1522" s="7"/>
      <c r="M1522" s="7"/>
      <c r="N1522" s="7"/>
      <c r="O1522" s="84" t="e" cm="1">
        <f t="array" ref="O1522">_xlfn.XLOOKUP(1,(A1522=Geotech!$A$4:$A$10094)*(Data_Discontinuities[[#This Row],[Depth (m)]]&gt;=Geotech!$C$4:$C$10094)*(Data_Discontinuities[[#This Row],[Depth (m)]]&lt;Geotech!$D$4:$D$10094),Geotech!$M$4:$M$10094)</f>
        <v>#N/A</v>
      </c>
      <c r="P1522" s="84"/>
      <c r="Q1522" s="84"/>
      <c r="R1522" s="84"/>
      <c r="S152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2" s="71" t="str">
        <f>IFERROR(Data_Discontinuities[[#This Row],[Joint roughness]]/Data_Discontinuities[[#This Row],[Joint alteration]],"")</f>
        <v/>
      </c>
      <c r="V152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2" s="87"/>
    </row>
    <row r="1523" spans="2:23" ht="15" customHeight="1" x14ac:dyDescent="0.25">
      <c r="B1523" s="17" t="e">
        <f>VLOOKUP(Data_Discontinuities[[#This Row],[Hole ID]],Data_Log[],2,FALSE)</f>
        <v>#N/A</v>
      </c>
      <c r="C1523" s="8"/>
      <c r="D1523" s="8"/>
      <c r="E1523" s="7"/>
      <c r="F1523" s="7"/>
      <c r="G1523" s="7"/>
      <c r="H1523" s="118"/>
      <c r="I1523" s="7"/>
      <c r="J1523" s="7"/>
      <c r="K1523" s="7"/>
      <c r="L1523" s="7"/>
      <c r="M1523" s="7"/>
      <c r="N1523" s="7"/>
      <c r="O1523" s="84" t="e" cm="1">
        <f t="array" ref="O1523">_xlfn.XLOOKUP(1,(A1523=Geotech!$A$4:$A$10094)*(Data_Discontinuities[[#This Row],[Depth (m)]]&gt;=Geotech!$C$4:$C$10094)*(Data_Discontinuities[[#This Row],[Depth (m)]]&lt;Geotech!$D$4:$D$10094),Geotech!$M$4:$M$10094)</f>
        <v>#N/A</v>
      </c>
      <c r="P1523" s="84"/>
      <c r="Q1523" s="84"/>
      <c r="R1523" s="84"/>
      <c r="S152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3" s="71" t="str">
        <f>IFERROR(Data_Discontinuities[[#This Row],[Joint roughness]]/Data_Discontinuities[[#This Row],[Joint alteration]],"")</f>
        <v/>
      </c>
      <c r="V152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3" s="87"/>
    </row>
    <row r="1524" spans="2:23" ht="15" customHeight="1" x14ac:dyDescent="0.25">
      <c r="B1524" s="17" t="e">
        <f>VLOOKUP(Data_Discontinuities[[#This Row],[Hole ID]],Data_Log[],2,FALSE)</f>
        <v>#N/A</v>
      </c>
      <c r="C1524" s="8"/>
      <c r="D1524" s="8"/>
      <c r="E1524" s="7"/>
      <c r="F1524" s="7"/>
      <c r="G1524" s="7"/>
      <c r="H1524" s="118"/>
      <c r="I1524" s="7"/>
      <c r="J1524" s="7"/>
      <c r="K1524" s="7"/>
      <c r="L1524" s="7"/>
      <c r="M1524" s="7"/>
      <c r="N1524" s="7"/>
      <c r="O1524" s="84" t="e" cm="1">
        <f t="array" ref="O1524">_xlfn.XLOOKUP(1,(A1524=Geotech!$A$4:$A$10094)*(Data_Discontinuities[[#This Row],[Depth (m)]]&gt;=Geotech!$C$4:$C$10094)*(Data_Discontinuities[[#This Row],[Depth (m)]]&lt;Geotech!$D$4:$D$10094),Geotech!$M$4:$M$10094)</f>
        <v>#N/A</v>
      </c>
      <c r="P1524" s="84"/>
      <c r="Q1524" s="84"/>
      <c r="R1524" s="84"/>
      <c r="S152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4" s="71" t="str">
        <f>IFERROR(Data_Discontinuities[[#This Row],[Joint roughness]]/Data_Discontinuities[[#This Row],[Joint alteration]],"")</f>
        <v/>
      </c>
      <c r="V152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4" s="87"/>
    </row>
    <row r="1525" spans="2:23" ht="15" customHeight="1" x14ac:dyDescent="0.25">
      <c r="B1525" s="17" t="e">
        <f>VLOOKUP(Data_Discontinuities[[#This Row],[Hole ID]],Data_Log[],2,FALSE)</f>
        <v>#N/A</v>
      </c>
      <c r="C1525" s="8"/>
      <c r="D1525" s="8"/>
      <c r="E1525" s="7"/>
      <c r="F1525" s="7"/>
      <c r="G1525" s="7"/>
      <c r="H1525" s="118"/>
      <c r="I1525" s="7"/>
      <c r="J1525" s="7"/>
      <c r="K1525" s="7"/>
      <c r="L1525" s="7"/>
      <c r="M1525" s="7"/>
      <c r="N1525" s="7"/>
      <c r="O1525" s="84" t="e" cm="1">
        <f t="array" ref="O1525">_xlfn.XLOOKUP(1,(A1525=Geotech!$A$4:$A$10094)*(Data_Discontinuities[[#This Row],[Depth (m)]]&gt;=Geotech!$C$4:$C$10094)*(Data_Discontinuities[[#This Row],[Depth (m)]]&lt;Geotech!$D$4:$D$10094),Geotech!$M$4:$M$10094)</f>
        <v>#N/A</v>
      </c>
      <c r="P1525" s="84"/>
      <c r="Q1525" s="84"/>
      <c r="R1525" s="84"/>
      <c r="S152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5" s="71" t="str">
        <f>IFERROR(Data_Discontinuities[[#This Row],[Joint roughness]]/Data_Discontinuities[[#This Row],[Joint alteration]],"")</f>
        <v/>
      </c>
      <c r="V152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5" s="87"/>
    </row>
    <row r="1526" spans="2:23" ht="15" customHeight="1" x14ac:dyDescent="0.25">
      <c r="B1526" s="17" t="e">
        <f>VLOOKUP(Data_Discontinuities[[#This Row],[Hole ID]],Data_Log[],2,FALSE)</f>
        <v>#N/A</v>
      </c>
      <c r="C1526" s="8"/>
      <c r="D1526" s="8"/>
      <c r="E1526" s="7"/>
      <c r="F1526" s="7"/>
      <c r="G1526" s="7"/>
      <c r="H1526" s="118"/>
      <c r="I1526" s="7"/>
      <c r="J1526" s="7"/>
      <c r="K1526" s="7"/>
      <c r="L1526" s="7"/>
      <c r="M1526" s="7"/>
      <c r="N1526" s="7"/>
      <c r="O1526" s="84" t="e" cm="1">
        <f t="array" ref="O1526">_xlfn.XLOOKUP(1,(A1526=Geotech!$A$4:$A$10094)*(Data_Discontinuities[[#This Row],[Depth (m)]]&gt;=Geotech!$C$4:$C$10094)*(Data_Discontinuities[[#This Row],[Depth (m)]]&lt;Geotech!$D$4:$D$10094),Geotech!$M$4:$M$10094)</f>
        <v>#N/A</v>
      </c>
      <c r="P1526" s="84"/>
      <c r="Q1526" s="84"/>
      <c r="R1526" s="84"/>
      <c r="S152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6" s="71" t="str">
        <f>IFERROR(Data_Discontinuities[[#This Row],[Joint roughness]]/Data_Discontinuities[[#This Row],[Joint alteration]],"")</f>
        <v/>
      </c>
      <c r="V152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6" s="87"/>
    </row>
    <row r="1527" spans="2:23" ht="15" customHeight="1" x14ac:dyDescent="0.25">
      <c r="B1527" s="17" t="e">
        <f>VLOOKUP(Data_Discontinuities[[#This Row],[Hole ID]],Data_Log[],2,FALSE)</f>
        <v>#N/A</v>
      </c>
      <c r="C1527" s="8"/>
      <c r="D1527" s="8"/>
      <c r="E1527" s="7"/>
      <c r="F1527" s="7"/>
      <c r="G1527" s="7"/>
      <c r="H1527" s="118"/>
      <c r="I1527" s="7"/>
      <c r="J1527" s="7"/>
      <c r="K1527" s="7"/>
      <c r="L1527" s="7"/>
      <c r="M1527" s="7"/>
      <c r="N1527" s="7"/>
      <c r="O1527" s="84" t="e" cm="1">
        <f t="array" ref="O1527">_xlfn.XLOOKUP(1,(A1527=Geotech!$A$4:$A$10094)*(Data_Discontinuities[[#This Row],[Depth (m)]]&gt;=Geotech!$C$4:$C$10094)*(Data_Discontinuities[[#This Row],[Depth (m)]]&lt;Geotech!$D$4:$D$10094),Geotech!$M$4:$M$10094)</f>
        <v>#N/A</v>
      </c>
      <c r="P1527" s="84"/>
      <c r="Q1527" s="84"/>
      <c r="R1527" s="84"/>
      <c r="S152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7" s="71" t="str">
        <f>IFERROR(Data_Discontinuities[[#This Row],[Joint roughness]]/Data_Discontinuities[[#This Row],[Joint alteration]],"")</f>
        <v/>
      </c>
      <c r="V152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7" s="87"/>
    </row>
    <row r="1528" spans="2:23" ht="15" customHeight="1" x14ac:dyDescent="0.25">
      <c r="B1528" s="17" t="e">
        <f>VLOOKUP(Data_Discontinuities[[#This Row],[Hole ID]],Data_Log[],2,FALSE)</f>
        <v>#N/A</v>
      </c>
      <c r="C1528" s="8"/>
      <c r="D1528" s="8"/>
      <c r="E1528" s="7"/>
      <c r="F1528" s="7"/>
      <c r="G1528" s="7"/>
      <c r="H1528" s="118"/>
      <c r="I1528" s="7"/>
      <c r="J1528" s="7"/>
      <c r="K1528" s="7"/>
      <c r="L1528" s="7"/>
      <c r="M1528" s="7"/>
      <c r="N1528" s="7"/>
      <c r="O1528" s="84" t="e" cm="1">
        <f t="array" ref="O1528">_xlfn.XLOOKUP(1,(A1528=Geotech!$A$4:$A$10094)*(Data_Discontinuities[[#This Row],[Depth (m)]]&gt;=Geotech!$C$4:$C$10094)*(Data_Discontinuities[[#This Row],[Depth (m)]]&lt;Geotech!$D$4:$D$10094),Geotech!$M$4:$M$10094)</f>
        <v>#N/A</v>
      </c>
      <c r="P1528" s="84"/>
      <c r="Q1528" s="84"/>
      <c r="R1528" s="84"/>
      <c r="S152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8" s="71" t="str">
        <f>IFERROR(Data_Discontinuities[[#This Row],[Joint roughness]]/Data_Discontinuities[[#This Row],[Joint alteration]],"")</f>
        <v/>
      </c>
      <c r="V152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8" s="87"/>
    </row>
    <row r="1529" spans="2:23" ht="15" customHeight="1" x14ac:dyDescent="0.25">
      <c r="B1529" s="17" t="e">
        <f>VLOOKUP(Data_Discontinuities[[#This Row],[Hole ID]],Data_Log[],2,FALSE)</f>
        <v>#N/A</v>
      </c>
      <c r="C1529" s="8"/>
      <c r="D1529" s="8"/>
      <c r="E1529" s="7"/>
      <c r="F1529" s="7"/>
      <c r="G1529" s="7"/>
      <c r="H1529" s="118"/>
      <c r="I1529" s="7"/>
      <c r="J1529" s="7"/>
      <c r="K1529" s="7"/>
      <c r="L1529" s="7"/>
      <c r="M1529" s="7"/>
      <c r="N1529" s="7"/>
      <c r="O1529" s="84" t="e" cm="1">
        <f t="array" ref="O1529">_xlfn.XLOOKUP(1,(A1529=Geotech!$A$4:$A$10094)*(Data_Discontinuities[[#This Row],[Depth (m)]]&gt;=Geotech!$C$4:$C$10094)*(Data_Discontinuities[[#This Row],[Depth (m)]]&lt;Geotech!$D$4:$D$10094),Geotech!$M$4:$M$10094)</f>
        <v>#N/A</v>
      </c>
      <c r="P1529" s="84"/>
      <c r="Q1529" s="84"/>
      <c r="R1529" s="84"/>
      <c r="S152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2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29" s="71" t="str">
        <f>IFERROR(Data_Discontinuities[[#This Row],[Joint roughness]]/Data_Discontinuities[[#This Row],[Joint alteration]],"")</f>
        <v/>
      </c>
      <c r="V152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29" s="87"/>
    </row>
    <row r="1530" spans="2:23" ht="15" customHeight="1" x14ac:dyDescent="0.25">
      <c r="B1530" s="17" t="e">
        <f>VLOOKUP(Data_Discontinuities[[#This Row],[Hole ID]],Data_Log[],2,FALSE)</f>
        <v>#N/A</v>
      </c>
      <c r="C1530" s="8"/>
      <c r="D1530" s="8"/>
      <c r="E1530" s="7"/>
      <c r="F1530" s="7"/>
      <c r="G1530" s="7"/>
      <c r="H1530" s="118"/>
      <c r="I1530" s="7"/>
      <c r="J1530" s="7"/>
      <c r="K1530" s="7"/>
      <c r="L1530" s="7"/>
      <c r="M1530" s="7"/>
      <c r="N1530" s="7"/>
      <c r="O1530" s="84" t="e" cm="1">
        <f t="array" ref="O1530">_xlfn.XLOOKUP(1,(A1530=Geotech!$A$4:$A$10094)*(Data_Discontinuities[[#This Row],[Depth (m)]]&gt;=Geotech!$C$4:$C$10094)*(Data_Discontinuities[[#This Row],[Depth (m)]]&lt;Geotech!$D$4:$D$10094),Geotech!$M$4:$M$10094)</f>
        <v>#N/A</v>
      </c>
      <c r="P1530" s="84"/>
      <c r="Q1530" s="84"/>
      <c r="R1530" s="84"/>
      <c r="S153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0" s="71" t="str">
        <f>IFERROR(Data_Discontinuities[[#This Row],[Joint roughness]]/Data_Discontinuities[[#This Row],[Joint alteration]],"")</f>
        <v/>
      </c>
      <c r="V153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0" s="87"/>
    </row>
    <row r="1531" spans="2:23" ht="15" customHeight="1" x14ac:dyDescent="0.25">
      <c r="B1531" s="17" t="e">
        <f>VLOOKUP(Data_Discontinuities[[#This Row],[Hole ID]],Data_Log[],2,FALSE)</f>
        <v>#N/A</v>
      </c>
      <c r="C1531" s="8"/>
      <c r="D1531" s="8"/>
      <c r="E1531" s="7"/>
      <c r="F1531" s="7"/>
      <c r="G1531" s="7"/>
      <c r="H1531" s="118"/>
      <c r="I1531" s="7"/>
      <c r="J1531" s="7"/>
      <c r="K1531" s="7"/>
      <c r="L1531" s="7"/>
      <c r="M1531" s="7"/>
      <c r="N1531" s="7"/>
      <c r="O1531" s="84" t="e" cm="1">
        <f t="array" ref="O1531">_xlfn.XLOOKUP(1,(A1531=Geotech!$A$4:$A$10094)*(Data_Discontinuities[[#This Row],[Depth (m)]]&gt;=Geotech!$C$4:$C$10094)*(Data_Discontinuities[[#This Row],[Depth (m)]]&lt;Geotech!$D$4:$D$10094),Geotech!$M$4:$M$10094)</f>
        <v>#N/A</v>
      </c>
      <c r="P1531" s="84"/>
      <c r="Q1531" s="84"/>
      <c r="R1531" s="84"/>
      <c r="S153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1" s="71" t="str">
        <f>IFERROR(Data_Discontinuities[[#This Row],[Joint roughness]]/Data_Discontinuities[[#This Row],[Joint alteration]],"")</f>
        <v/>
      </c>
      <c r="V153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1" s="87"/>
    </row>
    <row r="1532" spans="2:23" ht="15" customHeight="1" x14ac:dyDescent="0.25">
      <c r="B1532" s="17" t="e">
        <f>VLOOKUP(Data_Discontinuities[[#This Row],[Hole ID]],Data_Log[],2,FALSE)</f>
        <v>#N/A</v>
      </c>
      <c r="C1532" s="8"/>
      <c r="D1532" s="8"/>
      <c r="E1532" s="7"/>
      <c r="F1532" s="7"/>
      <c r="G1532" s="7"/>
      <c r="H1532" s="118"/>
      <c r="I1532" s="7"/>
      <c r="J1532" s="7"/>
      <c r="K1532" s="7"/>
      <c r="L1532" s="7"/>
      <c r="M1532" s="7"/>
      <c r="N1532" s="7"/>
      <c r="O1532" s="84" t="e" cm="1">
        <f t="array" ref="O1532">_xlfn.XLOOKUP(1,(A1532=Geotech!$A$4:$A$10094)*(Data_Discontinuities[[#This Row],[Depth (m)]]&gt;=Geotech!$C$4:$C$10094)*(Data_Discontinuities[[#This Row],[Depth (m)]]&lt;Geotech!$D$4:$D$10094),Geotech!$M$4:$M$10094)</f>
        <v>#N/A</v>
      </c>
      <c r="P1532" s="84"/>
      <c r="Q1532" s="84"/>
      <c r="R1532" s="84"/>
      <c r="S153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2" s="71" t="str">
        <f>IFERROR(Data_Discontinuities[[#This Row],[Joint roughness]]/Data_Discontinuities[[#This Row],[Joint alteration]],"")</f>
        <v/>
      </c>
      <c r="V153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2" s="87"/>
    </row>
    <row r="1533" spans="2:23" ht="15" customHeight="1" x14ac:dyDescent="0.25">
      <c r="B1533" s="17" t="e">
        <f>VLOOKUP(Data_Discontinuities[[#This Row],[Hole ID]],Data_Log[],2,FALSE)</f>
        <v>#N/A</v>
      </c>
      <c r="C1533" s="8"/>
      <c r="D1533" s="8"/>
      <c r="E1533" s="7"/>
      <c r="F1533" s="7"/>
      <c r="G1533" s="7"/>
      <c r="H1533" s="118"/>
      <c r="I1533" s="7"/>
      <c r="J1533" s="7"/>
      <c r="K1533" s="7"/>
      <c r="L1533" s="7"/>
      <c r="M1533" s="7"/>
      <c r="N1533" s="7"/>
      <c r="O1533" s="84" t="e" cm="1">
        <f t="array" ref="O1533">_xlfn.XLOOKUP(1,(A1533=Geotech!$A$4:$A$10094)*(Data_Discontinuities[[#This Row],[Depth (m)]]&gt;=Geotech!$C$4:$C$10094)*(Data_Discontinuities[[#This Row],[Depth (m)]]&lt;Geotech!$D$4:$D$10094),Geotech!$M$4:$M$10094)</f>
        <v>#N/A</v>
      </c>
      <c r="P1533" s="84"/>
      <c r="Q1533" s="84"/>
      <c r="R1533" s="84"/>
      <c r="S153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3" s="71" t="str">
        <f>IFERROR(Data_Discontinuities[[#This Row],[Joint roughness]]/Data_Discontinuities[[#This Row],[Joint alteration]],"")</f>
        <v/>
      </c>
      <c r="V153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3" s="87"/>
    </row>
    <row r="1534" spans="2:23" ht="15" customHeight="1" x14ac:dyDescent="0.25">
      <c r="B1534" s="17" t="e">
        <f>VLOOKUP(Data_Discontinuities[[#This Row],[Hole ID]],Data_Log[],2,FALSE)</f>
        <v>#N/A</v>
      </c>
      <c r="C1534" s="8"/>
      <c r="D1534" s="8"/>
      <c r="E1534" s="7"/>
      <c r="F1534" s="7"/>
      <c r="G1534" s="7"/>
      <c r="H1534" s="118"/>
      <c r="I1534" s="7"/>
      <c r="J1534" s="7"/>
      <c r="K1534" s="7"/>
      <c r="L1534" s="7"/>
      <c r="M1534" s="7"/>
      <c r="N1534" s="7"/>
      <c r="O1534" s="84" t="e" cm="1">
        <f t="array" ref="O1534">_xlfn.XLOOKUP(1,(A1534=Geotech!$A$4:$A$10094)*(Data_Discontinuities[[#This Row],[Depth (m)]]&gt;=Geotech!$C$4:$C$10094)*(Data_Discontinuities[[#This Row],[Depth (m)]]&lt;Geotech!$D$4:$D$10094),Geotech!$M$4:$M$10094)</f>
        <v>#N/A</v>
      </c>
      <c r="P1534" s="84"/>
      <c r="Q1534" s="84"/>
      <c r="R1534" s="84"/>
      <c r="S153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4" s="71" t="str">
        <f>IFERROR(Data_Discontinuities[[#This Row],[Joint roughness]]/Data_Discontinuities[[#This Row],[Joint alteration]],"")</f>
        <v/>
      </c>
      <c r="V153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4" s="87"/>
    </row>
    <row r="1535" spans="2:23" ht="15" customHeight="1" x14ac:dyDescent="0.25">
      <c r="B1535" s="17" t="e">
        <f>VLOOKUP(Data_Discontinuities[[#This Row],[Hole ID]],Data_Log[],2,FALSE)</f>
        <v>#N/A</v>
      </c>
      <c r="C1535" s="8"/>
      <c r="D1535" s="8"/>
      <c r="E1535" s="7"/>
      <c r="F1535" s="7"/>
      <c r="G1535" s="7"/>
      <c r="H1535" s="118"/>
      <c r="I1535" s="7"/>
      <c r="J1535" s="7"/>
      <c r="K1535" s="7"/>
      <c r="L1535" s="7"/>
      <c r="M1535" s="7"/>
      <c r="N1535" s="7"/>
      <c r="O1535" s="84" t="e" cm="1">
        <f t="array" ref="O1535">_xlfn.XLOOKUP(1,(A1535=Geotech!$A$4:$A$10094)*(Data_Discontinuities[[#This Row],[Depth (m)]]&gt;=Geotech!$C$4:$C$10094)*(Data_Discontinuities[[#This Row],[Depth (m)]]&lt;Geotech!$D$4:$D$10094),Geotech!$M$4:$M$10094)</f>
        <v>#N/A</v>
      </c>
      <c r="P1535" s="84"/>
      <c r="Q1535" s="84"/>
      <c r="R1535" s="84"/>
      <c r="S153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5" s="71" t="str">
        <f>IFERROR(Data_Discontinuities[[#This Row],[Joint roughness]]/Data_Discontinuities[[#This Row],[Joint alteration]],"")</f>
        <v/>
      </c>
      <c r="V153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5" s="87"/>
    </row>
    <row r="1536" spans="2:23" ht="15" customHeight="1" x14ac:dyDescent="0.25">
      <c r="B1536" s="17" t="e">
        <f>VLOOKUP(Data_Discontinuities[[#This Row],[Hole ID]],Data_Log[],2,FALSE)</f>
        <v>#N/A</v>
      </c>
      <c r="C1536" s="8"/>
      <c r="D1536" s="8"/>
      <c r="E1536" s="7"/>
      <c r="F1536" s="7"/>
      <c r="G1536" s="7"/>
      <c r="H1536" s="118"/>
      <c r="I1536" s="7"/>
      <c r="J1536" s="7"/>
      <c r="K1536" s="7"/>
      <c r="L1536" s="7"/>
      <c r="M1536" s="7"/>
      <c r="N1536" s="7"/>
      <c r="O1536" s="84" t="e" cm="1">
        <f t="array" ref="O1536">_xlfn.XLOOKUP(1,(A1536=Geotech!$A$4:$A$10094)*(Data_Discontinuities[[#This Row],[Depth (m)]]&gt;=Geotech!$C$4:$C$10094)*(Data_Discontinuities[[#This Row],[Depth (m)]]&lt;Geotech!$D$4:$D$10094),Geotech!$M$4:$M$10094)</f>
        <v>#N/A</v>
      </c>
      <c r="P1536" s="84"/>
      <c r="Q1536" s="84"/>
      <c r="R1536" s="84"/>
      <c r="S153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6" s="71" t="str">
        <f>IFERROR(Data_Discontinuities[[#This Row],[Joint roughness]]/Data_Discontinuities[[#This Row],[Joint alteration]],"")</f>
        <v/>
      </c>
      <c r="V153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6" s="87"/>
    </row>
    <row r="1537" spans="2:23" ht="15" customHeight="1" x14ac:dyDescent="0.25">
      <c r="B1537" s="17" t="e">
        <f>VLOOKUP(Data_Discontinuities[[#This Row],[Hole ID]],Data_Log[],2,FALSE)</f>
        <v>#N/A</v>
      </c>
      <c r="C1537" s="8"/>
      <c r="D1537" s="8"/>
      <c r="E1537" s="7"/>
      <c r="F1537" s="7"/>
      <c r="G1537" s="7"/>
      <c r="H1537" s="118"/>
      <c r="I1537" s="7"/>
      <c r="J1537" s="7"/>
      <c r="K1537" s="7"/>
      <c r="L1537" s="7"/>
      <c r="M1537" s="7"/>
      <c r="N1537" s="7"/>
      <c r="O1537" s="84" t="e" cm="1">
        <f t="array" ref="O1537">_xlfn.XLOOKUP(1,(A1537=Geotech!$A$4:$A$10094)*(Data_Discontinuities[[#This Row],[Depth (m)]]&gt;=Geotech!$C$4:$C$10094)*(Data_Discontinuities[[#This Row],[Depth (m)]]&lt;Geotech!$D$4:$D$10094),Geotech!$M$4:$M$10094)</f>
        <v>#N/A</v>
      </c>
      <c r="P1537" s="84"/>
      <c r="Q1537" s="84"/>
      <c r="R1537" s="84"/>
      <c r="S153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7" s="71" t="str">
        <f>IFERROR(Data_Discontinuities[[#This Row],[Joint roughness]]/Data_Discontinuities[[#This Row],[Joint alteration]],"")</f>
        <v/>
      </c>
      <c r="V153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7" s="87"/>
    </row>
    <row r="1538" spans="2:23" ht="15" customHeight="1" x14ac:dyDescent="0.25">
      <c r="B1538" s="17" t="e">
        <f>VLOOKUP(Data_Discontinuities[[#This Row],[Hole ID]],Data_Log[],2,FALSE)</f>
        <v>#N/A</v>
      </c>
      <c r="C1538" s="8"/>
      <c r="D1538" s="8"/>
      <c r="E1538" s="7"/>
      <c r="F1538" s="7"/>
      <c r="G1538" s="7"/>
      <c r="H1538" s="118"/>
      <c r="I1538" s="7"/>
      <c r="J1538" s="7"/>
      <c r="K1538" s="7"/>
      <c r="L1538" s="7"/>
      <c r="M1538" s="7"/>
      <c r="N1538" s="7"/>
      <c r="O1538" s="84" t="e" cm="1">
        <f t="array" ref="O1538">_xlfn.XLOOKUP(1,(A1538=Geotech!$A$4:$A$10094)*(Data_Discontinuities[[#This Row],[Depth (m)]]&gt;=Geotech!$C$4:$C$10094)*(Data_Discontinuities[[#This Row],[Depth (m)]]&lt;Geotech!$D$4:$D$10094),Geotech!$M$4:$M$10094)</f>
        <v>#N/A</v>
      </c>
      <c r="P1538" s="84"/>
      <c r="Q1538" s="84"/>
      <c r="R1538" s="84"/>
      <c r="S153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8" s="71" t="str">
        <f>IFERROR(Data_Discontinuities[[#This Row],[Joint roughness]]/Data_Discontinuities[[#This Row],[Joint alteration]],"")</f>
        <v/>
      </c>
      <c r="V153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8" s="87"/>
    </row>
    <row r="1539" spans="2:23" ht="15" customHeight="1" x14ac:dyDescent="0.25">
      <c r="B1539" s="17" t="e">
        <f>VLOOKUP(Data_Discontinuities[[#This Row],[Hole ID]],Data_Log[],2,FALSE)</f>
        <v>#N/A</v>
      </c>
      <c r="C1539" s="8"/>
      <c r="D1539" s="8"/>
      <c r="E1539" s="7"/>
      <c r="F1539" s="7"/>
      <c r="G1539" s="7"/>
      <c r="H1539" s="118"/>
      <c r="I1539" s="7"/>
      <c r="J1539" s="7"/>
      <c r="K1539" s="7"/>
      <c r="L1539" s="7"/>
      <c r="M1539" s="7"/>
      <c r="N1539" s="7"/>
      <c r="O1539" s="84" t="e" cm="1">
        <f t="array" ref="O1539">_xlfn.XLOOKUP(1,(A1539=Geotech!$A$4:$A$10094)*(Data_Discontinuities[[#This Row],[Depth (m)]]&gt;=Geotech!$C$4:$C$10094)*(Data_Discontinuities[[#This Row],[Depth (m)]]&lt;Geotech!$D$4:$D$10094),Geotech!$M$4:$M$10094)</f>
        <v>#N/A</v>
      </c>
      <c r="P1539" s="84"/>
      <c r="Q1539" s="84"/>
      <c r="R1539" s="84"/>
      <c r="S153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3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39" s="71" t="str">
        <f>IFERROR(Data_Discontinuities[[#This Row],[Joint roughness]]/Data_Discontinuities[[#This Row],[Joint alteration]],"")</f>
        <v/>
      </c>
      <c r="V153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39" s="87"/>
    </row>
    <row r="1540" spans="2:23" ht="15" customHeight="1" x14ac:dyDescent="0.25">
      <c r="B1540" s="17" t="e">
        <f>VLOOKUP(Data_Discontinuities[[#This Row],[Hole ID]],Data_Log[],2,FALSE)</f>
        <v>#N/A</v>
      </c>
      <c r="C1540" s="8"/>
      <c r="D1540" s="8"/>
      <c r="E1540" s="7"/>
      <c r="F1540" s="7"/>
      <c r="G1540" s="7"/>
      <c r="H1540" s="118"/>
      <c r="I1540" s="7"/>
      <c r="J1540" s="7"/>
      <c r="K1540" s="7"/>
      <c r="L1540" s="7"/>
      <c r="M1540" s="7"/>
      <c r="N1540" s="7"/>
      <c r="O1540" s="84" t="e" cm="1">
        <f t="array" ref="O1540">_xlfn.XLOOKUP(1,(A1540=Geotech!$A$4:$A$10094)*(Data_Discontinuities[[#This Row],[Depth (m)]]&gt;=Geotech!$C$4:$C$10094)*(Data_Discontinuities[[#This Row],[Depth (m)]]&lt;Geotech!$D$4:$D$10094),Geotech!$M$4:$M$10094)</f>
        <v>#N/A</v>
      </c>
      <c r="P1540" s="84"/>
      <c r="Q1540" s="84"/>
      <c r="R1540" s="84"/>
      <c r="S154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0" s="71" t="str">
        <f>IFERROR(Data_Discontinuities[[#This Row],[Joint roughness]]/Data_Discontinuities[[#This Row],[Joint alteration]],"")</f>
        <v/>
      </c>
      <c r="V154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0" s="87"/>
    </row>
    <row r="1541" spans="2:23" ht="15" customHeight="1" x14ac:dyDescent="0.25">
      <c r="B1541" s="17" t="e">
        <f>VLOOKUP(Data_Discontinuities[[#This Row],[Hole ID]],Data_Log[],2,FALSE)</f>
        <v>#N/A</v>
      </c>
      <c r="C1541" s="8"/>
      <c r="D1541" s="8"/>
      <c r="E1541" s="7"/>
      <c r="F1541" s="7"/>
      <c r="G1541" s="7"/>
      <c r="H1541" s="118"/>
      <c r="I1541" s="7"/>
      <c r="J1541" s="7"/>
      <c r="K1541" s="7"/>
      <c r="L1541" s="7"/>
      <c r="M1541" s="7"/>
      <c r="N1541" s="7"/>
      <c r="O1541" s="84" t="e" cm="1">
        <f t="array" ref="O1541">_xlfn.XLOOKUP(1,(A1541=Geotech!$A$4:$A$10094)*(Data_Discontinuities[[#This Row],[Depth (m)]]&gt;=Geotech!$C$4:$C$10094)*(Data_Discontinuities[[#This Row],[Depth (m)]]&lt;Geotech!$D$4:$D$10094),Geotech!$M$4:$M$10094)</f>
        <v>#N/A</v>
      </c>
      <c r="P1541" s="84"/>
      <c r="Q1541" s="84"/>
      <c r="R1541" s="84"/>
      <c r="S154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1" s="71" t="str">
        <f>IFERROR(Data_Discontinuities[[#This Row],[Joint roughness]]/Data_Discontinuities[[#This Row],[Joint alteration]],"")</f>
        <v/>
      </c>
      <c r="V154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1" s="87"/>
    </row>
    <row r="1542" spans="2:23" ht="15" customHeight="1" x14ac:dyDescent="0.25">
      <c r="B1542" s="17" t="e">
        <f>VLOOKUP(Data_Discontinuities[[#This Row],[Hole ID]],Data_Log[],2,FALSE)</f>
        <v>#N/A</v>
      </c>
      <c r="C1542" s="8"/>
      <c r="D1542" s="8"/>
      <c r="E1542" s="7"/>
      <c r="F1542" s="7"/>
      <c r="G1542" s="7"/>
      <c r="H1542" s="118"/>
      <c r="I1542" s="7"/>
      <c r="J1542" s="7"/>
      <c r="K1542" s="7"/>
      <c r="L1542" s="7"/>
      <c r="M1542" s="7"/>
      <c r="N1542" s="7"/>
      <c r="O1542" s="84" t="e" cm="1">
        <f t="array" ref="O1542">_xlfn.XLOOKUP(1,(A1542=Geotech!$A$4:$A$10094)*(Data_Discontinuities[[#This Row],[Depth (m)]]&gt;=Geotech!$C$4:$C$10094)*(Data_Discontinuities[[#This Row],[Depth (m)]]&lt;Geotech!$D$4:$D$10094),Geotech!$M$4:$M$10094)</f>
        <v>#N/A</v>
      </c>
      <c r="P1542" s="84"/>
      <c r="Q1542" s="84"/>
      <c r="R1542" s="84"/>
      <c r="S154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2" s="71" t="str">
        <f>IFERROR(Data_Discontinuities[[#This Row],[Joint roughness]]/Data_Discontinuities[[#This Row],[Joint alteration]],"")</f>
        <v/>
      </c>
      <c r="V154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2" s="87"/>
    </row>
    <row r="1543" spans="2:23" ht="15" customHeight="1" x14ac:dyDescent="0.25">
      <c r="B1543" s="17" t="e">
        <f>VLOOKUP(Data_Discontinuities[[#This Row],[Hole ID]],Data_Log[],2,FALSE)</f>
        <v>#N/A</v>
      </c>
      <c r="C1543" s="8"/>
      <c r="D1543" s="8"/>
      <c r="E1543" s="7"/>
      <c r="F1543" s="7"/>
      <c r="G1543" s="7"/>
      <c r="H1543" s="118"/>
      <c r="I1543" s="7"/>
      <c r="J1543" s="7"/>
      <c r="K1543" s="7"/>
      <c r="L1543" s="7"/>
      <c r="M1543" s="7"/>
      <c r="N1543" s="7"/>
      <c r="O1543" s="84" t="e" cm="1">
        <f t="array" ref="O1543">_xlfn.XLOOKUP(1,(A1543=Geotech!$A$4:$A$10094)*(Data_Discontinuities[[#This Row],[Depth (m)]]&gt;=Geotech!$C$4:$C$10094)*(Data_Discontinuities[[#This Row],[Depth (m)]]&lt;Geotech!$D$4:$D$10094),Geotech!$M$4:$M$10094)</f>
        <v>#N/A</v>
      </c>
      <c r="P1543" s="84"/>
      <c r="Q1543" s="84"/>
      <c r="R1543" s="84"/>
      <c r="S154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3" s="71" t="str">
        <f>IFERROR(Data_Discontinuities[[#This Row],[Joint roughness]]/Data_Discontinuities[[#This Row],[Joint alteration]],"")</f>
        <v/>
      </c>
      <c r="V154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3" s="87"/>
    </row>
    <row r="1544" spans="2:23" ht="15" customHeight="1" x14ac:dyDescent="0.25">
      <c r="B1544" s="17" t="e">
        <f>VLOOKUP(Data_Discontinuities[[#This Row],[Hole ID]],Data_Log[],2,FALSE)</f>
        <v>#N/A</v>
      </c>
      <c r="C1544" s="8"/>
      <c r="D1544" s="8"/>
      <c r="E1544" s="7"/>
      <c r="F1544" s="7"/>
      <c r="G1544" s="7"/>
      <c r="H1544" s="118"/>
      <c r="I1544" s="7"/>
      <c r="J1544" s="7"/>
      <c r="K1544" s="7"/>
      <c r="L1544" s="7"/>
      <c r="M1544" s="7"/>
      <c r="N1544" s="7"/>
      <c r="O1544" s="84" t="e" cm="1">
        <f t="array" ref="O1544">_xlfn.XLOOKUP(1,(A1544=Geotech!$A$4:$A$10094)*(Data_Discontinuities[[#This Row],[Depth (m)]]&gt;=Geotech!$C$4:$C$10094)*(Data_Discontinuities[[#This Row],[Depth (m)]]&lt;Geotech!$D$4:$D$10094),Geotech!$M$4:$M$10094)</f>
        <v>#N/A</v>
      </c>
      <c r="P1544" s="84"/>
      <c r="Q1544" s="84"/>
      <c r="R1544" s="84"/>
      <c r="S154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4" s="71" t="str">
        <f>IFERROR(Data_Discontinuities[[#This Row],[Joint roughness]]/Data_Discontinuities[[#This Row],[Joint alteration]],"")</f>
        <v/>
      </c>
      <c r="V154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4" s="87"/>
    </row>
    <row r="1545" spans="2:23" ht="15" customHeight="1" x14ac:dyDescent="0.25">
      <c r="B1545" s="17" t="e">
        <f>VLOOKUP(Data_Discontinuities[[#This Row],[Hole ID]],Data_Log[],2,FALSE)</f>
        <v>#N/A</v>
      </c>
      <c r="C1545" s="8"/>
      <c r="D1545" s="8"/>
      <c r="E1545" s="7"/>
      <c r="F1545" s="7"/>
      <c r="G1545" s="7"/>
      <c r="H1545" s="118"/>
      <c r="I1545" s="7"/>
      <c r="J1545" s="7"/>
      <c r="K1545" s="7"/>
      <c r="L1545" s="7"/>
      <c r="M1545" s="7"/>
      <c r="N1545" s="7"/>
      <c r="O1545" s="84" t="e" cm="1">
        <f t="array" ref="O1545">_xlfn.XLOOKUP(1,(A1545=Geotech!$A$4:$A$10094)*(Data_Discontinuities[[#This Row],[Depth (m)]]&gt;=Geotech!$C$4:$C$10094)*(Data_Discontinuities[[#This Row],[Depth (m)]]&lt;Geotech!$D$4:$D$10094),Geotech!$M$4:$M$10094)</f>
        <v>#N/A</v>
      </c>
      <c r="P1545" s="84"/>
      <c r="Q1545" s="84"/>
      <c r="R1545" s="84"/>
      <c r="S154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5" s="71" t="str">
        <f>IFERROR(Data_Discontinuities[[#This Row],[Joint roughness]]/Data_Discontinuities[[#This Row],[Joint alteration]],"")</f>
        <v/>
      </c>
      <c r="V154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5" s="87"/>
    </row>
    <row r="1546" spans="2:23" ht="15" customHeight="1" x14ac:dyDescent="0.25">
      <c r="B1546" s="17" t="e">
        <f>VLOOKUP(Data_Discontinuities[[#This Row],[Hole ID]],Data_Log[],2,FALSE)</f>
        <v>#N/A</v>
      </c>
      <c r="C1546" s="8"/>
      <c r="D1546" s="8"/>
      <c r="E1546" s="7"/>
      <c r="F1546" s="7"/>
      <c r="G1546" s="7"/>
      <c r="H1546" s="118"/>
      <c r="I1546" s="7"/>
      <c r="J1546" s="7"/>
      <c r="K1546" s="7"/>
      <c r="L1546" s="7"/>
      <c r="M1546" s="7"/>
      <c r="N1546" s="7"/>
      <c r="O1546" s="84" t="e" cm="1">
        <f t="array" ref="O1546">_xlfn.XLOOKUP(1,(A1546=Geotech!$A$4:$A$10094)*(Data_Discontinuities[[#This Row],[Depth (m)]]&gt;=Geotech!$C$4:$C$10094)*(Data_Discontinuities[[#This Row],[Depth (m)]]&lt;Geotech!$D$4:$D$10094),Geotech!$M$4:$M$10094)</f>
        <v>#N/A</v>
      </c>
      <c r="P1546" s="84"/>
      <c r="Q1546" s="84"/>
      <c r="R1546" s="84"/>
      <c r="S154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6" s="71" t="str">
        <f>IFERROR(Data_Discontinuities[[#This Row],[Joint roughness]]/Data_Discontinuities[[#This Row],[Joint alteration]],"")</f>
        <v/>
      </c>
      <c r="V154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6" s="87"/>
    </row>
    <row r="1547" spans="2:23" ht="15" customHeight="1" x14ac:dyDescent="0.25">
      <c r="B1547" s="17" t="e">
        <f>VLOOKUP(Data_Discontinuities[[#This Row],[Hole ID]],Data_Log[],2,FALSE)</f>
        <v>#N/A</v>
      </c>
      <c r="C1547" s="8"/>
      <c r="D1547" s="8"/>
      <c r="E1547" s="7"/>
      <c r="F1547" s="7"/>
      <c r="G1547" s="7"/>
      <c r="H1547" s="118"/>
      <c r="I1547" s="7"/>
      <c r="J1547" s="7"/>
      <c r="K1547" s="7"/>
      <c r="L1547" s="7"/>
      <c r="M1547" s="7"/>
      <c r="N1547" s="7"/>
      <c r="O1547" s="84" t="e" cm="1">
        <f t="array" ref="O1547">_xlfn.XLOOKUP(1,(A1547=Geotech!$A$4:$A$10094)*(Data_Discontinuities[[#This Row],[Depth (m)]]&gt;=Geotech!$C$4:$C$10094)*(Data_Discontinuities[[#This Row],[Depth (m)]]&lt;Geotech!$D$4:$D$10094),Geotech!$M$4:$M$10094)</f>
        <v>#N/A</v>
      </c>
      <c r="P1547" s="84"/>
      <c r="Q1547" s="84"/>
      <c r="R1547" s="84"/>
      <c r="S154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7" s="71" t="str">
        <f>IFERROR(Data_Discontinuities[[#This Row],[Joint roughness]]/Data_Discontinuities[[#This Row],[Joint alteration]],"")</f>
        <v/>
      </c>
      <c r="V154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7" s="87"/>
    </row>
    <row r="1548" spans="2:23" ht="15" customHeight="1" x14ac:dyDescent="0.25">
      <c r="B1548" s="17" t="e">
        <f>VLOOKUP(Data_Discontinuities[[#This Row],[Hole ID]],Data_Log[],2,FALSE)</f>
        <v>#N/A</v>
      </c>
      <c r="C1548" s="8"/>
      <c r="D1548" s="8"/>
      <c r="E1548" s="7"/>
      <c r="F1548" s="7"/>
      <c r="G1548" s="7"/>
      <c r="H1548" s="118"/>
      <c r="I1548" s="7"/>
      <c r="J1548" s="7"/>
      <c r="K1548" s="7"/>
      <c r="L1548" s="7"/>
      <c r="M1548" s="7"/>
      <c r="N1548" s="7"/>
      <c r="O1548" s="84" t="e" cm="1">
        <f t="array" ref="O1548">_xlfn.XLOOKUP(1,(A1548=Geotech!$A$4:$A$10094)*(Data_Discontinuities[[#This Row],[Depth (m)]]&gt;=Geotech!$C$4:$C$10094)*(Data_Discontinuities[[#This Row],[Depth (m)]]&lt;Geotech!$D$4:$D$10094),Geotech!$M$4:$M$10094)</f>
        <v>#N/A</v>
      </c>
      <c r="P1548" s="84"/>
      <c r="Q1548" s="84"/>
      <c r="R1548" s="84"/>
      <c r="S154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8" s="71" t="str">
        <f>IFERROR(Data_Discontinuities[[#This Row],[Joint roughness]]/Data_Discontinuities[[#This Row],[Joint alteration]],"")</f>
        <v/>
      </c>
      <c r="V154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8" s="87"/>
    </row>
    <row r="1549" spans="2:23" ht="15" customHeight="1" x14ac:dyDescent="0.25">
      <c r="B1549" s="17" t="e">
        <f>VLOOKUP(Data_Discontinuities[[#This Row],[Hole ID]],Data_Log[],2,FALSE)</f>
        <v>#N/A</v>
      </c>
      <c r="C1549" s="8"/>
      <c r="D1549" s="8"/>
      <c r="E1549" s="7"/>
      <c r="F1549" s="7"/>
      <c r="G1549" s="7"/>
      <c r="H1549" s="118"/>
      <c r="I1549" s="7"/>
      <c r="J1549" s="7"/>
      <c r="K1549" s="7"/>
      <c r="L1549" s="7"/>
      <c r="M1549" s="7"/>
      <c r="N1549" s="7"/>
      <c r="O1549" s="84" t="e" cm="1">
        <f t="array" ref="O1549">_xlfn.XLOOKUP(1,(A1549=Geotech!$A$4:$A$10094)*(Data_Discontinuities[[#This Row],[Depth (m)]]&gt;=Geotech!$C$4:$C$10094)*(Data_Discontinuities[[#This Row],[Depth (m)]]&lt;Geotech!$D$4:$D$10094),Geotech!$M$4:$M$10094)</f>
        <v>#N/A</v>
      </c>
      <c r="P1549" s="84"/>
      <c r="Q1549" s="84"/>
      <c r="R1549" s="84"/>
      <c r="S154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4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49" s="71" t="str">
        <f>IFERROR(Data_Discontinuities[[#This Row],[Joint roughness]]/Data_Discontinuities[[#This Row],[Joint alteration]],"")</f>
        <v/>
      </c>
      <c r="V154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49" s="87"/>
    </row>
    <row r="1550" spans="2:23" ht="15" customHeight="1" x14ac:dyDescent="0.25">
      <c r="B1550" s="17" t="e">
        <f>VLOOKUP(Data_Discontinuities[[#This Row],[Hole ID]],Data_Log[],2,FALSE)</f>
        <v>#N/A</v>
      </c>
      <c r="C1550" s="8"/>
      <c r="D1550" s="8"/>
      <c r="E1550" s="7"/>
      <c r="F1550" s="7"/>
      <c r="G1550" s="7"/>
      <c r="H1550" s="118"/>
      <c r="I1550" s="7"/>
      <c r="J1550" s="7"/>
      <c r="K1550" s="7"/>
      <c r="L1550" s="7"/>
      <c r="M1550" s="7"/>
      <c r="N1550" s="7"/>
      <c r="O1550" s="84" t="e" cm="1">
        <f t="array" ref="O1550">_xlfn.XLOOKUP(1,(A1550=Geotech!$A$4:$A$10094)*(Data_Discontinuities[[#This Row],[Depth (m)]]&gt;=Geotech!$C$4:$C$10094)*(Data_Discontinuities[[#This Row],[Depth (m)]]&lt;Geotech!$D$4:$D$10094),Geotech!$M$4:$M$10094)</f>
        <v>#N/A</v>
      </c>
      <c r="P1550" s="84"/>
      <c r="Q1550" s="84"/>
      <c r="R1550" s="84"/>
      <c r="S155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0" s="71" t="str">
        <f>IFERROR(Data_Discontinuities[[#This Row],[Joint roughness]]/Data_Discontinuities[[#This Row],[Joint alteration]],"")</f>
        <v/>
      </c>
      <c r="V155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0" s="87"/>
    </row>
    <row r="1551" spans="2:23" ht="15" customHeight="1" x14ac:dyDescent="0.25">
      <c r="B1551" s="17" t="e">
        <f>VLOOKUP(Data_Discontinuities[[#This Row],[Hole ID]],Data_Log[],2,FALSE)</f>
        <v>#N/A</v>
      </c>
      <c r="C1551" s="8"/>
      <c r="D1551" s="8"/>
      <c r="E1551" s="7"/>
      <c r="F1551" s="7"/>
      <c r="G1551" s="7"/>
      <c r="H1551" s="118"/>
      <c r="I1551" s="7"/>
      <c r="J1551" s="7"/>
      <c r="K1551" s="7"/>
      <c r="L1551" s="7"/>
      <c r="M1551" s="7"/>
      <c r="N1551" s="7"/>
      <c r="O1551" s="84" t="e" cm="1">
        <f t="array" ref="O1551">_xlfn.XLOOKUP(1,(A1551=Geotech!$A$4:$A$10094)*(Data_Discontinuities[[#This Row],[Depth (m)]]&gt;=Geotech!$C$4:$C$10094)*(Data_Discontinuities[[#This Row],[Depth (m)]]&lt;Geotech!$D$4:$D$10094),Geotech!$M$4:$M$10094)</f>
        <v>#N/A</v>
      </c>
      <c r="P1551" s="84"/>
      <c r="Q1551" s="84"/>
      <c r="R1551" s="84"/>
      <c r="S155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1" s="71" t="str">
        <f>IFERROR(Data_Discontinuities[[#This Row],[Joint roughness]]/Data_Discontinuities[[#This Row],[Joint alteration]],"")</f>
        <v/>
      </c>
      <c r="V155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1" s="87"/>
    </row>
    <row r="1552" spans="2:23" ht="15" customHeight="1" x14ac:dyDescent="0.25">
      <c r="B1552" s="17" t="e">
        <f>VLOOKUP(Data_Discontinuities[[#This Row],[Hole ID]],Data_Log[],2,FALSE)</f>
        <v>#N/A</v>
      </c>
      <c r="C1552" s="8"/>
      <c r="D1552" s="8"/>
      <c r="E1552" s="7"/>
      <c r="F1552" s="7"/>
      <c r="G1552" s="7"/>
      <c r="H1552" s="118"/>
      <c r="I1552" s="7"/>
      <c r="J1552" s="7"/>
      <c r="K1552" s="7"/>
      <c r="L1552" s="7"/>
      <c r="M1552" s="7"/>
      <c r="N1552" s="7"/>
      <c r="O1552" s="84" t="e" cm="1">
        <f t="array" ref="O1552">_xlfn.XLOOKUP(1,(A1552=Geotech!$A$4:$A$10094)*(Data_Discontinuities[[#This Row],[Depth (m)]]&gt;=Geotech!$C$4:$C$10094)*(Data_Discontinuities[[#This Row],[Depth (m)]]&lt;Geotech!$D$4:$D$10094),Geotech!$M$4:$M$10094)</f>
        <v>#N/A</v>
      </c>
      <c r="P1552" s="84"/>
      <c r="Q1552" s="84"/>
      <c r="R1552" s="84"/>
      <c r="S155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2" s="71" t="str">
        <f>IFERROR(Data_Discontinuities[[#This Row],[Joint roughness]]/Data_Discontinuities[[#This Row],[Joint alteration]],"")</f>
        <v/>
      </c>
      <c r="V155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2" s="87"/>
    </row>
    <row r="1553" spans="2:23" ht="15" customHeight="1" x14ac:dyDescent="0.25">
      <c r="B1553" s="17" t="e">
        <f>VLOOKUP(Data_Discontinuities[[#This Row],[Hole ID]],Data_Log[],2,FALSE)</f>
        <v>#N/A</v>
      </c>
      <c r="C1553" s="8"/>
      <c r="D1553" s="8"/>
      <c r="E1553" s="7"/>
      <c r="F1553" s="7"/>
      <c r="G1553" s="7"/>
      <c r="H1553" s="118"/>
      <c r="I1553" s="7"/>
      <c r="J1553" s="7"/>
      <c r="K1553" s="7"/>
      <c r="L1553" s="7"/>
      <c r="M1553" s="7"/>
      <c r="N1553" s="7"/>
      <c r="O1553" s="84" t="e" cm="1">
        <f t="array" ref="O1553">_xlfn.XLOOKUP(1,(A1553=Geotech!$A$4:$A$10094)*(Data_Discontinuities[[#This Row],[Depth (m)]]&gt;=Geotech!$C$4:$C$10094)*(Data_Discontinuities[[#This Row],[Depth (m)]]&lt;Geotech!$D$4:$D$10094),Geotech!$M$4:$M$10094)</f>
        <v>#N/A</v>
      </c>
      <c r="P1553" s="84"/>
      <c r="Q1553" s="84"/>
      <c r="R1553" s="84"/>
      <c r="S155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3" s="71" t="str">
        <f>IFERROR(Data_Discontinuities[[#This Row],[Joint roughness]]/Data_Discontinuities[[#This Row],[Joint alteration]],"")</f>
        <v/>
      </c>
      <c r="V155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3" s="87"/>
    </row>
    <row r="1554" spans="2:23" ht="15" customHeight="1" x14ac:dyDescent="0.25">
      <c r="B1554" s="17" t="e">
        <f>VLOOKUP(Data_Discontinuities[[#This Row],[Hole ID]],Data_Log[],2,FALSE)</f>
        <v>#N/A</v>
      </c>
      <c r="C1554" s="8"/>
      <c r="D1554" s="8"/>
      <c r="E1554" s="7"/>
      <c r="F1554" s="7"/>
      <c r="G1554" s="7"/>
      <c r="H1554" s="118"/>
      <c r="I1554" s="7"/>
      <c r="J1554" s="7"/>
      <c r="K1554" s="7"/>
      <c r="L1554" s="7"/>
      <c r="M1554" s="7"/>
      <c r="N1554" s="7"/>
      <c r="O1554" s="84" t="e" cm="1">
        <f t="array" ref="O1554">_xlfn.XLOOKUP(1,(A1554=Geotech!$A$4:$A$10094)*(Data_Discontinuities[[#This Row],[Depth (m)]]&gt;=Geotech!$C$4:$C$10094)*(Data_Discontinuities[[#This Row],[Depth (m)]]&lt;Geotech!$D$4:$D$10094),Geotech!$M$4:$M$10094)</f>
        <v>#N/A</v>
      </c>
      <c r="P1554" s="84"/>
      <c r="Q1554" s="84"/>
      <c r="R1554" s="84"/>
      <c r="S155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4" s="71" t="str">
        <f>IFERROR(Data_Discontinuities[[#This Row],[Joint roughness]]/Data_Discontinuities[[#This Row],[Joint alteration]],"")</f>
        <v/>
      </c>
      <c r="V155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4" s="87"/>
    </row>
    <row r="1555" spans="2:23" ht="15" customHeight="1" x14ac:dyDescent="0.25">
      <c r="B1555" s="17" t="e">
        <f>VLOOKUP(Data_Discontinuities[[#This Row],[Hole ID]],Data_Log[],2,FALSE)</f>
        <v>#N/A</v>
      </c>
      <c r="C1555" s="8"/>
      <c r="D1555" s="8"/>
      <c r="E1555" s="7"/>
      <c r="F1555" s="7"/>
      <c r="G1555" s="7"/>
      <c r="H1555" s="118"/>
      <c r="I1555" s="7"/>
      <c r="J1555" s="7"/>
      <c r="K1555" s="7"/>
      <c r="L1555" s="7"/>
      <c r="M1555" s="7"/>
      <c r="N1555" s="7"/>
      <c r="O1555" s="84" t="e" cm="1">
        <f t="array" ref="O1555">_xlfn.XLOOKUP(1,(A1555=Geotech!$A$4:$A$10094)*(Data_Discontinuities[[#This Row],[Depth (m)]]&gt;=Geotech!$C$4:$C$10094)*(Data_Discontinuities[[#This Row],[Depth (m)]]&lt;Geotech!$D$4:$D$10094),Geotech!$M$4:$M$10094)</f>
        <v>#N/A</v>
      </c>
      <c r="P1555" s="84"/>
      <c r="Q1555" s="84"/>
      <c r="R1555" s="84"/>
      <c r="S155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5" s="71" t="str">
        <f>IFERROR(Data_Discontinuities[[#This Row],[Joint roughness]]/Data_Discontinuities[[#This Row],[Joint alteration]],"")</f>
        <v/>
      </c>
      <c r="V155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5" s="87"/>
    </row>
    <row r="1556" spans="2:23" ht="15" customHeight="1" x14ac:dyDescent="0.25">
      <c r="B1556" s="17" t="e">
        <f>VLOOKUP(Data_Discontinuities[[#This Row],[Hole ID]],Data_Log[],2,FALSE)</f>
        <v>#N/A</v>
      </c>
      <c r="C1556" s="8"/>
      <c r="D1556" s="8"/>
      <c r="E1556" s="7"/>
      <c r="F1556" s="7"/>
      <c r="G1556" s="7"/>
      <c r="H1556" s="118"/>
      <c r="I1556" s="7"/>
      <c r="J1556" s="7"/>
      <c r="K1556" s="7"/>
      <c r="L1556" s="7"/>
      <c r="M1556" s="7"/>
      <c r="N1556" s="7"/>
      <c r="O1556" s="84" t="e" cm="1">
        <f t="array" ref="O1556">_xlfn.XLOOKUP(1,(A1556=Geotech!$A$4:$A$10094)*(Data_Discontinuities[[#This Row],[Depth (m)]]&gt;=Geotech!$C$4:$C$10094)*(Data_Discontinuities[[#This Row],[Depth (m)]]&lt;Geotech!$D$4:$D$10094),Geotech!$M$4:$M$10094)</f>
        <v>#N/A</v>
      </c>
      <c r="P1556" s="84"/>
      <c r="Q1556" s="84"/>
      <c r="R1556" s="84"/>
      <c r="S155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6" s="71" t="str">
        <f>IFERROR(Data_Discontinuities[[#This Row],[Joint roughness]]/Data_Discontinuities[[#This Row],[Joint alteration]],"")</f>
        <v/>
      </c>
      <c r="V155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6" s="87"/>
    </row>
    <row r="1557" spans="2:23" ht="15" customHeight="1" x14ac:dyDescent="0.25">
      <c r="B1557" s="17" t="e">
        <f>VLOOKUP(Data_Discontinuities[[#This Row],[Hole ID]],Data_Log[],2,FALSE)</f>
        <v>#N/A</v>
      </c>
      <c r="C1557" s="8"/>
      <c r="D1557" s="8"/>
      <c r="E1557" s="7"/>
      <c r="F1557" s="7"/>
      <c r="G1557" s="7"/>
      <c r="H1557" s="118"/>
      <c r="I1557" s="7"/>
      <c r="J1557" s="7"/>
      <c r="K1557" s="7"/>
      <c r="L1557" s="7"/>
      <c r="M1557" s="7"/>
      <c r="N1557" s="7"/>
      <c r="O1557" s="84" t="e" cm="1">
        <f t="array" ref="O1557">_xlfn.XLOOKUP(1,(A1557=Geotech!$A$4:$A$10094)*(Data_Discontinuities[[#This Row],[Depth (m)]]&gt;=Geotech!$C$4:$C$10094)*(Data_Discontinuities[[#This Row],[Depth (m)]]&lt;Geotech!$D$4:$D$10094),Geotech!$M$4:$M$10094)</f>
        <v>#N/A</v>
      </c>
      <c r="P1557" s="84"/>
      <c r="Q1557" s="84"/>
      <c r="R1557" s="84"/>
      <c r="S155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7" s="71" t="str">
        <f>IFERROR(Data_Discontinuities[[#This Row],[Joint roughness]]/Data_Discontinuities[[#This Row],[Joint alteration]],"")</f>
        <v/>
      </c>
      <c r="V155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7" s="87"/>
    </row>
    <row r="1558" spans="2:23" ht="15" customHeight="1" x14ac:dyDescent="0.25">
      <c r="B1558" s="17" t="e">
        <f>VLOOKUP(Data_Discontinuities[[#This Row],[Hole ID]],Data_Log[],2,FALSE)</f>
        <v>#N/A</v>
      </c>
      <c r="C1558" s="8"/>
      <c r="D1558" s="8"/>
      <c r="E1558" s="7"/>
      <c r="F1558" s="7"/>
      <c r="G1558" s="7"/>
      <c r="H1558" s="118"/>
      <c r="I1558" s="7"/>
      <c r="J1558" s="7"/>
      <c r="K1558" s="7"/>
      <c r="L1558" s="7"/>
      <c r="M1558" s="7"/>
      <c r="N1558" s="7"/>
      <c r="O1558" s="84" t="e" cm="1">
        <f t="array" ref="O1558">_xlfn.XLOOKUP(1,(A1558=Geotech!$A$4:$A$10094)*(Data_Discontinuities[[#This Row],[Depth (m)]]&gt;=Geotech!$C$4:$C$10094)*(Data_Discontinuities[[#This Row],[Depth (m)]]&lt;Geotech!$D$4:$D$10094),Geotech!$M$4:$M$10094)</f>
        <v>#N/A</v>
      </c>
      <c r="P1558" s="84"/>
      <c r="Q1558" s="84"/>
      <c r="R1558" s="84"/>
      <c r="S155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8" s="71" t="str">
        <f>IFERROR(Data_Discontinuities[[#This Row],[Joint roughness]]/Data_Discontinuities[[#This Row],[Joint alteration]],"")</f>
        <v/>
      </c>
      <c r="V155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8" s="87"/>
    </row>
    <row r="1559" spans="2:23" ht="15" customHeight="1" x14ac:dyDescent="0.25">
      <c r="B1559" s="17" t="e">
        <f>VLOOKUP(Data_Discontinuities[[#This Row],[Hole ID]],Data_Log[],2,FALSE)</f>
        <v>#N/A</v>
      </c>
      <c r="C1559" s="8"/>
      <c r="D1559" s="8"/>
      <c r="E1559" s="7"/>
      <c r="F1559" s="7"/>
      <c r="G1559" s="7"/>
      <c r="H1559" s="118"/>
      <c r="I1559" s="7"/>
      <c r="J1559" s="7"/>
      <c r="K1559" s="7"/>
      <c r="L1559" s="7"/>
      <c r="M1559" s="7"/>
      <c r="N1559" s="7"/>
      <c r="O1559" s="84" t="e" cm="1">
        <f t="array" ref="O1559">_xlfn.XLOOKUP(1,(A1559=Geotech!$A$4:$A$10094)*(Data_Discontinuities[[#This Row],[Depth (m)]]&gt;=Geotech!$C$4:$C$10094)*(Data_Discontinuities[[#This Row],[Depth (m)]]&lt;Geotech!$D$4:$D$10094),Geotech!$M$4:$M$10094)</f>
        <v>#N/A</v>
      </c>
      <c r="P1559" s="84"/>
      <c r="Q1559" s="84"/>
      <c r="R1559" s="84"/>
      <c r="S155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5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59" s="71" t="str">
        <f>IFERROR(Data_Discontinuities[[#This Row],[Joint roughness]]/Data_Discontinuities[[#This Row],[Joint alteration]],"")</f>
        <v/>
      </c>
      <c r="V155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59" s="87"/>
    </row>
    <row r="1560" spans="2:23" ht="15" customHeight="1" x14ac:dyDescent="0.25">
      <c r="B1560" s="17" t="e">
        <f>VLOOKUP(Data_Discontinuities[[#This Row],[Hole ID]],Data_Log[],2,FALSE)</f>
        <v>#N/A</v>
      </c>
      <c r="C1560" s="8"/>
      <c r="D1560" s="8"/>
      <c r="E1560" s="7"/>
      <c r="F1560" s="7"/>
      <c r="G1560" s="7"/>
      <c r="H1560" s="118"/>
      <c r="I1560" s="7"/>
      <c r="J1560" s="7"/>
      <c r="K1560" s="7"/>
      <c r="L1560" s="7"/>
      <c r="M1560" s="7"/>
      <c r="N1560" s="7"/>
      <c r="O1560" s="84" t="e" cm="1">
        <f t="array" ref="O1560">_xlfn.XLOOKUP(1,(A1560=Geotech!$A$4:$A$10094)*(Data_Discontinuities[[#This Row],[Depth (m)]]&gt;=Geotech!$C$4:$C$10094)*(Data_Discontinuities[[#This Row],[Depth (m)]]&lt;Geotech!$D$4:$D$10094),Geotech!$M$4:$M$10094)</f>
        <v>#N/A</v>
      </c>
      <c r="P1560" s="84"/>
      <c r="Q1560" s="84"/>
      <c r="R1560" s="84"/>
      <c r="S156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0" s="71" t="str">
        <f>IFERROR(Data_Discontinuities[[#This Row],[Joint roughness]]/Data_Discontinuities[[#This Row],[Joint alteration]],"")</f>
        <v/>
      </c>
      <c r="V156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0" s="87"/>
    </row>
    <row r="1561" spans="2:23" ht="15" customHeight="1" x14ac:dyDescent="0.25">
      <c r="B1561" s="17" t="e">
        <f>VLOOKUP(Data_Discontinuities[[#This Row],[Hole ID]],Data_Log[],2,FALSE)</f>
        <v>#N/A</v>
      </c>
      <c r="C1561" s="8"/>
      <c r="D1561" s="8"/>
      <c r="E1561" s="7"/>
      <c r="F1561" s="7"/>
      <c r="G1561" s="7"/>
      <c r="H1561" s="118"/>
      <c r="I1561" s="7"/>
      <c r="J1561" s="7"/>
      <c r="K1561" s="7"/>
      <c r="L1561" s="7"/>
      <c r="M1561" s="7"/>
      <c r="N1561" s="7"/>
      <c r="O1561" s="84" t="e" cm="1">
        <f t="array" ref="O1561">_xlfn.XLOOKUP(1,(A1561=Geotech!$A$4:$A$10094)*(Data_Discontinuities[[#This Row],[Depth (m)]]&gt;=Geotech!$C$4:$C$10094)*(Data_Discontinuities[[#This Row],[Depth (m)]]&lt;Geotech!$D$4:$D$10094),Geotech!$M$4:$M$10094)</f>
        <v>#N/A</v>
      </c>
      <c r="P1561" s="84"/>
      <c r="Q1561" s="84"/>
      <c r="R1561" s="84"/>
      <c r="S156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1" s="71" t="str">
        <f>IFERROR(Data_Discontinuities[[#This Row],[Joint roughness]]/Data_Discontinuities[[#This Row],[Joint alteration]],"")</f>
        <v/>
      </c>
      <c r="V156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1" s="87"/>
    </row>
    <row r="1562" spans="2:23" ht="15" customHeight="1" x14ac:dyDescent="0.25">
      <c r="B1562" s="17" t="e">
        <f>VLOOKUP(Data_Discontinuities[[#This Row],[Hole ID]],Data_Log[],2,FALSE)</f>
        <v>#N/A</v>
      </c>
      <c r="C1562" s="8"/>
      <c r="D1562" s="8"/>
      <c r="E1562" s="7"/>
      <c r="F1562" s="7"/>
      <c r="G1562" s="7"/>
      <c r="H1562" s="118"/>
      <c r="I1562" s="7"/>
      <c r="J1562" s="7"/>
      <c r="K1562" s="7"/>
      <c r="L1562" s="7"/>
      <c r="M1562" s="7"/>
      <c r="N1562" s="7"/>
      <c r="O1562" s="84" t="e" cm="1">
        <f t="array" ref="O1562">_xlfn.XLOOKUP(1,(A1562=Geotech!$A$4:$A$10094)*(Data_Discontinuities[[#This Row],[Depth (m)]]&gt;=Geotech!$C$4:$C$10094)*(Data_Discontinuities[[#This Row],[Depth (m)]]&lt;Geotech!$D$4:$D$10094),Geotech!$M$4:$M$10094)</f>
        <v>#N/A</v>
      </c>
      <c r="P1562" s="84"/>
      <c r="Q1562" s="84"/>
      <c r="R1562" s="84"/>
      <c r="S156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2" s="71" t="str">
        <f>IFERROR(Data_Discontinuities[[#This Row],[Joint roughness]]/Data_Discontinuities[[#This Row],[Joint alteration]],"")</f>
        <v/>
      </c>
      <c r="V156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2" s="87"/>
    </row>
    <row r="1563" spans="2:23" ht="15" customHeight="1" x14ac:dyDescent="0.25">
      <c r="B1563" s="17" t="e">
        <f>VLOOKUP(Data_Discontinuities[[#This Row],[Hole ID]],Data_Log[],2,FALSE)</f>
        <v>#N/A</v>
      </c>
      <c r="C1563" s="8"/>
      <c r="D1563" s="8"/>
      <c r="E1563" s="7"/>
      <c r="F1563" s="7"/>
      <c r="G1563" s="7"/>
      <c r="H1563" s="118"/>
      <c r="I1563" s="7"/>
      <c r="J1563" s="7"/>
      <c r="K1563" s="7"/>
      <c r="L1563" s="7"/>
      <c r="M1563" s="7"/>
      <c r="N1563" s="7"/>
      <c r="O1563" s="84" t="e" cm="1">
        <f t="array" ref="O1563">_xlfn.XLOOKUP(1,(A1563=Geotech!$A$4:$A$10094)*(Data_Discontinuities[[#This Row],[Depth (m)]]&gt;=Geotech!$C$4:$C$10094)*(Data_Discontinuities[[#This Row],[Depth (m)]]&lt;Geotech!$D$4:$D$10094),Geotech!$M$4:$M$10094)</f>
        <v>#N/A</v>
      </c>
      <c r="P1563" s="84"/>
      <c r="Q1563" s="84"/>
      <c r="R1563" s="84"/>
      <c r="S156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3" s="71" t="str">
        <f>IFERROR(Data_Discontinuities[[#This Row],[Joint roughness]]/Data_Discontinuities[[#This Row],[Joint alteration]],"")</f>
        <v/>
      </c>
      <c r="V156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3" s="87"/>
    </row>
    <row r="1564" spans="2:23" ht="15" customHeight="1" x14ac:dyDescent="0.25">
      <c r="B1564" s="17" t="e">
        <f>VLOOKUP(Data_Discontinuities[[#This Row],[Hole ID]],Data_Log[],2,FALSE)</f>
        <v>#N/A</v>
      </c>
      <c r="C1564" s="8"/>
      <c r="D1564" s="8"/>
      <c r="E1564" s="7"/>
      <c r="F1564" s="7"/>
      <c r="G1564" s="7"/>
      <c r="H1564" s="118"/>
      <c r="I1564" s="7"/>
      <c r="J1564" s="7"/>
      <c r="K1564" s="7"/>
      <c r="L1564" s="7"/>
      <c r="M1564" s="7"/>
      <c r="N1564" s="7"/>
      <c r="O1564" s="84" t="e" cm="1">
        <f t="array" ref="O1564">_xlfn.XLOOKUP(1,(A1564=Geotech!$A$4:$A$10094)*(Data_Discontinuities[[#This Row],[Depth (m)]]&gt;=Geotech!$C$4:$C$10094)*(Data_Discontinuities[[#This Row],[Depth (m)]]&lt;Geotech!$D$4:$D$10094),Geotech!$M$4:$M$10094)</f>
        <v>#N/A</v>
      </c>
      <c r="P1564" s="84"/>
      <c r="Q1564" s="84"/>
      <c r="R1564" s="84"/>
      <c r="S156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4" s="71" t="str">
        <f>IFERROR(Data_Discontinuities[[#This Row],[Joint roughness]]/Data_Discontinuities[[#This Row],[Joint alteration]],"")</f>
        <v/>
      </c>
      <c r="V156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4" s="87"/>
    </row>
    <row r="1565" spans="2:23" ht="15" customHeight="1" x14ac:dyDescent="0.25">
      <c r="B1565" s="17" t="e">
        <f>VLOOKUP(Data_Discontinuities[[#This Row],[Hole ID]],Data_Log[],2,FALSE)</f>
        <v>#N/A</v>
      </c>
      <c r="C1565" s="8"/>
      <c r="D1565" s="8"/>
      <c r="E1565" s="7"/>
      <c r="F1565" s="7"/>
      <c r="G1565" s="7"/>
      <c r="H1565" s="118"/>
      <c r="I1565" s="7"/>
      <c r="J1565" s="7"/>
      <c r="K1565" s="7"/>
      <c r="L1565" s="7"/>
      <c r="M1565" s="7"/>
      <c r="N1565" s="7"/>
      <c r="O1565" s="84" t="e" cm="1">
        <f t="array" ref="O1565">_xlfn.XLOOKUP(1,(A1565=Geotech!$A$4:$A$10094)*(Data_Discontinuities[[#This Row],[Depth (m)]]&gt;=Geotech!$C$4:$C$10094)*(Data_Discontinuities[[#This Row],[Depth (m)]]&lt;Geotech!$D$4:$D$10094),Geotech!$M$4:$M$10094)</f>
        <v>#N/A</v>
      </c>
      <c r="P1565" s="84"/>
      <c r="Q1565" s="84"/>
      <c r="R1565" s="84"/>
      <c r="S156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5" s="71" t="str">
        <f>IFERROR(Data_Discontinuities[[#This Row],[Joint roughness]]/Data_Discontinuities[[#This Row],[Joint alteration]],"")</f>
        <v/>
      </c>
      <c r="V156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5" s="87"/>
    </row>
    <row r="1566" spans="2:23" ht="15" customHeight="1" x14ac:dyDescent="0.25">
      <c r="B1566" s="17" t="e">
        <f>VLOOKUP(Data_Discontinuities[[#This Row],[Hole ID]],Data_Log[],2,FALSE)</f>
        <v>#N/A</v>
      </c>
      <c r="C1566" s="8"/>
      <c r="D1566" s="8"/>
      <c r="E1566" s="7"/>
      <c r="F1566" s="7"/>
      <c r="G1566" s="7"/>
      <c r="H1566" s="118"/>
      <c r="I1566" s="7"/>
      <c r="J1566" s="7"/>
      <c r="K1566" s="7"/>
      <c r="L1566" s="7"/>
      <c r="M1566" s="7"/>
      <c r="N1566" s="7"/>
      <c r="O1566" s="84" t="e" cm="1">
        <f t="array" ref="O1566">_xlfn.XLOOKUP(1,(A1566=Geotech!$A$4:$A$10094)*(Data_Discontinuities[[#This Row],[Depth (m)]]&gt;=Geotech!$C$4:$C$10094)*(Data_Discontinuities[[#This Row],[Depth (m)]]&lt;Geotech!$D$4:$D$10094),Geotech!$M$4:$M$10094)</f>
        <v>#N/A</v>
      </c>
      <c r="P1566" s="84"/>
      <c r="Q1566" s="84"/>
      <c r="R1566" s="84"/>
      <c r="S156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6" s="71" t="str">
        <f>IFERROR(Data_Discontinuities[[#This Row],[Joint roughness]]/Data_Discontinuities[[#This Row],[Joint alteration]],"")</f>
        <v/>
      </c>
      <c r="V156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6" s="87"/>
    </row>
    <row r="1567" spans="2:23" ht="15" customHeight="1" x14ac:dyDescent="0.25">
      <c r="B1567" s="17" t="e">
        <f>VLOOKUP(Data_Discontinuities[[#This Row],[Hole ID]],Data_Log[],2,FALSE)</f>
        <v>#N/A</v>
      </c>
      <c r="C1567" s="8"/>
      <c r="D1567" s="8"/>
      <c r="E1567" s="7"/>
      <c r="F1567" s="7"/>
      <c r="G1567" s="7"/>
      <c r="H1567" s="118"/>
      <c r="I1567" s="7"/>
      <c r="J1567" s="7"/>
      <c r="K1567" s="7"/>
      <c r="L1567" s="7"/>
      <c r="M1567" s="7"/>
      <c r="N1567" s="7"/>
      <c r="O1567" s="84" t="e" cm="1">
        <f t="array" ref="O1567">_xlfn.XLOOKUP(1,(A1567=Geotech!$A$4:$A$10094)*(Data_Discontinuities[[#This Row],[Depth (m)]]&gt;=Geotech!$C$4:$C$10094)*(Data_Discontinuities[[#This Row],[Depth (m)]]&lt;Geotech!$D$4:$D$10094),Geotech!$M$4:$M$10094)</f>
        <v>#N/A</v>
      </c>
      <c r="P1567" s="84"/>
      <c r="Q1567" s="84"/>
      <c r="R1567" s="84"/>
      <c r="S156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7" s="71" t="str">
        <f>IFERROR(Data_Discontinuities[[#This Row],[Joint roughness]]/Data_Discontinuities[[#This Row],[Joint alteration]],"")</f>
        <v/>
      </c>
      <c r="V156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7" s="87"/>
    </row>
    <row r="1568" spans="2:23" ht="15" customHeight="1" x14ac:dyDescent="0.25">
      <c r="B1568" s="17" t="e">
        <f>VLOOKUP(Data_Discontinuities[[#This Row],[Hole ID]],Data_Log[],2,FALSE)</f>
        <v>#N/A</v>
      </c>
      <c r="C1568" s="8"/>
      <c r="D1568" s="8"/>
      <c r="E1568" s="7"/>
      <c r="F1568" s="7"/>
      <c r="G1568" s="7"/>
      <c r="H1568" s="118"/>
      <c r="I1568" s="7"/>
      <c r="J1568" s="7"/>
      <c r="K1568" s="7"/>
      <c r="L1568" s="7"/>
      <c r="M1568" s="7"/>
      <c r="N1568" s="7"/>
      <c r="O1568" s="84" t="e" cm="1">
        <f t="array" ref="O1568">_xlfn.XLOOKUP(1,(A1568=Geotech!$A$4:$A$10094)*(Data_Discontinuities[[#This Row],[Depth (m)]]&gt;=Geotech!$C$4:$C$10094)*(Data_Discontinuities[[#This Row],[Depth (m)]]&lt;Geotech!$D$4:$D$10094),Geotech!$M$4:$M$10094)</f>
        <v>#N/A</v>
      </c>
      <c r="P1568" s="84"/>
      <c r="Q1568" s="84"/>
      <c r="R1568" s="84"/>
      <c r="S156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8" s="71" t="str">
        <f>IFERROR(Data_Discontinuities[[#This Row],[Joint roughness]]/Data_Discontinuities[[#This Row],[Joint alteration]],"")</f>
        <v/>
      </c>
      <c r="V156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8" s="87"/>
    </row>
    <row r="1569" spans="2:23" ht="15" customHeight="1" x14ac:dyDescent="0.25">
      <c r="B1569" s="17" t="e">
        <f>VLOOKUP(Data_Discontinuities[[#This Row],[Hole ID]],Data_Log[],2,FALSE)</f>
        <v>#N/A</v>
      </c>
      <c r="C1569" s="8"/>
      <c r="D1569" s="8"/>
      <c r="E1569" s="7"/>
      <c r="F1569" s="7"/>
      <c r="G1569" s="7"/>
      <c r="H1569" s="118"/>
      <c r="I1569" s="7"/>
      <c r="J1569" s="7"/>
      <c r="K1569" s="7"/>
      <c r="L1569" s="7"/>
      <c r="M1569" s="7"/>
      <c r="N1569" s="7"/>
      <c r="O1569" s="84" t="e" cm="1">
        <f t="array" ref="O1569">_xlfn.XLOOKUP(1,(A1569=Geotech!$A$4:$A$10094)*(Data_Discontinuities[[#This Row],[Depth (m)]]&gt;=Geotech!$C$4:$C$10094)*(Data_Discontinuities[[#This Row],[Depth (m)]]&lt;Geotech!$D$4:$D$10094),Geotech!$M$4:$M$10094)</f>
        <v>#N/A</v>
      </c>
      <c r="P1569" s="84"/>
      <c r="Q1569" s="84"/>
      <c r="R1569" s="84"/>
      <c r="S156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6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69" s="71" t="str">
        <f>IFERROR(Data_Discontinuities[[#This Row],[Joint roughness]]/Data_Discontinuities[[#This Row],[Joint alteration]],"")</f>
        <v/>
      </c>
      <c r="V156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69" s="87"/>
    </row>
    <row r="1570" spans="2:23" ht="15" customHeight="1" x14ac:dyDescent="0.25">
      <c r="B1570" s="17" t="e">
        <f>VLOOKUP(Data_Discontinuities[[#This Row],[Hole ID]],Data_Log[],2,FALSE)</f>
        <v>#N/A</v>
      </c>
      <c r="C1570" s="8"/>
      <c r="D1570" s="8"/>
      <c r="E1570" s="7"/>
      <c r="F1570" s="7"/>
      <c r="G1570" s="7"/>
      <c r="H1570" s="118"/>
      <c r="I1570" s="7"/>
      <c r="J1570" s="7"/>
      <c r="K1570" s="7"/>
      <c r="L1570" s="7"/>
      <c r="M1570" s="7"/>
      <c r="N1570" s="7"/>
      <c r="O1570" s="84" t="e" cm="1">
        <f t="array" ref="O1570">_xlfn.XLOOKUP(1,(A1570=Geotech!$A$4:$A$10094)*(Data_Discontinuities[[#This Row],[Depth (m)]]&gt;=Geotech!$C$4:$C$10094)*(Data_Discontinuities[[#This Row],[Depth (m)]]&lt;Geotech!$D$4:$D$10094),Geotech!$M$4:$M$10094)</f>
        <v>#N/A</v>
      </c>
      <c r="P1570" s="84"/>
      <c r="Q1570" s="84"/>
      <c r="R1570" s="84"/>
      <c r="S157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0" s="71" t="str">
        <f>IFERROR(Data_Discontinuities[[#This Row],[Joint roughness]]/Data_Discontinuities[[#This Row],[Joint alteration]],"")</f>
        <v/>
      </c>
      <c r="V157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0" s="87"/>
    </row>
    <row r="1571" spans="2:23" ht="15" customHeight="1" x14ac:dyDescent="0.25">
      <c r="B1571" s="17" t="e">
        <f>VLOOKUP(Data_Discontinuities[[#This Row],[Hole ID]],Data_Log[],2,FALSE)</f>
        <v>#N/A</v>
      </c>
      <c r="C1571" s="8"/>
      <c r="D1571" s="8"/>
      <c r="E1571" s="7"/>
      <c r="F1571" s="7"/>
      <c r="G1571" s="7"/>
      <c r="H1571" s="118"/>
      <c r="I1571" s="7"/>
      <c r="J1571" s="7"/>
      <c r="K1571" s="7"/>
      <c r="L1571" s="7"/>
      <c r="M1571" s="7"/>
      <c r="N1571" s="7"/>
      <c r="O1571" s="84" t="e" cm="1">
        <f t="array" ref="O1571">_xlfn.XLOOKUP(1,(A1571=Geotech!$A$4:$A$10094)*(Data_Discontinuities[[#This Row],[Depth (m)]]&gt;=Geotech!$C$4:$C$10094)*(Data_Discontinuities[[#This Row],[Depth (m)]]&lt;Geotech!$D$4:$D$10094),Geotech!$M$4:$M$10094)</f>
        <v>#N/A</v>
      </c>
      <c r="P1571" s="84"/>
      <c r="Q1571" s="84"/>
      <c r="R1571" s="84"/>
      <c r="S157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1" s="71" t="str">
        <f>IFERROR(Data_Discontinuities[[#This Row],[Joint roughness]]/Data_Discontinuities[[#This Row],[Joint alteration]],"")</f>
        <v/>
      </c>
      <c r="V157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1" s="87"/>
    </row>
    <row r="1572" spans="2:23" ht="15" customHeight="1" x14ac:dyDescent="0.25">
      <c r="B1572" s="17" t="e">
        <f>VLOOKUP(Data_Discontinuities[[#This Row],[Hole ID]],Data_Log[],2,FALSE)</f>
        <v>#N/A</v>
      </c>
      <c r="C1572" s="8"/>
      <c r="D1572" s="8"/>
      <c r="E1572" s="7"/>
      <c r="F1572" s="7"/>
      <c r="G1572" s="7"/>
      <c r="H1572" s="118"/>
      <c r="I1572" s="7"/>
      <c r="J1572" s="7"/>
      <c r="K1572" s="7"/>
      <c r="L1572" s="7"/>
      <c r="M1572" s="7"/>
      <c r="N1572" s="7"/>
      <c r="O1572" s="84" t="e" cm="1">
        <f t="array" ref="O1572">_xlfn.XLOOKUP(1,(A1572=Geotech!$A$4:$A$10094)*(Data_Discontinuities[[#This Row],[Depth (m)]]&gt;=Geotech!$C$4:$C$10094)*(Data_Discontinuities[[#This Row],[Depth (m)]]&lt;Geotech!$D$4:$D$10094),Geotech!$M$4:$M$10094)</f>
        <v>#N/A</v>
      </c>
      <c r="P1572" s="84"/>
      <c r="Q1572" s="84"/>
      <c r="R1572" s="84"/>
      <c r="S157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2" s="71" t="str">
        <f>IFERROR(Data_Discontinuities[[#This Row],[Joint roughness]]/Data_Discontinuities[[#This Row],[Joint alteration]],"")</f>
        <v/>
      </c>
      <c r="V157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2" s="87"/>
    </row>
    <row r="1573" spans="2:23" ht="15" customHeight="1" x14ac:dyDescent="0.25">
      <c r="B1573" s="17" t="e">
        <f>VLOOKUP(Data_Discontinuities[[#This Row],[Hole ID]],Data_Log[],2,FALSE)</f>
        <v>#N/A</v>
      </c>
      <c r="C1573" s="8"/>
      <c r="D1573" s="8"/>
      <c r="E1573" s="7"/>
      <c r="F1573" s="7"/>
      <c r="G1573" s="7"/>
      <c r="H1573" s="118"/>
      <c r="I1573" s="7"/>
      <c r="J1573" s="7"/>
      <c r="K1573" s="7"/>
      <c r="L1573" s="7"/>
      <c r="M1573" s="7"/>
      <c r="N1573" s="7"/>
      <c r="O1573" s="84" t="e" cm="1">
        <f t="array" ref="O1573">_xlfn.XLOOKUP(1,(A1573=Geotech!$A$4:$A$10094)*(Data_Discontinuities[[#This Row],[Depth (m)]]&gt;=Geotech!$C$4:$C$10094)*(Data_Discontinuities[[#This Row],[Depth (m)]]&lt;Geotech!$D$4:$D$10094),Geotech!$M$4:$M$10094)</f>
        <v>#N/A</v>
      </c>
      <c r="P1573" s="84"/>
      <c r="Q1573" s="84"/>
      <c r="R1573" s="84"/>
      <c r="S157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3" s="71" t="str">
        <f>IFERROR(Data_Discontinuities[[#This Row],[Joint roughness]]/Data_Discontinuities[[#This Row],[Joint alteration]],"")</f>
        <v/>
      </c>
      <c r="V157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3" s="87"/>
    </row>
    <row r="1574" spans="2:23" ht="15" customHeight="1" x14ac:dyDescent="0.25">
      <c r="B1574" s="17" t="e">
        <f>VLOOKUP(Data_Discontinuities[[#This Row],[Hole ID]],Data_Log[],2,FALSE)</f>
        <v>#N/A</v>
      </c>
      <c r="C1574" s="8"/>
      <c r="D1574" s="8"/>
      <c r="E1574" s="7"/>
      <c r="F1574" s="7"/>
      <c r="G1574" s="7"/>
      <c r="H1574" s="118"/>
      <c r="I1574" s="7"/>
      <c r="J1574" s="7"/>
      <c r="K1574" s="7"/>
      <c r="L1574" s="7"/>
      <c r="M1574" s="7"/>
      <c r="N1574" s="7"/>
      <c r="O1574" s="84" t="e" cm="1">
        <f t="array" ref="O1574">_xlfn.XLOOKUP(1,(A1574=Geotech!$A$4:$A$10094)*(Data_Discontinuities[[#This Row],[Depth (m)]]&gt;=Geotech!$C$4:$C$10094)*(Data_Discontinuities[[#This Row],[Depth (m)]]&lt;Geotech!$D$4:$D$10094),Geotech!$M$4:$M$10094)</f>
        <v>#N/A</v>
      </c>
      <c r="P1574" s="84"/>
      <c r="Q1574" s="84"/>
      <c r="R1574" s="84"/>
      <c r="S157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4" s="71" t="str">
        <f>IFERROR(Data_Discontinuities[[#This Row],[Joint roughness]]/Data_Discontinuities[[#This Row],[Joint alteration]],"")</f>
        <v/>
      </c>
      <c r="V157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4" s="87"/>
    </row>
    <row r="1575" spans="2:23" ht="15" customHeight="1" x14ac:dyDescent="0.25">
      <c r="B1575" s="17" t="e">
        <f>VLOOKUP(Data_Discontinuities[[#This Row],[Hole ID]],Data_Log[],2,FALSE)</f>
        <v>#N/A</v>
      </c>
      <c r="C1575" s="8"/>
      <c r="D1575" s="8"/>
      <c r="E1575" s="7"/>
      <c r="F1575" s="7"/>
      <c r="G1575" s="7"/>
      <c r="H1575" s="118"/>
      <c r="I1575" s="7"/>
      <c r="J1575" s="7"/>
      <c r="K1575" s="7"/>
      <c r="L1575" s="7"/>
      <c r="M1575" s="7"/>
      <c r="N1575" s="7"/>
      <c r="O1575" s="84" t="e" cm="1">
        <f t="array" ref="O1575">_xlfn.XLOOKUP(1,(A1575=Geotech!$A$4:$A$10094)*(Data_Discontinuities[[#This Row],[Depth (m)]]&gt;=Geotech!$C$4:$C$10094)*(Data_Discontinuities[[#This Row],[Depth (m)]]&lt;Geotech!$D$4:$D$10094),Geotech!$M$4:$M$10094)</f>
        <v>#N/A</v>
      </c>
      <c r="P1575" s="84"/>
      <c r="Q1575" s="84"/>
      <c r="R1575" s="84"/>
      <c r="S157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5" s="71" t="str">
        <f>IFERROR(Data_Discontinuities[[#This Row],[Joint roughness]]/Data_Discontinuities[[#This Row],[Joint alteration]],"")</f>
        <v/>
      </c>
      <c r="V157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5" s="87"/>
    </row>
    <row r="1576" spans="2:23" ht="15" customHeight="1" x14ac:dyDescent="0.25">
      <c r="B1576" s="17" t="e">
        <f>VLOOKUP(Data_Discontinuities[[#This Row],[Hole ID]],Data_Log[],2,FALSE)</f>
        <v>#N/A</v>
      </c>
      <c r="C1576" s="8"/>
      <c r="D1576" s="8"/>
      <c r="E1576" s="7"/>
      <c r="F1576" s="7"/>
      <c r="G1576" s="7"/>
      <c r="H1576" s="118"/>
      <c r="I1576" s="7"/>
      <c r="J1576" s="7"/>
      <c r="K1576" s="7"/>
      <c r="L1576" s="7"/>
      <c r="M1576" s="7"/>
      <c r="N1576" s="7"/>
      <c r="O1576" s="84" t="e" cm="1">
        <f t="array" ref="O1576">_xlfn.XLOOKUP(1,(A1576=Geotech!$A$4:$A$10094)*(Data_Discontinuities[[#This Row],[Depth (m)]]&gt;=Geotech!$C$4:$C$10094)*(Data_Discontinuities[[#This Row],[Depth (m)]]&lt;Geotech!$D$4:$D$10094),Geotech!$M$4:$M$10094)</f>
        <v>#N/A</v>
      </c>
      <c r="P1576" s="84"/>
      <c r="Q1576" s="84"/>
      <c r="R1576" s="84"/>
      <c r="S157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6" s="71" t="str">
        <f>IFERROR(Data_Discontinuities[[#This Row],[Joint roughness]]/Data_Discontinuities[[#This Row],[Joint alteration]],"")</f>
        <v/>
      </c>
      <c r="V157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6" s="87"/>
    </row>
    <row r="1577" spans="2:23" ht="15" customHeight="1" x14ac:dyDescent="0.25">
      <c r="B1577" s="17" t="e">
        <f>VLOOKUP(Data_Discontinuities[[#This Row],[Hole ID]],Data_Log[],2,FALSE)</f>
        <v>#N/A</v>
      </c>
      <c r="C1577" s="8"/>
      <c r="D1577" s="8"/>
      <c r="E1577" s="7"/>
      <c r="F1577" s="7"/>
      <c r="G1577" s="7"/>
      <c r="H1577" s="118"/>
      <c r="I1577" s="7"/>
      <c r="J1577" s="7"/>
      <c r="K1577" s="7"/>
      <c r="L1577" s="7"/>
      <c r="M1577" s="7"/>
      <c r="N1577" s="7"/>
      <c r="O1577" s="84" t="e" cm="1">
        <f t="array" ref="O1577">_xlfn.XLOOKUP(1,(A1577=Geotech!$A$4:$A$10094)*(Data_Discontinuities[[#This Row],[Depth (m)]]&gt;=Geotech!$C$4:$C$10094)*(Data_Discontinuities[[#This Row],[Depth (m)]]&lt;Geotech!$D$4:$D$10094),Geotech!$M$4:$M$10094)</f>
        <v>#N/A</v>
      </c>
      <c r="P1577" s="84"/>
      <c r="Q1577" s="84"/>
      <c r="R1577" s="84"/>
      <c r="S157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7" s="71" t="str">
        <f>IFERROR(Data_Discontinuities[[#This Row],[Joint roughness]]/Data_Discontinuities[[#This Row],[Joint alteration]],"")</f>
        <v/>
      </c>
      <c r="V157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7" s="87"/>
    </row>
    <row r="1578" spans="2:23" ht="15" customHeight="1" x14ac:dyDescent="0.25">
      <c r="B1578" s="17" t="e">
        <f>VLOOKUP(Data_Discontinuities[[#This Row],[Hole ID]],Data_Log[],2,FALSE)</f>
        <v>#N/A</v>
      </c>
      <c r="C1578" s="8"/>
      <c r="D1578" s="8"/>
      <c r="E1578" s="7"/>
      <c r="F1578" s="7"/>
      <c r="G1578" s="7"/>
      <c r="H1578" s="118"/>
      <c r="I1578" s="7"/>
      <c r="J1578" s="7"/>
      <c r="K1578" s="7"/>
      <c r="L1578" s="7"/>
      <c r="M1578" s="7"/>
      <c r="N1578" s="7"/>
      <c r="O1578" s="84" t="e" cm="1">
        <f t="array" ref="O1578">_xlfn.XLOOKUP(1,(A1578=Geotech!$A$4:$A$10094)*(Data_Discontinuities[[#This Row],[Depth (m)]]&gt;=Geotech!$C$4:$C$10094)*(Data_Discontinuities[[#This Row],[Depth (m)]]&lt;Geotech!$D$4:$D$10094),Geotech!$M$4:$M$10094)</f>
        <v>#N/A</v>
      </c>
      <c r="P1578" s="84"/>
      <c r="Q1578" s="84"/>
      <c r="R1578" s="84"/>
      <c r="S157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8" s="71" t="str">
        <f>IFERROR(Data_Discontinuities[[#This Row],[Joint roughness]]/Data_Discontinuities[[#This Row],[Joint alteration]],"")</f>
        <v/>
      </c>
      <c r="V157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8" s="87"/>
    </row>
    <row r="1579" spans="2:23" ht="15" customHeight="1" x14ac:dyDescent="0.25">
      <c r="B1579" s="17" t="e">
        <f>VLOOKUP(Data_Discontinuities[[#This Row],[Hole ID]],Data_Log[],2,FALSE)</f>
        <v>#N/A</v>
      </c>
      <c r="C1579" s="8"/>
      <c r="D1579" s="8"/>
      <c r="E1579" s="7"/>
      <c r="F1579" s="7"/>
      <c r="G1579" s="7"/>
      <c r="H1579" s="118"/>
      <c r="I1579" s="7"/>
      <c r="J1579" s="7"/>
      <c r="K1579" s="7"/>
      <c r="L1579" s="7"/>
      <c r="M1579" s="7"/>
      <c r="N1579" s="7"/>
      <c r="O1579" s="84" t="e" cm="1">
        <f t="array" ref="O1579">_xlfn.XLOOKUP(1,(A1579=Geotech!$A$4:$A$10094)*(Data_Discontinuities[[#This Row],[Depth (m)]]&gt;=Geotech!$C$4:$C$10094)*(Data_Discontinuities[[#This Row],[Depth (m)]]&lt;Geotech!$D$4:$D$10094),Geotech!$M$4:$M$10094)</f>
        <v>#N/A</v>
      </c>
      <c r="P1579" s="84"/>
      <c r="Q1579" s="84"/>
      <c r="R1579" s="84"/>
      <c r="S157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7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79" s="71" t="str">
        <f>IFERROR(Data_Discontinuities[[#This Row],[Joint roughness]]/Data_Discontinuities[[#This Row],[Joint alteration]],"")</f>
        <v/>
      </c>
      <c r="V157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79" s="87"/>
    </row>
    <row r="1580" spans="2:23" ht="15" customHeight="1" x14ac:dyDescent="0.25">
      <c r="B1580" s="17" t="e">
        <f>VLOOKUP(Data_Discontinuities[[#This Row],[Hole ID]],Data_Log[],2,FALSE)</f>
        <v>#N/A</v>
      </c>
      <c r="C1580" s="8"/>
      <c r="D1580" s="8"/>
      <c r="E1580" s="7"/>
      <c r="F1580" s="7"/>
      <c r="G1580" s="7"/>
      <c r="H1580" s="118"/>
      <c r="I1580" s="7"/>
      <c r="J1580" s="7"/>
      <c r="K1580" s="7"/>
      <c r="L1580" s="7"/>
      <c r="M1580" s="7"/>
      <c r="N1580" s="7"/>
      <c r="O1580" s="84" t="e" cm="1">
        <f t="array" ref="O1580">_xlfn.XLOOKUP(1,(A1580=Geotech!$A$4:$A$10094)*(Data_Discontinuities[[#This Row],[Depth (m)]]&gt;=Geotech!$C$4:$C$10094)*(Data_Discontinuities[[#This Row],[Depth (m)]]&lt;Geotech!$D$4:$D$10094),Geotech!$M$4:$M$10094)</f>
        <v>#N/A</v>
      </c>
      <c r="P1580" s="84"/>
      <c r="Q1580" s="84"/>
      <c r="R1580" s="84"/>
      <c r="S158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0" s="71" t="str">
        <f>IFERROR(Data_Discontinuities[[#This Row],[Joint roughness]]/Data_Discontinuities[[#This Row],[Joint alteration]],"")</f>
        <v/>
      </c>
      <c r="V158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0" s="87"/>
    </row>
    <row r="1581" spans="2:23" ht="15" customHeight="1" x14ac:dyDescent="0.25">
      <c r="B1581" s="17" t="e">
        <f>VLOOKUP(Data_Discontinuities[[#This Row],[Hole ID]],Data_Log[],2,FALSE)</f>
        <v>#N/A</v>
      </c>
      <c r="C1581" s="8"/>
      <c r="D1581" s="8"/>
      <c r="E1581" s="7"/>
      <c r="F1581" s="7"/>
      <c r="G1581" s="7"/>
      <c r="H1581" s="118"/>
      <c r="I1581" s="7"/>
      <c r="J1581" s="7"/>
      <c r="K1581" s="7"/>
      <c r="L1581" s="7"/>
      <c r="M1581" s="7"/>
      <c r="N1581" s="7"/>
      <c r="O1581" s="84" t="e" cm="1">
        <f t="array" ref="O1581">_xlfn.XLOOKUP(1,(A1581=Geotech!$A$4:$A$10094)*(Data_Discontinuities[[#This Row],[Depth (m)]]&gt;=Geotech!$C$4:$C$10094)*(Data_Discontinuities[[#This Row],[Depth (m)]]&lt;Geotech!$D$4:$D$10094),Geotech!$M$4:$M$10094)</f>
        <v>#N/A</v>
      </c>
      <c r="P1581" s="84"/>
      <c r="Q1581" s="84"/>
      <c r="R1581" s="84"/>
      <c r="S158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1" s="71" t="str">
        <f>IFERROR(Data_Discontinuities[[#This Row],[Joint roughness]]/Data_Discontinuities[[#This Row],[Joint alteration]],"")</f>
        <v/>
      </c>
      <c r="V158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1" s="87"/>
    </row>
    <row r="1582" spans="2:23" ht="15" customHeight="1" x14ac:dyDescent="0.25">
      <c r="B1582" s="17" t="e">
        <f>VLOOKUP(Data_Discontinuities[[#This Row],[Hole ID]],Data_Log[],2,FALSE)</f>
        <v>#N/A</v>
      </c>
      <c r="C1582" s="8"/>
      <c r="D1582" s="8"/>
      <c r="E1582" s="7"/>
      <c r="F1582" s="7"/>
      <c r="G1582" s="7"/>
      <c r="H1582" s="118"/>
      <c r="I1582" s="7"/>
      <c r="J1582" s="7"/>
      <c r="K1582" s="7"/>
      <c r="L1582" s="7"/>
      <c r="M1582" s="7"/>
      <c r="N1582" s="7"/>
      <c r="O1582" s="84" t="e" cm="1">
        <f t="array" ref="O1582">_xlfn.XLOOKUP(1,(A1582=Geotech!$A$4:$A$10094)*(Data_Discontinuities[[#This Row],[Depth (m)]]&gt;=Geotech!$C$4:$C$10094)*(Data_Discontinuities[[#This Row],[Depth (m)]]&lt;Geotech!$D$4:$D$10094),Geotech!$M$4:$M$10094)</f>
        <v>#N/A</v>
      </c>
      <c r="P1582" s="84"/>
      <c r="Q1582" s="84"/>
      <c r="R1582" s="84"/>
      <c r="S158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2" s="71" t="str">
        <f>IFERROR(Data_Discontinuities[[#This Row],[Joint roughness]]/Data_Discontinuities[[#This Row],[Joint alteration]],"")</f>
        <v/>
      </c>
      <c r="V158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2" s="87"/>
    </row>
    <row r="1583" spans="2:23" ht="15" customHeight="1" x14ac:dyDescent="0.25">
      <c r="B1583" s="17" t="e">
        <f>VLOOKUP(Data_Discontinuities[[#This Row],[Hole ID]],Data_Log[],2,FALSE)</f>
        <v>#N/A</v>
      </c>
      <c r="C1583" s="8"/>
      <c r="D1583" s="8"/>
      <c r="E1583" s="7"/>
      <c r="F1583" s="7"/>
      <c r="G1583" s="7"/>
      <c r="H1583" s="118"/>
      <c r="I1583" s="7"/>
      <c r="J1583" s="7"/>
      <c r="K1583" s="7"/>
      <c r="L1583" s="7"/>
      <c r="M1583" s="7"/>
      <c r="N1583" s="7"/>
      <c r="O1583" s="84" t="e" cm="1">
        <f t="array" ref="O1583">_xlfn.XLOOKUP(1,(A1583=Geotech!$A$4:$A$10094)*(Data_Discontinuities[[#This Row],[Depth (m)]]&gt;=Geotech!$C$4:$C$10094)*(Data_Discontinuities[[#This Row],[Depth (m)]]&lt;Geotech!$D$4:$D$10094),Geotech!$M$4:$M$10094)</f>
        <v>#N/A</v>
      </c>
      <c r="P1583" s="84"/>
      <c r="Q1583" s="84"/>
      <c r="R1583" s="84"/>
      <c r="S158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3" s="71" t="str">
        <f>IFERROR(Data_Discontinuities[[#This Row],[Joint roughness]]/Data_Discontinuities[[#This Row],[Joint alteration]],"")</f>
        <v/>
      </c>
      <c r="V158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3" s="87"/>
    </row>
    <row r="1584" spans="2:23" ht="15" customHeight="1" x14ac:dyDescent="0.25">
      <c r="B1584" s="17" t="e">
        <f>VLOOKUP(Data_Discontinuities[[#This Row],[Hole ID]],Data_Log[],2,FALSE)</f>
        <v>#N/A</v>
      </c>
      <c r="C1584" s="8"/>
      <c r="D1584" s="8"/>
      <c r="E1584" s="7"/>
      <c r="F1584" s="7"/>
      <c r="G1584" s="7"/>
      <c r="H1584" s="118"/>
      <c r="I1584" s="7"/>
      <c r="J1584" s="7"/>
      <c r="K1584" s="7"/>
      <c r="L1584" s="7"/>
      <c r="M1584" s="7"/>
      <c r="N1584" s="7"/>
      <c r="O1584" s="84" t="e" cm="1">
        <f t="array" ref="O1584">_xlfn.XLOOKUP(1,(A1584=Geotech!$A$4:$A$10094)*(Data_Discontinuities[[#This Row],[Depth (m)]]&gt;=Geotech!$C$4:$C$10094)*(Data_Discontinuities[[#This Row],[Depth (m)]]&lt;Geotech!$D$4:$D$10094),Geotech!$M$4:$M$10094)</f>
        <v>#N/A</v>
      </c>
      <c r="P1584" s="84"/>
      <c r="Q1584" s="84"/>
      <c r="R1584" s="84"/>
      <c r="S158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4" s="71" t="str">
        <f>IFERROR(Data_Discontinuities[[#This Row],[Joint roughness]]/Data_Discontinuities[[#This Row],[Joint alteration]],"")</f>
        <v/>
      </c>
      <c r="V158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4" s="87"/>
    </row>
    <row r="1585" spans="2:23" ht="15" customHeight="1" x14ac:dyDescent="0.25">
      <c r="B1585" s="17" t="e">
        <f>VLOOKUP(Data_Discontinuities[[#This Row],[Hole ID]],Data_Log[],2,FALSE)</f>
        <v>#N/A</v>
      </c>
      <c r="C1585" s="8"/>
      <c r="D1585" s="8"/>
      <c r="E1585" s="7"/>
      <c r="F1585" s="7"/>
      <c r="G1585" s="7"/>
      <c r="H1585" s="118"/>
      <c r="I1585" s="7"/>
      <c r="J1585" s="7"/>
      <c r="K1585" s="7"/>
      <c r="L1585" s="7"/>
      <c r="M1585" s="7"/>
      <c r="N1585" s="7"/>
      <c r="O1585" s="84" t="e" cm="1">
        <f t="array" ref="O1585">_xlfn.XLOOKUP(1,(A1585=Geotech!$A$4:$A$10094)*(Data_Discontinuities[[#This Row],[Depth (m)]]&gt;=Geotech!$C$4:$C$10094)*(Data_Discontinuities[[#This Row],[Depth (m)]]&lt;Geotech!$D$4:$D$10094),Geotech!$M$4:$M$10094)</f>
        <v>#N/A</v>
      </c>
      <c r="P1585" s="84"/>
      <c r="Q1585" s="84"/>
      <c r="R1585" s="84"/>
      <c r="S158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5" s="71" t="str">
        <f>IFERROR(Data_Discontinuities[[#This Row],[Joint roughness]]/Data_Discontinuities[[#This Row],[Joint alteration]],"")</f>
        <v/>
      </c>
      <c r="V158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5" s="87"/>
    </row>
    <row r="1586" spans="2:23" ht="15" customHeight="1" x14ac:dyDescent="0.25">
      <c r="B1586" s="17" t="e">
        <f>VLOOKUP(Data_Discontinuities[[#This Row],[Hole ID]],Data_Log[],2,FALSE)</f>
        <v>#N/A</v>
      </c>
      <c r="C1586" s="8"/>
      <c r="D1586" s="8"/>
      <c r="E1586" s="7"/>
      <c r="F1586" s="7"/>
      <c r="G1586" s="7"/>
      <c r="H1586" s="118"/>
      <c r="I1586" s="7"/>
      <c r="J1586" s="7"/>
      <c r="K1586" s="7"/>
      <c r="L1586" s="7"/>
      <c r="M1586" s="7"/>
      <c r="N1586" s="7"/>
      <c r="O1586" s="84" t="e" cm="1">
        <f t="array" ref="O1586">_xlfn.XLOOKUP(1,(A1586=Geotech!$A$4:$A$10094)*(Data_Discontinuities[[#This Row],[Depth (m)]]&gt;=Geotech!$C$4:$C$10094)*(Data_Discontinuities[[#This Row],[Depth (m)]]&lt;Geotech!$D$4:$D$10094),Geotech!$M$4:$M$10094)</f>
        <v>#N/A</v>
      </c>
      <c r="P1586" s="84"/>
      <c r="Q1586" s="84"/>
      <c r="R1586" s="84"/>
      <c r="S158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6" s="71" t="str">
        <f>IFERROR(Data_Discontinuities[[#This Row],[Joint roughness]]/Data_Discontinuities[[#This Row],[Joint alteration]],"")</f>
        <v/>
      </c>
      <c r="V158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6" s="87"/>
    </row>
    <row r="1587" spans="2:23" ht="15" customHeight="1" x14ac:dyDescent="0.25">
      <c r="B1587" s="17" t="e">
        <f>VLOOKUP(Data_Discontinuities[[#This Row],[Hole ID]],Data_Log[],2,FALSE)</f>
        <v>#N/A</v>
      </c>
      <c r="C1587" s="8"/>
      <c r="D1587" s="8"/>
      <c r="E1587" s="7"/>
      <c r="F1587" s="7"/>
      <c r="G1587" s="7"/>
      <c r="H1587" s="118"/>
      <c r="I1587" s="7"/>
      <c r="J1587" s="7"/>
      <c r="K1587" s="7"/>
      <c r="L1587" s="7"/>
      <c r="M1587" s="7"/>
      <c r="N1587" s="7"/>
      <c r="O1587" s="84" t="e" cm="1">
        <f t="array" ref="O1587">_xlfn.XLOOKUP(1,(A1587=Geotech!$A$4:$A$10094)*(Data_Discontinuities[[#This Row],[Depth (m)]]&gt;=Geotech!$C$4:$C$10094)*(Data_Discontinuities[[#This Row],[Depth (m)]]&lt;Geotech!$D$4:$D$10094),Geotech!$M$4:$M$10094)</f>
        <v>#N/A</v>
      </c>
      <c r="P1587" s="84"/>
      <c r="Q1587" s="84"/>
      <c r="R1587" s="84"/>
      <c r="S158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7" s="71" t="str">
        <f>IFERROR(Data_Discontinuities[[#This Row],[Joint roughness]]/Data_Discontinuities[[#This Row],[Joint alteration]],"")</f>
        <v/>
      </c>
      <c r="V158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7" s="87"/>
    </row>
    <row r="1588" spans="2:23" ht="15" customHeight="1" x14ac:dyDescent="0.25">
      <c r="B1588" s="17" t="e">
        <f>VLOOKUP(Data_Discontinuities[[#This Row],[Hole ID]],Data_Log[],2,FALSE)</f>
        <v>#N/A</v>
      </c>
      <c r="C1588" s="8"/>
      <c r="D1588" s="8"/>
      <c r="E1588" s="7"/>
      <c r="F1588" s="7"/>
      <c r="G1588" s="7"/>
      <c r="H1588" s="118"/>
      <c r="I1588" s="7"/>
      <c r="J1588" s="7"/>
      <c r="K1588" s="7"/>
      <c r="L1588" s="7"/>
      <c r="M1588" s="7"/>
      <c r="N1588" s="7"/>
      <c r="O1588" s="84" t="e" cm="1">
        <f t="array" ref="O1588">_xlfn.XLOOKUP(1,(A1588=Geotech!$A$4:$A$10094)*(Data_Discontinuities[[#This Row],[Depth (m)]]&gt;=Geotech!$C$4:$C$10094)*(Data_Discontinuities[[#This Row],[Depth (m)]]&lt;Geotech!$D$4:$D$10094),Geotech!$M$4:$M$10094)</f>
        <v>#N/A</v>
      </c>
      <c r="P1588" s="84"/>
      <c r="Q1588" s="84"/>
      <c r="R1588" s="84"/>
      <c r="S158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8" s="71" t="str">
        <f>IFERROR(Data_Discontinuities[[#This Row],[Joint roughness]]/Data_Discontinuities[[#This Row],[Joint alteration]],"")</f>
        <v/>
      </c>
      <c r="V158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8" s="87"/>
    </row>
    <row r="1589" spans="2:23" ht="15" customHeight="1" x14ac:dyDescent="0.25">
      <c r="B1589" s="17" t="e">
        <f>VLOOKUP(Data_Discontinuities[[#This Row],[Hole ID]],Data_Log[],2,FALSE)</f>
        <v>#N/A</v>
      </c>
      <c r="C1589" s="8"/>
      <c r="D1589" s="8"/>
      <c r="E1589" s="7"/>
      <c r="F1589" s="7"/>
      <c r="G1589" s="7"/>
      <c r="H1589" s="118"/>
      <c r="I1589" s="7"/>
      <c r="J1589" s="7"/>
      <c r="K1589" s="7"/>
      <c r="L1589" s="7"/>
      <c r="M1589" s="7"/>
      <c r="N1589" s="7"/>
      <c r="O1589" s="84" t="e" cm="1">
        <f t="array" ref="O1589">_xlfn.XLOOKUP(1,(A1589=Geotech!$A$4:$A$10094)*(Data_Discontinuities[[#This Row],[Depth (m)]]&gt;=Geotech!$C$4:$C$10094)*(Data_Discontinuities[[#This Row],[Depth (m)]]&lt;Geotech!$D$4:$D$10094),Geotech!$M$4:$M$10094)</f>
        <v>#N/A</v>
      </c>
      <c r="P1589" s="84"/>
      <c r="Q1589" s="84"/>
      <c r="R1589" s="84"/>
      <c r="S158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8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89" s="71" t="str">
        <f>IFERROR(Data_Discontinuities[[#This Row],[Joint roughness]]/Data_Discontinuities[[#This Row],[Joint alteration]],"")</f>
        <v/>
      </c>
      <c r="V158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89" s="87"/>
    </row>
    <row r="1590" spans="2:23" ht="15" customHeight="1" x14ac:dyDescent="0.25">
      <c r="B1590" s="17" t="e">
        <f>VLOOKUP(Data_Discontinuities[[#This Row],[Hole ID]],Data_Log[],2,FALSE)</f>
        <v>#N/A</v>
      </c>
      <c r="C1590" s="8"/>
      <c r="D1590" s="8"/>
      <c r="E1590" s="7"/>
      <c r="F1590" s="7"/>
      <c r="G1590" s="7"/>
      <c r="H1590" s="118"/>
      <c r="I1590" s="7"/>
      <c r="J1590" s="7"/>
      <c r="K1590" s="7"/>
      <c r="L1590" s="7"/>
      <c r="M1590" s="7"/>
      <c r="N1590" s="7"/>
      <c r="O1590" s="84" t="e" cm="1">
        <f t="array" ref="O1590">_xlfn.XLOOKUP(1,(A1590=Geotech!$A$4:$A$10094)*(Data_Discontinuities[[#This Row],[Depth (m)]]&gt;=Geotech!$C$4:$C$10094)*(Data_Discontinuities[[#This Row],[Depth (m)]]&lt;Geotech!$D$4:$D$10094),Geotech!$M$4:$M$10094)</f>
        <v>#N/A</v>
      </c>
      <c r="P1590" s="84"/>
      <c r="Q1590" s="84"/>
      <c r="R1590" s="84"/>
      <c r="S159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0" s="71" t="str">
        <f>IFERROR(Data_Discontinuities[[#This Row],[Joint roughness]]/Data_Discontinuities[[#This Row],[Joint alteration]],"")</f>
        <v/>
      </c>
      <c r="V159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0" s="87"/>
    </row>
    <row r="1591" spans="2:23" ht="15" customHeight="1" x14ac:dyDescent="0.25">
      <c r="B1591" s="17" t="e">
        <f>VLOOKUP(Data_Discontinuities[[#This Row],[Hole ID]],Data_Log[],2,FALSE)</f>
        <v>#N/A</v>
      </c>
      <c r="C1591" s="8"/>
      <c r="D1591" s="8"/>
      <c r="E1591" s="7"/>
      <c r="F1591" s="7"/>
      <c r="G1591" s="7"/>
      <c r="H1591" s="118"/>
      <c r="I1591" s="7"/>
      <c r="J1591" s="7"/>
      <c r="K1591" s="7"/>
      <c r="L1591" s="7"/>
      <c r="M1591" s="7"/>
      <c r="N1591" s="7"/>
      <c r="O1591" s="84" t="e" cm="1">
        <f t="array" ref="O1591">_xlfn.XLOOKUP(1,(A1591=Geotech!$A$4:$A$10094)*(Data_Discontinuities[[#This Row],[Depth (m)]]&gt;=Geotech!$C$4:$C$10094)*(Data_Discontinuities[[#This Row],[Depth (m)]]&lt;Geotech!$D$4:$D$10094),Geotech!$M$4:$M$10094)</f>
        <v>#N/A</v>
      </c>
      <c r="P1591" s="84"/>
      <c r="Q1591" s="84"/>
      <c r="R1591" s="84"/>
      <c r="S159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1" s="71" t="str">
        <f>IFERROR(Data_Discontinuities[[#This Row],[Joint roughness]]/Data_Discontinuities[[#This Row],[Joint alteration]],"")</f>
        <v/>
      </c>
      <c r="V159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1" s="87"/>
    </row>
    <row r="1592" spans="2:23" ht="15" customHeight="1" x14ac:dyDescent="0.25">
      <c r="B1592" s="17" t="e">
        <f>VLOOKUP(Data_Discontinuities[[#This Row],[Hole ID]],Data_Log[],2,FALSE)</f>
        <v>#N/A</v>
      </c>
      <c r="C1592" s="8"/>
      <c r="D1592" s="8"/>
      <c r="E1592" s="7"/>
      <c r="F1592" s="7"/>
      <c r="G1592" s="7"/>
      <c r="H1592" s="118"/>
      <c r="I1592" s="7"/>
      <c r="J1592" s="7"/>
      <c r="K1592" s="7"/>
      <c r="L1592" s="7"/>
      <c r="M1592" s="7"/>
      <c r="N1592" s="7"/>
      <c r="O1592" s="84" t="e" cm="1">
        <f t="array" ref="O1592">_xlfn.XLOOKUP(1,(A1592=Geotech!$A$4:$A$10094)*(Data_Discontinuities[[#This Row],[Depth (m)]]&gt;=Geotech!$C$4:$C$10094)*(Data_Discontinuities[[#This Row],[Depth (m)]]&lt;Geotech!$D$4:$D$10094),Geotech!$M$4:$M$10094)</f>
        <v>#N/A</v>
      </c>
      <c r="P1592" s="84"/>
      <c r="Q1592" s="84"/>
      <c r="R1592" s="84"/>
      <c r="S159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2" s="71" t="str">
        <f>IFERROR(Data_Discontinuities[[#This Row],[Joint roughness]]/Data_Discontinuities[[#This Row],[Joint alteration]],"")</f>
        <v/>
      </c>
      <c r="V159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2" s="87"/>
    </row>
    <row r="1593" spans="2:23" ht="15" customHeight="1" x14ac:dyDescent="0.25">
      <c r="B1593" s="17" t="e">
        <f>VLOOKUP(Data_Discontinuities[[#This Row],[Hole ID]],Data_Log[],2,FALSE)</f>
        <v>#N/A</v>
      </c>
      <c r="C1593" s="8"/>
      <c r="D1593" s="8"/>
      <c r="E1593" s="7"/>
      <c r="F1593" s="7"/>
      <c r="G1593" s="7"/>
      <c r="H1593" s="118"/>
      <c r="I1593" s="7"/>
      <c r="J1593" s="7"/>
      <c r="K1593" s="7"/>
      <c r="L1593" s="7"/>
      <c r="M1593" s="7"/>
      <c r="N1593" s="7"/>
      <c r="O1593" s="84" t="e" cm="1">
        <f t="array" ref="O1593">_xlfn.XLOOKUP(1,(A1593=Geotech!$A$4:$A$10094)*(Data_Discontinuities[[#This Row],[Depth (m)]]&gt;=Geotech!$C$4:$C$10094)*(Data_Discontinuities[[#This Row],[Depth (m)]]&lt;Geotech!$D$4:$D$10094),Geotech!$M$4:$M$10094)</f>
        <v>#N/A</v>
      </c>
      <c r="P1593" s="84"/>
      <c r="Q1593" s="84"/>
      <c r="R1593" s="84"/>
      <c r="S159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3" s="71" t="str">
        <f>IFERROR(Data_Discontinuities[[#This Row],[Joint roughness]]/Data_Discontinuities[[#This Row],[Joint alteration]],"")</f>
        <v/>
      </c>
      <c r="V159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3" s="87"/>
    </row>
    <row r="1594" spans="2:23" ht="15" customHeight="1" x14ac:dyDescent="0.25">
      <c r="B1594" s="17" t="e">
        <f>VLOOKUP(Data_Discontinuities[[#This Row],[Hole ID]],Data_Log[],2,FALSE)</f>
        <v>#N/A</v>
      </c>
      <c r="C1594" s="8"/>
      <c r="D1594" s="8"/>
      <c r="E1594" s="7"/>
      <c r="F1594" s="7"/>
      <c r="G1594" s="7"/>
      <c r="H1594" s="118"/>
      <c r="I1594" s="7"/>
      <c r="J1594" s="7"/>
      <c r="K1594" s="7"/>
      <c r="L1594" s="7"/>
      <c r="M1594" s="7"/>
      <c r="N1594" s="7"/>
      <c r="O1594" s="84" t="e" cm="1">
        <f t="array" ref="O1594">_xlfn.XLOOKUP(1,(A1594=Geotech!$A$4:$A$10094)*(Data_Discontinuities[[#This Row],[Depth (m)]]&gt;=Geotech!$C$4:$C$10094)*(Data_Discontinuities[[#This Row],[Depth (m)]]&lt;Geotech!$D$4:$D$10094),Geotech!$M$4:$M$10094)</f>
        <v>#N/A</v>
      </c>
      <c r="P1594" s="84"/>
      <c r="Q1594" s="84"/>
      <c r="R1594" s="84"/>
      <c r="S159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4" s="71" t="str">
        <f>IFERROR(Data_Discontinuities[[#This Row],[Joint roughness]]/Data_Discontinuities[[#This Row],[Joint alteration]],"")</f>
        <v/>
      </c>
      <c r="V159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4" s="87"/>
    </row>
    <row r="1595" spans="2:23" ht="15" customHeight="1" x14ac:dyDescent="0.25">
      <c r="B1595" s="17" t="e">
        <f>VLOOKUP(Data_Discontinuities[[#This Row],[Hole ID]],Data_Log[],2,FALSE)</f>
        <v>#N/A</v>
      </c>
      <c r="C1595" s="8"/>
      <c r="D1595" s="8"/>
      <c r="E1595" s="7"/>
      <c r="F1595" s="7"/>
      <c r="G1595" s="7"/>
      <c r="H1595" s="118"/>
      <c r="I1595" s="7"/>
      <c r="J1595" s="7"/>
      <c r="K1595" s="7"/>
      <c r="L1595" s="7"/>
      <c r="M1595" s="7"/>
      <c r="N1595" s="7"/>
      <c r="O1595" s="84" t="e" cm="1">
        <f t="array" ref="O1595">_xlfn.XLOOKUP(1,(A1595=Geotech!$A$4:$A$10094)*(Data_Discontinuities[[#This Row],[Depth (m)]]&gt;=Geotech!$C$4:$C$10094)*(Data_Discontinuities[[#This Row],[Depth (m)]]&lt;Geotech!$D$4:$D$10094),Geotech!$M$4:$M$10094)</f>
        <v>#N/A</v>
      </c>
      <c r="P1595" s="84"/>
      <c r="Q1595" s="84"/>
      <c r="R1595" s="84"/>
      <c r="S159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5" s="71" t="str">
        <f>IFERROR(Data_Discontinuities[[#This Row],[Joint roughness]]/Data_Discontinuities[[#This Row],[Joint alteration]],"")</f>
        <v/>
      </c>
      <c r="V159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5" s="87"/>
    </row>
    <row r="1596" spans="2:23" ht="15" customHeight="1" x14ac:dyDescent="0.25">
      <c r="B1596" s="17" t="e">
        <f>VLOOKUP(Data_Discontinuities[[#This Row],[Hole ID]],Data_Log[],2,FALSE)</f>
        <v>#N/A</v>
      </c>
      <c r="C1596" s="8"/>
      <c r="D1596" s="8"/>
      <c r="E1596" s="7"/>
      <c r="F1596" s="7"/>
      <c r="G1596" s="7"/>
      <c r="H1596" s="118"/>
      <c r="I1596" s="7"/>
      <c r="J1596" s="7"/>
      <c r="K1596" s="7"/>
      <c r="L1596" s="7"/>
      <c r="M1596" s="7"/>
      <c r="N1596" s="7"/>
      <c r="O1596" s="84" t="e" cm="1">
        <f t="array" ref="O1596">_xlfn.XLOOKUP(1,(A1596=Geotech!$A$4:$A$10094)*(Data_Discontinuities[[#This Row],[Depth (m)]]&gt;=Geotech!$C$4:$C$10094)*(Data_Discontinuities[[#This Row],[Depth (m)]]&lt;Geotech!$D$4:$D$10094),Geotech!$M$4:$M$10094)</f>
        <v>#N/A</v>
      </c>
      <c r="P1596" s="84"/>
      <c r="Q1596" s="84"/>
      <c r="R1596" s="84"/>
      <c r="S159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6" s="71" t="str">
        <f>IFERROR(Data_Discontinuities[[#This Row],[Joint roughness]]/Data_Discontinuities[[#This Row],[Joint alteration]],"")</f>
        <v/>
      </c>
      <c r="V159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6" s="87"/>
    </row>
    <row r="1597" spans="2:23" ht="15" customHeight="1" x14ac:dyDescent="0.25">
      <c r="B1597" s="17" t="e">
        <f>VLOOKUP(Data_Discontinuities[[#This Row],[Hole ID]],Data_Log[],2,FALSE)</f>
        <v>#N/A</v>
      </c>
      <c r="C1597" s="8"/>
      <c r="D1597" s="8"/>
      <c r="E1597" s="7"/>
      <c r="F1597" s="7"/>
      <c r="G1597" s="7"/>
      <c r="H1597" s="118"/>
      <c r="I1597" s="7"/>
      <c r="J1597" s="7"/>
      <c r="K1597" s="7"/>
      <c r="L1597" s="7"/>
      <c r="M1597" s="7"/>
      <c r="N1597" s="7"/>
      <c r="O1597" s="84" t="e" cm="1">
        <f t="array" ref="O1597">_xlfn.XLOOKUP(1,(A1597=Geotech!$A$4:$A$10094)*(Data_Discontinuities[[#This Row],[Depth (m)]]&gt;=Geotech!$C$4:$C$10094)*(Data_Discontinuities[[#This Row],[Depth (m)]]&lt;Geotech!$D$4:$D$10094),Geotech!$M$4:$M$10094)</f>
        <v>#N/A</v>
      </c>
      <c r="P1597" s="84"/>
      <c r="Q1597" s="84"/>
      <c r="R1597" s="84"/>
      <c r="S159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7" s="71" t="str">
        <f>IFERROR(Data_Discontinuities[[#This Row],[Joint roughness]]/Data_Discontinuities[[#This Row],[Joint alteration]],"")</f>
        <v/>
      </c>
      <c r="V159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7" s="87"/>
    </row>
    <row r="1598" spans="2:23" ht="15" customHeight="1" x14ac:dyDescent="0.25">
      <c r="B1598" s="17" t="e">
        <f>VLOOKUP(Data_Discontinuities[[#This Row],[Hole ID]],Data_Log[],2,FALSE)</f>
        <v>#N/A</v>
      </c>
      <c r="C1598" s="8"/>
      <c r="D1598" s="8"/>
      <c r="E1598" s="7"/>
      <c r="F1598" s="7"/>
      <c r="G1598" s="7"/>
      <c r="H1598" s="118"/>
      <c r="I1598" s="7"/>
      <c r="J1598" s="7"/>
      <c r="K1598" s="7"/>
      <c r="L1598" s="7"/>
      <c r="M1598" s="7"/>
      <c r="N1598" s="7"/>
      <c r="O1598" s="84" t="e" cm="1">
        <f t="array" ref="O1598">_xlfn.XLOOKUP(1,(A1598=Geotech!$A$4:$A$10094)*(Data_Discontinuities[[#This Row],[Depth (m)]]&gt;=Geotech!$C$4:$C$10094)*(Data_Discontinuities[[#This Row],[Depth (m)]]&lt;Geotech!$D$4:$D$10094),Geotech!$M$4:$M$10094)</f>
        <v>#N/A</v>
      </c>
      <c r="P1598" s="84"/>
      <c r="Q1598" s="84"/>
      <c r="R1598" s="84"/>
      <c r="S159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8" s="71" t="str">
        <f>IFERROR(Data_Discontinuities[[#This Row],[Joint roughness]]/Data_Discontinuities[[#This Row],[Joint alteration]],"")</f>
        <v/>
      </c>
      <c r="V159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8" s="87"/>
    </row>
    <row r="1599" spans="2:23" ht="15" customHeight="1" x14ac:dyDescent="0.25">
      <c r="B1599" s="17" t="e">
        <f>VLOOKUP(Data_Discontinuities[[#This Row],[Hole ID]],Data_Log[],2,FALSE)</f>
        <v>#N/A</v>
      </c>
      <c r="C1599" s="8"/>
      <c r="D1599" s="8"/>
      <c r="E1599" s="7"/>
      <c r="F1599" s="7"/>
      <c r="G1599" s="7"/>
      <c r="H1599" s="118"/>
      <c r="I1599" s="7"/>
      <c r="J1599" s="7"/>
      <c r="K1599" s="7"/>
      <c r="L1599" s="7"/>
      <c r="M1599" s="7"/>
      <c r="N1599" s="7"/>
      <c r="O1599" s="84" t="e" cm="1">
        <f t="array" ref="O1599">_xlfn.XLOOKUP(1,(A1599=Geotech!$A$4:$A$10094)*(Data_Discontinuities[[#This Row],[Depth (m)]]&gt;=Geotech!$C$4:$C$10094)*(Data_Discontinuities[[#This Row],[Depth (m)]]&lt;Geotech!$D$4:$D$10094),Geotech!$M$4:$M$10094)</f>
        <v>#N/A</v>
      </c>
      <c r="P1599" s="84"/>
      <c r="Q1599" s="84"/>
      <c r="R1599" s="84"/>
      <c r="S159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59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599" s="71" t="str">
        <f>IFERROR(Data_Discontinuities[[#This Row],[Joint roughness]]/Data_Discontinuities[[#This Row],[Joint alteration]],"")</f>
        <v/>
      </c>
      <c r="V159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599" s="87"/>
    </row>
    <row r="1600" spans="2:23" ht="15" customHeight="1" x14ac:dyDescent="0.25">
      <c r="B1600" s="17" t="e">
        <f>VLOOKUP(Data_Discontinuities[[#This Row],[Hole ID]],Data_Log[],2,FALSE)</f>
        <v>#N/A</v>
      </c>
      <c r="C1600" s="8"/>
      <c r="D1600" s="8"/>
      <c r="E1600" s="7"/>
      <c r="F1600" s="7"/>
      <c r="G1600" s="7"/>
      <c r="H1600" s="118"/>
      <c r="I1600" s="7"/>
      <c r="J1600" s="7"/>
      <c r="K1600" s="7"/>
      <c r="L1600" s="7"/>
      <c r="M1600" s="7"/>
      <c r="N1600" s="7"/>
      <c r="O1600" s="84" t="e" cm="1">
        <f t="array" ref="O1600">_xlfn.XLOOKUP(1,(A1600=Geotech!$A$4:$A$10094)*(Data_Discontinuities[[#This Row],[Depth (m)]]&gt;=Geotech!$C$4:$C$10094)*(Data_Discontinuities[[#This Row],[Depth (m)]]&lt;Geotech!$D$4:$D$10094),Geotech!$M$4:$M$10094)</f>
        <v>#N/A</v>
      </c>
      <c r="P1600" s="84"/>
      <c r="Q1600" s="84"/>
      <c r="R1600" s="84"/>
      <c r="S160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0" s="71" t="str">
        <f>IFERROR(Data_Discontinuities[[#This Row],[Joint roughness]]/Data_Discontinuities[[#This Row],[Joint alteration]],"")</f>
        <v/>
      </c>
      <c r="V160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0" s="87"/>
    </row>
    <row r="1601" spans="2:23" ht="15" customHeight="1" x14ac:dyDescent="0.25">
      <c r="B1601" s="17" t="e">
        <f>VLOOKUP(Data_Discontinuities[[#This Row],[Hole ID]],Data_Log[],2,FALSE)</f>
        <v>#N/A</v>
      </c>
      <c r="C1601" s="8"/>
      <c r="D1601" s="8"/>
      <c r="E1601" s="7"/>
      <c r="F1601" s="7"/>
      <c r="G1601" s="7"/>
      <c r="H1601" s="118"/>
      <c r="I1601" s="7"/>
      <c r="J1601" s="7"/>
      <c r="K1601" s="7"/>
      <c r="L1601" s="7"/>
      <c r="M1601" s="7"/>
      <c r="N1601" s="7"/>
      <c r="O1601" s="84" t="e" cm="1">
        <f t="array" ref="O1601">_xlfn.XLOOKUP(1,(A1601=Geotech!$A$4:$A$10094)*(Data_Discontinuities[[#This Row],[Depth (m)]]&gt;=Geotech!$C$4:$C$10094)*(Data_Discontinuities[[#This Row],[Depth (m)]]&lt;Geotech!$D$4:$D$10094),Geotech!$M$4:$M$10094)</f>
        <v>#N/A</v>
      </c>
      <c r="P1601" s="84"/>
      <c r="Q1601" s="84"/>
      <c r="R1601" s="84"/>
      <c r="S160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1" s="71" t="str">
        <f>IFERROR(Data_Discontinuities[[#This Row],[Joint roughness]]/Data_Discontinuities[[#This Row],[Joint alteration]],"")</f>
        <v/>
      </c>
      <c r="V160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1" s="87"/>
    </row>
    <row r="1602" spans="2:23" ht="15" customHeight="1" x14ac:dyDescent="0.25">
      <c r="B1602" s="17" t="e">
        <f>VLOOKUP(Data_Discontinuities[[#This Row],[Hole ID]],Data_Log[],2,FALSE)</f>
        <v>#N/A</v>
      </c>
      <c r="C1602" s="8"/>
      <c r="D1602" s="8"/>
      <c r="E1602" s="7"/>
      <c r="F1602" s="7"/>
      <c r="G1602" s="7"/>
      <c r="H1602" s="118"/>
      <c r="I1602" s="7"/>
      <c r="J1602" s="7"/>
      <c r="K1602" s="7"/>
      <c r="L1602" s="7"/>
      <c r="M1602" s="7"/>
      <c r="N1602" s="7"/>
      <c r="O1602" s="84" t="e" cm="1">
        <f t="array" ref="O1602">_xlfn.XLOOKUP(1,(A1602=Geotech!$A$4:$A$10094)*(Data_Discontinuities[[#This Row],[Depth (m)]]&gt;=Geotech!$C$4:$C$10094)*(Data_Discontinuities[[#This Row],[Depth (m)]]&lt;Geotech!$D$4:$D$10094),Geotech!$M$4:$M$10094)</f>
        <v>#N/A</v>
      </c>
      <c r="P1602" s="84"/>
      <c r="Q1602" s="84"/>
      <c r="R1602" s="84"/>
      <c r="S160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2" s="71" t="str">
        <f>IFERROR(Data_Discontinuities[[#This Row],[Joint roughness]]/Data_Discontinuities[[#This Row],[Joint alteration]],"")</f>
        <v/>
      </c>
      <c r="V160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2" s="87"/>
    </row>
    <row r="1603" spans="2:23" ht="15" customHeight="1" x14ac:dyDescent="0.25">
      <c r="B1603" s="17" t="e">
        <f>VLOOKUP(Data_Discontinuities[[#This Row],[Hole ID]],Data_Log[],2,FALSE)</f>
        <v>#N/A</v>
      </c>
      <c r="C1603" s="8"/>
      <c r="D1603" s="8"/>
      <c r="E1603" s="7"/>
      <c r="F1603" s="7"/>
      <c r="G1603" s="7"/>
      <c r="H1603" s="118"/>
      <c r="I1603" s="7"/>
      <c r="J1603" s="7"/>
      <c r="K1603" s="7"/>
      <c r="L1603" s="7"/>
      <c r="M1603" s="7"/>
      <c r="N1603" s="7"/>
      <c r="O1603" s="84" t="e" cm="1">
        <f t="array" ref="O1603">_xlfn.XLOOKUP(1,(A1603=Geotech!$A$4:$A$10094)*(Data_Discontinuities[[#This Row],[Depth (m)]]&gt;=Geotech!$C$4:$C$10094)*(Data_Discontinuities[[#This Row],[Depth (m)]]&lt;Geotech!$D$4:$D$10094),Geotech!$M$4:$M$10094)</f>
        <v>#N/A</v>
      </c>
      <c r="P1603" s="84"/>
      <c r="Q1603" s="84"/>
      <c r="R1603" s="84"/>
      <c r="S160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3" s="71" t="str">
        <f>IFERROR(Data_Discontinuities[[#This Row],[Joint roughness]]/Data_Discontinuities[[#This Row],[Joint alteration]],"")</f>
        <v/>
      </c>
      <c r="V160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3" s="87"/>
    </row>
    <row r="1604" spans="2:23" ht="15" customHeight="1" x14ac:dyDescent="0.25">
      <c r="B1604" s="17" t="e">
        <f>VLOOKUP(Data_Discontinuities[[#This Row],[Hole ID]],Data_Log[],2,FALSE)</f>
        <v>#N/A</v>
      </c>
      <c r="C1604" s="8"/>
      <c r="D1604" s="8"/>
      <c r="E1604" s="7"/>
      <c r="F1604" s="7"/>
      <c r="G1604" s="7"/>
      <c r="H1604" s="118"/>
      <c r="I1604" s="7"/>
      <c r="J1604" s="7"/>
      <c r="K1604" s="7"/>
      <c r="L1604" s="7"/>
      <c r="M1604" s="7"/>
      <c r="N1604" s="7"/>
      <c r="O1604" s="84" t="e" cm="1">
        <f t="array" ref="O1604">_xlfn.XLOOKUP(1,(A1604=Geotech!$A$4:$A$10094)*(Data_Discontinuities[[#This Row],[Depth (m)]]&gt;=Geotech!$C$4:$C$10094)*(Data_Discontinuities[[#This Row],[Depth (m)]]&lt;Geotech!$D$4:$D$10094),Geotech!$M$4:$M$10094)</f>
        <v>#N/A</v>
      </c>
      <c r="P1604" s="84"/>
      <c r="Q1604" s="84"/>
      <c r="R1604" s="84"/>
      <c r="S160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4" s="71" t="str">
        <f>IFERROR(Data_Discontinuities[[#This Row],[Joint roughness]]/Data_Discontinuities[[#This Row],[Joint alteration]],"")</f>
        <v/>
      </c>
      <c r="V160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4" s="87"/>
    </row>
    <row r="1605" spans="2:23" ht="15" customHeight="1" x14ac:dyDescent="0.25">
      <c r="B1605" s="17" t="e">
        <f>VLOOKUP(Data_Discontinuities[[#This Row],[Hole ID]],Data_Log[],2,FALSE)</f>
        <v>#N/A</v>
      </c>
      <c r="C1605" s="8"/>
      <c r="D1605" s="8"/>
      <c r="E1605" s="7"/>
      <c r="F1605" s="7"/>
      <c r="G1605" s="7"/>
      <c r="H1605" s="118"/>
      <c r="I1605" s="7"/>
      <c r="J1605" s="7"/>
      <c r="K1605" s="7"/>
      <c r="L1605" s="7"/>
      <c r="M1605" s="7"/>
      <c r="N1605" s="7"/>
      <c r="O1605" s="84" t="e" cm="1">
        <f t="array" ref="O1605">_xlfn.XLOOKUP(1,(A1605=Geotech!$A$4:$A$10094)*(Data_Discontinuities[[#This Row],[Depth (m)]]&gt;=Geotech!$C$4:$C$10094)*(Data_Discontinuities[[#This Row],[Depth (m)]]&lt;Geotech!$D$4:$D$10094),Geotech!$M$4:$M$10094)</f>
        <v>#N/A</v>
      </c>
      <c r="P1605" s="84"/>
      <c r="Q1605" s="84"/>
      <c r="R1605" s="84"/>
      <c r="S1605"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5"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5" s="71" t="str">
        <f>IFERROR(Data_Discontinuities[[#This Row],[Joint roughness]]/Data_Discontinuities[[#This Row],[Joint alteration]],"")</f>
        <v/>
      </c>
      <c r="V1605"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5" s="87"/>
    </row>
    <row r="1606" spans="2:23" ht="15" customHeight="1" x14ac:dyDescent="0.25">
      <c r="B1606" s="17" t="e">
        <f>VLOOKUP(Data_Discontinuities[[#This Row],[Hole ID]],Data_Log[],2,FALSE)</f>
        <v>#N/A</v>
      </c>
      <c r="C1606" s="8"/>
      <c r="D1606" s="8"/>
      <c r="E1606" s="7"/>
      <c r="F1606" s="7"/>
      <c r="G1606" s="7"/>
      <c r="H1606" s="118"/>
      <c r="I1606" s="7"/>
      <c r="J1606" s="7"/>
      <c r="K1606" s="7"/>
      <c r="L1606" s="7"/>
      <c r="M1606" s="7"/>
      <c r="N1606" s="7"/>
      <c r="O1606" s="84" t="e" cm="1">
        <f t="array" ref="O1606">_xlfn.XLOOKUP(1,(A1606=Geotech!$A$4:$A$10094)*(Data_Discontinuities[[#This Row],[Depth (m)]]&gt;=Geotech!$C$4:$C$10094)*(Data_Discontinuities[[#This Row],[Depth (m)]]&lt;Geotech!$D$4:$D$10094),Geotech!$M$4:$M$10094)</f>
        <v>#N/A</v>
      </c>
      <c r="P1606" s="84"/>
      <c r="Q1606" s="84"/>
      <c r="R1606" s="84"/>
      <c r="S1606"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6"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6" s="71" t="str">
        <f>IFERROR(Data_Discontinuities[[#This Row],[Joint roughness]]/Data_Discontinuities[[#This Row],[Joint alteration]],"")</f>
        <v/>
      </c>
      <c r="V1606"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6" s="87"/>
    </row>
    <row r="1607" spans="2:23" ht="15" customHeight="1" x14ac:dyDescent="0.25">
      <c r="B1607" s="17" t="e">
        <f>VLOOKUP(Data_Discontinuities[[#This Row],[Hole ID]],Data_Log[],2,FALSE)</f>
        <v>#N/A</v>
      </c>
      <c r="C1607" s="8"/>
      <c r="D1607" s="8"/>
      <c r="E1607" s="7"/>
      <c r="F1607" s="7"/>
      <c r="G1607" s="7"/>
      <c r="H1607" s="118"/>
      <c r="I1607" s="7"/>
      <c r="J1607" s="7"/>
      <c r="K1607" s="7"/>
      <c r="L1607" s="7"/>
      <c r="M1607" s="7"/>
      <c r="N1607" s="7"/>
      <c r="O1607" s="84" t="e" cm="1">
        <f t="array" ref="O1607">_xlfn.XLOOKUP(1,(A1607=Geotech!$A$4:$A$10094)*(Data_Discontinuities[[#This Row],[Depth (m)]]&gt;=Geotech!$C$4:$C$10094)*(Data_Discontinuities[[#This Row],[Depth (m)]]&lt;Geotech!$D$4:$D$10094),Geotech!$M$4:$M$10094)</f>
        <v>#N/A</v>
      </c>
      <c r="P1607" s="84"/>
      <c r="Q1607" s="84"/>
      <c r="R1607" s="84"/>
      <c r="S1607"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7"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7" s="71" t="str">
        <f>IFERROR(Data_Discontinuities[[#This Row],[Joint roughness]]/Data_Discontinuities[[#This Row],[Joint alteration]],"")</f>
        <v/>
      </c>
      <c r="V1607"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7" s="87"/>
    </row>
    <row r="1608" spans="2:23" ht="15" customHeight="1" x14ac:dyDescent="0.25">
      <c r="B1608" s="17" t="e">
        <f>VLOOKUP(Data_Discontinuities[[#This Row],[Hole ID]],Data_Log[],2,FALSE)</f>
        <v>#N/A</v>
      </c>
      <c r="C1608" s="8"/>
      <c r="D1608" s="8"/>
      <c r="E1608" s="7"/>
      <c r="F1608" s="7"/>
      <c r="G1608" s="7"/>
      <c r="H1608" s="118"/>
      <c r="I1608" s="7"/>
      <c r="J1608" s="7"/>
      <c r="K1608" s="7"/>
      <c r="L1608" s="7"/>
      <c r="M1608" s="7"/>
      <c r="N1608" s="7"/>
      <c r="O1608" s="84" t="e" cm="1">
        <f t="array" ref="O1608">_xlfn.XLOOKUP(1,(A1608=Geotech!$A$4:$A$10094)*(Data_Discontinuities[[#This Row],[Depth (m)]]&gt;=Geotech!$C$4:$C$10094)*(Data_Discontinuities[[#This Row],[Depth (m)]]&lt;Geotech!$D$4:$D$10094),Geotech!$M$4:$M$10094)</f>
        <v>#N/A</v>
      </c>
      <c r="P1608" s="84"/>
      <c r="Q1608" s="84"/>
      <c r="R1608" s="84"/>
      <c r="S1608"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8"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8" s="71" t="str">
        <f>IFERROR(Data_Discontinuities[[#This Row],[Joint roughness]]/Data_Discontinuities[[#This Row],[Joint alteration]],"")</f>
        <v/>
      </c>
      <c r="V1608"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8" s="87"/>
    </row>
    <row r="1609" spans="2:23" ht="15" customHeight="1" x14ac:dyDescent="0.25">
      <c r="B1609" s="17" t="e">
        <f>VLOOKUP(Data_Discontinuities[[#This Row],[Hole ID]],Data_Log[],2,FALSE)</f>
        <v>#N/A</v>
      </c>
      <c r="C1609" s="8"/>
      <c r="D1609" s="8"/>
      <c r="E1609" s="7"/>
      <c r="F1609" s="7"/>
      <c r="G1609" s="7"/>
      <c r="H1609" s="118"/>
      <c r="I1609" s="7"/>
      <c r="J1609" s="7"/>
      <c r="K1609" s="7"/>
      <c r="L1609" s="7"/>
      <c r="M1609" s="7"/>
      <c r="N1609" s="7"/>
      <c r="O1609" s="84" t="e" cm="1">
        <f t="array" ref="O1609">_xlfn.XLOOKUP(1,(A1609=Geotech!$A$4:$A$10094)*(Data_Discontinuities[[#This Row],[Depth (m)]]&gt;=Geotech!$C$4:$C$10094)*(Data_Discontinuities[[#This Row],[Depth (m)]]&lt;Geotech!$D$4:$D$10094),Geotech!$M$4:$M$10094)</f>
        <v>#N/A</v>
      </c>
      <c r="P1609" s="84"/>
      <c r="Q1609" s="84"/>
      <c r="R1609" s="84"/>
      <c r="S1609"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09"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09" s="71" t="str">
        <f>IFERROR(Data_Discontinuities[[#This Row],[Joint roughness]]/Data_Discontinuities[[#This Row],[Joint alteration]],"")</f>
        <v/>
      </c>
      <c r="V1609"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09" s="87"/>
    </row>
    <row r="1610" spans="2:23" ht="15" customHeight="1" x14ac:dyDescent="0.25">
      <c r="B1610" s="17" t="e">
        <f>VLOOKUP(Data_Discontinuities[[#This Row],[Hole ID]],Data_Log[],2,FALSE)</f>
        <v>#N/A</v>
      </c>
      <c r="C1610" s="8"/>
      <c r="D1610" s="8"/>
      <c r="E1610" s="7"/>
      <c r="F1610" s="7"/>
      <c r="G1610" s="7"/>
      <c r="H1610" s="118"/>
      <c r="I1610" s="7"/>
      <c r="J1610" s="7"/>
      <c r="K1610" s="7"/>
      <c r="L1610" s="7"/>
      <c r="M1610" s="7"/>
      <c r="N1610" s="7"/>
      <c r="O1610" s="84" t="e" cm="1">
        <f t="array" ref="O1610">_xlfn.XLOOKUP(1,(A1610=Geotech!$A$4:$A$10094)*(Data_Discontinuities[[#This Row],[Depth (m)]]&gt;=Geotech!$C$4:$C$10094)*(Data_Discontinuities[[#This Row],[Depth (m)]]&lt;Geotech!$D$4:$D$10094),Geotech!$M$4:$M$10094)</f>
        <v>#N/A</v>
      </c>
      <c r="P1610" s="84"/>
      <c r="Q1610" s="84"/>
      <c r="R1610" s="84"/>
      <c r="S1610"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10"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10" s="71" t="str">
        <f>IFERROR(Data_Discontinuities[[#This Row],[Joint roughness]]/Data_Discontinuities[[#This Row],[Joint alteration]],"")</f>
        <v/>
      </c>
      <c r="V1610"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10" s="87"/>
    </row>
    <row r="1611" spans="2:23" ht="15" customHeight="1" x14ac:dyDescent="0.25">
      <c r="B1611" s="17" t="e">
        <f>VLOOKUP(Data_Discontinuities[[#This Row],[Hole ID]],Data_Log[],2,FALSE)</f>
        <v>#N/A</v>
      </c>
      <c r="C1611" s="8"/>
      <c r="D1611" s="8"/>
      <c r="E1611" s="7"/>
      <c r="F1611" s="7"/>
      <c r="G1611" s="7"/>
      <c r="H1611" s="118"/>
      <c r="I1611" s="7"/>
      <c r="J1611" s="7"/>
      <c r="K1611" s="7"/>
      <c r="L1611" s="7"/>
      <c r="M1611" s="7"/>
      <c r="N1611" s="7"/>
      <c r="O1611" s="84" t="e" cm="1">
        <f t="array" ref="O1611">_xlfn.XLOOKUP(1,(A1611=Geotech!$A$4:$A$10094)*(Data_Discontinuities[[#This Row],[Depth (m)]]&gt;=Geotech!$C$4:$C$10094)*(Data_Discontinuities[[#This Row],[Depth (m)]]&lt;Geotech!$D$4:$D$10094),Geotech!$M$4:$M$10094)</f>
        <v>#N/A</v>
      </c>
      <c r="P1611" s="84"/>
      <c r="Q1611" s="84"/>
      <c r="R1611" s="84"/>
      <c r="S1611"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11"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11" s="71" t="str">
        <f>IFERROR(Data_Discontinuities[[#This Row],[Joint roughness]]/Data_Discontinuities[[#This Row],[Joint alteration]],"")</f>
        <v/>
      </c>
      <c r="V1611"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11" s="87"/>
    </row>
    <row r="1612" spans="2:23" ht="15" customHeight="1" x14ac:dyDescent="0.25">
      <c r="B1612" s="17" t="e">
        <f>VLOOKUP(Data_Discontinuities[[#This Row],[Hole ID]],Data_Log[],2,FALSE)</f>
        <v>#N/A</v>
      </c>
      <c r="C1612" s="8"/>
      <c r="D1612" s="8"/>
      <c r="E1612" s="7"/>
      <c r="F1612" s="7"/>
      <c r="G1612" s="7"/>
      <c r="H1612" s="118"/>
      <c r="I1612" s="7"/>
      <c r="J1612" s="7"/>
      <c r="K1612" s="7"/>
      <c r="L1612" s="7"/>
      <c r="M1612" s="7"/>
      <c r="N1612" s="7"/>
      <c r="O1612" s="84" t="e" cm="1">
        <f t="array" ref="O1612">_xlfn.XLOOKUP(1,(A1612=Geotech!$A$4:$A$10094)*(Data_Discontinuities[[#This Row],[Depth (m)]]&gt;=Geotech!$C$4:$C$10094)*(Data_Discontinuities[[#This Row],[Depth (m)]]&lt;Geotech!$D$4:$D$10094),Geotech!$M$4:$M$10094)</f>
        <v>#N/A</v>
      </c>
      <c r="P1612" s="84"/>
      <c r="Q1612" s="84"/>
      <c r="R1612" s="84"/>
      <c r="S1612"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12"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12" s="71" t="str">
        <f>IFERROR(Data_Discontinuities[[#This Row],[Joint roughness]]/Data_Discontinuities[[#This Row],[Joint alteration]],"")</f>
        <v/>
      </c>
      <c r="V1612"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12" s="87"/>
    </row>
    <row r="1613" spans="2:23" ht="15" customHeight="1" x14ac:dyDescent="0.25">
      <c r="B1613" s="17" t="e">
        <f>VLOOKUP(Data_Discontinuities[[#This Row],[Hole ID]],Data_Log[],2,FALSE)</f>
        <v>#N/A</v>
      </c>
      <c r="C1613" s="8"/>
      <c r="D1613" s="8"/>
      <c r="E1613" s="7"/>
      <c r="F1613" s="7"/>
      <c r="G1613" s="7"/>
      <c r="H1613" s="118"/>
      <c r="I1613" s="7"/>
      <c r="J1613" s="7"/>
      <c r="K1613" s="7"/>
      <c r="L1613" s="7"/>
      <c r="M1613" s="7"/>
      <c r="N1613" s="7"/>
      <c r="O1613" s="84" t="e" cm="1">
        <f t="array" ref="O1613">_xlfn.XLOOKUP(1,(A1613=Geotech!$A$4:$A$10094)*(Data_Discontinuities[[#This Row],[Depth (m)]]&gt;=Geotech!$C$4:$C$10094)*(Data_Discontinuities[[#This Row],[Depth (m)]]&lt;Geotech!$D$4:$D$10094),Geotech!$M$4:$M$10094)</f>
        <v>#N/A</v>
      </c>
      <c r="P1613" s="84"/>
      <c r="Q1613" s="84"/>
      <c r="R1613" s="84"/>
      <c r="S1613"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13"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13" s="71" t="str">
        <f>IFERROR(Data_Discontinuities[[#This Row],[Joint roughness]]/Data_Discontinuities[[#This Row],[Joint alteration]],"")</f>
        <v/>
      </c>
      <c r="V1613"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13" s="87"/>
    </row>
    <row r="1614" spans="2:23" ht="15" customHeight="1" x14ac:dyDescent="0.25">
      <c r="B1614" s="17" t="e">
        <f>VLOOKUP(Data_Discontinuities[[#This Row],[Hole ID]],Data_Log[],2,FALSE)</f>
        <v>#N/A</v>
      </c>
      <c r="C1614" s="8"/>
      <c r="D1614" s="8"/>
      <c r="E1614" s="7"/>
      <c r="F1614" s="7"/>
      <c r="G1614" s="7"/>
      <c r="H1614" s="118"/>
      <c r="I1614" s="7"/>
      <c r="J1614" s="7"/>
      <c r="K1614" s="7"/>
      <c r="L1614" s="7"/>
      <c r="M1614" s="7"/>
      <c r="N1614" s="7"/>
      <c r="O1614" s="84" t="e" cm="1">
        <f t="array" ref="O1614">_xlfn.XLOOKUP(1,(A1614=Geotech!$A$4:$A$10094)*(Data_Discontinuities[[#This Row],[Depth (m)]]&gt;=Geotech!$C$4:$C$10094)*(Data_Discontinuities[[#This Row],[Depth (m)]]&lt;Geotech!$D$4:$D$10094),Geotech!$M$4:$M$10094)</f>
        <v>#N/A</v>
      </c>
      <c r="P1614" s="84"/>
      <c r="Q1614" s="84"/>
      <c r="R1614" s="84"/>
      <c r="S1614" s="84" t="str">
        <f>IF(AND(Data_Discontinuities[[#This Row],[Shape]]="PL",OR(Data_Discontinuities[[#This Row],[Roughness]]="PO",Data_Discontinuities[[#This Row],[Roughness]]="PL",Data_Discontinuities[[#This Row],[Roughness]]="SK")),0.5,
IF(OR(AND(Data_Discontinuities[[#This Row],[Shape]]="PL",Data_Discontinuities[[#This Row],[Roughness]]="SM"),Data_Discontinuities[[#This Row],[Infill thickness
(mm) OR BC LC (m)]]&gt;1),1,
IF(OR(AND(Data_Discontinuities[[#This Row],[Shape]]&lt;&gt;"PL",OR(Data_Discontinuities[[#This Row],[Roughness]]="PO",Data_Discontinuities[[#This Row],[Roughness]]="SK")),AND(Data_Discontinuities[[#This Row],[Shape]]="PL",OR(Data_Discontinuities[[#This Row],[Roughness]]="SR",Data_Discontinuities[[#This Row],[Roughness]]="RO",Data_Discontinuities[[#This Row],[Roughness]]="VR"))),1.5,
IF(AND(Data_Discontinuities[[#This Row],[Shape]]&lt;&gt;"PL",Data_Discontinuities[[#This Row],[Roughness]]="SM"),2,
IF(AND(Data_Discontinuities[[#This Row],[Shape]]&lt;&gt;"PL",OR(Data_Discontinuities[[#This Row],[Roughness]]="SR",Data_Discontinuities[[#This Row],[Roughness]]="RO",Data_Discontinuities[[#This Row],[Roughness]]="VR")),3,
""
)))))</f>
        <v/>
      </c>
      <c r="T1614" s="84" t="str">
        <f>IF(Data_Discontinuities[[#This Row],[Infill character]]="","",
IF(Data_Discontinuities[[#This Row],[Infill character]]="ST",1,
IF(OR(Data_Discontinuities[[#This Row],[Infill character]]="CN",Data_Discontinuities[[#This Row],[Infill character]]="SA"),2,
IF(AND(OR(Data_Discontinuities[[#This Row],[Infill character]]="PC",Data_Discontinuities[[#This Row],[Infill character]]="CC",Data_Discontinuities[[#This Row],[Infill character]]="IN"),Data_Discontinuities[[#This Row],[Infill type]]="CA",Data_Discontinuities[[#This Row],[Infill thickness
(mm) OR BC LC (m)]]&lt;=1),3,
IF(AND(OR(Data_Discontinuities[[#This Row],[Infill character]]="PC",Data_Discontinuities[[#This Row],[Infill character]]="CC",Data_Discontinuities[[#This Row],[Infill character]]="IN"),Data_Discontinuities[[#This Row],[Infill thickness
(mm) OR BC LC (m)]]&lt;=1),4,
IF(AND(OR(Data_Discontinuities[[#This Row],[Infill character]]="IN",Data_Discontinuities[[#This Row],[Infill character]]="CC"),Data_Discontinuities[[#This Row],[Infill type]]&lt;&gt;"TC",Data_Discontinuities[[#This Row],[Infill type]]&lt;&gt;"G",Data_Discontinuities[[#This Row],[Infill type]]&lt;&gt;"C",Data_Discontinuities[[#This Row],[Infill type]]&lt;&gt;"FG",Data_Discontinuities[[#This Row],[Infill type]]&lt;&gt;"CLY",Data_Discontinuities[[#This Row],[Infill type]]&lt;&gt;"CA",Data_Discontinuities[[#This Row],[Infill type 2]]&lt;&gt;"TC",Data_Discontinuities[[#This Row],[Infill type 2]]&lt;&gt;"G",Data_Discontinuities[[#This Row],[Infill type 2]]&lt;&gt;"C",Data_Discontinuities[[#This Row],[Infill type 2]]&lt;&gt;"FG",Data_Discontinuities[[#This Row],[Infill type 2]]&lt;&gt;"CLY",Data_Discontinuities[[#This Row],[Infill type 2]]&lt;&gt;"CA",Data_Discontinuities[[#This Row],[Infill thickness
(mm) OR BC LC (m)]]&lt;5),4,
IF(AND(OR(Data_Discontinuities[[#This Row],[Infill character]]="IN",Data_Discontinuities[[#This Row],[Infill character]]="CC"),Data_Discontinuities[[#This Row],[Infill type]]&lt;&gt;"FG",Data_Discontinuities[[#This Row],[Infill type]]&lt;&gt;"CLY",Data_Discontinuities[[#This Row],[Infill type 2]]&lt;&gt;"FG",Data_Discontinuities[[#This Row],[Infill type 2]]&lt;&gt;"CLY",Data_Discontinuities[[#This Row],[Infill thickness
(mm) OR BC LC (m)]]&lt;5),6,
IF(AND(Data_Discontinuities[[#This Row],[Infill character]]="IN",OR(Data_Discontinuities[[#This Row],[Infill type]]="FG",Data_Discontinuities[[#This Row],[Infill type]]="CLY",Data_Discontinuities[[#This Row],[Infill type 2]]="FG",Data_Discontinuities[[#This Row],[Infill type 2]]="CLY"),Data_Discontinuities[[#This Row],[Infill thickness
(mm) OR BC LC (m)]]&lt;5),8,
IF(AND(Data_Discontinuities[[#This Row],[Infill character]]="IN",Data_Discontinuities[[#This Row],[Infill type]]&lt;&gt;"FG",Data_Discontinuities[[#This Row],[Infill type]]&lt;&gt;"CLY",Data_Discontinuities[[#This Row],[Infill type 2]]&lt;&gt;"FG",Data_Discontinuities[[#This Row],[Infill type 2]]&lt;&gt;"CLY",Data_Discontinuities[[#This Row],[Infill thickness
(mm) OR BC LC (m)]]&gt;=5),10,
IF(AND(Data_Discontinuities[[#This Row],[Infill character]]="IN",Data_Discontinuities[[#This Row],[Infill type]]="Swelling clay",Data_Discontinuities[[#This Row],[Infill thickness
(mm) OR BC LC (m)]]&lt;5),12,
IF(AND(Data_Discontinuities[[#This Row],[Infill character]]="IN",OR(Data_Discontinuities[[#This Row],[Infill type]]="FG",Data_Discontinuities[[#This Row],[Infill type]]="CLY"),Data_Discontinuities[[#This Row],[Infill thickness
(mm) OR BC LC (m)]]&gt;5),15,
IF(AND(Data_Discontinuities[[#This Row],[Infill character]]="IN",Data_Discontinuities[[#This Row],[Infill type]]="Swelling clay",Data_Discontinuities[[#This Row],[Infill thickness
(mm) OR BC LC (m)]]&gt;=5),20,
""
))))))))))))</f>
        <v/>
      </c>
      <c r="U1614" s="71" t="str">
        <f>IFERROR(Data_Discontinuities[[#This Row],[Joint roughness]]/Data_Discontinuities[[#This Row],[Joint alteration]],"")</f>
        <v/>
      </c>
      <c r="V1614" s="84" t="str">
        <f>IF(Data_Discontinuities[[#This Row],[Infill character]]="","",
IF(AND(Data_Discontinuities[[#This Row],[Infill character]]="IN",Data_Discontinuities[[#This Row],[Infill thickness
(mm) OR BC LC (m)]]&gt;=5),0,
IF(AND(Data_Discontinuities[[#This Row],[Infill character]]="IN",Data_Discontinuities[[#This Row],[Infill thickness
(mm) OR BC LC (m)]]&gt;1,Data_Discontinuities[[#This Row],[Infill thickness
(mm) OR BC LC (m)]]&lt;5),6,
IF(OR(Data_Discontinuities[[#This Row],[Roughness]]="SK",Data_Discontinuities[[#This Row],[Roughness]]="PO"),6,
IF(AND(Data_Discontinuities[[#This Row],[Shape]]="PL",Data_Discontinuities[[#This Row],[Roughness]]="SM"),12,
IF(AND(Data_Discontinuities[[#This Row],[Shape]]="PL",OR(Data_Discontinuities[[#This Row],[Roughness]]="SR",Data_Discontinuities[[#This Row],[Roughness]]="RO",Data_Discontinuities[[#This Row],[Roughness]]="VR"),OR(Data_Discontinuities[[#This Row],[Infill character]]="CC",Data_Discontinuities[[#This Row],[Infill character]]="PC",Data_Discontinuities[[#This Row],[Infill character]]="IN")),12,
IF(AND(Data_Discontinuities[[#This Row],[Shape]]="PL",OR(Data_Discontinuities[[#This Row],[Roughness]]="RO",Data_Discontinuities[[#This Row],[Roughness]]="SR",Data_Discontinuities[[#This Row],[Roughness]]="VR")),20,
IF(AND(Data_Discontinuities[[#This Row],[Roughness]]="SM",OR(Data_Discontinuities[[#This Row],[Infill character]]="CC",Data_Discontinuities[[#This Row],[Infill character]]="PC",Data_Discontinuities[[#This Row],[Infill character]]="IN")),12,
IF(Data_Discontinuities[[#This Row],[Roughness]]="SM",20,
IF(AND(OR(Data_Discontinuities[[#This Row],[Roughness]]="RO",Data_Discontinuities[[#This Row],[Roughness]]="SR",Data_Discontinuities[[#This Row],[Roughness]]="VR"),OR(Data_Discontinuities[[#This Row],[Infill character]]="CC",Data_Discontinuities[[#This Row],[Infill character]]="PC",Data_Discontinuities[[#This Row],[Infill character]]="IN")),20,
25))))))))))</f>
        <v/>
      </c>
      <c r="W1614" s="87"/>
    </row>
  </sheetData>
  <phoneticPr fontId="4" type="noConversion"/>
  <conditionalFormatting sqref="I417:K417">
    <cfRule type="expression" dxfId="7" priority="2">
      <formula>OR(#REF!="LC",#REF!="BC",#REF!="FLT")</formula>
    </cfRule>
  </conditionalFormatting>
  <conditionalFormatting sqref="I4:M72 I77:M415 I431:K431 I432:M1048576">
    <cfRule type="expression" dxfId="6" priority="1">
      <formula>OR($E4="LC",$E4="BC",$E4="FLT")</formula>
    </cfRule>
  </conditionalFormatting>
  <conditionalFormatting sqref="I73:M74 I430:M430">
    <cfRule type="expression" dxfId="5" priority="45">
      <formula>OR($E74="LC",$E74="BC",$E74="FLT")</formula>
    </cfRule>
  </conditionalFormatting>
  <conditionalFormatting sqref="I75:M76">
    <cfRule type="expression" dxfId="4" priority="49">
      <formula>OR(#REF!="LC",#REF!="BC",#REF!="FLT")</formula>
    </cfRule>
  </conditionalFormatting>
  <conditionalFormatting sqref="I416:M416">
    <cfRule type="expression" dxfId="3" priority="43">
      <formula>OR(#REF!="LC",#REF!="BC",#REF!="FLT")</formula>
    </cfRule>
  </conditionalFormatting>
  <conditionalFormatting sqref="I418:M429">
    <cfRule type="expression" dxfId="2" priority="10">
      <formula>OR($E418="LC",$E418="BC",$E418="FLT")</formula>
    </cfRule>
  </conditionalFormatting>
  <conditionalFormatting sqref="L417:M417">
    <cfRule type="expression" dxfId="1" priority="42">
      <formula>OR($E416="LC",$E416="BC",$E416="FLT")</formula>
    </cfRule>
  </conditionalFormatting>
  <conditionalFormatting sqref="L431:M431">
    <cfRule type="expression" dxfId="0" priority="46">
      <formula>OR(#REF!="LC",#REF!="BC",#REF!="FLT")</formula>
    </cfRule>
  </conditionalFormatting>
  <dataValidations count="6">
    <dataValidation type="list" allowBlank="1" showInputMessage="1" showErrorMessage="1" sqref="L609:M1035 L1039:M1614 L4:M606" xr:uid="{D51E1DB5-E8E8-4896-A495-0B8F2AE7CB0D}">
      <formula1>INDIRECT("Table_InfillType[Code]")</formula1>
    </dataValidation>
    <dataValidation type="list" allowBlank="1" showInputMessage="1" showErrorMessage="1" sqref="I1039:I1194 I1197:I1614 I4:I1035" xr:uid="{065F3687-C2EB-4619-9D10-DE1B61EC84A1}">
      <formula1>INDIRECT("Table_Shape[Code]")</formula1>
    </dataValidation>
    <dataValidation type="list" allowBlank="1" showInputMessage="1" showErrorMessage="1" sqref="J1039:J1194 J1197:J1614 J4:J1035" xr:uid="{C5A43B00-599A-4100-A2A2-ABBE7043124D}">
      <formula1>INDIRECT("Table_Roughness[Code]")</formula1>
    </dataValidation>
    <dataValidation type="list" allowBlank="1" showInputMessage="1" showErrorMessage="1" sqref="K1039:K1614 K4:K1035" xr:uid="{60CC696A-91D9-44A8-821E-FFDA89EF08C6}">
      <formula1>INDIRECT("Table_InfillCharacter[Code]")</formula1>
    </dataValidation>
    <dataValidation type="list" allowBlank="1" showInputMessage="1" showErrorMessage="1" sqref="E1039:E1614 E418:E607 E1037 E609:E1035 E4:E72 E74:E416" xr:uid="{039C22BE-BF8E-420C-B392-1CBA889D7751}">
      <formula1>INDIRECT("Table_FeatureType[Code]")</formula1>
    </dataValidation>
    <dataValidation type="list" allowBlank="1" showInputMessage="1" showErrorMessage="1" sqref="H4:H1614" xr:uid="{18DEDF02-377F-41EE-9CC5-4F77213EEEED}">
      <formula1>INDIRECT("Table_OrientationReliability[Description]")</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5F086-9593-450F-8F78-5D5F9ECD6EC9}">
  <sheetPr codeName="Sheet5">
    <tabColor theme="5"/>
  </sheetPr>
  <dimension ref="A1:BM525"/>
  <sheetViews>
    <sheetView topLeftCell="A181" zoomScale="85" zoomScaleNormal="85" workbookViewId="0">
      <selection activeCell="A208" sqref="A208"/>
    </sheetView>
  </sheetViews>
  <sheetFormatPr baseColWidth="10" defaultColWidth="10.7109375" defaultRowHeight="15" x14ac:dyDescent="0.25"/>
  <cols>
    <col min="1" max="1" width="14.42578125" customWidth="1"/>
    <col min="2" max="3" width="15.140625" customWidth="1"/>
    <col min="4" max="4" width="24.7109375" customWidth="1"/>
    <col min="5" max="5" width="19.7109375" customWidth="1"/>
    <col min="6" max="6" width="14.5703125" bestFit="1" customWidth="1"/>
    <col min="7" max="7" width="22.42578125" bestFit="1" customWidth="1"/>
    <col min="8" max="9" width="13.7109375" bestFit="1" customWidth="1"/>
    <col min="10" max="11" width="12.28515625" customWidth="1"/>
    <col min="12" max="12" width="13.5703125" customWidth="1"/>
    <col min="13" max="14" width="12.28515625" customWidth="1"/>
    <col min="15" max="15" width="24.5703125" customWidth="1"/>
    <col min="16" max="16" width="12.28515625" customWidth="1"/>
    <col min="17" max="17" width="29" customWidth="1"/>
    <col min="18" max="18" width="2.5703125" customWidth="1"/>
    <col min="19" max="19" width="16.28515625" customWidth="1"/>
    <col min="20" max="22" width="11.28515625" customWidth="1"/>
    <col min="23" max="23" width="23.7109375" bestFit="1" customWidth="1"/>
    <col min="24" max="24" width="13.85546875" customWidth="1"/>
    <col min="25" max="25" width="9.7109375" customWidth="1"/>
    <col min="26" max="26" width="13.85546875" customWidth="1"/>
    <col min="27" max="29" width="7.28515625" customWidth="1"/>
    <col min="30" max="30" width="25.5703125" style="14" bestFit="1" customWidth="1"/>
    <col min="31" max="31" width="27" style="14" bestFit="1" customWidth="1"/>
    <col min="32" max="33" width="25.5703125" style="14" bestFit="1" customWidth="1"/>
    <col min="34" max="34" width="13.28515625" bestFit="1" customWidth="1"/>
    <col min="44" max="44" width="20.28515625" customWidth="1"/>
    <col min="45" max="45" width="21.42578125" customWidth="1"/>
  </cols>
  <sheetData>
    <row r="1" spans="1:61" ht="21" x14ac:dyDescent="0.25">
      <c r="A1" s="18" t="s">
        <v>128</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66"/>
      <c r="AE1" s="66"/>
      <c r="AF1" s="66"/>
      <c r="AG1" s="66"/>
    </row>
    <row r="2" spans="1:61" ht="15" customHeight="1" x14ac:dyDescent="0.3">
      <c r="A2" s="2"/>
      <c r="B2" s="2"/>
      <c r="J2" s="6"/>
      <c r="K2" s="6"/>
      <c r="L2" s="6"/>
      <c r="M2" s="6"/>
      <c r="N2" s="6"/>
      <c r="P2" s="6"/>
      <c r="X2" s="148">
        <f>VLOOKUP("Min",Table_PLT_Conversion[],2,FALSE)</f>
        <v>17.5</v>
      </c>
      <c r="Y2" s="148">
        <f>VLOOKUP("Avg",Table_PLT_Conversion[],2,FALSE)</f>
        <v>20</v>
      </c>
      <c r="Z2" s="148">
        <f>VLOOKUP("Max",Table_PLT_Conversion[],2,FALSE)</f>
        <v>25</v>
      </c>
      <c r="AR2" t="s">
        <v>129</v>
      </c>
      <c r="BG2" t="s">
        <v>130</v>
      </c>
    </row>
    <row r="3" spans="1:61" s="53" customFormat="1" ht="60" x14ac:dyDescent="0.25">
      <c r="A3" s="51" t="s">
        <v>1</v>
      </c>
      <c r="B3" s="54" t="s">
        <v>2</v>
      </c>
      <c r="C3" s="55" t="s">
        <v>131</v>
      </c>
      <c r="D3" s="55" t="s">
        <v>132</v>
      </c>
      <c r="E3" s="50" t="s">
        <v>133</v>
      </c>
      <c r="F3" s="50" t="s">
        <v>47</v>
      </c>
      <c r="G3" s="55" t="s">
        <v>69</v>
      </c>
      <c r="H3" s="50" t="s">
        <v>134</v>
      </c>
      <c r="I3" s="55" t="s">
        <v>135</v>
      </c>
      <c r="J3" s="55" t="s">
        <v>136</v>
      </c>
      <c r="K3" s="50" t="s">
        <v>137</v>
      </c>
      <c r="L3" s="50" t="s">
        <v>138</v>
      </c>
      <c r="M3" s="50" t="s">
        <v>139</v>
      </c>
      <c r="N3" s="50" t="s">
        <v>140</v>
      </c>
      <c r="O3" s="50" t="s">
        <v>141</v>
      </c>
      <c r="P3" s="55" t="s">
        <v>142</v>
      </c>
      <c r="Q3" s="50" t="s">
        <v>25</v>
      </c>
      <c r="R3" s="56" t="s">
        <v>81</v>
      </c>
      <c r="S3" s="55" t="s">
        <v>143</v>
      </c>
      <c r="T3" s="55" t="s">
        <v>144</v>
      </c>
      <c r="U3" s="55" t="s">
        <v>145</v>
      </c>
      <c r="V3" s="55" t="s">
        <v>146</v>
      </c>
      <c r="W3" s="55" t="s">
        <v>147</v>
      </c>
      <c r="X3" s="55" t="s">
        <v>148</v>
      </c>
      <c r="Y3" s="55" t="s">
        <v>149</v>
      </c>
      <c r="Z3" s="55" t="s">
        <v>150</v>
      </c>
      <c r="AA3" s="55" t="s">
        <v>151</v>
      </c>
      <c r="AB3" s="55" t="s">
        <v>152</v>
      </c>
      <c r="AC3" s="55" t="s">
        <v>153</v>
      </c>
      <c r="AD3" s="54" t="s">
        <v>154</v>
      </c>
      <c r="AE3" s="54" t="s">
        <v>155</v>
      </c>
      <c r="AF3" s="54" t="s">
        <v>156</v>
      </c>
      <c r="AG3" s="55" t="s">
        <v>157</v>
      </c>
      <c r="AR3" s="52" t="s">
        <v>158</v>
      </c>
      <c r="AS3" s="52" t="s">
        <v>159</v>
      </c>
      <c r="AT3" s="52" t="s">
        <v>160</v>
      </c>
      <c r="BG3" s="52" t="s">
        <v>158</v>
      </c>
      <c r="BH3" s="52" t="s">
        <v>159</v>
      </c>
      <c r="BI3" s="52" t="s">
        <v>160</v>
      </c>
    </row>
    <row r="4" spans="1:61" x14ac:dyDescent="0.25">
      <c r="A4" t="s">
        <v>26</v>
      </c>
      <c r="B4" s="88" t="str">
        <f>VLOOKUP(Data_PLT[[#This Row],[Hole ID]],Data_Log[],2,FALSE)</f>
        <v>CGF-01</v>
      </c>
      <c r="C4" s="63">
        <f>IF(Data_PLT[[#This Row],[Hole ID]]="","",
IF(COUNTIF($A$4:A4,Data_PLT[[#This Row],[Hole ID]])=1,1,
IF(A4=A3,C3+1,
COUNTIF($A$4:A4,Data_PLT[[#This Row],[Hole ID]]))))</f>
        <v>1</v>
      </c>
      <c r="D4" s="63" t="str">
        <f>IF(Data_PLT[[#This Row],[Hole ID]]="","",Data_PLT[[#This Row],[Hole ID]]&amp;"_"&amp;Data_PLT[[#This Row],[Sample ID]])</f>
        <v>COG-25-08_1</v>
      </c>
      <c r="E4" s="6"/>
      <c r="F4" s="6">
        <v>50.4</v>
      </c>
      <c r="G4" s="63" t="str" cm="1">
        <f t="array" ref="G4">_xlfn.XLOOKUP(1,(A4=Geotech!$A$4:$A$11100)*(Data_PLT[[#This Row],[Depth (m)]]&gt;=Geotech!$C$4:$C$11100)*(Data_PLT[[#This Row],[Depth (m)]]&lt;Geotech!$D$4:$D$11100),Geotech!$M$4:$M$11100)</f>
        <v>Diorite</v>
      </c>
      <c r="H4" s="6" t="s">
        <v>299</v>
      </c>
      <c r="I4" s="63" t="str">
        <f>VLOOKUP(Data_PLT[[#This Row],[Hole ID]],Data_Log[[Hole ID]:[Core size]],20,FALSE)</f>
        <v>HQ</v>
      </c>
      <c r="J4" s="13">
        <f>VLOOKUP(Data_PLT[[#This Row],[Core Size]],Table_CoreSize[],2,FALSE)</f>
        <v>63.5</v>
      </c>
      <c r="K4" s="19">
        <v>100</v>
      </c>
      <c r="L4" s="19" t="s">
        <v>574</v>
      </c>
      <c r="M4" s="5">
        <v>206</v>
      </c>
      <c r="N4" s="5"/>
      <c r="O4" s="6" t="s">
        <v>334</v>
      </c>
      <c r="P4" s="13" t="str">
        <f>IF(Data_PLT[[#This Row],[Failure type]]="","",IF(OR(Data_PLT[[#This Row],[Failure type]]="Invalid",Data_PLT[[#This Row],[Failure type]]="Chipped",Data_PLT[[#This Row],[Failure type]]="Penetrate",Data_PLT[[#This Row],[Failure type]]="Did not break"),"Invalid","Valid"))</f>
        <v>Valid</v>
      </c>
      <c r="Q4" s="6"/>
      <c r="R4" s="11"/>
      <c r="S4" s="13">
        <f>IF(Data_PLT[[#This Row],[Test type]]="Diametral",Data_PLT[[#This Row],[Diameter (mm)]],IF(Data_PLT[[#This Row],[Test type]]="Axial",SQRT(4*Data_PLT[[#This Row],[Diameter (mm)]]*Data_PLT[[#This Row],[Length or width (mm)]]/PI()),"ERROR"))</f>
        <v>63.5</v>
      </c>
      <c r="T4" s="13">
        <f>(Data_PLT[[#This Row],[Load (kN)]]*1000)/Data_PLT[[#This Row],[Equiv. Diam. (mm)]]^2</f>
        <v>0</v>
      </c>
      <c r="U4" s="13">
        <f>(Data_PLT[[#This Row],[Equiv. Diam. (mm)]]/50)^0.45</f>
        <v>1.1135550054708407</v>
      </c>
      <c r="V4" s="13">
        <f>Data_PLT[[#This Row],[Is (MPa)]]*Data_PLT[[#This Row],[F]]</f>
        <v>0</v>
      </c>
      <c r="W4" s="13" t="str">
        <f>Data_PLT[[#This Row],[Failure Validity]]&amp;"-"&amp;Data_PLT[[#This Row],[Test type]]</f>
        <v>Valid-Diametral</v>
      </c>
      <c r="X4" s="13">
        <f>Data_PLT[[#This Row],[Is50 (MPa)]]*VLOOKUP("Min",Table_PLT_Conversion[],2,FALSE)</f>
        <v>0</v>
      </c>
      <c r="Y4" s="13">
        <f>Data_PLT[[#This Row],[Is50 (MPa)]]*VLOOKUP("Avg",Table_PLT_Conversion[],2,FALSE)</f>
        <v>0</v>
      </c>
      <c r="Z4" s="13">
        <f>Data_PLT[[#This Row],[Is50 (MPa)]]*VLOOKUP("Max",Table_PLT_Conversion[],2,FALSE)</f>
        <v>0</v>
      </c>
      <c r="AA4" s="62" t="e">
        <f>MATCH(LOOKUP(Data_PLT[[#This Row],[UCS min (MPa)]],Table_FieldStrength[Min UCS]),Table_FieldStrength[Min UCS],0)-1</f>
        <v>#N/A</v>
      </c>
      <c r="AB4" s="62" t="e">
        <f>MATCH(LOOKUP(Data_PLT[[#This Row],[UCS avg (MPa)]],Table_FieldStrength[Min UCS]),Table_FieldStrength[Min UCS],0)-1</f>
        <v>#N/A</v>
      </c>
      <c r="AC4" s="62" t="e">
        <f>MATCH(LOOKUP(Data_PLT[[#This Row],[UCS max (MPa)]],Table_FieldStrength[Min UCS]),Table_FieldStrength[Min UCS],0)-1</f>
        <v>#N/A</v>
      </c>
      <c r="AD4" s="68" t="e">
        <f>Data_PLT[[#This Row],[Test code]]&amp;"-"&amp;Data_PLT[[#This Row],[UCS min code]]</f>
        <v>#N/A</v>
      </c>
      <c r="AE4" s="68" t="e">
        <f>Data_PLT[[#This Row],[Test code]]&amp;"-"&amp;Data_PLT[[#This Row],[UCS avg code]]</f>
        <v>#N/A</v>
      </c>
      <c r="AF4" s="67" t="e">
        <f>Data_PLT[[#This Row],[Test code]]&amp;"-"&amp;Data_PLT[[#This Row],[UCS max code]]</f>
        <v>#N/A</v>
      </c>
      <c r="AG4" s="67" t="str">
        <f>Data_PLT[[#This Row],[Failure type]]&amp;"-"&amp;Data_PLT[[#This Row],[Test type]]&amp;"-"&amp;(IF(Data_PLT[[#This Row],[Is50 (MPa)]]&lt;1,1,IF(Data_PLT[[#This Row],[Is50 (MPa)]]&lt;2,2,IF(Data_PLT[[#This Row],[Is50 (MPa)]]&lt;4,3,IF(Data_PLT[[#This Row],[Is50 (MPa)]]&lt;8,4,5)))))</f>
        <v>Along bedding/foliation-Diametral-1</v>
      </c>
      <c r="AR4" t="s">
        <v>161</v>
      </c>
      <c r="AS4">
        <f>COUNTIF(Data_PLT[Failure type],"Valid")</f>
        <v>0</v>
      </c>
      <c r="AT4" s="146">
        <f>AS4/SUM($AS$4:$AS$9)</f>
        <v>0</v>
      </c>
      <c r="BG4" t="s">
        <v>161</v>
      </c>
      <c r="BH4">
        <f>COUNTIFS(Data_PLT[Failure type],"Valid",Data_PLT[Lithology],"Metasediment (Guyer)")</f>
        <v>0</v>
      </c>
      <c r="BI4" s="146" t="e">
        <f>BH4/SUM($BH$4:$BH$9)</f>
        <v>#DIV/0!</v>
      </c>
    </row>
    <row r="5" spans="1:61" x14ac:dyDescent="0.25">
      <c r="A5" t="s">
        <v>26</v>
      </c>
      <c r="B5" s="88" t="str">
        <f>VLOOKUP(Data_PLT[[#This Row],[Hole ID]],Data_Log[],2,FALSE)</f>
        <v>CGF-01</v>
      </c>
      <c r="C5" s="63">
        <f>IF(Data_PLT[[#This Row],[Hole ID]]="","",
IF(COUNTIF($A$4:A5,Data_PLT[[#This Row],[Hole ID]])=1,1,
IF(A5=A4,C4+1,
COUNTIF($A$4:A5,Data_PLT[[#This Row],[Hole ID]]))))</f>
        <v>2</v>
      </c>
      <c r="D5" s="63" t="str">
        <f>IF(Data_PLT[[#This Row],[Hole ID]]="","",Data_PLT[[#This Row],[Hole ID]]&amp;"_"&amp;Data_PLT[[#This Row],[Sample ID]])</f>
        <v>COG-25-08_2</v>
      </c>
      <c r="E5" s="6"/>
      <c r="F5" s="6">
        <v>52.2</v>
      </c>
      <c r="G5" s="63" t="str" cm="1">
        <f t="array" ref="G5">_xlfn.XLOOKUP(1,(A5=Geotech!$A$4:$A$11100)*(Data_PLT[[#This Row],[Depth (m)]]&gt;=Geotech!$C$4:$C$11100)*(Data_PLT[[#This Row],[Depth (m)]]&lt;Geotech!$D$4:$D$11100),Geotech!$M$4:$M$11100)</f>
        <v>Diorite</v>
      </c>
      <c r="H5" s="6" t="s">
        <v>299</v>
      </c>
      <c r="I5" s="63" t="str">
        <f>VLOOKUP(Data_PLT[[#This Row],[Hole ID]],Data_Log[[Hole ID]:[Core size]],20,FALSE)</f>
        <v>HQ</v>
      </c>
      <c r="J5" s="13">
        <f>VLOOKUP(Data_PLT[[#This Row],[Core Size]],Table_CoreSize[],2,FALSE)</f>
        <v>63.5</v>
      </c>
      <c r="K5" s="19">
        <v>140</v>
      </c>
      <c r="L5" s="19" t="s">
        <v>574</v>
      </c>
      <c r="M5" s="5">
        <v>81.8</v>
      </c>
      <c r="N5" s="5"/>
      <c r="O5" s="6" t="s">
        <v>163</v>
      </c>
      <c r="P5" s="13" t="str">
        <f>IF(Data_PLT[[#This Row],[Failure type]]="","",IF(OR(Data_PLT[[#This Row],[Failure type]]="Invalid",Data_PLT[[#This Row],[Failure type]]="Chipped",Data_PLT[[#This Row],[Failure type]]="Penetrate",Data_PLT[[#This Row],[Failure type]]="Did not break"),"Invalid","Valid"))</f>
        <v>Valid</v>
      </c>
      <c r="Q5" s="6"/>
      <c r="R5" s="11"/>
      <c r="S5" s="13">
        <f>IF(Data_PLT[[#This Row],[Test type]]="Diametral",Data_PLT[[#This Row],[Diameter (mm)]],IF(Data_PLT[[#This Row],[Test type]]="Axial",SQRT(4*Data_PLT[[#This Row],[Diameter (mm)]]*Data_PLT[[#This Row],[Length or width (mm)]]/PI()),"ERROR"))</f>
        <v>63.5</v>
      </c>
      <c r="T5" s="13">
        <f>(Data_PLT[[#This Row],[Load (kN)]]*1000)/Data_PLT[[#This Row],[Equiv. Diam. (mm)]]^2</f>
        <v>0</v>
      </c>
      <c r="U5" s="13">
        <f>(Data_PLT[[#This Row],[Equiv. Diam. (mm)]]/50)^0.45</f>
        <v>1.1135550054708407</v>
      </c>
      <c r="V5" s="13">
        <f>Data_PLT[[#This Row],[Is (MPa)]]*Data_PLT[[#This Row],[F]]</f>
        <v>0</v>
      </c>
      <c r="W5" s="13" t="str">
        <f>Data_PLT[[#This Row],[Failure Validity]]&amp;"-"&amp;Data_PLT[[#This Row],[Test type]]</f>
        <v>Valid-Diametral</v>
      </c>
      <c r="X5" s="13">
        <f>Data_PLT[[#This Row],[Is50 (MPa)]]*VLOOKUP("Min",Table_PLT_Conversion[],2,FALSE)</f>
        <v>0</v>
      </c>
      <c r="Y5" s="13">
        <f>Data_PLT[[#This Row],[Is50 (MPa)]]*VLOOKUP("Avg",Table_PLT_Conversion[],2,FALSE)</f>
        <v>0</v>
      </c>
      <c r="Z5" s="13">
        <f>Data_PLT[[#This Row],[Is50 (MPa)]]*VLOOKUP("Max",Table_PLT_Conversion[],2,FALSE)</f>
        <v>0</v>
      </c>
      <c r="AA5" s="62" t="e">
        <f>MATCH(LOOKUP(Data_PLT[[#This Row],[UCS min (MPa)]],Table_FieldStrength[Min UCS]),Table_FieldStrength[Min UCS],0)-1</f>
        <v>#N/A</v>
      </c>
      <c r="AB5" s="62" t="e">
        <f>MATCH(LOOKUP(Data_PLT[[#This Row],[UCS avg (MPa)]],Table_FieldStrength[Min UCS]),Table_FieldStrength[Min UCS],0)-1</f>
        <v>#N/A</v>
      </c>
      <c r="AC5" s="62" t="e">
        <f>MATCH(LOOKUP(Data_PLT[[#This Row],[UCS max (MPa)]],Table_FieldStrength[Min UCS]),Table_FieldStrength[Min UCS],0)-1</f>
        <v>#N/A</v>
      </c>
      <c r="AD5" s="68" t="e">
        <f>Data_PLT[[#This Row],[Test code]]&amp;"-"&amp;Data_PLT[[#This Row],[UCS min code]]</f>
        <v>#N/A</v>
      </c>
      <c r="AE5" s="68" t="e">
        <f>Data_PLT[[#This Row],[Test code]]&amp;"-"&amp;Data_PLT[[#This Row],[UCS avg code]]</f>
        <v>#N/A</v>
      </c>
      <c r="AF5" s="67" t="e">
        <f>Data_PLT[[#This Row],[Test code]]&amp;"-"&amp;Data_PLT[[#This Row],[UCS max code]]</f>
        <v>#N/A</v>
      </c>
      <c r="AG5" s="67" t="str">
        <f>Data_PLT[[#This Row],[Failure type]]&amp;"-"&amp;Data_PLT[[#This Row],[Test type]]&amp;"-"&amp;(IF(Data_PLT[[#This Row],[Is50 (MPa)]]&lt;1,1,IF(Data_PLT[[#This Row],[Is50 (MPa)]]&lt;2,2,IF(Data_PLT[[#This Row],[Is50 (MPa)]]&lt;4,3,IF(Data_PLT[[#This Row],[Is50 (MPa)]]&lt;8,4,5)))))</f>
        <v>Broke along MD-Diametral-1</v>
      </c>
      <c r="AR5" t="s">
        <v>162</v>
      </c>
      <c r="AS5">
        <f>COUNTIF(Data_PLT[Failure type],"Penetrate")</f>
        <v>0</v>
      </c>
      <c r="AT5" s="146">
        <f>AS5/SUM($AS$4:$AS$9)</f>
        <v>0</v>
      </c>
      <c r="BG5" t="s">
        <v>162</v>
      </c>
      <c r="BH5">
        <f>COUNTIFS(Data_PLT[Failure type],"Penetrate",Data_PLT[Lithology],"Metasediment (Guyer)")</f>
        <v>0</v>
      </c>
      <c r="BI5" s="146" t="e">
        <f>BH5/SUM($BH$4:$BH$9)</f>
        <v>#DIV/0!</v>
      </c>
    </row>
    <row r="6" spans="1:61" x14ac:dyDescent="0.25">
      <c r="A6" t="s">
        <v>26</v>
      </c>
      <c r="B6" s="88" t="str">
        <f>VLOOKUP(Data_PLT[[#This Row],[Hole ID]],Data_Log[],2,FALSE)</f>
        <v>CGF-01</v>
      </c>
      <c r="C6" s="63">
        <f>IF(Data_PLT[[#This Row],[Hole ID]]="","",
IF(COUNTIF($A$4:A6,Data_PLT[[#This Row],[Hole ID]])=1,1,
IF(A6=A5,C5+1,
COUNTIF($A$4:A6,Data_PLT[[#This Row],[Hole ID]]))))</f>
        <v>3</v>
      </c>
      <c r="D6" s="63" t="str">
        <f>IF(Data_PLT[[#This Row],[Hole ID]]="","",Data_PLT[[#This Row],[Hole ID]]&amp;"_"&amp;Data_PLT[[#This Row],[Sample ID]])</f>
        <v>COG-25-08_3</v>
      </c>
      <c r="E6" s="6"/>
      <c r="F6" s="6">
        <v>52.82</v>
      </c>
      <c r="G6" s="63" t="str" cm="1">
        <f t="array" ref="G6">_xlfn.XLOOKUP(1,(A6=Geotech!$A$4:$A$11100)*(Data_PLT[[#This Row],[Depth (m)]]&gt;=Geotech!$C$4:$C$11100)*(Data_PLT[[#This Row],[Depth (m)]]&lt;Geotech!$D$4:$D$11100),Geotech!$M$4:$M$11100)</f>
        <v>Boulamarque granodiorite</v>
      </c>
      <c r="H6" s="6" t="s">
        <v>299</v>
      </c>
      <c r="I6" s="63" t="str">
        <f>VLOOKUP(Data_PLT[[#This Row],[Hole ID]],Data_Log[[Hole ID]:[Core size]],20,FALSE)</f>
        <v>HQ</v>
      </c>
      <c r="J6" s="13">
        <f>VLOOKUP(Data_PLT[[#This Row],[Core Size]],Table_CoreSize[],2,FALSE)</f>
        <v>63.5</v>
      </c>
      <c r="K6" s="19">
        <v>160</v>
      </c>
      <c r="L6" s="19" t="s">
        <v>574</v>
      </c>
      <c r="M6" s="5">
        <v>141.80000000000001</v>
      </c>
      <c r="N6" s="5"/>
      <c r="O6" s="6" t="s">
        <v>165</v>
      </c>
      <c r="P6" s="13" t="str">
        <f>IF(Data_PLT[[#This Row],[Failure type]]="","",IF(OR(Data_PLT[[#This Row],[Failure type]]="Invalid",Data_PLT[[#This Row],[Failure type]]="Chipped",Data_PLT[[#This Row],[Failure type]]="Penetrate",Data_PLT[[#This Row],[Failure type]]="Did not break"),"Invalid","Valid"))</f>
        <v>Invalid</v>
      </c>
      <c r="Q6" s="6"/>
      <c r="R6" s="11"/>
      <c r="S6" s="13">
        <f>IF(Data_PLT[[#This Row],[Test type]]="Diametral",Data_PLT[[#This Row],[Diameter (mm)]],IF(Data_PLT[[#This Row],[Test type]]="Axial",SQRT(4*Data_PLT[[#This Row],[Diameter (mm)]]*Data_PLT[[#This Row],[Length or width (mm)]]/PI()),"ERROR"))</f>
        <v>63.5</v>
      </c>
      <c r="T6" s="13">
        <f>(Data_PLT[[#This Row],[Load (kN)]]*1000)/Data_PLT[[#This Row],[Equiv. Diam. (mm)]]^2</f>
        <v>0</v>
      </c>
      <c r="U6" s="13">
        <f>(Data_PLT[[#This Row],[Equiv. Diam. (mm)]]/50)^0.45</f>
        <v>1.1135550054708407</v>
      </c>
      <c r="V6" s="13">
        <f>Data_PLT[[#This Row],[Is (MPa)]]*Data_PLT[[#This Row],[F]]</f>
        <v>0</v>
      </c>
      <c r="W6" s="13" t="str">
        <f>Data_PLT[[#This Row],[Failure Validity]]&amp;"-"&amp;Data_PLT[[#This Row],[Test type]]</f>
        <v>Invalid-Diametral</v>
      </c>
      <c r="X6" s="13">
        <f>Data_PLT[[#This Row],[Is50 (MPa)]]*VLOOKUP("Min",Table_PLT_Conversion[],2,FALSE)</f>
        <v>0</v>
      </c>
      <c r="Y6" s="13">
        <f>Data_PLT[[#This Row],[Is50 (MPa)]]*VLOOKUP("Avg",Table_PLT_Conversion[],2,FALSE)</f>
        <v>0</v>
      </c>
      <c r="Z6" s="13">
        <f>Data_PLT[[#This Row],[Is50 (MPa)]]*VLOOKUP("Max",Table_PLT_Conversion[],2,FALSE)</f>
        <v>0</v>
      </c>
      <c r="AA6" s="62" t="e">
        <f>MATCH(LOOKUP(Data_PLT[[#This Row],[UCS min (MPa)]],Table_FieldStrength[Min UCS]),Table_FieldStrength[Min UCS],0)-1</f>
        <v>#N/A</v>
      </c>
      <c r="AB6" s="62" t="e">
        <f>MATCH(LOOKUP(Data_PLT[[#This Row],[UCS avg (MPa)]],Table_FieldStrength[Min UCS]),Table_FieldStrength[Min UCS],0)-1</f>
        <v>#N/A</v>
      </c>
      <c r="AC6" s="62" t="e">
        <f>MATCH(LOOKUP(Data_PLT[[#This Row],[UCS max (MPa)]],Table_FieldStrength[Min UCS]),Table_FieldStrength[Min UCS],0)-1</f>
        <v>#N/A</v>
      </c>
      <c r="AD6" s="68" t="e">
        <f>Data_PLT[[#This Row],[Test code]]&amp;"-"&amp;Data_PLT[[#This Row],[UCS min code]]</f>
        <v>#N/A</v>
      </c>
      <c r="AE6" s="68" t="e">
        <f>Data_PLT[[#This Row],[Test code]]&amp;"-"&amp;Data_PLT[[#This Row],[UCS avg code]]</f>
        <v>#N/A</v>
      </c>
      <c r="AF6" s="67" t="e">
        <f>Data_PLT[[#This Row],[Test code]]&amp;"-"&amp;Data_PLT[[#This Row],[UCS max code]]</f>
        <v>#N/A</v>
      </c>
      <c r="AG6" s="67" t="str">
        <f>Data_PLT[[#This Row],[Failure type]]&amp;"-"&amp;Data_PLT[[#This Row],[Test type]]&amp;"-"&amp;(IF(Data_PLT[[#This Row],[Is50 (MPa)]]&lt;1,1,IF(Data_PLT[[#This Row],[Is50 (MPa)]]&lt;2,2,IF(Data_PLT[[#This Row],[Is50 (MPa)]]&lt;4,3,IF(Data_PLT[[#This Row],[Is50 (MPa)]]&lt;8,4,5)))))</f>
        <v>Chipped-Diametral-1</v>
      </c>
      <c r="AR6" t="s">
        <v>163</v>
      </c>
      <c r="AS6">
        <f>COUNTIF(Data_PLT[Failure type],"Broke along MD")</f>
        <v>44</v>
      </c>
      <c r="AT6" s="146">
        <f t="shared" ref="AT6" si="0">AS6/SUM($AS$4:$AS$9)</f>
        <v>0.60273972602739723</v>
      </c>
      <c r="BG6" t="s">
        <v>163</v>
      </c>
      <c r="BH6">
        <f>COUNTIFS(Data_PLT[Failure type],"Broke along MD",Data_PLT[Lithology],"Metasediment (Guyer)")</f>
        <v>0</v>
      </c>
      <c r="BI6" s="146" t="e">
        <f t="shared" ref="BI6" si="1">BH6/SUM($BH$4:$BH$9)</f>
        <v>#DIV/0!</v>
      </c>
    </row>
    <row r="7" spans="1:61" x14ac:dyDescent="0.25">
      <c r="A7" t="s">
        <v>26</v>
      </c>
      <c r="B7" s="88" t="str">
        <f>VLOOKUP(Data_PLT[[#This Row],[Hole ID]],Data_Log[],2,FALSE)</f>
        <v>CGF-01</v>
      </c>
      <c r="C7" s="63">
        <f>IF(Data_PLT[[#This Row],[Hole ID]]="","",
IF(COUNTIF($A$4:A7,Data_PLT[[#This Row],[Hole ID]])=1,1,
IF(A7=A6,C6+1,
COUNTIF($A$4:A7,Data_PLT[[#This Row],[Hole ID]]))))</f>
        <v>4</v>
      </c>
      <c r="D7" s="63" t="str">
        <f>IF(Data_PLT[[#This Row],[Hole ID]]="","",Data_PLT[[#This Row],[Hole ID]]&amp;"_"&amp;Data_PLT[[#This Row],[Sample ID]])</f>
        <v>COG-25-08_4</v>
      </c>
      <c r="E7" s="6"/>
      <c r="F7" s="6">
        <v>53.79</v>
      </c>
      <c r="G7" s="63" t="str" cm="1">
        <f t="array" ref="G7">_xlfn.XLOOKUP(1,(A7=Geotech!$A$4:$A$11100)*(Data_PLT[[#This Row],[Depth (m)]]&gt;=Geotech!$C$4:$C$11100)*(Data_PLT[[#This Row],[Depth (m)]]&lt;Geotech!$D$4:$D$11100),Geotech!$M$4:$M$11100)</f>
        <v>Diorite</v>
      </c>
      <c r="H7" s="6" t="s">
        <v>299</v>
      </c>
      <c r="I7" s="63" t="str">
        <f>VLOOKUP(Data_PLT[[#This Row],[Hole ID]],Data_Log[[Hole ID]:[Core size]],20,FALSE)</f>
        <v>HQ</v>
      </c>
      <c r="J7" s="13">
        <f>VLOOKUP(Data_PLT[[#This Row],[Core Size]],Table_CoreSize[],2,FALSE)</f>
        <v>63.5</v>
      </c>
      <c r="K7" s="19">
        <v>85</v>
      </c>
      <c r="L7" s="19" t="s">
        <v>574</v>
      </c>
      <c r="M7" s="5">
        <v>38.200000000000003</v>
      </c>
      <c r="N7" s="5"/>
      <c r="O7" s="6" t="s">
        <v>163</v>
      </c>
      <c r="P7" s="13" t="str">
        <f>IF(Data_PLT[[#This Row],[Failure type]]="","",IF(OR(Data_PLT[[#This Row],[Failure type]]="Invalid",Data_PLT[[#This Row],[Failure type]]="Chipped",Data_PLT[[#This Row],[Failure type]]="Penetrate",Data_PLT[[#This Row],[Failure type]]="Did not break"),"Invalid","Valid"))</f>
        <v>Valid</v>
      </c>
      <c r="Q7" s="6"/>
      <c r="R7" s="11"/>
      <c r="S7" s="13">
        <f>IF(Data_PLT[[#This Row],[Test type]]="Diametral",Data_PLT[[#This Row],[Diameter (mm)]],IF(Data_PLT[[#This Row],[Test type]]="Axial",SQRT(4*Data_PLT[[#This Row],[Diameter (mm)]]*Data_PLT[[#This Row],[Length or width (mm)]]/PI()),"ERROR"))</f>
        <v>63.5</v>
      </c>
      <c r="T7" s="13">
        <f>(Data_PLT[[#This Row],[Load (kN)]]*1000)/Data_PLT[[#This Row],[Equiv. Diam. (mm)]]^2</f>
        <v>0</v>
      </c>
      <c r="U7" s="13">
        <f>(Data_PLT[[#This Row],[Equiv. Diam. (mm)]]/50)^0.45</f>
        <v>1.1135550054708407</v>
      </c>
      <c r="V7" s="13">
        <f>Data_PLT[[#This Row],[Is (MPa)]]*Data_PLT[[#This Row],[F]]</f>
        <v>0</v>
      </c>
      <c r="W7" s="13" t="str">
        <f>Data_PLT[[#This Row],[Failure Validity]]&amp;"-"&amp;Data_PLT[[#This Row],[Test type]]</f>
        <v>Valid-Diametral</v>
      </c>
      <c r="X7" s="13">
        <f>Data_PLT[[#This Row],[Is50 (MPa)]]*VLOOKUP("Min",Table_PLT_Conversion[],2,FALSE)</f>
        <v>0</v>
      </c>
      <c r="Y7" s="13">
        <f>Data_PLT[[#This Row],[Is50 (MPa)]]*VLOOKUP("Avg",Table_PLT_Conversion[],2,FALSE)</f>
        <v>0</v>
      </c>
      <c r="Z7" s="13">
        <f>Data_PLT[[#This Row],[Is50 (MPa)]]*VLOOKUP("Max",Table_PLT_Conversion[],2,FALSE)</f>
        <v>0</v>
      </c>
      <c r="AA7" s="62" t="e">
        <f>MATCH(LOOKUP(Data_PLT[[#This Row],[UCS min (MPa)]],Table_FieldStrength[Min UCS]),Table_FieldStrength[Min UCS],0)-1</f>
        <v>#N/A</v>
      </c>
      <c r="AB7" s="62" t="e">
        <f>MATCH(LOOKUP(Data_PLT[[#This Row],[UCS avg (MPa)]],Table_FieldStrength[Min UCS]),Table_FieldStrength[Min UCS],0)-1</f>
        <v>#N/A</v>
      </c>
      <c r="AC7" s="62" t="e">
        <f>MATCH(LOOKUP(Data_PLT[[#This Row],[UCS max (MPa)]],Table_FieldStrength[Min UCS]),Table_FieldStrength[Min UCS],0)-1</f>
        <v>#N/A</v>
      </c>
      <c r="AD7" s="68" t="e">
        <f>Data_PLT[[#This Row],[Test code]]&amp;"-"&amp;Data_PLT[[#This Row],[UCS min code]]</f>
        <v>#N/A</v>
      </c>
      <c r="AE7" s="68" t="e">
        <f>Data_PLT[[#This Row],[Test code]]&amp;"-"&amp;Data_PLT[[#This Row],[UCS avg code]]</f>
        <v>#N/A</v>
      </c>
      <c r="AF7" s="67" t="e">
        <f>Data_PLT[[#This Row],[Test code]]&amp;"-"&amp;Data_PLT[[#This Row],[UCS max code]]</f>
        <v>#N/A</v>
      </c>
      <c r="AG7" s="67" t="str">
        <f>Data_PLT[[#This Row],[Failure type]]&amp;"-"&amp;Data_PLT[[#This Row],[Test type]]&amp;"-"&amp;(IF(Data_PLT[[#This Row],[Is50 (MPa)]]&lt;1,1,IF(Data_PLT[[#This Row],[Is50 (MPa)]]&lt;2,2,IF(Data_PLT[[#This Row],[Is50 (MPa)]]&lt;4,3,IF(Data_PLT[[#This Row],[Is50 (MPa)]]&lt;8,4,5)))))</f>
        <v>Broke along MD-Diametral-1</v>
      </c>
      <c r="AR7" t="s">
        <v>164</v>
      </c>
      <c r="AS7">
        <f>COUNTIF(Data_PLT[Failure type],"Along bedding")</f>
        <v>0</v>
      </c>
      <c r="AT7" s="146">
        <f>AS7/SUM($AS$4:$AS$9)</f>
        <v>0</v>
      </c>
      <c r="BG7" t="s">
        <v>164</v>
      </c>
      <c r="BH7">
        <f>COUNTIFS(Data_PLT[Failure type],"Along bedding",Data_PLT[Lithology],"Metasediment (Guyer)")</f>
        <v>0</v>
      </c>
      <c r="BI7" s="146" t="e">
        <f>BH7/SUM($BH$4:$BH$9)</f>
        <v>#DIV/0!</v>
      </c>
    </row>
    <row r="8" spans="1:61" x14ac:dyDescent="0.25">
      <c r="A8" t="s">
        <v>26</v>
      </c>
      <c r="B8" s="88" t="str">
        <f>VLOOKUP(Data_PLT[[#This Row],[Hole ID]],Data_Log[],2,FALSE)</f>
        <v>CGF-01</v>
      </c>
      <c r="C8" s="63">
        <f>IF(Data_PLT[[#This Row],[Hole ID]]="","",
IF(COUNTIF($A$4:A8,Data_PLT[[#This Row],[Hole ID]])=1,1,
IF(A8=A7,C7+1,
COUNTIF($A$4:A8,Data_PLT[[#This Row],[Hole ID]]))))</f>
        <v>5</v>
      </c>
      <c r="D8" s="63" t="str">
        <f>IF(Data_PLT[[#This Row],[Hole ID]]="","",Data_PLT[[#This Row],[Hole ID]]&amp;"_"&amp;Data_PLT[[#This Row],[Sample ID]])</f>
        <v>COG-25-08_5</v>
      </c>
      <c r="E8" s="6"/>
      <c r="F8" s="6">
        <v>54.37</v>
      </c>
      <c r="G8" s="63" t="str" cm="1">
        <f t="array" ref="G8">_xlfn.XLOOKUP(1,(A8=Geotech!$A$4:$A$11100)*(Data_PLT[[#This Row],[Depth (m)]]&gt;=Geotech!$C$4:$C$11100)*(Data_PLT[[#This Row],[Depth (m)]]&lt;Geotech!$D$4:$D$11100),Geotech!$M$4:$M$11100)</f>
        <v>Diorite</v>
      </c>
      <c r="H8" s="6" t="s">
        <v>299</v>
      </c>
      <c r="I8" s="63" t="str">
        <f>VLOOKUP(Data_PLT[[#This Row],[Hole ID]],Data_Log[[Hole ID]:[Core size]],20,FALSE)</f>
        <v>HQ</v>
      </c>
      <c r="J8" s="13">
        <f>VLOOKUP(Data_PLT[[#This Row],[Core Size]],Table_CoreSize[],2,FALSE)</f>
        <v>63.5</v>
      </c>
      <c r="K8" s="19">
        <v>107</v>
      </c>
      <c r="L8" s="19" t="s">
        <v>574</v>
      </c>
      <c r="M8" s="5">
        <v>38.799999999999997</v>
      </c>
      <c r="N8" s="5"/>
      <c r="O8" s="6" t="s">
        <v>163</v>
      </c>
      <c r="P8" s="13" t="str">
        <f>IF(Data_PLT[[#This Row],[Failure type]]="","",IF(OR(Data_PLT[[#This Row],[Failure type]]="Invalid",Data_PLT[[#This Row],[Failure type]]="Chipped",Data_PLT[[#This Row],[Failure type]]="Penetrate",Data_PLT[[#This Row],[Failure type]]="Did not break"),"Invalid","Valid"))</f>
        <v>Valid</v>
      </c>
      <c r="Q8" s="6"/>
      <c r="R8" s="11"/>
      <c r="S8" s="13">
        <f>IF(Data_PLT[[#This Row],[Test type]]="Diametral",Data_PLT[[#This Row],[Diameter (mm)]],IF(Data_PLT[[#This Row],[Test type]]="Axial",SQRT(4*Data_PLT[[#This Row],[Diameter (mm)]]*Data_PLT[[#This Row],[Length or width (mm)]]/PI()),"ERROR"))</f>
        <v>63.5</v>
      </c>
      <c r="T8" s="13">
        <f>(Data_PLT[[#This Row],[Load (kN)]]*1000)/Data_PLT[[#This Row],[Equiv. Diam. (mm)]]^2</f>
        <v>0</v>
      </c>
      <c r="U8" s="13">
        <f>(Data_PLT[[#This Row],[Equiv. Diam. (mm)]]/50)^0.45</f>
        <v>1.1135550054708407</v>
      </c>
      <c r="V8" s="13">
        <f>Data_PLT[[#This Row],[Is (MPa)]]*Data_PLT[[#This Row],[F]]</f>
        <v>0</v>
      </c>
      <c r="W8" s="13" t="str">
        <f>Data_PLT[[#This Row],[Failure Validity]]&amp;"-"&amp;Data_PLT[[#This Row],[Test type]]</f>
        <v>Valid-Diametral</v>
      </c>
      <c r="X8" s="13">
        <f>Data_PLT[[#This Row],[Is50 (MPa)]]*VLOOKUP("Min",Table_PLT_Conversion[],2,FALSE)</f>
        <v>0</v>
      </c>
      <c r="Y8" s="13">
        <f>Data_PLT[[#This Row],[Is50 (MPa)]]*VLOOKUP("Avg",Table_PLT_Conversion[],2,FALSE)</f>
        <v>0</v>
      </c>
      <c r="Z8" s="13">
        <f>Data_PLT[[#This Row],[Is50 (MPa)]]*VLOOKUP("Max",Table_PLT_Conversion[],2,FALSE)</f>
        <v>0</v>
      </c>
      <c r="AA8" s="62" t="e">
        <f>MATCH(LOOKUP(Data_PLT[[#This Row],[UCS min (MPa)]],Table_FieldStrength[Min UCS]),Table_FieldStrength[Min UCS],0)-1</f>
        <v>#N/A</v>
      </c>
      <c r="AB8" s="62" t="e">
        <f>MATCH(LOOKUP(Data_PLT[[#This Row],[UCS avg (MPa)]],Table_FieldStrength[Min UCS]),Table_FieldStrength[Min UCS],0)-1</f>
        <v>#N/A</v>
      </c>
      <c r="AC8" s="62" t="e">
        <f>MATCH(LOOKUP(Data_PLT[[#This Row],[UCS max (MPa)]],Table_FieldStrength[Min UCS]),Table_FieldStrength[Min UCS],0)-1</f>
        <v>#N/A</v>
      </c>
      <c r="AD8" s="68" t="e">
        <f>Data_PLT[[#This Row],[Test code]]&amp;"-"&amp;Data_PLT[[#This Row],[UCS min code]]</f>
        <v>#N/A</v>
      </c>
      <c r="AE8" s="68" t="e">
        <f>Data_PLT[[#This Row],[Test code]]&amp;"-"&amp;Data_PLT[[#This Row],[UCS avg code]]</f>
        <v>#N/A</v>
      </c>
      <c r="AF8" s="67" t="e">
        <f>Data_PLT[[#This Row],[Test code]]&amp;"-"&amp;Data_PLT[[#This Row],[UCS max code]]</f>
        <v>#N/A</v>
      </c>
      <c r="AG8" s="67" t="str">
        <f>Data_PLT[[#This Row],[Failure type]]&amp;"-"&amp;Data_PLT[[#This Row],[Test type]]&amp;"-"&amp;(IF(Data_PLT[[#This Row],[Is50 (MPa)]]&lt;1,1,IF(Data_PLT[[#This Row],[Is50 (MPa)]]&lt;2,2,IF(Data_PLT[[#This Row],[Is50 (MPa)]]&lt;4,3,IF(Data_PLT[[#This Row],[Is50 (MPa)]]&lt;8,4,5)))))</f>
        <v>Broke along MD-Diametral-1</v>
      </c>
      <c r="AR8" t="s">
        <v>165</v>
      </c>
      <c r="AS8">
        <f>COUNTIF(Data_PLT[Failure type],"Chipped")</f>
        <v>29</v>
      </c>
      <c r="AT8" s="146">
        <f>AS8/SUM($AS$4:$AS$9)</f>
        <v>0.39726027397260272</v>
      </c>
      <c r="BG8" t="s">
        <v>165</v>
      </c>
      <c r="BH8">
        <f>COUNTIFS(Data_PLT[Failure type],"Chipped",Data_PLT[Lithology],"Metasediment (Guyer)")</f>
        <v>0</v>
      </c>
      <c r="BI8" s="146" t="e">
        <f>BH8/SUM($BH$4:$BH$9)</f>
        <v>#DIV/0!</v>
      </c>
    </row>
    <row r="9" spans="1:61" x14ac:dyDescent="0.25">
      <c r="A9" t="s">
        <v>26</v>
      </c>
      <c r="B9" s="88" t="str">
        <f>VLOOKUP(Data_PLT[[#This Row],[Hole ID]],Data_Log[],2,FALSE)</f>
        <v>CGF-01</v>
      </c>
      <c r="C9" s="63">
        <f>IF(Data_PLT[[#This Row],[Hole ID]]="","",
IF(COUNTIF($A$4:A9,Data_PLT[[#This Row],[Hole ID]])=1,1,
IF(A9=A8,C8+1,
COUNTIF($A$4:A9,Data_PLT[[#This Row],[Hole ID]]))))</f>
        <v>6</v>
      </c>
      <c r="D9" s="63" t="str">
        <f>IF(Data_PLT[[#This Row],[Hole ID]]="","",Data_PLT[[#This Row],[Hole ID]]&amp;"_"&amp;Data_PLT[[#This Row],[Sample ID]])</f>
        <v>COG-25-08_6</v>
      </c>
      <c r="E9" s="6"/>
      <c r="F9" s="6">
        <v>55.16</v>
      </c>
      <c r="G9" s="63" t="str" cm="1">
        <f t="array" ref="G9">_xlfn.XLOOKUP(1,(A9=Geotech!$A$4:$A$11100)*(Data_PLT[[#This Row],[Depth (m)]]&gt;=Geotech!$C$4:$C$11100)*(Data_PLT[[#This Row],[Depth (m)]]&lt;Geotech!$D$4:$D$11100),Geotech!$M$4:$M$11100)</f>
        <v>Boulamarque granodiorite</v>
      </c>
      <c r="H9" s="6" t="s">
        <v>299</v>
      </c>
      <c r="I9" s="63" t="str">
        <f>VLOOKUP(Data_PLT[[#This Row],[Hole ID]],Data_Log[[Hole ID]:[Core size]],20,FALSE)</f>
        <v>HQ</v>
      </c>
      <c r="J9" s="13">
        <f>VLOOKUP(Data_PLT[[#This Row],[Core Size]],Table_CoreSize[],2,FALSE)</f>
        <v>63.5</v>
      </c>
      <c r="K9" s="19">
        <v>100</v>
      </c>
      <c r="L9" s="19" t="s">
        <v>574</v>
      </c>
      <c r="M9" s="5">
        <v>140.4</v>
      </c>
      <c r="N9" s="5"/>
      <c r="O9" s="6" t="s">
        <v>300</v>
      </c>
      <c r="P9" s="13" t="str">
        <f>IF(Data_PLT[[#This Row],[Failure type]]="","",IF(OR(Data_PLT[[#This Row],[Failure type]]="Invalid",Data_PLT[[#This Row],[Failure type]]="Chipped",Data_PLT[[#This Row],[Failure type]]="Penetrate",Data_PLT[[#This Row],[Failure type]]="Did not break"),"Invalid","Valid"))</f>
        <v>Valid</v>
      </c>
      <c r="Q9" s="6"/>
      <c r="R9" s="11"/>
      <c r="S9" s="13">
        <f>IF(Data_PLT[[#This Row],[Test type]]="Diametral",Data_PLT[[#This Row],[Diameter (mm)]],IF(Data_PLT[[#This Row],[Test type]]="Axial",SQRT(4*Data_PLT[[#This Row],[Diameter (mm)]]*Data_PLT[[#This Row],[Length or width (mm)]]/PI()),"ERROR"))</f>
        <v>63.5</v>
      </c>
      <c r="T9" s="13">
        <f>(Data_PLT[[#This Row],[Load (kN)]]*1000)/Data_PLT[[#This Row],[Equiv. Diam. (mm)]]^2</f>
        <v>0</v>
      </c>
      <c r="U9" s="13">
        <f>(Data_PLT[[#This Row],[Equiv. Diam. (mm)]]/50)^0.45</f>
        <v>1.1135550054708407</v>
      </c>
      <c r="V9" s="13">
        <f>Data_PLT[[#This Row],[Is (MPa)]]*Data_PLT[[#This Row],[F]]</f>
        <v>0</v>
      </c>
      <c r="W9" s="13" t="str">
        <f>Data_PLT[[#This Row],[Failure Validity]]&amp;"-"&amp;Data_PLT[[#This Row],[Test type]]</f>
        <v>Valid-Diametral</v>
      </c>
      <c r="X9" s="13">
        <f>Data_PLT[[#This Row],[Is50 (MPa)]]*VLOOKUP("Min",Table_PLT_Conversion[],2,FALSE)</f>
        <v>0</v>
      </c>
      <c r="Y9" s="13">
        <f>Data_PLT[[#This Row],[Is50 (MPa)]]*VLOOKUP("Avg",Table_PLT_Conversion[],2,FALSE)</f>
        <v>0</v>
      </c>
      <c r="Z9" s="13">
        <f>Data_PLT[[#This Row],[Is50 (MPa)]]*VLOOKUP("Max",Table_PLT_Conversion[],2,FALSE)</f>
        <v>0</v>
      </c>
      <c r="AA9" s="62" t="e">
        <f>MATCH(LOOKUP(Data_PLT[[#This Row],[UCS min (MPa)]],Table_FieldStrength[Min UCS]),Table_FieldStrength[Min UCS],0)-1</f>
        <v>#N/A</v>
      </c>
      <c r="AB9" s="62" t="e">
        <f>MATCH(LOOKUP(Data_PLT[[#This Row],[UCS avg (MPa)]],Table_FieldStrength[Min UCS]),Table_FieldStrength[Min UCS],0)-1</f>
        <v>#N/A</v>
      </c>
      <c r="AC9" s="62" t="e">
        <f>MATCH(LOOKUP(Data_PLT[[#This Row],[UCS max (MPa)]],Table_FieldStrength[Min UCS]),Table_FieldStrength[Min UCS],0)-1</f>
        <v>#N/A</v>
      </c>
      <c r="AD9" s="68" t="e">
        <f>Data_PLT[[#This Row],[Test code]]&amp;"-"&amp;Data_PLT[[#This Row],[UCS min code]]</f>
        <v>#N/A</v>
      </c>
      <c r="AE9" s="68" t="e">
        <f>Data_PLT[[#This Row],[Test code]]&amp;"-"&amp;Data_PLT[[#This Row],[UCS avg code]]</f>
        <v>#N/A</v>
      </c>
      <c r="AF9" s="67" t="e">
        <f>Data_PLT[[#This Row],[Test code]]&amp;"-"&amp;Data_PLT[[#This Row],[UCS max code]]</f>
        <v>#N/A</v>
      </c>
      <c r="AG9" s="67" t="str">
        <f>Data_PLT[[#This Row],[Failure type]]&amp;"-"&amp;Data_PLT[[#This Row],[Test type]]&amp;"-"&amp;(IF(Data_PLT[[#This Row],[Is50 (MPa)]]&lt;1,1,IF(Data_PLT[[#This Row],[Is50 (MPa)]]&lt;2,2,IF(Data_PLT[[#This Row],[Is50 (MPa)]]&lt;4,3,IF(Data_PLT[[#This Row],[Is50 (MPa)]]&lt;8,4,5)))))</f>
        <v>Intact-Diametral-1</v>
      </c>
      <c r="AR9" t="s">
        <v>166</v>
      </c>
      <c r="AS9">
        <f>COUNTIF(Data_PLT[Failure type],"Invalid")</f>
        <v>0</v>
      </c>
      <c r="AT9" s="146">
        <f>AS9/SUM($AS$4:$AS$9)</f>
        <v>0</v>
      </c>
      <c r="BG9" t="s">
        <v>166</v>
      </c>
      <c r="BH9">
        <f>COUNTIFS(Data_PLT[Failure type],"Invalid",Data_PLT[Lithology],"Metasediment (Guyer)")</f>
        <v>0</v>
      </c>
      <c r="BI9" s="146" t="e">
        <f>BH9/SUM($BH$4:$BH$9)</f>
        <v>#DIV/0!</v>
      </c>
    </row>
    <row r="10" spans="1:61" x14ac:dyDescent="0.25">
      <c r="A10" t="s">
        <v>26</v>
      </c>
      <c r="B10" s="88" t="str">
        <f>VLOOKUP(Data_PLT[[#This Row],[Hole ID]],Data_Log[],2,FALSE)</f>
        <v>CGF-01</v>
      </c>
      <c r="C10" s="63">
        <f>IF(Data_PLT[[#This Row],[Hole ID]]="","",
IF(COUNTIF($A$4:A10,Data_PLT[[#This Row],[Hole ID]])=1,1,
IF(A10=A9,C9+1,
COUNTIF($A$4:A10,Data_PLT[[#This Row],[Hole ID]]))))</f>
        <v>7</v>
      </c>
      <c r="D10" s="63" t="str">
        <f>IF(Data_PLT[[#This Row],[Hole ID]]="","",Data_PLT[[#This Row],[Hole ID]]&amp;"_"&amp;Data_PLT[[#This Row],[Sample ID]])</f>
        <v>COG-25-08_7</v>
      </c>
      <c r="E10" s="6"/>
      <c r="F10" s="6">
        <v>56.33</v>
      </c>
      <c r="G10" s="63" t="str" cm="1">
        <f t="array" ref="G10">_xlfn.XLOOKUP(1,(A10=Geotech!$A$4:$A$11100)*(Data_PLT[[#This Row],[Depth (m)]]&gt;=Geotech!$C$4:$C$11100)*(Data_PLT[[#This Row],[Depth (m)]]&lt;Geotech!$D$4:$D$11100),Geotech!$M$4:$M$11100)</f>
        <v>Diorite</v>
      </c>
      <c r="H10" s="6" t="s">
        <v>299</v>
      </c>
      <c r="I10" s="63" t="str">
        <f>VLOOKUP(Data_PLT[[#This Row],[Hole ID]],Data_Log[[Hole ID]:[Core size]],20,FALSE)</f>
        <v>HQ</v>
      </c>
      <c r="J10" s="13">
        <f>VLOOKUP(Data_PLT[[#This Row],[Core Size]],Table_CoreSize[],2,FALSE)</f>
        <v>63.5</v>
      </c>
      <c r="K10" s="19">
        <v>140</v>
      </c>
      <c r="L10" s="19" t="s">
        <v>574</v>
      </c>
      <c r="M10" s="5">
        <v>142</v>
      </c>
      <c r="N10" s="5"/>
      <c r="O10" s="6" t="s">
        <v>300</v>
      </c>
      <c r="P10" s="13" t="str">
        <f>IF(Data_PLT[[#This Row],[Failure type]]="","",IF(OR(Data_PLT[[#This Row],[Failure type]]="Invalid",Data_PLT[[#This Row],[Failure type]]="Chipped",Data_PLT[[#This Row],[Failure type]]="Penetrate",Data_PLT[[#This Row],[Failure type]]="Did not break"),"Invalid","Valid"))</f>
        <v>Valid</v>
      </c>
      <c r="Q10" s="6"/>
      <c r="R10" s="11"/>
      <c r="S10" s="13">
        <f>IF(Data_PLT[[#This Row],[Test type]]="Diametral",Data_PLT[[#This Row],[Diameter (mm)]],IF(Data_PLT[[#This Row],[Test type]]="Axial",SQRT(4*Data_PLT[[#This Row],[Diameter (mm)]]*Data_PLT[[#This Row],[Length or width (mm)]]/PI()),"ERROR"))</f>
        <v>63.5</v>
      </c>
      <c r="T10" s="13">
        <f>(Data_PLT[[#This Row],[Load (kN)]]*1000)/Data_PLT[[#This Row],[Equiv. Diam. (mm)]]^2</f>
        <v>0</v>
      </c>
      <c r="U10" s="13">
        <f>(Data_PLT[[#This Row],[Equiv. Diam. (mm)]]/50)^0.45</f>
        <v>1.1135550054708407</v>
      </c>
      <c r="V10" s="13">
        <f>Data_PLT[[#This Row],[Is (MPa)]]*Data_PLT[[#This Row],[F]]</f>
        <v>0</v>
      </c>
      <c r="W10" s="13" t="str">
        <f>Data_PLT[[#This Row],[Failure Validity]]&amp;"-"&amp;Data_PLT[[#This Row],[Test type]]</f>
        <v>Valid-Diametral</v>
      </c>
      <c r="X10" s="13">
        <f>Data_PLT[[#This Row],[Is50 (MPa)]]*VLOOKUP("Min",Table_PLT_Conversion[],2,FALSE)</f>
        <v>0</v>
      </c>
      <c r="Y10" s="13">
        <f>Data_PLT[[#This Row],[Is50 (MPa)]]*VLOOKUP("Avg",Table_PLT_Conversion[],2,FALSE)</f>
        <v>0</v>
      </c>
      <c r="Z10" s="13">
        <f>Data_PLT[[#This Row],[Is50 (MPa)]]*VLOOKUP("Max",Table_PLT_Conversion[],2,FALSE)</f>
        <v>0</v>
      </c>
      <c r="AA10" s="62" t="e">
        <f>MATCH(LOOKUP(Data_PLT[[#This Row],[UCS min (MPa)]],Table_FieldStrength[Min UCS]),Table_FieldStrength[Min UCS],0)-1</f>
        <v>#N/A</v>
      </c>
      <c r="AB10" s="62" t="e">
        <f>MATCH(LOOKUP(Data_PLT[[#This Row],[UCS avg (MPa)]],Table_FieldStrength[Min UCS]),Table_FieldStrength[Min UCS],0)-1</f>
        <v>#N/A</v>
      </c>
      <c r="AC10" s="62" t="e">
        <f>MATCH(LOOKUP(Data_PLT[[#This Row],[UCS max (MPa)]],Table_FieldStrength[Min UCS]),Table_FieldStrength[Min UCS],0)-1</f>
        <v>#N/A</v>
      </c>
      <c r="AD10" s="68" t="e">
        <f>Data_PLT[[#This Row],[Test code]]&amp;"-"&amp;Data_PLT[[#This Row],[UCS min code]]</f>
        <v>#N/A</v>
      </c>
      <c r="AE10" s="68" t="e">
        <f>Data_PLT[[#This Row],[Test code]]&amp;"-"&amp;Data_PLT[[#This Row],[UCS avg code]]</f>
        <v>#N/A</v>
      </c>
      <c r="AF10" s="67" t="e">
        <f>Data_PLT[[#This Row],[Test code]]&amp;"-"&amp;Data_PLT[[#This Row],[UCS max code]]</f>
        <v>#N/A</v>
      </c>
      <c r="AG10" s="67" t="str">
        <f>Data_PLT[[#This Row],[Failure type]]&amp;"-"&amp;Data_PLT[[#This Row],[Test type]]&amp;"-"&amp;(IF(Data_PLT[[#This Row],[Is50 (MPa)]]&lt;1,1,IF(Data_PLT[[#This Row],[Is50 (MPa)]]&lt;2,2,IF(Data_PLT[[#This Row],[Is50 (MPa)]]&lt;4,3,IF(Data_PLT[[#This Row],[Is50 (MPa)]]&lt;8,4,5)))))</f>
        <v>Intact-Diametral-1</v>
      </c>
    </row>
    <row r="11" spans="1:61" x14ac:dyDescent="0.25">
      <c r="A11" t="s">
        <v>26</v>
      </c>
      <c r="B11" s="88" t="str">
        <f>VLOOKUP(Data_PLT[[#This Row],[Hole ID]],Data_Log[],2,FALSE)</f>
        <v>CGF-01</v>
      </c>
      <c r="C11" s="63">
        <f>IF(Data_PLT[[#This Row],[Hole ID]]="","",
IF(COUNTIF($A$4:A11,Data_PLT[[#This Row],[Hole ID]])=1,1,
IF(A11=A10,C10+1,
COUNTIF($A$4:A11,Data_PLT[[#This Row],[Hole ID]]))))</f>
        <v>8</v>
      </c>
      <c r="D11" s="63" t="str">
        <f>IF(Data_PLT[[#This Row],[Hole ID]]="","",Data_PLT[[#This Row],[Hole ID]]&amp;"_"&amp;Data_PLT[[#This Row],[Sample ID]])</f>
        <v>COG-25-08_8</v>
      </c>
      <c r="E11" s="6"/>
      <c r="F11" s="6">
        <v>57.09</v>
      </c>
      <c r="G11" s="63" t="str" cm="1">
        <f t="array" ref="G11">_xlfn.XLOOKUP(1,(A11=Geotech!$A$4:$A$11100)*(Data_PLT[[#This Row],[Depth (m)]]&gt;=Geotech!$C$4:$C$11100)*(Data_PLT[[#This Row],[Depth (m)]]&lt;Geotech!$D$4:$D$11100),Geotech!$M$4:$M$11100)</f>
        <v>Diorite</v>
      </c>
      <c r="H11" s="6" t="s">
        <v>299</v>
      </c>
      <c r="I11" s="63" t="str">
        <f>VLOOKUP(Data_PLT[[#This Row],[Hole ID]],Data_Log[[Hole ID]:[Core size]],20,FALSE)</f>
        <v>HQ</v>
      </c>
      <c r="J11" s="13">
        <f>VLOOKUP(Data_PLT[[#This Row],[Core Size]],Table_CoreSize[],2,FALSE)</f>
        <v>63.5</v>
      </c>
      <c r="K11" s="19">
        <v>120</v>
      </c>
      <c r="L11" s="19" t="s">
        <v>574</v>
      </c>
      <c r="M11" s="5">
        <v>20.8</v>
      </c>
      <c r="N11" s="5"/>
      <c r="O11" s="6" t="s">
        <v>163</v>
      </c>
      <c r="P11" s="13" t="str">
        <f>IF(Data_PLT[[#This Row],[Failure type]]="","",IF(OR(Data_PLT[[#This Row],[Failure type]]="Invalid",Data_PLT[[#This Row],[Failure type]]="Chipped",Data_PLT[[#This Row],[Failure type]]="Penetrate",Data_PLT[[#This Row],[Failure type]]="Did not break"),"Invalid","Valid"))</f>
        <v>Valid</v>
      </c>
      <c r="Q11" s="6"/>
      <c r="R11" s="11"/>
      <c r="S11" s="13">
        <f>IF(Data_PLT[[#This Row],[Test type]]="Diametral",Data_PLT[[#This Row],[Diameter (mm)]],IF(Data_PLT[[#This Row],[Test type]]="Axial",SQRT(4*Data_PLT[[#This Row],[Diameter (mm)]]*Data_PLT[[#This Row],[Length or width (mm)]]/PI()),"ERROR"))</f>
        <v>63.5</v>
      </c>
      <c r="T11" s="13">
        <f>(Data_PLT[[#This Row],[Load (kN)]]*1000)/Data_PLT[[#This Row],[Equiv. Diam. (mm)]]^2</f>
        <v>0</v>
      </c>
      <c r="U11" s="13">
        <f>(Data_PLT[[#This Row],[Equiv. Diam. (mm)]]/50)^0.45</f>
        <v>1.1135550054708407</v>
      </c>
      <c r="V11" s="13">
        <f>Data_PLT[[#This Row],[Is (MPa)]]*Data_PLT[[#This Row],[F]]</f>
        <v>0</v>
      </c>
      <c r="W11" s="13" t="str">
        <f>Data_PLT[[#This Row],[Failure Validity]]&amp;"-"&amp;Data_PLT[[#This Row],[Test type]]</f>
        <v>Valid-Diametral</v>
      </c>
      <c r="X11" s="13">
        <f>Data_PLT[[#This Row],[Is50 (MPa)]]*VLOOKUP("Min",Table_PLT_Conversion[],2,FALSE)</f>
        <v>0</v>
      </c>
      <c r="Y11" s="13">
        <f>Data_PLT[[#This Row],[Is50 (MPa)]]*VLOOKUP("Avg",Table_PLT_Conversion[],2,FALSE)</f>
        <v>0</v>
      </c>
      <c r="Z11" s="13">
        <f>Data_PLT[[#This Row],[Is50 (MPa)]]*VLOOKUP("Max",Table_PLT_Conversion[],2,FALSE)</f>
        <v>0</v>
      </c>
      <c r="AA11" s="62" t="e">
        <f>MATCH(LOOKUP(Data_PLT[[#This Row],[UCS min (MPa)]],Table_FieldStrength[Min UCS]),Table_FieldStrength[Min UCS],0)-1</f>
        <v>#N/A</v>
      </c>
      <c r="AB11" s="62" t="e">
        <f>MATCH(LOOKUP(Data_PLT[[#This Row],[UCS avg (MPa)]],Table_FieldStrength[Min UCS]),Table_FieldStrength[Min UCS],0)-1</f>
        <v>#N/A</v>
      </c>
      <c r="AC11" s="62" t="e">
        <f>MATCH(LOOKUP(Data_PLT[[#This Row],[UCS max (MPa)]],Table_FieldStrength[Min UCS]),Table_FieldStrength[Min UCS],0)-1</f>
        <v>#N/A</v>
      </c>
      <c r="AD11" s="68" t="e">
        <f>Data_PLT[[#This Row],[Test code]]&amp;"-"&amp;Data_PLT[[#This Row],[UCS min code]]</f>
        <v>#N/A</v>
      </c>
      <c r="AE11" s="68" t="e">
        <f>Data_PLT[[#This Row],[Test code]]&amp;"-"&amp;Data_PLT[[#This Row],[UCS avg code]]</f>
        <v>#N/A</v>
      </c>
      <c r="AF11" s="67" t="e">
        <f>Data_PLT[[#This Row],[Test code]]&amp;"-"&amp;Data_PLT[[#This Row],[UCS max code]]</f>
        <v>#N/A</v>
      </c>
      <c r="AG11" s="67" t="str">
        <f>Data_PLT[[#This Row],[Failure type]]&amp;"-"&amp;Data_PLT[[#This Row],[Test type]]&amp;"-"&amp;(IF(Data_PLT[[#This Row],[Is50 (MPa)]]&lt;1,1,IF(Data_PLT[[#This Row],[Is50 (MPa)]]&lt;2,2,IF(Data_PLT[[#This Row],[Is50 (MPa)]]&lt;4,3,IF(Data_PLT[[#This Row],[Is50 (MPa)]]&lt;8,4,5)))))</f>
        <v>Broke along MD-Diametral-1</v>
      </c>
    </row>
    <row r="12" spans="1:61" x14ac:dyDescent="0.25">
      <c r="A12" t="s">
        <v>26</v>
      </c>
      <c r="B12" s="88" t="str">
        <f>VLOOKUP(Data_PLT[[#This Row],[Hole ID]],Data_Log[],2,FALSE)</f>
        <v>CGF-01</v>
      </c>
      <c r="C12" s="63">
        <f>IF(Data_PLT[[#This Row],[Hole ID]]="","",
IF(COUNTIF($A$4:A12,Data_PLT[[#This Row],[Hole ID]])=1,1,
IF(A12=A11,C11+1,
COUNTIF($A$4:A12,Data_PLT[[#This Row],[Hole ID]]))))</f>
        <v>9</v>
      </c>
      <c r="D12" s="63" t="str">
        <f>IF(Data_PLT[[#This Row],[Hole ID]]="","",Data_PLT[[#This Row],[Hole ID]]&amp;"_"&amp;Data_PLT[[#This Row],[Sample ID]])</f>
        <v>COG-25-08_9</v>
      </c>
      <c r="E12" s="6"/>
      <c r="F12" s="6">
        <v>59.89</v>
      </c>
      <c r="G12" s="63" t="str" cm="1">
        <f t="array" ref="G12">_xlfn.XLOOKUP(1,(A12=Geotech!$A$4:$A$11100)*(Data_PLT[[#This Row],[Depth (m)]]&gt;=Geotech!$C$4:$C$11100)*(Data_PLT[[#This Row],[Depth (m)]]&lt;Geotech!$D$4:$D$11100),Geotech!$M$4:$M$11100)</f>
        <v>Boulamarque granodiorite</v>
      </c>
      <c r="H12" s="6" t="s">
        <v>267</v>
      </c>
      <c r="I12" s="63" t="str">
        <f>VLOOKUP(Data_PLT[[#This Row],[Hole ID]],Data_Log[[Hole ID]:[Core size]],20,FALSE)</f>
        <v>HQ</v>
      </c>
      <c r="J12" s="13">
        <f>VLOOKUP(Data_PLT[[#This Row],[Core Size]],Table_CoreSize[],2,FALSE)</f>
        <v>63.5</v>
      </c>
      <c r="K12" s="19">
        <v>50</v>
      </c>
      <c r="L12" s="19" t="s">
        <v>574</v>
      </c>
      <c r="M12" s="5">
        <v>258.60000000000002</v>
      </c>
      <c r="N12" s="5"/>
      <c r="O12" s="6" t="s">
        <v>165</v>
      </c>
      <c r="P12" s="13" t="str">
        <f>IF(Data_PLT[[#This Row],[Failure type]]="","",IF(OR(Data_PLT[[#This Row],[Failure type]]="Invalid",Data_PLT[[#This Row],[Failure type]]="Chipped",Data_PLT[[#This Row],[Failure type]]="Penetrate",Data_PLT[[#This Row],[Failure type]]="Did not break"),"Invalid","Valid"))</f>
        <v>Invalid</v>
      </c>
      <c r="Q12" s="6"/>
      <c r="R12" s="11"/>
      <c r="S12" s="13">
        <f>IF(Data_PLT[[#This Row],[Test type]]="Diametral",Data_PLT[[#This Row],[Diameter (mm)]],IF(Data_PLT[[#This Row],[Test type]]="Axial",SQRT(4*Data_PLT[[#This Row],[Diameter (mm)]]*Data_PLT[[#This Row],[Length or width (mm)]]/PI()),"ERROR"))</f>
        <v>63.580937037245228</v>
      </c>
      <c r="T12" s="13">
        <f>(Data_PLT[[#This Row],[Load (kN)]]*1000)/Data_PLT[[#This Row],[Equiv. Diam. (mm)]]^2</f>
        <v>0</v>
      </c>
      <c r="U12" s="13">
        <f>(Data_PLT[[#This Row],[Equiv. Diam. (mm)]]/50)^0.45</f>
        <v>1.1141934829932261</v>
      </c>
      <c r="V12" s="13">
        <f>Data_PLT[[#This Row],[Is (MPa)]]*Data_PLT[[#This Row],[F]]</f>
        <v>0</v>
      </c>
      <c r="W12" s="13" t="str">
        <f>Data_PLT[[#This Row],[Failure Validity]]&amp;"-"&amp;Data_PLT[[#This Row],[Test type]]</f>
        <v>Invalid-Axial</v>
      </c>
      <c r="X12" s="13">
        <f>Data_PLT[[#This Row],[Is50 (MPa)]]*VLOOKUP("Min",Table_PLT_Conversion[],2,FALSE)</f>
        <v>0</v>
      </c>
      <c r="Y12" s="13">
        <f>Data_PLT[[#This Row],[Is50 (MPa)]]*VLOOKUP("Avg",Table_PLT_Conversion[],2,FALSE)</f>
        <v>0</v>
      </c>
      <c r="Z12" s="13">
        <f>Data_PLT[[#This Row],[Is50 (MPa)]]*VLOOKUP("Max",Table_PLT_Conversion[],2,FALSE)</f>
        <v>0</v>
      </c>
      <c r="AA12" s="62" t="e">
        <f>MATCH(LOOKUP(Data_PLT[[#This Row],[UCS min (MPa)]],Table_FieldStrength[Min UCS]),Table_FieldStrength[Min UCS],0)-1</f>
        <v>#N/A</v>
      </c>
      <c r="AB12" s="62" t="e">
        <f>MATCH(LOOKUP(Data_PLT[[#This Row],[UCS avg (MPa)]],Table_FieldStrength[Min UCS]),Table_FieldStrength[Min UCS],0)-1</f>
        <v>#N/A</v>
      </c>
      <c r="AC12" s="62" t="e">
        <f>MATCH(LOOKUP(Data_PLT[[#This Row],[UCS max (MPa)]],Table_FieldStrength[Min UCS]),Table_FieldStrength[Min UCS],0)-1</f>
        <v>#N/A</v>
      </c>
      <c r="AD12" s="68" t="e">
        <f>Data_PLT[[#This Row],[Test code]]&amp;"-"&amp;Data_PLT[[#This Row],[UCS min code]]</f>
        <v>#N/A</v>
      </c>
      <c r="AE12" s="68" t="e">
        <f>Data_PLT[[#This Row],[Test code]]&amp;"-"&amp;Data_PLT[[#This Row],[UCS avg code]]</f>
        <v>#N/A</v>
      </c>
      <c r="AF12" s="67" t="e">
        <f>Data_PLT[[#This Row],[Test code]]&amp;"-"&amp;Data_PLT[[#This Row],[UCS max code]]</f>
        <v>#N/A</v>
      </c>
      <c r="AG12" s="67" t="str">
        <f>Data_PLT[[#This Row],[Failure type]]&amp;"-"&amp;Data_PLT[[#This Row],[Test type]]&amp;"-"&amp;(IF(Data_PLT[[#This Row],[Is50 (MPa)]]&lt;1,1,IF(Data_PLT[[#This Row],[Is50 (MPa)]]&lt;2,2,IF(Data_PLT[[#This Row],[Is50 (MPa)]]&lt;4,3,IF(Data_PLT[[#This Row],[Is50 (MPa)]]&lt;8,4,5)))))</f>
        <v>Chipped-Axial-1</v>
      </c>
    </row>
    <row r="13" spans="1:61" x14ac:dyDescent="0.25">
      <c r="A13" t="s">
        <v>26</v>
      </c>
      <c r="B13" s="88" t="str">
        <f>VLOOKUP(Data_PLT[[#This Row],[Hole ID]],Data_Log[],2,FALSE)</f>
        <v>CGF-01</v>
      </c>
      <c r="C13" s="63">
        <f>IF(Data_PLT[[#This Row],[Hole ID]]="","",
IF(COUNTIF($A$4:A13,Data_PLT[[#This Row],[Hole ID]])=1,1,
IF(A13=A12,C12+1,
COUNTIF($A$4:A13,Data_PLT[[#This Row],[Hole ID]]))))</f>
        <v>10</v>
      </c>
      <c r="D13" s="63" t="str">
        <f>IF(Data_PLT[[#This Row],[Hole ID]]="","",Data_PLT[[#This Row],[Hole ID]]&amp;"_"&amp;Data_PLT[[#This Row],[Sample ID]])</f>
        <v>COG-25-08_10</v>
      </c>
      <c r="E13" s="6"/>
      <c r="F13" s="6">
        <v>59.98</v>
      </c>
      <c r="G13" s="63" t="str" cm="1">
        <f t="array" ref="G13">_xlfn.XLOOKUP(1,(A13=Geotech!$A$4:$A$11100)*(Data_PLT[[#This Row],[Depth (m)]]&gt;=Geotech!$C$4:$C$11100)*(Data_PLT[[#This Row],[Depth (m)]]&lt;Geotech!$D$4:$D$11100),Geotech!$M$4:$M$11100)</f>
        <v>Boulamarque granodiorite</v>
      </c>
      <c r="H13" s="6" t="s">
        <v>299</v>
      </c>
      <c r="I13" s="63" t="str">
        <f>VLOOKUP(Data_PLT[[#This Row],[Hole ID]],Data_Log[[Hole ID]:[Core size]],20,FALSE)</f>
        <v>HQ</v>
      </c>
      <c r="J13" s="13">
        <f>VLOOKUP(Data_PLT[[#This Row],[Core Size]],Table_CoreSize[],2,FALSE)</f>
        <v>63.5</v>
      </c>
      <c r="K13" s="19">
        <v>80</v>
      </c>
      <c r="L13" s="19" t="s">
        <v>574</v>
      </c>
      <c r="M13" s="5">
        <v>319.39999999999998</v>
      </c>
      <c r="N13" s="5"/>
      <c r="O13" s="6" t="s">
        <v>334</v>
      </c>
      <c r="P13" s="13" t="str">
        <f>IF(Data_PLT[[#This Row],[Failure type]]="","",IF(OR(Data_PLT[[#This Row],[Failure type]]="Invalid",Data_PLT[[#This Row],[Failure type]]="Chipped",Data_PLT[[#This Row],[Failure type]]="Penetrate",Data_PLT[[#This Row],[Failure type]]="Did not break"),"Invalid","Valid"))</f>
        <v>Valid</v>
      </c>
      <c r="Q13" s="6"/>
      <c r="R13" s="11"/>
      <c r="S13" s="13">
        <f>IF(Data_PLT[[#This Row],[Test type]]="Diametral",Data_PLT[[#This Row],[Diameter (mm)]],IF(Data_PLT[[#This Row],[Test type]]="Axial",SQRT(4*Data_PLT[[#This Row],[Diameter (mm)]]*Data_PLT[[#This Row],[Length or width (mm)]]/PI()),"ERROR"))</f>
        <v>63.5</v>
      </c>
      <c r="T13" s="13">
        <f>(Data_PLT[[#This Row],[Load (kN)]]*1000)/Data_PLT[[#This Row],[Equiv. Diam. (mm)]]^2</f>
        <v>0</v>
      </c>
      <c r="U13" s="13">
        <f>(Data_PLT[[#This Row],[Equiv. Diam. (mm)]]/50)^0.45</f>
        <v>1.1135550054708407</v>
      </c>
      <c r="V13" s="13">
        <f>Data_PLT[[#This Row],[Is (MPa)]]*Data_PLT[[#This Row],[F]]</f>
        <v>0</v>
      </c>
      <c r="W13" s="13" t="str">
        <f>Data_PLT[[#This Row],[Failure Validity]]&amp;"-"&amp;Data_PLT[[#This Row],[Test type]]</f>
        <v>Valid-Diametral</v>
      </c>
      <c r="X13" s="13">
        <f>Data_PLT[[#This Row],[Is50 (MPa)]]*VLOOKUP("Min",Table_PLT_Conversion[],2,FALSE)</f>
        <v>0</v>
      </c>
      <c r="Y13" s="13">
        <f>Data_PLT[[#This Row],[Is50 (MPa)]]*VLOOKUP("Avg",Table_PLT_Conversion[],2,FALSE)</f>
        <v>0</v>
      </c>
      <c r="Z13" s="13">
        <f>Data_PLT[[#This Row],[Is50 (MPa)]]*VLOOKUP("Max",Table_PLT_Conversion[],2,FALSE)</f>
        <v>0</v>
      </c>
      <c r="AA13" s="62" t="e">
        <f>MATCH(LOOKUP(Data_PLT[[#This Row],[UCS min (MPa)]],Table_FieldStrength[Min UCS]),Table_FieldStrength[Min UCS],0)-1</f>
        <v>#N/A</v>
      </c>
      <c r="AB13" s="62" t="e">
        <f>MATCH(LOOKUP(Data_PLT[[#This Row],[UCS avg (MPa)]],Table_FieldStrength[Min UCS]),Table_FieldStrength[Min UCS],0)-1</f>
        <v>#N/A</v>
      </c>
      <c r="AC13" s="62" t="e">
        <f>MATCH(LOOKUP(Data_PLT[[#This Row],[UCS max (MPa)]],Table_FieldStrength[Min UCS]),Table_FieldStrength[Min UCS],0)-1</f>
        <v>#N/A</v>
      </c>
      <c r="AD13" s="68" t="e">
        <f>Data_PLT[[#This Row],[Test code]]&amp;"-"&amp;Data_PLT[[#This Row],[UCS min code]]</f>
        <v>#N/A</v>
      </c>
      <c r="AE13" s="68" t="e">
        <f>Data_PLT[[#This Row],[Test code]]&amp;"-"&amp;Data_PLT[[#This Row],[UCS avg code]]</f>
        <v>#N/A</v>
      </c>
      <c r="AF13" s="67" t="e">
        <f>Data_PLT[[#This Row],[Test code]]&amp;"-"&amp;Data_PLT[[#This Row],[UCS max code]]</f>
        <v>#N/A</v>
      </c>
      <c r="AG13" s="67" t="str">
        <f>Data_PLT[[#This Row],[Failure type]]&amp;"-"&amp;Data_PLT[[#This Row],[Test type]]&amp;"-"&amp;(IF(Data_PLT[[#This Row],[Is50 (MPa)]]&lt;1,1,IF(Data_PLT[[#This Row],[Is50 (MPa)]]&lt;2,2,IF(Data_PLT[[#This Row],[Is50 (MPa)]]&lt;4,3,IF(Data_PLT[[#This Row],[Is50 (MPa)]]&lt;8,4,5)))))</f>
        <v>Along bedding/foliation-Diametral-1</v>
      </c>
    </row>
    <row r="14" spans="1:61" x14ac:dyDescent="0.25">
      <c r="A14" t="s">
        <v>26</v>
      </c>
      <c r="B14" s="88" t="str">
        <f>VLOOKUP(Data_PLT[[#This Row],[Hole ID]],Data_Log[],2,FALSE)</f>
        <v>CGF-01</v>
      </c>
      <c r="C14" s="63">
        <f>IF(Data_PLT[[#This Row],[Hole ID]]="","",
IF(COUNTIF($A$4:A14,Data_PLT[[#This Row],[Hole ID]])=1,1,
IF(A14=A13,C13+1,
COUNTIF($A$4:A14,Data_PLT[[#This Row],[Hole ID]]))))</f>
        <v>11</v>
      </c>
      <c r="D14" s="63" t="str">
        <f>IF(Data_PLT[[#This Row],[Hole ID]]="","",Data_PLT[[#This Row],[Hole ID]]&amp;"_"&amp;Data_PLT[[#This Row],[Sample ID]])</f>
        <v>COG-25-08_11</v>
      </c>
      <c r="E14" s="6"/>
      <c r="F14" s="6">
        <v>63</v>
      </c>
      <c r="G14" s="63" t="str" cm="1">
        <f t="array" ref="G14">_xlfn.XLOOKUP(1,(A14=Geotech!$A$4:$A$11100)*(Data_PLT[[#This Row],[Depth (m)]]&gt;=Geotech!$C$4:$C$11100)*(Data_PLT[[#This Row],[Depth (m)]]&lt;Geotech!$D$4:$D$11100),Geotech!$M$4:$M$11100)</f>
        <v>Boulamarque granodiorite</v>
      </c>
      <c r="H14" s="6" t="s">
        <v>299</v>
      </c>
      <c r="I14" s="63" t="str">
        <f>VLOOKUP(Data_PLT[[#This Row],[Hole ID]],Data_Log[[Hole ID]:[Core size]],20,FALSE)</f>
        <v>HQ</v>
      </c>
      <c r="J14" s="13">
        <f>VLOOKUP(Data_PLT[[#This Row],[Core Size]],Table_CoreSize[],2,FALSE)</f>
        <v>63.5</v>
      </c>
      <c r="K14" s="19">
        <v>80</v>
      </c>
      <c r="L14" s="19" t="s">
        <v>574</v>
      </c>
      <c r="M14" s="5">
        <v>38.799999999999997</v>
      </c>
      <c r="N14" s="5"/>
      <c r="O14" s="6" t="s">
        <v>165</v>
      </c>
      <c r="P14" s="13" t="str">
        <f>IF(Data_PLT[[#This Row],[Failure type]]="","",IF(OR(Data_PLT[[#This Row],[Failure type]]="Invalid",Data_PLT[[#This Row],[Failure type]]="Chipped",Data_PLT[[#This Row],[Failure type]]="Penetrate",Data_PLT[[#This Row],[Failure type]]="Did not break"),"Invalid","Valid"))</f>
        <v>Invalid</v>
      </c>
      <c r="Q14" s="6"/>
      <c r="R14" s="11"/>
      <c r="S14" s="13">
        <f>IF(Data_PLT[[#This Row],[Test type]]="Diametral",Data_PLT[[#This Row],[Diameter (mm)]],IF(Data_PLT[[#This Row],[Test type]]="Axial",SQRT(4*Data_PLT[[#This Row],[Diameter (mm)]]*Data_PLT[[#This Row],[Length or width (mm)]]/PI()),"ERROR"))</f>
        <v>63.5</v>
      </c>
      <c r="T14" s="13">
        <f>(Data_PLT[[#This Row],[Load (kN)]]*1000)/Data_PLT[[#This Row],[Equiv. Diam. (mm)]]^2</f>
        <v>0</v>
      </c>
      <c r="U14" s="13">
        <f>(Data_PLT[[#This Row],[Equiv. Diam. (mm)]]/50)^0.45</f>
        <v>1.1135550054708407</v>
      </c>
      <c r="V14" s="13">
        <f>Data_PLT[[#This Row],[Is (MPa)]]*Data_PLT[[#This Row],[F]]</f>
        <v>0</v>
      </c>
      <c r="W14" s="13" t="str">
        <f>Data_PLT[[#This Row],[Failure Validity]]&amp;"-"&amp;Data_PLT[[#This Row],[Test type]]</f>
        <v>Invalid-Diametral</v>
      </c>
      <c r="X14" s="13">
        <f>Data_PLT[[#This Row],[Is50 (MPa)]]*VLOOKUP("Min",Table_PLT_Conversion[],2,FALSE)</f>
        <v>0</v>
      </c>
      <c r="Y14" s="13">
        <f>Data_PLT[[#This Row],[Is50 (MPa)]]*VLOOKUP("Avg",Table_PLT_Conversion[],2,FALSE)</f>
        <v>0</v>
      </c>
      <c r="Z14" s="13">
        <f>Data_PLT[[#This Row],[Is50 (MPa)]]*VLOOKUP("Max",Table_PLT_Conversion[],2,FALSE)</f>
        <v>0</v>
      </c>
      <c r="AA14" s="62" t="e">
        <f>MATCH(LOOKUP(Data_PLT[[#This Row],[UCS min (MPa)]],Table_FieldStrength[Min UCS]),Table_FieldStrength[Min UCS],0)-1</f>
        <v>#N/A</v>
      </c>
      <c r="AB14" s="62" t="e">
        <f>MATCH(LOOKUP(Data_PLT[[#This Row],[UCS avg (MPa)]],Table_FieldStrength[Min UCS]),Table_FieldStrength[Min UCS],0)-1</f>
        <v>#N/A</v>
      </c>
      <c r="AC14" s="62" t="e">
        <f>MATCH(LOOKUP(Data_PLT[[#This Row],[UCS max (MPa)]],Table_FieldStrength[Min UCS]),Table_FieldStrength[Min UCS],0)-1</f>
        <v>#N/A</v>
      </c>
      <c r="AD14" s="68" t="e">
        <f>Data_PLT[[#This Row],[Test code]]&amp;"-"&amp;Data_PLT[[#This Row],[UCS min code]]</f>
        <v>#N/A</v>
      </c>
      <c r="AE14" s="68" t="e">
        <f>Data_PLT[[#This Row],[Test code]]&amp;"-"&amp;Data_PLT[[#This Row],[UCS avg code]]</f>
        <v>#N/A</v>
      </c>
      <c r="AF14" s="67" t="e">
        <f>Data_PLT[[#This Row],[Test code]]&amp;"-"&amp;Data_PLT[[#This Row],[UCS max code]]</f>
        <v>#N/A</v>
      </c>
      <c r="AG14" s="67" t="str">
        <f>Data_PLT[[#This Row],[Failure type]]&amp;"-"&amp;Data_PLT[[#This Row],[Test type]]&amp;"-"&amp;(IF(Data_PLT[[#This Row],[Is50 (MPa)]]&lt;1,1,IF(Data_PLT[[#This Row],[Is50 (MPa)]]&lt;2,2,IF(Data_PLT[[#This Row],[Is50 (MPa)]]&lt;4,3,IF(Data_PLT[[#This Row],[Is50 (MPa)]]&lt;8,4,5)))))</f>
        <v>Chipped-Diametral-1</v>
      </c>
    </row>
    <row r="15" spans="1:61" x14ac:dyDescent="0.25">
      <c r="A15" t="s">
        <v>26</v>
      </c>
      <c r="B15" s="88" t="str">
        <f>VLOOKUP(Data_PLT[[#This Row],[Hole ID]],Data_Log[],2,FALSE)</f>
        <v>CGF-01</v>
      </c>
      <c r="C15" s="63">
        <f>IF(Data_PLT[[#This Row],[Hole ID]]="","",
IF(COUNTIF($A$4:A15,Data_PLT[[#This Row],[Hole ID]])=1,1,
IF(A15=A14,C14+1,
COUNTIF($A$4:A15,Data_PLT[[#This Row],[Hole ID]]))))</f>
        <v>12</v>
      </c>
      <c r="D15" s="63" t="str">
        <f>IF(Data_PLT[[#This Row],[Hole ID]]="","",Data_PLT[[#This Row],[Hole ID]]&amp;"_"&amp;Data_PLT[[#This Row],[Sample ID]])</f>
        <v>COG-25-08_12</v>
      </c>
      <c r="E15" s="6"/>
      <c r="F15" s="6">
        <v>62.08</v>
      </c>
      <c r="G15" s="63" t="str" cm="1">
        <f t="array" ref="G15">_xlfn.XLOOKUP(1,(A15=Geotech!$A$4:$A$11100)*(Data_PLT[[#This Row],[Depth (m)]]&gt;=Geotech!$C$4:$C$11100)*(Data_PLT[[#This Row],[Depth (m)]]&lt;Geotech!$D$4:$D$11100),Geotech!$M$4:$M$11100)</f>
        <v>Boulamarque granodiorite</v>
      </c>
      <c r="H15" s="6" t="s">
        <v>299</v>
      </c>
      <c r="I15" s="63" t="str">
        <f>VLOOKUP(Data_PLT[[#This Row],[Hole ID]],Data_Log[[Hole ID]:[Core size]],20,FALSE)</f>
        <v>HQ</v>
      </c>
      <c r="J15" s="13">
        <f>VLOOKUP(Data_PLT[[#This Row],[Core Size]],Table_CoreSize[],2,FALSE)</f>
        <v>63.5</v>
      </c>
      <c r="K15" s="19">
        <v>60</v>
      </c>
      <c r="L15" s="19" t="s">
        <v>574</v>
      </c>
      <c r="M15" s="5">
        <v>94.2</v>
      </c>
      <c r="N15" s="5"/>
      <c r="O15" s="6" t="s">
        <v>165</v>
      </c>
      <c r="P15" s="13" t="str">
        <f>IF(Data_PLT[[#This Row],[Failure type]]="","",IF(OR(Data_PLT[[#This Row],[Failure type]]="Invalid",Data_PLT[[#This Row],[Failure type]]="Chipped",Data_PLT[[#This Row],[Failure type]]="Penetrate",Data_PLT[[#This Row],[Failure type]]="Did not break"),"Invalid","Valid"))</f>
        <v>Invalid</v>
      </c>
      <c r="Q15" s="6"/>
      <c r="R15" s="11"/>
      <c r="S15" s="13">
        <f>IF(Data_PLT[[#This Row],[Test type]]="Diametral",Data_PLT[[#This Row],[Diameter (mm)]],IF(Data_PLT[[#This Row],[Test type]]="Axial",SQRT(4*Data_PLT[[#This Row],[Diameter (mm)]]*Data_PLT[[#This Row],[Length or width (mm)]]/PI()),"ERROR"))</f>
        <v>63.5</v>
      </c>
      <c r="T15" s="13">
        <f>(Data_PLT[[#This Row],[Load (kN)]]*1000)/Data_PLT[[#This Row],[Equiv. Diam. (mm)]]^2</f>
        <v>0</v>
      </c>
      <c r="U15" s="13">
        <f>(Data_PLT[[#This Row],[Equiv. Diam. (mm)]]/50)^0.45</f>
        <v>1.1135550054708407</v>
      </c>
      <c r="V15" s="13">
        <f>Data_PLT[[#This Row],[Is (MPa)]]*Data_PLT[[#This Row],[F]]</f>
        <v>0</v>
      </c>
      <c r="W15" s="13" t="str">
        <f>Data_PLT[[#This Row],[Failure Validity]]&amp;"-"&amp;Data_PLT[[#This Row],[Test type]]</f>
        <v>Invalid-Diametral</v>
      </c>
      <c r="X15" s="13">
        <f>Data_PLT[[#This Row],[Is50 (MPa)]]*VLOOKUP("Min",Table_PLT_Conversion[],2,FALSE)</f>
        <v>0</v>
      </c>
      <c r="Y15" s="13">
        <f>Data_PLT[[#This Row],[Is50 (MPa)]]*VLOOKUP("Avg",Table_PLT_Conversion[],2,FALSE)</f>
        <v>0</v>
      </c>
      <c r="Z15" s="13">
        <f>Data_PLT[[#This Row],[Is50 (MPa)]]*VLOOKUP("Max",Table_PLT_Conversion[],2,FALSE)</f>
        <v>0</v>
      </c>
      <c r="AA15" s="62" t="e">
        <f>MATCH(LOOKUP(Data_PLT[[#This Row],[UCS min (MPa)]],Table_FieldStrength[Min UCS]),Table_FieldStrength[Min UCS],0)-1</f>
        <v>#N/A</v>
      </c>
      <c r="AB15" s="62" t="e">
        <f>MATCH(LOOKUP(Data_PLT[[#This Row],[UCS avg (MPa)]],Table_FieldStrength[Min UCS]),Table_FieldStrength[Min UCS],0)-1</f>
        <v>#N/A</v>
      </c>
      <c r="AC15" s="62" t="e">
        <f>MATCH(LOOKUP(Data_PLT[[#This Row],[UCS max (MPa)]],Table_FieldStrength[Min UCS]),Table_FieldStrength[Min UCS],0)-1</f>
        <v>#N/A</v>
      </c>
      <c r="AD15" s="68" t="e">
        <f>Data_PLT[[#This Row],[Test code]]&amp;"-"&amp;Data_PLT[[#This Row],[UCS min code]]</f>
        <v>#N/A</v>
      </c>
      <c r="AE15" s="68" t="e">
        <f>Data_PLT[[#This Row],[Test code]]&amp;"-"&amp;Data_PLT[[#This Row],[UCS avg code]]</f>
        <v>#N/A</v>
      </c>
      <c r="AF15" s="67" t="e">
        <f>Data_PLT[[#This Row],[Test code]]&amp;"-"&amp;Data_PLT[[#This Row],[UCS max code]]</f>
        <v>#N/A</v>
      </c>
      <c r="AG15" s="67" t="str">
        <f>Data_PLT[[#This Row],[Failure type]]&amp;"-"&amp;Data_PLT[[#This Row],[Test type]]&amp;"-"&amp;(IF(Data_PLT[[#This Row],[Is50 (MPa)]]&lt;1,1,IF(Data_PLT[[#This Row],[Is50 (MPa)]]&lt;2,2,IF(Data_PLT[[#This Row],[Is50 (MPa)]]&lt;4,3,IF(Data_PLT[[#This Row],[Is50 (MPa)]]&lt;8,4,5)))))</f>
        <v>Chipped-Diametral-1</v>
      </c>
    </row>
    <row r="16" spans="1:61" x14ac:dyDescent="0.25">
      <c r="A16" t="s">
        <v>26</v>
      </c>
      <c r="B16" s="88" t="str">
        <f>VLOOKUP(Data_PLT[[#This Row],[Hole ID]],Data_Log[],2,FALSE)</f>
        <v>CGF-01</v>
      </c>
      <c r="C16" s="63">
        <f>IF(Data_PLT[[#This Row],[Hole ID]]="","",
IF(COUNTIF($A$4:A16,Data_PLT[[#This Row],[Hole ID]])=1,1,
IF(A16=A15,C15+1,
COUNTIF($A$4:A16,Data_PLT[[#This Row],[Hole ID]]))))</f>
        <v>13</v>
      </c>
      <c r="D16" s="63" t="str">
        <f>IF(Data_PLT[[#This Row],[Hole ID]]="","",Data_PLT[[#This Row],[Hole ID]]&amp;"_"&amp;Data_PLT[[#This Row],[Sample ID]])</f>
        <v>COG-25-08_13</v>
      </c>
      <c r="E16" s="6"/>
      <c r="F16" s="6">
        <v>62</v>
      </c>
      <c r="G16" s="63" t="str" cm="1">
        <f t="array" ref="G16">_xlfn.XLOOKUP(1,(A16=Geotech!$A$4:$A$11100)*(Data_PLT[[#This Row],[Depth (m)]]&gt;=Geotech!$C$4:$C$11100)*(Data_PLT[[#This Row],[Depth (m)]]&lt;Geotech!$D$4:$D$11100),Geotech!$M$4:$M$11100)</f>
        <v>Boulamarque granodiorite</v>
      </c>
      <c r="H16" s="6" t="s">
        <v>299</v>
      </c>
      <c r="I16" s="63" t="str">
        <f>VLOOKUP(Data_PLT[[#This Row],[Hole ID]],Data_Log[[Hole ID]:[Core size]],20,FALSE)</f>
        <v>HQ</v>
      </c>
      <c r="J16" s="13">
        <f>VLOOKUP(Data_PLT[[#This Row],[Core Size]],Table_CoreSize[],2,FALSE)</f>
        <v>63.5</v>
      </c>
      <c r="K16" s="19">
        <v>44</v>
      </c>
      <c r="L16" s="19" t="s">
        <v>574</v>
      </c>
      <c r="M16" s="5">
        <v>119.2</v>
      </c>
      <c r="N16" s="5"/>
      <c r="O16" s="6" t="s">
        <v>334</v>
      </c>
      <c r="P16" s="13" t="str">
        <f>IF(Data_PLT[[#This Row],[Failure type]]="","",IF(OR(Data_PLT[[#This Row],[Failure type]]="Invalid",Data_PLT[[#This Row],[Failure type]]="Chipped",Data_PLT[[#This Row],[Failure type]]="Penetrate",Data_PLT[[#This Row],[Failure type]]="Did not break"),"Invalid","Valid"))</f>
        <v>Valid</v>
      </c>
      <c r="Q16" s="6"/>
      <c r="R16" s="11"/>
      <c r="S16" s="13">
        <f>IF(Data_PLT[[#This Row],[Test type]]="Diametral",Data_PLT[[#This Row],[Diameter (mm)]],IF(Data_PLT[[#This Row],[Test type]]="Axial",SQRT(4*Data_PLT[[#This Row],[Diameter (mm)]]*Data_PLT[[#This Row],[Length or width (mm)]]/PI()),"ERROR"))</f>
        <v>63.5</v>
      </c>
      <c r="T16" s="13">
        <f>(Data_PLT[[#This Row],[Load (kN)]]*1000)/Data_PLT[[#This Row],[Equiv. Diam. (mm)]]^2</f>
        <v>0</v>
      </c>
      <c r="U16" s="13">
        <f>(Data_PLT[[#This Row],[Equiv. Diam. (mm)]]/50)^0.45</f>
        <v>1.1135550054708407</v>
      </c>
      <c r="V16" s="13">
        <f>Data_PLT[[#This Row],[Is (MPa)]]*Data_PLT[[#This Row],[F]]</f>
        <v>0</v>
      </c>
      <c r="W16" s="13" t="str">
        <f>Data_PLT[[#This Row],[Failure Validity]]&amp;"-"&amp;Data_PLT[[#This Row],[Test type]]</f>
        <v>Valid-Diametral</v>
      </c>
      <c r="X16" s="13">
        <f>Data_PLT[[#This Row],[Is50 (MPa)]]*VLOOKUP("Min",Table_PLT_Conversion[],2,FALSE)</f>
        <v>0</v>
      </c>
      <c r="Y16" s="13">
        <f>Data_PLT[[#This Row],[Is50 (MPa)]]*VLOOKUP("Avg",Table_PLT_Conversion[],2,FALSE)</f>
        <v>0</v>
      </c>
      <c r="Z16" s="13">
        <f>Data_PLT[[#This Row],[Is50 (MPa)]]*VLOOKUP("Max",Table_PLT_Conversion[],2,FALSE)</f>
        <v>0</v>
      </c>
      <c r="AA16" s="62" t="e">
        <f>MATCH(LOOKUP(Data_PLT[[#This Row],[UCS min (MPa)]],Table_FieldStrength[Min UCS]),Table_FieldStrength[Min UCS],0)-1</f>
        <v>#N/A</v>
      </c>
      <c r="AB16" s="62" t="e">
        <f>MATCH(LOOKUP(Data_PLT[[#This Row],[UCS avg (MPa)]],Table_FieldStrength[Min UCS]),Table_FieldStrength[Min UCS],0)-1</f>
        <v>#N/A</v>
      </c>
      <c r="AC16" s="62" t="e">
        <f>MATCH(LOOKUP(Data_PLT[[#This Row],[UCS max (MPa)]],Table_FieldStrength[Min UCS]),Table_FieldStrength[Min UCS],0)-1</f>
        <v>#N/A</v>
      </c>
      <c r="AD16" s="68" t="e">
        <f>Data_PLT[[#This Row],[Test code]]&amp;"-"&amp;Data_PLT[[#This Row],[UCS min code]]</f>
        <v>#N/A</v>
      </c>
      <c r="AE16" s="68" t="e">
        <f>Data_PLT[[#This Row],[Test code]]&amp;"-"&amp;Data_PLT[[#This Row],[UCS avg code]]</f>
        <v>#N/A</v>
      </c>
      <c r="AF16" s="67" t="e">
        <f>Data_PLT[[#This Row],[Test code]]&amp;"-"&amp;Data_PLT[[#This Row],[UCS max code]]</f>
        <v>#N/A</v>
      </c>
      <c r="AG16" s="67" t="str">
        <f>Data_PLT[[#This Row],[Failure type]]&amp;"-"&amp;Data_PLT[[#This Row],[Test type]]&amp;"-"&amp;(IF(Data_PLT[[#This Row],[Is50 (MPa)]]&lt;1,1,IF(Data_PLT[[#This Row],[Is50 (MPa)]]&lt;2,2,IF(Data_PLT[[#This Row],[Is50 (MPa)]]&lt;4,3,IF(Data_PLT[[#This Row],[Is50 (MPa)]]&lt;8,4,5)))))</f>
        <v>Along bedding/foliation-Diametral-1</v>
      </c>
    </row>
    <row r="17" spans="1:65" x14ac:dyDescent="0.25">
      <c r="A17" t="s">
        <v>26</v>
      </c>
      <c r="B17" s="88" t="str">
        <f>VLOOKUP(Data_PLT[[#This Row],[Hole ID]],Data_Log[],2,FALSE)</f>
        <v>CGF-01</v>
      </c>
      <c r="C17" s="63">
        <f>IF(Data_PLT[[#This Row],[Hole ID]]="","",
IF(COUNTIF($A$4:A17,Data_PLT[[#This Row],[Hole ID]])=1,1,
IF(A17=A16,C16+1,
COUNTIF($A$4:A17,Data_PLT[[#This Row],[Hole ID]]))))</f>
        <v>14</v>
      </c>
      <c r="D17" s="63" t="str">
        <f>IF(Data_PLT[[#This Row],[Hole ID]]="","",Data_PLT[[#This Row],[Hole ID]]&amp;"_"&amp;Data_PLT[[#This Row],[Sample ID]])</f>
        <v>COG-25-08_14</v>
      </c>
      <c r="E17" s="6"/>
      <c r="F17" s="6">
        <v>64.06</v>
      </c>
      <c r="G17" s="63" t="str" cm="1">
        <f t="array" ref="G17">_xlfn.XLOOKUP(1,(A17=Geotech!$A$4:$A$11100)*(Data_PLT[[#This Row],[Depth (m)]]&gt;=Geotech!$C$4:$C$11100)*(Data_PLT[[#This Row],[Depth (m)]]&lt;Geotech!$D$4:$D$11100),Geotech!$M$4:$M$11100)</f>
        <v>Diorite</v>
      </c>
      <c r="H17" s="6" t="s">
        <v>299</v>
      </c>
      <c r="I17" s="63" t="str">
        <f>VLOOKUP(Data_PLT[[#This Row],[Hole ID]],Data_Log[[Hole ID]:[Core size]],20,FALSE)</f>
        <v>HQ</v>
      </c>
      <c r="J17" s="13">
        <f>VLOOKUP(Data_PLT[[#This Row],[Core Size]],Table_CoreSize[],2,FALSE)</f>
        <v>63.5</v>
      </c>
      <c r="K17" s="19">
        <v>135</v>
      </c>
      <c r="L17" s="19" t="s">
        <v>574</v>
      </c>
      <c r="M17" s="5">
        <v>178.4</v>
      </c>
      <c r="N17" s="5"/>
      <c r="O17" s="6" t="s">
        <v>334</v>
      </c>
      <c r="P17" s="13" t="str">
        <f>IF(Data_PLT[[#This Row],[Failure type]]="","",IF(OR(Data_PLT[[#This Row],[Failure type]]="Invalid",Data_PLT[[#This Row],[Failure type]]="Chipped",Data_PLT[[#This Row],[Failure type]]="Penetrate",Data_PLT[[#This Row],[Failure type]]="Did not break"),"Invalid","Valid"))</f>
        <v>Valid</v>
      </c>
      <c r="Q17" s="6"/>
      <c r="R17" s="11"/>
      <c r="S17" s="13">
        <f>IF(Data_PLT[[#This Row],[Test type]]="Diametral",Data_PLT[[#This Row],[Diameter (mm)]],IF(Data_PLT[[#This Row],[Test type]]="Axial",SQRT(4*Data_PLT[[#This Row],[Diameter (mm)]]*Data_PLT[[#This Row],[Length or width (mm)]]/PI()),"ERROR"))</f>
        <v>63.5</v>
      </c>
      <c r="T17" s="13">
        <f>(Data_PLT[[#This Row],[Load (kN)]]*1000)/Data_PLT[[#This Row],[Equiv. Diam. (mm)]]^2</f>
        <v>0</v>
      </c>
      <c r="U17" s="13">
        <f>(Data_PLT[[#This Row],[Equiv. Diam. (mm)]]/50)^0.45</f>
        <v>1.1135550054708407</v>
      </c>
      <c r="V17" s="13">
        <f>Data_PLT[[#This Row],[Is (MPa)]]*Data_PLT[[#This Row],[F]]</f>
        <v>0</v>
      </c>
      <c r="W17" s="13" t="str">
        <f>Data_PLT[[#This Row],[Failure Validity]]&amp;"-"&amp;Data_PLT[[#This Row],[Test type]]</f>
        <v>Valid-Diametral</v>
      </c>
      <c r="X17" s="13">
        <f>Data_PLT[[#This Row],[Is50 (MPa)]]*VLOOKUP("Min",Table_PLT_Conversion[],2,FALSE)</f>
        <v>0</v>
      </c>
      <c r="Y17" s="13">
        <f>Data_PLT[[#This Row],[Is50 (MPa)]]*VLOOKUP("Avg",Table_PLT_Conversion[],2,FALSE)</f>
        <v>0</v>
      </c>
      <c r="Z17" s="13">
        <f>Data_PLT[[#This Row],[Is50 (MPa)]]*VLOOKUP("Max",Table_PLT_Conversion[],2,FALSE)</f>
        <v>0</v>
      </c>
      <c r="AA17" s="62" t="e">
        <f>MATCH(LOOKUP(Data_PLT[[#This Row],[UCS min (MPa)]],Table_FieldStrength[Min UCS]),Table_FieldStrength[Min UCS],0)-1</f>
        <v>#N/A</v>
      </c>
      <c r="AB17" s="62" t="e">
        <f>MATCH(LOOKUP(Data_PLT[[#This Row],[UCS avg (MPa)]],Table_FieldStrength[Min UCS]),Table_FieldStrength[Min UCS],0)-1</f>
        <v>#N/A</v>
      </c>
      <c r="AC17" s="62" t="e">
        <f>MATCH(LOOKUP(Data_PLT[[#This Row],[UCS max (MPa)]],Table_FieldStrength[Min UCS]),Table_FieldStrength[Min UCS],0)-1</f>
        <v>#N/A</v>
      </c>
      <c r="AD17" s="68" t="e">
        <f>Data_PLT[[#This Row],[Test code]]&amp;"-"&amp;Data_PLT[[#This Row],[UCS min code]]</f>
        <v>#N/A</v>
      </c>
      <c r="AE17" s="68" t="e">
        <f>Data_PLT[[#This Row],[Test code]]&amp;"-"&amp;Data_PLT[[#This Row],[UCS avg code]]</f>
        <v>#N/A</v>
      </c>
      <c r="AF17" s="67" t="e">
        <f>Data_PLT[[#This Row],[Test code]]&amp;"-"&amp;Data_PLT[[#This Row],[UCS max code]]</f>
        <v>#N/A</v>
      </c>
      <c r="AG17" s="67" t="str">
        <f>Data_PLT[[#This Row],[Failure type]]&amp;"-"&amp;Data_PLT[[#This Row],[Test type]]&amp;"-"&amp;(IF(Data_PLT[[#This Row],[Is50 (MPa)]]&lt;1,1,IF(Data_PLT[[#This Row],[Is50 (MPa)]]&lt;2,2,IF(Data_PLT[[#This Row],[Is50 (MPa)]]&lt;4,3,IF(Data_PLT[[#This Row],[Is50 (MPa)]]&lt;8,4,5)))))</f>
        <v>Along bedding/foliation-Diametral-1</v>
      </c>
    </row>
    <row r="18" spans="1:65" x14ac:dyDescent="0.25">
      <c r="A18" t="s">
        <v>26</v>
      </c>
      <c r="B18" s="88" t="str">
        <f>VLOOKUP(Data_PLT[[#This Row],[Hole ID]],Data_Log[],2,FALSE)</f>
        <v>CGF-01</v>
      </c>
      <c r="C18" s="63">
        <f>IF(Data_PLT[[#This Row],[Hole ID]]="","",
IF(COUNTIF($A$4:A18,Data_PLT[[#This Row],[Hole ID]])=1,1,
IF(A18=A17,C17+1,
COUNTIF($A$4:A18,Data_PLT[[#This Row],[Hole ID]]))))</f>
        <v>15</v>
      </c>
      <c r="D18" s="63" t="str">
        <f>IF(Data_PLT[[#This Row],[Hole ID]]="","",Data_PLT[[#This Row],[Hole ID]]&amp;"_"&amp;Data_PLT[[#This Row],[Sample ID]])</f>
        <v>COG-25-08_15</v>
      </c>
      <c r="E18" s="6"/>
      <c r="F18" s="6">
        <v>68.89</v>
      </c>
      <c r="G18" s="63" t="str" cm="1">
        <f t="array" ref="G18">_xlfn.XLOOKUP(1,(A18=Geotech!$A$4:$A$11100)*(Data_PLT[[#This Row],[Depth (m)]]&gt;=Geotech!$C$4:$C$11100)*(Data_PLT[[#This Row],[Depth (m)]]&lt;Geotech!$D$4:$D$11100),Geotech!$M$4:$M$11100)</f>
        <v>Diorite</v>
      </c>
      <c r="H18" s="6" t="s">
        <v>299</v>
      </c>
      <c r="I18" s="63" t="str">
        <f>VLOOKUP(Data_PLT[[#This Row],[Hole ID]],Data_Log[[Hole ID]:[Core size]],20,FALSE)</f>
        <v>HQ</v>
      </c>
      <c r="J18" s="13">
        <f>VLOOKUP(Data_PLT[[#This Row],[Core Size]],Table_CoreSize[],2,FALSE)</f>
        <v>63.5</v>
      </c>
      <c r="K18" s="19">
        <v>175</v>
      </c>
      <c r="L18" s="19" t="s">
        <v>574</v>
      </c>
      <c r="M18" s="5">
        <v>113.2</v>
      </c>
      <c r="N18" s="5"/>
      <c r="O18" s="6" t="s">
        <v>300</v>
      </c>
      <c r="P18" s="13" t="str">
        <f>IF(Data_PLT[[#This Row],[Failure type]]="","",IF(OR(Data_PLT[[#This Row],[Failure type]]="Invalid",Data_PLT[[#This Row],[Failure type]]="Chipped",Data_PLT[[#This Row],[Failure type]]="Penetrate",Data_PLT[[#This Row],[Failure type]]="Did not break"),"Invalid","Valid"))</f>
        <v>Valid</v>
      </c>
      <c r="Q18" s="6"/>
      <c r="R18" s="11"/>
      <c r="S18" s="13">
        <f>IF(Data_PLT[[#This Row],[Test type]]="Diametral",Data_PLT[[#This Row],[Diameter (mm)]],IF(Data_PLT[[#This Row],[Test type]]="Axial",SQRT(4*Data_PLT[[#This Row],[Diameter (mm)]]*Data_PLT[[#This Row],[Length or width (mm)]]/PI()),"ERROR"))</f>
        <v>63.5</v>
      </c>
      <c r="T18" s="13">
        <f>(Data_PLT[[#This Row],[Load (kN)]]*1000)/Data_PLT[[#This Row],[Equiv. Diam. (mm)]]^2</f>
        <v>0</v>
      </c>
      <c r="U18" s="13">
        <f>(Data_PLT[[#This Row],[Equiv. Diam. (mm)]]/50)^0.45</f>
        <v>1.1135550054708407</v>
      </c>
      <c r="V18" s="13">
        <f>Data_PLT[[#This Row],[Is (MPa)]]*Data_PLT[[#This Row],[F]]</f>
        <v>0</v>
      </c>
      <c r="W18" s="13" t="str">
        <f>Data_PLT[[#This Row],[Failure Validity]]&amp;"-"&amp;Data_PLT[[#This Row],[Test type]]</f>
        <v>Valid-Diametral</v>
      </c>
      <c r="X18" s="13">
        <f>Data_PLT[[#This Row],[Is50 (MPa)]]*VLOOKUP("Min",Table_PLT_Conversion[],2,FALSE)</f>
        <v>0</v>
      </c>
      <c r="Y18" s="13">
        <f>Data_PLT[[#This Row],[Is50 (MPa)]]*VLOOKUP("Avg",Table_PLT_Conversion[],2,FALSE)</f>
        <v>0</v>
      </c>
      <c r="Z18" s="13">
        <f>Data_PLT[[#This Row],[Is50 (MPa)]]*VLOOKUP("Max",Table_PLT_Conversion[],2,FALSE)</f>
        <v>0</v>
      </c>
      <c r="AA18" s="62" t="e">
        <f>MATCH(LOOKUP(Data_PLT[[#This Row],[UCS min (MPa)]],Table_FieldStrength[Min UCS]),Table_FieldStrength[Min UCS],0)-1</f>
        <v>#N/A</v>
      </c>
      <c r="AB18" s="62" t="e">
        <f>MATCH(LOOKUP(Data_PLT[[#This Row],[UCS avg (MPa)]],Table_FieldStrength[Min UCS]),Table_FieldStrength[Min UCS],0)-1</f>
        <v>#N/A</v>
      </c>
      <c r="AC18" s="62" t="e">
        <f>MATCH(LOOKUP(Data_PLT[[#This Row],[UCS max (MPa)]],Table_FieldStrength[Min UCS]),Table_FieldStrength[Min UCS],0)-1</f>
        <v>#N/A</v>
      </c>
      <c r="AD18" s="68" t="e">
        <f>Data_PLT[[#This Row],[Test code]]&amp;"-"&amp;Data_PLT[[#This Row],[UCS min code]]</f>
        <v>#N/A</v>
      </c>
      <c r="AE18" s="68" t="e">
        <f>Data_PLT[[#This Row],[Test code]]&amp;"-"&amp;Data_PLT[[#This Row],[UCS avg code]]</f>
        <v>#N/A</v>
      </c>
      <c r="AF18" s="67" t="e">
        <f>Data_PLT[[#This Row],[Test code]]&amp;"-"&amp;Data_PLT[[#This Row],[UCS max code]]</f>
        <v>#N/A</v>
      </c>
      <c r="AG18" s="67" t="str">
        <f>Data_PLT[[#This Row],[Failure type]]&amp;"-"&amp;Data_PLT[[#This Row],[Test type]]&amp;"-"&amp;(IF(Data_PLT[[#This Row],[Is50 (MPa)]]&lt;1,1,IF(Data_PLT[[#This Row],[Is50 (MPa)]]&lt;2,2,IF(Data_PLT[[#This Row],[Is50 (MPa)]]&lt;4,3,IF(Data_PLT[[#This Row],[Is50 (MPa)]]&lt;8,4,5)))))</f>
        <v>Intact-Diametral-1</v>
      </c>
    </row>
    <row r="19" spans="1:65" x14ac:dyDescent="0.25">
      <c r="A19" t="s">
        <v>26</v>
      </c>
      <c r="B19" s="88" t="str">
        <f>VLOOKUP(Data_PLT[[#This Row],[Hole ID]],Data_Log[],2,FALSE)</f>
        <v>CGF-01</v>
      </c>
      <c r="C19" s="63">
        <f>IF(Data_PLT[[#This Row],[Hole ID]]="","",
IF(COUNTIF($A$4:A19,Data_PLT[[#This Row],[Hole ID]])=1,1,
IF(A19=A18,C18+1,
COUNTIF($A$4:A19,Data_PLT[[#This Row],[Hole ID]]))))</f>
        <v>16</v>
      </c>
      <c r="D19" s="63" t="str">
        <f>IF(Data_PLT[[#This Row],[Hole ID]]="","",Data_PLT[[#This Row],[Hole ID]]&amp;"_"&amp;Data_PLT[[#This Row],[Sample ID]])</f>
        <v>COG-25-08_16</v>
      </c>
      <c r="E19" s="6"/>
      <c r="F19" s="6">
        <v>70.83</v>
      </c>
      <c r="G19" s="63" t="str" cm="1">
        <f t="array" ref="G19">_xlfn.XLOOKUP(1,(A19=Geotech!$A$4:$A$11100)*(Data_PLT[[#This Row],[Depth (m)]]&gt;=Geotech!$C$4:$C$11100)*(Data_PLT[[#This Row],[Depth (m)]]&lt;Geotech!$D$4:$D$11100),Geotech!$M$4:$M$11100)</f>
        <v>Boulamarque granodiorite</v>
      </c>
      <c r="H19" s="6" t="s">
        <v>299</v>
      </c>
      <c r="I19" s="63" t="str">
        <f>VLOOKUP(Data_PLT[[#This Row],[Hole ID]],Data_Log[[Hole ID]:[Core size]],20,FALSE)</f>
        <v>HQ</v>
      </c>
      <c r="J19" s="13">
        <f>VLOOKUP(Data_PLT[[#This Row],[Core Size]],Table_CoreSize[],2,FALSE)</f>
        <v>63.5</v>
      </c>
      <c r="K19" s="19">
        <v>95</v>
      </c>
      <c r="L19" s="19" t="s">
        <v>574</v>
      </c>
      <c r="M19" s="5">
        <v>236.6</v>
      </c>
      <c r="N19" s="5"/>
      <c r="O19" s="6" t="s">
        <v>334</v>
      </c>
      <c r="P19" s="13" t="str">
        <f>IF(Data_PLT[[#This Row],[Failure type]]="","",IF(OR(Data_PLT[[#This Row],[Failure type]]="Invalid",Data_PLT[[#This Row],[Failure type]]="Chipped",Data_PLT[[#This Row],[Failure type]]="Penetrate",Data_PLT[[#This Row],[Failure type]]="Did not break"),"Invalid","Valid"))</f>
        <v>Valid</v>
      </c>
      <c r="Q19" s="6"/>
      <c r="R19" s="11"/>
      <c r="S19" s="13">
        <f>IF(Data_PLT[[#This Row],[Test type]]="Diametral",Data_PLT[[#This Row],[Diameter (mm)]],IF(Data_PLT[[#This Row],[Test type]]="Axial",SQRT(4*Data_PLT[[#This Row],[Diameter (mm)]]*Data_PLT[[#This Row],[Length or width (mm)]]/PI()),"ERROR"))</f>
        <v>63.5</v>
      </c>
      <c r="T19" s="13">
        <f>(Data_PLT[[#This Row],[Load (kN)]]*1000)/Data_PLT[[#This Row],[Equiv. Diam. (mm)]]^2</f>
        <v>0</v>
      </c>
      <c r="U19" s="13">
        <f>(Data_PLT[[#This Row],[Equiv. Diam. (mm)]]/50)^0.45</f>
        <v>1.1135550054708407</v>
      </c>
      <c r="V19" s="13">
        <f>Data_PLT[[#This Row],[Is (MPa)]]*Data_PLT[[#This Row],[F]]</f>
        <v>0</v>
      </c>
      <c r="W19" s="13" t="str">
        <f>Data_PLT[[#This Row],[Failure Validity]]&amp;"-"&amp;Data_PLT[[#This Row],[Test type]]</f>
        <v>Valid-Diametral</v>
      </c>
      <c r="X19" s="13">
        <f>Data_PLT[[#This Row],[Is50 (MPa)]]*VLOOKUP("Min",Table_PLT_Conversion[],2,FALSE)</f>
        <v>0</v>
      </c>
      <c r="Y19" s="13">
        <f>Data_PLT[[#This Row],[Is50 (MPa)]]*VLOOKUP("Avg",Table_PLT_Conversion[],2,FALSE)</f>
        <v>0</v>
      </c>
      <c r="Z19" s="13">
        <f>Data_PLT[[#This Row],[Is50 (MPa)]]*VLOOKUP("Max",Table_PLT_Conversion[],2,FALSE)</f>
        <v>0</v>
      </c>
      <c r="AA19" s="62" t="e">
        <f>MATCH(LOOKUP(Data_PLT[[#This Row],[UCS min (MPa)]],Table_FieldStrength[Min UCS]),Table_FieldStrength[Min UCS],0)-1</f>
        <v>#N/A</v>
      </c>
      <c r="AB19" s="62" t="e">
        <f>MATCH(LOOKUP(Data_PLT[[#This Row],[UCS avg (MPa)]],Table_FieldStrength[Min UCS]),Table_FieldStrength[Min UCS],0)-1</f>
        <v>#N/A</v>
      </c>
      <c r="AC19" s="62" t="e">
        <f>MATCH(LOOKUP(Data_PLT[[#This Row],[UCS max (MPa)]],Table_FieldStrength[Min UCS]),Table_FieldStrength[Min UCS],0)-1</f>
        <v>#N/A</v>
      </c>
      <c r="AD19" s="68" t="e">
        <f>Data_PLT[[#This Row],[Test code]]&amp;"-"&amp;Data_PLT[[#This Row],[UCS min code]]</f>
        <v>#N/A</v>
      </c>
      <c r="AE19" s="68" t="e">
        <f>Data_PLT[[#This Row],[Test code]]&amp;"-"&amp;Data_PLT[[#This Row],[UCS avg code]]</f>
        <v>#N/A</v>
      </c>
      <c r="AF19" s="67" t="e">
        <f>Data_PLT[[#This Row],[Test code]]&amp;"-"&amp;Data_PLT[[#This Row],[UCS max code]]</f>
        <v>#N/A</v>
      </c>
      <c r="AG19" s="67" t="str">
        <f>Data_PLT[[#This Row],[Failure type]]&amp;"-"&amp;Data_PLT[[#This Row],[Test type]]&amp;"-"&amp;(IF(Data_PLT[[#This Row],[Is50 (MPa)]]&lt;1,1,IF(Data_PLT[[#This Row],[Is50 (MPa)]]&lt;2,2,IF(Data_PLT[[#This Row],[Is50 (MPa)]]&lt;4,3,IF(Data_PLT[[#This Row],[Is50 (MPa)]]&lt;8,4,5)))))</f>
        <v>Along bedding/foliation-Diametral-1</v>
      </c>
    </row>
    <row r="20" spans="1:65" x14ac:dyDescent="0.25">
      <c r="A20" t="s">
        <v>26</v>
      </c>
      <c r="B20" s="88" t="str">
        <f>VLOOKUP(Data_PLT[[#This Row],[Hole ID]],Data_Log[],2,FALSE)</f>
        <v>CGF-01</v>
      </c>
      <c r="C20" s="63">
        <f>IF(Data_PLT[[#This Row],[Hole ID]]="","",
IF(COUNTIF($A$4:A20,Data_PLT[[#This Row],[Hole ID]])=1,1,
IF(A20=A19,C19+1,
COUNTIF($A$4:A20,Data_PLT[[#This Row],[Hole ID]]))))</f>
        <v>17</v>
      </c>
      <c r="D20" s="63" t="str">
        <f>IF(Data_PLT[[#This Row],[Hole ID]]="","",Data_PLT[[#This Row],[Hole ID]]&amp;"_"&amp;Data_PLT[[#This Row],[Sample ID]])</f>
        <v>COG-25-08_17</v>
      </c>
      <c r="E20" s="6"/>
      <c r="F20" s="6">
        <v>69.03</v>
      </c>
      <c r="G20" s="63" t="str" cm="1">
        <f t="array" ref="G20">_xlfn.XLOOKUP(1,(A20=Geotech!$A$4:$A$11100)*(Data_PLT[[#This Row],[Depth (m)]]&gt;=Geotech!$C$4:$C$11100)*(Data_PLT[[#This Row],[Depth (m)]]&lt;Geotech!$D$4:$D$11100),Geotech!$M$4:$M$11100)</f>
        <v>Diorite</v>
      </c>
      <c r="H20" s="6" t="s">
        <v>299</v>
      </c>
      <c r="I20" s="63" t="str">
        <f>VLOOKUP(Data_PLT[[#This Row],[Hole ID]],Data_Log[[Hole ID]:[Core size]],20,FALSE)</f>
        <v>HQ</v>
      </c>
      <c r="J20" s="13">
        <f>VLOOKUP(Data_PLT[[#This Row],[Core Size]],Table_CoreSize[],2,FALSE)</f>
        <v>63.5</v>
      </c>
      <c r="K20" s="19">
        <v>130</v>
      </c>
      <c r="L20" s="19" t="s">
        <v>574</v>
      </c>
      <c r="M20" s="5">
        <v>179.8</v>
      </c>
      <c r="N20" s="5"/>
      <c r="O20" s="6" t="s">
        <v>334</v>
      </c>
      <c r="P20" s="13" t="str">
        <f>IF(Data_PLT[[#This Row],[Failure type]]="","",IF(OR(Data_PLT[[#This Row],[Failure type]]="Invalid",Data_PLT[[#This Row],[Failure type]]="Chipped",Data_PLT[[#This Row],[Failure type]]="Penetrate",Data_PLT[[#This Row],[Failure type]]="Did not break"),"Invalid","Valid"))</f>
        <v>Valid</v>
      </c>
      <c r="Q20" s="6"/>
      <c r="R20" s="11"/>
      <c r="S20" s="13">
        <f>IF(Data_PLT[[#This Row],[Test type]]="Diametral",Data_PLT[[#This Row],[Diameter (mm)]],IF(Data_PLT[[#This Row],[Test type]]="Axial",SQRT(4*Data_PLT[[#This Row],[Diameter (mm)]]*Data_PLT[[#This Row],[Length or width (mm)]]/PI()),"ERROR"))</f>
        <v>63.5</v>
      </c>
      <c r="T20" s="13">
        <f>(Data_PLT[[#This Row],[Load (kN)]]*1000)/Data_PLT[[#This Row],[Equiv. Diam. (mm)]]^2</f>
        <v>0</v>
      </c>
      <c r="U20" s="13">
        <f>(Data_PLT[[#This Row],[Equiv. Diam. (mm)]]/50)^0.45</f>
        <v>1.1135550054708407</v>
      </c>
      <c r="V20" s="13">
        <f>Data_PLT[[#This Row],[Is (MPa)]]*Data_PLT[[#This Row],[F]]</f>
        <v>0</v>
      </c>
      <c r="W20" s="13" t="str">
        <f>Data_PLT[[#This Row],[Failure Validity]]&amp;"-"&amp;Data_PLT[[#This Row],[Test type]]</f>
        <v>Valid-Diametral</v>
      </c>
      <c r="X20" s="13">
        <f>Data_PLT[[#This Row],[Is50 (MPa)]]*VLOOKUP("Min",Table_PLT_Conversion[],2,FALSE)</f>
        <v>0</v>
      </c>
      <c r="Y20" s="13">
        <f>Data_PLT[[#This Row],[Is50 (MPa)]]*VLOOKUP("Avg",Table_PLT_Conversion[],2,FALSE)</f>
        <v>0</v>
      </c>
      <c r="Z20" s="13">
        <f>Data_PLT[[#This Row],[Is50 (MPa)]]*VLOOKUP("Max",Table_PLT_Conversion[],2,FALSE)</f>
        <v>0</v>
      </c>
      <c r="AA20" s="62" t="e">
        <f>MATCH(LOOKUP(Data_PLT[[#This Row],[UCS min (MPa)]],Table_FieldStrength[Min UCS]),Table_FieldStrength[Min UCS],0)-1</f>
        <v>#N/A</v>
      </c>
      <c r="AB20" s="62" t="e">
        <f>MATCH(LOOKUP(Data_PLT[[#This Row],[UCS avg (MPa)]],Table_FieldStrength[Min UCS]),Table_FieldStrength[Min UCS],0)-1</f>
        <v>#N/A</v>
      </c>
      <c r="AC20" s="62" t="e">
        <f>MATCH(LOOKUP(Data_PLT[[#This Row],[UCS max (MPa)]],Table_FieldStrength[Min UCS]),Table_FieldStrength[Min UCS],0)-1</f>
        <v>#N/A</v>
      </c>
      <c r="AD20" s="68" t="e">
        <f>Data_PLT[[#This Row],[Test code]]&amp;"-"&amp;Data_PLT[[#This Row],[UCS min code]]</f>
        <v>#N/A</v>
      </c>
      <c r="AE20" s="68" t="e">
        <f>Data_PLT[[#This Row],[Test code]]&amp;"-"&amp;Data_PLT[[#This Row],[UCS avg code]]</f>
        <v>#N/A</v>
      </c>
      <c r="AF20" s="67" t="e">
        <f>Data_PLT[[#This Row],[Test code]]&amp;"-"&amp;Data_PLT[[#This Row],[UCS max code]]</f>
        <v>#N/A</v>
      </c>
      <c r="AG20" s="67" t="str">
        <f>Data_PLT[[#This Row],[Failure type]]&amp;"-"&amp;Data_PLT[[#This Row],[Test type]]&amp;"-"&amp;(IF(Data_PLT[[#This Row],[Is50 (MPa)]]&lt;1,1,IF(Data_PLT[[#This Row],[Is50 (MPa)]]&lt;2,2,IF(Data_PLT[[#This Row],[Is50 (MPa)]]&lt;4,3,IF(Data_PLT[[#This Row],[Is50 (MPa)]]&lt;8,4,5)))))</f>
        <v>Along bedding/foliation-Diametral-1</v>
      </c>
    </row>
    <row r="21" spans="1:65" x14ac:dyDescent="0.25">
      <c r="A21" t="s">
        <v>26</v>
      </c>
      <c r="B21" s="88" t="str">
        <f>VLOOKUP(Data_PLT[[#This Row],[Hole ID]],Data_Log[],2,FALSE)</f>
        <v>CGF-01</v>
      </c>
      <c r="C21" s="63">
        <f>IF(Data_PLT[[#This Row],[Hole ID]]="","",
IF(COUNTIF($A$4:A21,Data_PLT[[#This Row],[Hole ID]])=1,1,
IF(A21=A20,C20+1,
COUNTIF($A$4:A21,Data_PLT[[#This Row],[Hole ID]]))))</f>
        <v>18</v>
      </c>
      <c r="D21" s="63" t="str">
        <f>IF(Data_PLT[[#This Row],[Hole ID]]="","",Data_PLT[[#This Row],[Hole ID]]&amp;"_"&amp;Data_PLT[[#This Row],[Sample ID]])</f>
        <v>COG-25-08_18</v>
      </c>
      <c r="E21" s="6"/>
      <c r="F21" s="6">
        <v>73.540000000000006</v>
      </c>
      <c r="G21" s="63" t="str" cm="1">
        <f t="array" ref="G21">_xlfn.XLOOKUP(1,(A21=Geotech!$A$4:$A$11100)*(Data_PLT[[#This Row],[Depth (m)]]&gt;=Geotech!$C$4:$C$11100)*(Data_PLT[[#This Row],[Depth (m)]]&lt;Geotech!$D$4:$D$11100),Geotech!$M$4:$M$11100)</f>
        <v>Boulamarque granodiorite</v>
      </c>
      <c r="H21" s="6" t="s">
        <v>299</v>
      </c>
      <c r="I21" s="63" t="str">
        <f>VLOOKUP(Data_PLT[[#This Row],[Hole ID]],Data_Log[[Hole ID]:[Core size]],20,FALSE)</f>
        <v>HQ</v>
      </c>
      <c r="J21" s="13">
        <f>VLOOKUP(Data_PLT[[#This Row],[Core Size]],Table_CoreSize[],2,FALSE)</f>
        <v>63.5</v>
      </c>
      <c r="K21" s="19">
        <v>114</v>
      </c>
      <c r="L21" s="19" t="s">
        <v>574</v>
      </c>
      <c r="M21" s="5">
        <v>64</v>
      </c>
      <c r="N21" s="5"/>
      <c r="O21" s="6" t="s">
        <v>334</v>
      </c>
      <c r="P21" s="13" t="str">
        <f>IF(Data_PLT[[#This Row],[Failure type]]="","",IF(OR(Data_PLT[[#This Row],[Failure type]]="Invalid",Data_PLT[[#This Row],[Failure type]]="Chipped",Data_PLT[[#This Row],[Failure type]]="Penetrate",Data_PLT[[#This Row],[Failure type]]="Did not break"),"Invalid","Valid"))</f>
        <v>Valid</v>
      </c>
      <c r="Q21" s="6"/>
      <c r="R21" s="11"/>
      <c r="S21" s="13">
        <f>IF(Data_PLT[[#This Row],[Test type]]="Diametral",Data_PLT[[#This Row],[Diameter (mm)]],IF(Data_PLT[[#This Row],[Test type]]="Axial",SQRT(4*Data_PLT[[#This Row],[Diameter (mm)]]*Data_PLT[[#This Row],[Length or width (mm)]]/PI()),"ERROR"))</f>
        <v>63.5</v>
      </c>
      <c r="T21" s="13">
        <f>(Data_PLT[[#This Row],[Load (kN)]]*1000)/Data_PLT[[#This Row],[Equiv. Diam. (mm)]]^2</f>
        <v>0</v>
      </c>
      <c r="U21" s="13">
        <f>(Data_PLT[[#This Row],[Equiv. Diam. (mm)]]/50)^0.45</f>
        <v>1.1135550054708407</v>
      </c>
      <c r="V21" s="13">
        <f>Data_PLT[[#This Row],[Is (MPa)]]*Data_PLT[[#This Row],[F]]</f>
        <v>0</v>
      </c>
      <c r="W21" s="13" t="str">
        <f>Data_PLT[[#This Row],[Failure Validity]]&amp;"-"&amp;Data_PLT[[#This Row],[Test type]]</f>
        <v>Valid-Diametral</v>
      </c>
      <c r="X21" s="13">
        <f>Data_PLT[[#This Row],[Is50 (MPa)]]*VLOOKUP("Min",Table_PLT_Conversion[],2,FALSE)</f>
        <v>0</v>
      </c>
      <c r="Y21" s="13">
        <f>Data_PLT[[#This Row],[Is50 (MPa)]]*VLOOKUP("Avg",Table_PLT_Conversion[],2,FALSE)</f>
        <v>0</v>
      </c>
      <c r="Z21" s="13">
        <f>Data_PLT[[#This Row],[Is50 (MPa)]]*VLOOKUP("Max",Table_PLT_Conversion[],2,FALSE)</f>
        <v>0</v>
      </c>
      <c r="AA21" s="62" t="e">
        <f>MATCH(LOOKUP(Data_PLT[[#This Row],[UCS min (MPa)]],Table_FieldStrength[Min UCS]),Table_FieldStrength[Min UCS],0)-1</f>
        <v>#N/A</v>
      </c>
      <c r="AB21" s="62" t="e">
        <f>MATCH(LOOKUP(Data_PLT[[#This Row],[UCS avg (MPa)]],Table_FieldStrength[Min UCS]),Table_FieldStrength[Min UCS],0)-1</f>
        <v>#N/A</v>
      </c>
      <c r="AC21" s="62" t="e">
        <f>MATCH(LOOKUP(Data_PLT[[#This Row],[UCS max (MPa)]],Table_FieldStrength[Min UCS]),Table_FieldStrength[Min UCS],0)-1</f>
        <v>#N/A</v>
      </c>
      <c r="AD21" s="68" t="e">
        <f>Data_PLT[[#This Row],[Test code]]&amp;"-"&amp;Data_PLT[[#This Row],[UCS min code]]</f>
        <v>#N/A</v>
      </c>
      <c r="AE21" s="68" t="e">
        <f>Data_PLT[[#This Row],[Test code]]&amp;"-"&amp;Data_PLT[[#This Row],[UCS avg code]]</f>
        <v>#N/A</v>
      </c>
      <c r="AF21" s="67" t="e">
        <f>Data_PLT[[#This Row],[Test code]]&amp;"-"&amp;Data_PLT[[#This Row],[UCS max code]]</f>
        <v>#N/A</v>
      </c>
      <c r="AG21" s="67" t="str">
        <f>Data_PLT[[#This Row],[Failure type]]&amp;"-"&amp;Data_PLT[[#This Row],[Test type]]&amp;"-"&amp;(IF(Data_PLT[[#This Row],[Is50 (MPa)]]&lt;1,1,IF(Data_PLT[[#This Row],[Is50 (MPa)]]&lt;2,2,IF(Data_PLT[[#This Row],[Is50 (MPa)]]&lt;4,3,IF(Data_PLT[[#This Row],[Is50 (MPa)]]&lt;8,4,5)))))</f>
        <v>Along bedding/foliation-Diametral-1</v>
      </c>
    </row>
    <row r="22" spans="1:65" x14ac:dyDescent="0.25">
      <c r="A22" t="s">
        <v>26</v>
      </c>
      <c r="B22" s="88" t="str">
        <f>VLOOKUP(Data_PLT[[#This Row],[Hole ID]],Data_Log[],2,FALSE)</f>
        <v>CGF-01</v>
      </c>
      <c r="C22" s="63">
        <f>IF(Data_PLT[[#This Row],[Hole ID]]="","",
IF(COUNTIF($A$4:A22,Data_PLT[[#This Row],[Hole ID]])=1,1,
IF(A22=A21,C21+1,
COUNTIF($A$4:A22,Data_PLT[[#This Row],[Hole ID]]))))</f>
        <v>19</v>
      </c>
      <c r="D22" s="63" t="str">
        <f>IF(Data_PLT[[#This Row],[Hole ID]]="","",Data_PLT[[#This Row],[Hole ID]]&amp;"_"&amp;Data_PLT[[#This Row],[Sample ID]])</f>
        <v>COG-25-08_19</v>
      </c>
      <c r="E22" s="6"/>
      <c r="F22" s="6">
        <v>75.03</v>
      </c>
      <c r="G22" s="63" t="str" cm="1">
        <f t="array" ref="G22">_xlfn.XLOOKUP(1,(A22=Geotech!$A$4:$A$11100)*(Data_PLT[[#This Row],[Depth (m)]]&gt;=Geotech!$C$4:$C$11100)*(Data_PLT[[#This Row],[Depth (m)]]&lt;Geotech!$D$4:$D$11100),Geotech!$M$4:$M$11100)</f>
        <v>Boulamarque granodiorite</v>
      </c>
      <c r="H22" s="6" t="s">
        <v>299</v>
      </c>
      <c r="I22" s="63" t="str">
        <f>VLOOKUP(Data_PLT[[#This Row],[Hole ID]],Data_Log[[Hole ID]:[Core size]],20,FALSE)</f>
        <v>HQ</v>
      </c>
      <c r="J22" s="13">
        <f>VLOOKUP(Data_PLT[[#This Row],[Core Size]],Table_CoreSize[],2,FALSE)</f>
        <v>63.5</v>
      </c>
      <c r="K22" s="19">
        <v>105</v>
      </c>
      <c r="L22" s="19" t="s">
        <v>574</v>
      </c>
      <c r="M22" s="5">
        <v>141.6</v>
      </c>
      <c r="N22" s="5"/>
      <c r="O22" s="6" t="s">
        <v>334</v>
      </c>
      <c r="P22" s="13" t="str">
        <f>IF(Data_PLT[[#This Row],[Failure type]]="","",IF(OR(Data_PLT[[#This Row],[Failure type]]="Invalid",Data_PLT[[#This Row],[Failure type]]="Chipped",Data_PLT[[#This Row],[Failure type]]="Penetrate",Data_PLT[[#This Row],[Failure type]]="Did not break"),"Invalid","Valid"))</f>
        <v>Valid</v>
      </c>
      <c r="Q22" s="6"/>
      <c r="R22" s="11"/>
      <c r="S22" s="13">
        <f>IF(Data_PLT[[#This Row],[Test type]]="Diametral",Data_PLT[[#This Row],[Diameter (mm)]],IF(Data_PLT[[#This Row],[Test type]]="Axial",SQRT(4*Data_PLT[[#This Row],[Diameter (mm)]]*Data_PLT[[#This Row],[Length or width (mm)]]/PI()),"ERROR"))</f>
        <v>63.5</v>
      </c>
      <c r="T22" s="13">
        <f>(Data_PLT[[#This Row],[Load (kN)]]*1000)/Data_PLT[[#This Row],[Equiv. Diam. (mm)]]^2</f>
        <v>0</v>
      </c>
      <c r="U22" s="13">
        <f>(Data_PLT[[#This Row],[Equiv. Diam. (mm)]]/50)^0.45</f>
        <v>1.1135550054708407</v>
      </c>
      <c r="V22" s="13">
        <f>Data_PLT[[#This Row],[Is (MPa)]]*Data_PLT[[#This Row],[F]]</f>
        <v>0</v>
      </c>
      <c r="W22" s="13" t="str">
        <f>Data_PLT[[#This Row],[Failure Validity]]&amp;"-"&amp;Data_PLT[[#This Row],[Test type]]</f>
        <v>Valid-Diametral</v>
      </c>
      <c r="X22" s="13">
        <f>Data_PLT[[#This Row],[Is50 (MPa)]]*VLOOKUP("Min",Table_PLT_Conversion[],2,FALSE)</f>
        <v>0</v>
      </c>
      <c r="Y22" s="13">
        <f>Data_PLT[[#This Row],[Is50 (MPa)]]*VLOOKUP("Avg",Table_PLT_Conversion[],2,FALSE)</f>
        <v>0</v>
      </c>
      <c r="Z22" s="13">
        <f>Data_PLT[[#This Row],[Is50 (MPa)]]*VLOOKUP("Max",Table_PLT_Conversion[],2,FALSE)</f>
        <v>0</v>
      </c>
      <c r="AA22" s="62" t="e">
        <f>MATCH(LOOKUP(Data_PLT[[#This Row],[UCS min (MPa)]],Table_FieldStrength[Min UCS]),Table_FieldStrength[Min UCS],0)-1</f>
        <v>#N/A</v>
      </c>
      <c r="AB22" s="62" t="e">
        <f>MATCH(LOOKUP(Data_PLT[[#This Row],[UCS avg (MPa)]],Table_FieldStrength[Min UCS]),Table_FieldStrength[Min UCS],0)-1</f>
        <v>#N/A</v>
      </c>
      <c r="AC22" s="62" t="e">
        <f>MATCH(LOOKUP(Data_PLT[[#This Row],[UCS max (MPa)]],Table_FieldStrength[Min UCS]),Table_FieldStrength[Min UCS],0)-1</f>
        <v>#N/A</v>
      </c>
      <c r="AD22" s="68" t="e">
        <f>Data_PLT[[#This Row],[Test code]]&amp;"-"&amp;Data_PLT[[#This Row],[UCS min code]]</f>
        <v>#N/A</v>
      </c>
      <c r="AE22" s="68" t="e">
        <f>Data_PLT[[#This Row],[Test code]]&amp;"-"&amp;Data_PLT[[#This Row],[UCS avg code]]</f>
        <v>#N/A</v>
      </c>
      <c r="AF22" s="67" t="e">
        <f>Data_PLT[[#This Row],[Test code]]&amp;"-"&amp;Data_PLT[[#This Row],[UCS max code]]</f>
        <v>#N/A</v>
      </c>
      <c r="AG22" s="67" t="str">
        <f>Data_PLT[[#This Row],[Failure type]]&amp;"-"&amp;Data_PLT[[#This Row],[Test type]]&amp;"-"&amp;(IF(Data_PLT[[#This Row],[Is50 (MPa)]]&lt;1,1,IF(Data_PLT[[#This Row],[Is50 (MPa)]]&lt;2,2,IF(Data_PLT[[#This Row],[Is50 (MPa)]]&lt;4,3,IF(Data_PLT[[#This Row],[Is50 (MPa)]]&lt;8,4,5)))))</f>
        <v>Along bedding/foliation-Diametral-1</v>
      </c>
    </row>
    <row r="23" spans="1:65" x14ac:dyDescent="0.25">
      <c r="A23" t="s">
        <v>26</v>
      </c>
      <c r="B23" s="88" t="str">
        <f>VLOOKUP(Data_PLT[[#This Row],[Hole ID]],Data_Log[],2,FALSE)</f>
        <v>CGF-01</v>
      </c>
      <c r="C23" s="63">
        <f>IF(Data_PLT[[#This Row],[Hole ID]]="","",
IF(COUNTIF($A$4:A23,Data_PLT[[#This Row],[Hole ID]])=1,1,
IF(A23=A22,C22+1,
COUNTIF($A$4:A23,Data_PLT[[#This Row],[Hole ID]]))))</f>
        <v>20</v>
      </c>
      <c r="D23" s="63" t="str">
        <f>IF(Data_PLT[[#This Row],[Hole ID]]="","",Data_PLT[[#This Row],[Hole ID]]&amp;"_"&amp;Data_PLT[[#This Row],[Sample ID]])</f>
        <v>COG-25-08_20</v>
      </c>
      <c r="E23" s="6"/>
      <c r="F23" s="6">
        <v>77.81</v>
      </c>
      <c r="G23" s="63" t="str" cm="1">
        <f t="array" ref="G23">_xlfn.XLOOKUP(1,(A23=Geotech!$A$4:$A$11100)*(Data_PLT[[#This Row],[Depth (m)]]&gt;=Geotech!$C$4:$C$11100)*(Data_PLT[[#This Row],[Depth (m)]]&lt;Geotech!$D$4:$D$11100),Geotech!$M$4:$M$11100)</f>
        <v>Boulamarque granodiorite</v>
      </c>
      <c r="H23" s="6" t="s">
        <v>299</v>
      </c>
      <c r="I23" s="63" t="str">
        <f>VLOOKUP(Data_PLT[[#This Row],[Hole ID]],Data_Log[[Hole ID]:[Core size]],20,FALSE)</f>
        <v>HQ</v>
      </c>
      <c r="J23" s="13">
        <f>VLOOKUP(Data_PLT[[#This Row],[Core Size]],Table_CoreSize[],2,FALSE)</f>
        <v>63.5</v>
      </c>
      <c r="K23" s="19">
        <v>115</v>
      </c>
      <c r="L23" s="19" t="s">
        <v>574</v>
      </c>
      <c r="M23" s="5">
        <v>10</v>
      </c>
      <c r="N23" s="5"/>
      <c r="O23" s="6" t="s">
        <v>334</v>
      </c>
      <c r="P23" s="13" t="str">
        <f>IF(Data_PLT[[#This Row],[Failure type]]="","",IF(OR(Data_PLT[[#This Row],[Failure type]]="Invalid",Data_PLT[[#This Row],[Failure type]]="Chipped",Data_PLT[[#This Row],[Failure type]]="Penetrate",Data_PLT[[#This Row],[Failure type]]="Did not break"),"Invalid","Valid"))</f>
        <v>Valid</v>
      </c>
      <c r="Q23" s="6"/>
      <c r="R23" s="11"/>
      <c r="S23" s="13">
        <f>IF(Data_PLT[[#This Row],[Test type]]="Diametral",Data_PLT[[#This Row],[Diameter (mm)]],IF(Data_PLT[[#This Row],[Test type]]="Axial",SQRT(4*Data_PLT[[#This Row],[Diameter (mm)]]*Data_PLT[[#This Row],[Length or width (mm)]]/PI()),"ERROR"))</f>
        <v>63.5</v>
      </c>
      <c r="T23" s="13">
        <f>(Data_PLT[[#This Row],[Load (kN)]]*1000)/Data_PLT[[#This Row],[Equiv. Diam. (mm)]]^2</f>
        <v>0</v>
      </c>
      <c r="U23" s="13">
        <f>(Data_PLT[[#This Row],[Equiv. Diam. (mm)]]/50)^0.45</f>
        <v>1.1135550054708407</v>
      </c>
      <c r="V23" s="13">
        <f>Data_PLT[[#This Row],[Is (MPa)]]*Data_PLT[[#This Row],[F]]</f>
        <v>0</v>
      </c>
      <c r="W23" s="13" t="str">
        <f>Data_PLT[[#This Row],[Failure Validity]]&amp;"-"&amp;Data_PLT[[#This Row],[Test type]]</f>
        <v>Valid-Diametral</v>
      </c>
      <c r="X23" s="13">
        <f>Data_PLT[[#This Row],[Is50 (MPa)]]*VLOOKUP("Min",Table_PLT_Conversion[],2,FALSE)</f>
        <v>0</v>
      </c>
      <c r="Y23" s="13">
        <f>Data_PLT[[#This Row],[Is50 (MPa)]]*VLOOKUP("Avg",Table_PLT_Conversion[],2,FALSE)</f>
        <v>0</v>
      </c>
      <c r="Z23" s="13">
        <f>Data_PLT[[#This Row],[Is50 (MPa)]]*VLOOKUP("Max",Table_PLT_Conversion[],2,FALSE)</f>
        <v>0</v>
      </c>
      <c r="AA23" s="62" t="e">
        <f>MATCH(LOOKUP(Data_PLT[[#This Row],[UCS min (MPa)]],Table_FieldStrength[Min UCS]),Table_FieldStrength[Min UCS],0)-1</f>
        <v>#N/A</v>
      </c>
      <c r="AB23" s="62" t="e">
        <f>MATCH(LOOKUP(Data_PLT[[#This Row],[UCS avg (MPa)]],Table_FieldStrength[Min UCS]),Table_FieldStrength[Min UCS],0)-1</f>
        <v>#N/A</v>
      </c>
      <c r="AC23" s="62" t="e">
        <f>MATCH(LOOKUP(Data_PLT[[#This Row],[UCS max (MPa)]],Table_FieldStrength[Min UCS]),Table_FieldStrength[Min UCS],0)-1</f>
        <v>#N/A</v>
      </c>
      <c r="AD23" s="68" t="e">
        <f>Data_PLT[[#This Row],[Test code]]&amp;"-"&amp;Data_PLT[[#This Row],[UCS min code]]</f>
        <v>#N/A</v>
      </c>
      <c r="AE23" s="68" t="e">
        <f>Data_PLT[[#This Row],[Test code]]&amp;"-"&amp;Data_PLT[[#This Row],[UCS avg code]]</f>
        <v>#N/A</v>
      </c>
      <c r="AF23" s="67" t="e">
        <f>Data_PLT[[#This Row],[Test code]]&amp;"-"&amp;Data_PLT[[#This Row],[UCS max code]]</f>
        <v>#N/A</v>
      </c>
      <c r="AG23" s="67" t="str">
        <f>Data_PLT[[#This Row],[Failure type]]&amp;"-"&amp;Data_PLT[[#This Row],[Test type]]&amp;"-"&amp;(IF(Data_PLT[[#This Row],[Is50 (MPa)]]&lt;1,1,IF(Data_PLT[[#This Row],[Is50 (MPa)]]&lt;2,2,IF(Data_PLT[[#This Row],[Is50 (MPa)]]&lt;4,3,IF(Data_PLT[[#This Row],[Is50 (MPa)]]&lt;8,4,5)))))</f>
        <v>Along bedding/foliation-Diametral-1</v>
      </c>
    </row>
    <row r="24" spans="1:65" x14ac:dyDescent="0.25">
      <c r="A24" t="s">
        <v>26</v>
      </c>
      <c r="B24" s="88" t="str">
        <f>VLOOKUP(Data_PLT[[#This Row],[Hole ID]],Data_Log[],2,FALSE)</f>
        <v>CGF-01</v>
      </c>
      <c r="C24" s="63">
        <f>IF(Data_PLT[[#This Row],[Hole ID]]="","",
IF(COUNTIF($A$4:A24,Data_PLT[[#This Row],[Hole ID]])=1,1,
IF(A24=A23,C23+1,
COUNTIF($A$4:A24,Data_PLT[[#This Row],[Hole ID]]))))</f>
        <v>21</v>
      </c>
      <c r="D24" s="63" t="str">
        <f>IF(Data_PLT[[#This Row],[Hole ID]]="","",Data_PLT[[#This Row],[Hole ID]]&amp;"_"&amp;Data_PLT[[#This Row],[Sample ID]])</f>
        <v>COG-25-08_21</v>
      </c>
      <c r="E24" s="6"/>
      <c r="F24" s="6">
        <v>77.900000000000006</v>
      </c>
      <c r="G24" s="63" t="str" cm="1">
        <f t="array" ref="G24">_xlfn.XLOOKUP(1,(A24=Geotech!$A$4:$A$11100)*(Data_PLT[[#This Row],[Depth (m)]]&gt;=Geotech!$C$4:$C$11100)*(Data_PLT[[#This Row],[Depth (m)]]&lt;Geotech!$D$4:$D$11100),Geotech!$M$4:$M$11100)</f>
        <v>Boulamarque granodiorite</v>
      </c>
      <c r="H24" s="6" t="s">
        <v>299</v>
      </c>
      <c r="I24" s="63" t="str">
        <f>VLOOKUP(Data_PLT[[#This Row],[Hole ID]],Data_Log[[Hole ID]:[Core size]],20,FALSE)</f>
        <v>HQ</v>
      </c>
      <c r="J24" s="13">
        <f>VLOOKUP(Data_PLT[[#This Row],[Core Size]],Table_CoreSize[],2,FALSE)</f>
        <v>63.5</v>
      </c>
      <c r="K24" s="19">
        <v>110</v>
      </c>
      <c r="L24" s="19" t="s">
        <v>574</v>
      </c>
      <c r="M24" s="5">
        <v>25</v>
      </c>
      <c r="N24" s="5"/>
      <c r="O24" s="6" t="s">
        <v>334</v>
      </c>
      <c r="P24" s="13" t="str">
        <f>IF(Data_PLT[[#This Row],[Failure type]]="","",IF(OR(Data_PLT[[#This Row],[Failure type]]="Invalid",Data_PLT[[#This Row],[Failure type]]="Chipped",Data_PLT[[#This Row],[Failure type]]="Penetrate",Data_PLT[[#This Row],[Failure type]]="Did not break"),"Invalid","Valid"))</f>
        <v>Valid</v>
      </c>
      <c r="Q24" s="6"/>
      <c r="R24" s="11"/>
      <c r="S24" s="13">
        <f>IF(Data_PLT[[#This Row],[Test type]]="Diametral",Data_PLT[[#This Row],[Diameter (mm)]],IF(Data_PLT[[#This Row],[Test type]]="Axial",SQRT(4*Data_PLT[[#This Row],[Diameter (mm)]]*Data_PLT[[#This Row],[Length or width (mm)]]/PI()),"ERROR"))</f>
        <v>63.5</v>
      </c>
      <c r="T24" s="13">
        <f>(Data_PLT[[#This Row],[Load (kN)]]*1000)/Data_PLT[[#This Row],[Equiv. Diam. (mm)]]^2</f>
        <v>0</v>
      </c>
      <c r="U24" s="13">
        <f>(Data_PLT[[#This Row],[Equiv. Diam. (mm)]]/50)^0.45</f>
        <v>1.1135550054708407</v>
      </c>
      <c r="V24" s="13">
        <f>Data_PLT[[#This Row],[Is (MPa)]]*Data_PLT[[#This Row],[F]]</f>
        <v>0</v>
      </c>
      <c r="W24" s="13" t="str">
        <f>Data_PLT[[#This Row],[Failure Validity]]&amp;"-"&amp;Data_PLT[[#This Row],[Test type]]</f>
        <v>Valid-Diametral</v>
      </c>
      <c r="X24" s="13">
        <f>Data_PLT[[#This Row],[Is50 (MPa)]]*VLOOKUP("Min",Table_PLT_Conversion[],2,FALSE)</f>
        <v>0</v>
      </c>
      <c r="Y24" s="13">
        <f>Data_PLT[[#This Row],[Is50 (MPa)]]*VLOOKUP("Avg",Table_PLT_Conversion[],2,FALSE)</f>
        <v>0</v>
      </c>
      <c r="Z24" s="13">
        <f>Data_PLT[[#This Row],[Is50 (MPa)]]*VLOOKUP("Max",Table_PLT_Conversion[],2,FALSE)</f>
        <v>0</v>
      </c>
      <c r="AA24" s="62" t="e">
        <f>MATCH(LOOKUP(Data_PLT[[#This Row],[UCS min (MPa)]],Table_FieldStrength[Min UCS]),Table_FieldStrength[Min UCS],0)-1</f>
        <v>#N/A</v>
      </c>
      <c r="AB24" s="62" t="e">
        <f>MATCH(LOOKUP(Data_PLT[[#This Row],[UCS avg (MPa)]],Table_FieldStrength[Min UCS]),Table_FieldStrength[Min UCS],0)-1</f>
        <v>#N/A</v>
      </c>
      <c r="AC24" s="62" t="e">
        <f>MATCH(LOOKUP(Data_PLT[[#This Row],[UCS max (MPa)]],Table_FieldStrength[Min UCS]),Table_FieldStrength[Min UCS],0)-1</f>
        <v>#N/A</v>
      </c>
      <c r="AD24" s="68" t="e">
        <f>Data_PLT[[#This Row],[Test code]]&amp;"-"&amp;Data_PLT[[#This Row],[UCS min code]]</f>
        <v>#N/A</v>
      </c>
      <c r="AE24" s="68" t="e">
        <f>Data_PLT[[#This Row],[Test code]]&amp;"-"&amp;Data_PLT[[#This Row],[UCS avg code]]</f>
        <v>#N/A</v>
      </c>
      <c r="AF24" s="67" t="e">
        <f>Data_PLT[[#This Row],[Test code]]&amp;"-"&amp;Data_PLT[[#This Row],[UCS max code]]</f>
        <v>#N/A</v>
      </c>
      <c r="AG24" s="67" t="str">
        <f>Data_PLT[[#This Row],[Failure type]]&amp;"-"&amp;Data_PLT[[#This Row],[Test type]]&amp;"-"&amp;(IF(Data_PLT[[#This Row],[Is50 (MPa)]]&lt;1,1,IF(Data_PLT[[#This Row],[Is50 (MPa)]]&lt;2,2,IF(Data_PLT[[#This Row],[Is50 (MPa)]]&lt;4,3,IF(Data_PLT[[#This Row],[Is50 (MPa)]]&lt;8,4,5)))))</f>
        <v>Along bedding/foliation-Diametral-1</v>
      </c>
    </row>
    <row r="25" spans="1:65" x14ac:dyDescent="0.25">
      <c r="A25" t="s">
        <v>26</v>
      </c>
      <c r="B25" s="88" t="str">
        <f>VLOOKUP(Data_PLT[[#This Row],[Hole ID]],Data_Log[],2,FALSE)</f>
        <v>CGF-01</v>
      </c>
      <c r="C25" s="63">
        <f>IF(Data_PLT[[#This Row],[Hole ID]]="","",
IF(COUNTIF($A$4:A25,Data_PLT[[#This Row],[Hole ID]])=1,1,
IF(A25=A24,C24+1,
COUNTIF($A$4:A25,Data_PLT[[#This Row],[Hole ID]]))))</f>
        <v>22</v>
      </c>
      <c r="D25" s="63" t="str">
        <f>IF(Data_PLT[[#This Row],[Hole ID]]="","",Data_PLT[[#This Row],[Hole ID]]&amp;"_"&amp;Data_PLT[[#This Row],[Sample ID]])</f>
        <v>COG-25-08_22</v>
      </c>
      <c r="E25" s="6"/>
      <c r="F25" s="6">
        <v>82.12</v>
      </c>
      <c r="G25" s="63" t="str" cm="1">
        <f t="array" ref="G25">_xlfn.XLOOKUP(1,(A25=Geotech!$A$4:$A$11100)*(Data_PLT[[#This Row],[Depth (m)]]&gt;=Geotech!$C$4:$C$11100)*(Data_PLT[[#This Row],[Depth (m)]]&lt;Geotech!$D$4:$D$11100),Geotech!$M$4:$M$11100)</f>
        <v>Boulamarque granodiorite</v>
      </c>
      <c r="H25" s="6" t="s">
        <v>267</v>
      </c>
      <c r="I25" s="63" t="str">
        <f>VLOOKUP(Data_PLT[[#This Row],[Hole ID]],Data_Log[[Hole ID]:[Core size]],20,FALSE)</f>
        <v>HQ</v>
      </c>
      <c r="J25" s="13">
        <f>VLOOKUP(Data_PLT[[#This Row],[Core Size]],Table_CoreSize[],2,FALSE)</f>
        <v>63.5</v>
      </c>
      <c r="K25" s="19">
        <v>35</v>
      </c>
      <c r="L25" s="19" t="s">
        <v>574</v>
      </c>
      <c r="M25" s="5">
        <v>122.6</v>
      </c>
      <c r="N25" s="5"/>
      <c r="O25" s="6" t="s">
        <v>165</v>
      </c>
      <c r="P25" s="13" t="str">
        <f>IF(Data_PLT[[#This Row],[Failure type]]="","",IF(OR(Data_PLT[[#This Row],[Failure type]]="Invalid",Data_PLT[[#This Row],[Failure type]]="Chipped",Data_PLT[[#This Row],[Failure type]]="Penetrate",Data_PLT[[#This Row],[Failure type]]="Did not break"),"Invalid","Valid"))</f>
        <v>Invalid</v>
      </c>
      <c r="Q25" s="6"/>
      <c r="R25" s="11"/>
      <c r="S25" s="13">
        <f>IF(Data_PLT[[#This Row],[Test type]]="Diametral",Data_PLT[[#This Row],[Diameter (mm)]],IF(Data_PLT[[#This Row],[Test type]]="Axial",SQRT(4*Data_PLT[[#This Row],[Diameter (mm)]]*Data_PLT[[#This Row],[Length or width (mm)]]/PI()),"ERROR"))</f>
        <v>53.19562846864298</v>
      </c>
      <c r="T25" s="13">
        <f>(Data_PLT[[#This Row],[Load (kN)]]*1000)/Data_PLT[[#This Row],[Equiv. Diam. (mm)]]^2</f>
        <v>0</v>
      </c>
      <c r="U25" s="13">
        <f>(Data_PLT[[#This Row],[Equiv. Diam. (mm)]]/50)^0.45</f>
        <v>1.0282712017332063</v>
      </c>
      <c r="V25" s="13">
        <f>Data_PLT[[#This Row],[Is (MPa)]]*Data_PLT[[#This Row],[F]]</f>
        <v>0</v>
      </c>
      <c r="W25" s="13" t="str">
        <f>Data_PLT[[#This Row],[Failure Validity]]&amp;"-"&amp;Data_PLT[[#This Row],[Test type]]</f>
        <v>Invalid-Axial</v>
      </c>
      <c r="X25" s="13">
        <f>Data_PLT[[#This Row],[Is50 (MPa)]]*VLOOKUP("Min",Table_PLT_Conversion[],2,FALSE)</f>
        <v>0</v>
      </c>
      <c r="Y25" s="13">
        <f>Data_PLT[[#This Row],[Is50 (MPa)]]*VLOOKUP("Avg",Table_PLT_Conversion[],2,FALSE)</f>
        <v>0</v>
      </c>
      <c r="Z25" s="13">
        <f>Data_PLT[[#This Row],[Is50 (MPa)]]*VLOOKUP("Max",Table_PLT_Conversion[],2,FALSE)</f>
        <v>0</v>
      </c>
      <c r="AA25" s="62" t="e">
        <f>MATCH(LOOKUP(Data_PLT[[#This Row],[UCS min (MPa)]],Table_FieldStrength[Min UCS]),Table_FieldStrength[Min UCS],0)-1</f>
        <v>#N/A</v>
      </c>
      <c r="AB25" s="62" t="e">
        <f>MATCH(LOOKUP(Data_PLT[[#This Row],[UCS avg (MPa)]],Table_FieldStrength[Min UCS]),Table_FieldStrength[Min UCS],0)-1</f>
        <v>#N/A</v>
      </c>
      <c r="AC25" s="62" t="e">
        <f>MATCH(LOOKUP(Data_PLT[[#This Row],[UCS max (MPa)]],Table_FieldStrength[Min UCS]),Table_FieldStrength[Min UCS],0)-1</f>
        <v>#N/A</v>
      </c>
      <c r="AD25" s="68" t="e">
        <f>Data_PLT[[#This Row],[Test code]]&amp;"-"&amp;Data_PLT[[#This Row],[UCS min code]]</f>
        <v>#N/A</v>
      </c>
      <c r="AE25" s="68" t="e">
        <f>Data_PLT[[#This Row],[Test code]]&amp;"-"&amp;Data_PLT[[#This Row],[UCS avg code]]</f>
        <v>#N/A</v>
      </c>
      <c r="AF25" s="67" t="e">
        <f>Data_PLT[[#This Row],[Test code]]&amp;"-"&amp;Data_PLT[[#This Row],[UCS max code]]</f>
        <v>#N/A</v>
      </c>
      <c r="AG25" s="67" t="str">
        <f>Data_PLT[[#This Row],[Failure type]]&amp;"-"&amp;Data_PLT[[#This Row],[Test type]]&amp;"-"&amp;(IF(Data_PLT[[#This Row],[Is50 (MPa)]]&lt;1,1,IF(Data_PLT[[#This Row],[Is50 (MPa)]]&lt;2,2,IF(Data_PLT[[#This Row],[Is50 (MPa)]]&lt;4,3,IF(Data_PLT[[#This Row],[Is50 (MPa)]]&lt;8,4,5)))))</f>
        <v>Chipped-Axial-1</v>
      </c>
    </row>
    <row r="26" spans="1:65" x14ac:dyDescent="0.25">
      <c r="A26" t="s">
        <v>26</v>
      </c>
      <c r="B26" s="88" t="str">
        <f>VLOOKUP(Data_PLT[[#This Row],[Hole ID]],Data_Log[],2,FALSE)</f>
        <v>CGF-01</v>
      </c>
      <c r="C26" s="63">
        <f>IF(Data_PLT[[#This Row],[Hole ID]]="","",
IF(COUNTIF($A$4:A26,Data_PLT[[#This Row],[Hole ID]])=1,1,
IF(A26=A25,C25+1,
COUNTIF($A$4:A26,Data_PLT[[#This Row],[Hole ID]]))))</f>
        <v>23</v>
      </c>
      <c r="D26" s="63" t="str">
        <f>IF(Data_PLT[[#This Row],[Hole ID]]="","",Data_PLT[[#This Row],[Hole ID]]&amp;"_"&amp;Data_PLT[[#This Row],[Sample ID]])</f>
        <v>COG-25-08_23</v>
      </c>
      <c r="E26" s="6"/>
      <c r="F26" s="6">
        <v>83.61</v>
      </c>
      <c r="G26" s="63" t="str" cm="1">
        <f t="array" ref="G26">_xlfn.XLOOKUP(1,(A26=Geotech!$A$4:$A$11100)*(Data_PLT[[#This Row],[Depth (m)]]&gt;=Geotech!$C$4:$C$11100)*(Data_PLT[[#This Row],[Depth (m)]]&lt;Geotech!$D$4:$D$11100),Geotech!$M$4:$M$11100)</f>
        <v>Boulamarque granodiorite</v>
      </c>
      <c r="H26" s="6" t="s">
        <v>299</v>
      </c>
      <c r="I26" s="63" t="str">
        <f>VLOOKUP(Data_PLT[[#This Row],[Hole ID]],Data_Log[[Hole ID]:[Core size]],20,FALSE)</f>
        <v>HQ</v>
      </c>
      <c r="J26" s="13">
        <f>VLOOKUP(Data_PLT[[#This Row],[Core Size]],Table_CoreSize[],2,FALSE)</f>
        <v>63.5</v>
      </c>
      <c r="K26" s="19">
        <v>110</v>
      </c>
      <c r="L26" s="19" t="s">
        <v>574</v>
      </c>
      <c r="M26" s="5">
        <v>142.6</v>
      </c>
      <c r="N26" s="5"/>
      <c r="O26" s="6" t="s">
        <v>334</v>
      </c>
      <c r="P26" s="13" t="str">
        <f>IF(Data_PLT[[#This Row],[Failure type]]="","",IF(OR(Data_PLT[[#This Row],[Failure type]]="Invalid",Data_PLT[[#This Row],[Failure type]]="Chipped",Data_PLT[[#This Row],[Failure type]]="Penetrate",Data_PLT[[#This Row],[Failure type]]="Did not break"),"Invalid","Valid"))</f>
        <v>Valid</v>
      </c>
      <c r="Q26" s="6"/>
      <c r="R26" s="11"/>
      <c r="S26" s="13">
        <f>IF(Data_PLT[[#This Row],[Test type]]="Diametral",Data_PLT[[#This Row],[Diameter (mm)]],IF(Data_PLT[[#This Row],[Test type]]="Axial",SQRT(4*Data_PLT[[#This Row],[Diameter (mm)]]*Data_PLT[[#This Row],[Length or width (mm)]]/PI()),"ERROR"))</f>
        <v>63.5</v>
      </c>
      <c r="T26" s="13">
        <f>(Data_PLT[[#This Row],[Load (kN)]]*1000)/Data_PLT[[#This Row],[Equiv. Diam. (mm)]]^2</f>
        <v>0</v>
      </c>
      <c r="U26" s="13">
        <f>(Data_PLT[[#This Row],[Equiv. Diam. (mm)]]/50)^0.45</f>
        <v>1.1135550054708407</v>
      </c>
      <c r="V26" s="13">
        <f>Data_PLT[[#This Row],[Is (MPa)]]*Data_PLT[[#This Row],[F]]</f>
        <v>0</v>
      </c>
      <c r="W26" s="13" t="str">
        <f>Data_PLT[[#This Row],[Failure Validity]]&amp;"-"&amp;Data_PLT[[#This Row],[Test type]]</f>
        <v>Valid-Diametral</v>
      </c>
      <c r="X26" s="13">
        <f>Data_PLT[[#This Row],[Is50 (MPa)]]*VLOOKUP("Min",Table_PLT_Conversion[],2,FALSE)</f>
        <v>0</v>
      </c>
      <c r="Y26" s="13">
        <f>Data_PLT[[#This Row],[Is50 (MPa)]]*VLOOKUP("Avg",Table_PLT_Conversion[],2,FALSE)</f>
        <v>0</v>
      </c>
      <c r="Z26" s="13">
        <f>Data_PLT[[#This Row],[Is50 (MPa)]]*VLOOKUP("Max",Table_PLT_Conversion[],2,FALSE)</f>
        <v>0</v>
      </c>
      <c r="AA26" s="62" t="e">
        <f>MATCH(LOOKUP(Data_PLT[[#This Row],[UCS min (MPa)]],Table_FieldStrength[Min UCS]),Table_FieldStrength[Min UCS],0)-1</f>
        <v>#N/A</v>
      </c>
      <c r="AB26" s="62" t="e">
        <f>MATCH(LOOKUP(Data_PLT[[#This Row],[UCS avg (MPa)]],Table_FieldStrength[Min UCS]),Table_FieldStrength[Min UCS],0)-1</f>
        <v>#N/A</v>
      </c>
      <c r="AC26" s="62" t="e">
        <f>MATCH(LOOKUP(Data_PLT[[#This Row],[UCS max (MPa)]],Table_FieldStrength[Min UCS]),Table_FieldStrength[Min UCS],0)-1</f>
        <v>#N/A</v>
      </c>
      <c r="AD26" s="68" t="e">
        <f>Data_PLT[[#This Row],[Test code]]&amp;"-"&amp;Data_PLT[[#This Row],[UCS min code]]</f>
        <v>#N/A</v>
      </c>
      <c r="AE26" s="68" t="e">
        <f>Data_PLT[[#This Row],[Test code]]&amp;"-"&amp;Data_PLT[[#This Row],[UCS avg code]]</f>
        <v>#N/A</v>
      </c>
      <c r="AF26" s="67" t="e">
        <f>Data_PLT[[#This Row],[Test code]]&amp;"-"&amp;Data_PLT[[#This Row],[UCS max code]]</f>
        <v>#N/A</v>
      </c>
      <c r="AG26" s="67" t="str">
        <f>Data_PLT[[#This Row],[Failure type]]&amp;"-"&amp;Data_PLT[[#This Row],[Test type]]&amp;"-"&amp;(IF(Data_PLT[[#This Row],[Is50 (MPa)]]&lt;1,1,IF(Data_PLT[[#This Row],[Is50 (MPa)]]&lt;2,2,IF(Data_PLT[[#This Row],[Is50 (MPa)]]&lt;4,3,IF(Data_PLT[[#This Row],[Is50 (MPa)]]&lt;8,4,5)))))</f>
        <v>Along bedding/foliation-Diametral-1</v>
      </c>
      <c r="AR26" t="s">
        <v>167</v>
      </c>
      <c r="BG26" t="s">
        <v>168</v>
      </c>
      <c r="BK26" t="s">
        <v>169</v>
      </c>
    </row>
    <row r="27" spans="1:65" x14ac:dyDescent="0.25">
      <c r="A27" t="s">
        <v>26</v>
      </c>
      <c r="B27" s="88" t="str">
        <f>VLOOKUP(Data_PLT[[#This Row],[Hole ID]],Data_Log[],2,FALSE)</f>
        <v>CGF-01</v>
      </c>
      <c r="C27" s="63">
        <f>IF(Data_PLT[[#This Row],[Hole ID]]="","",
IF(COUNTIF($A$4:A27,Data_PLT[[#This Row],[Hole ID]])=1,1,
IF(A27=A26,C26+1,
COUNTIF($A$4:A27,Data_PLT[[#This Row],[Hole ID]]))))</f>
        <v>24</v>
      </c>
      <c r="D27" s="63" t="str">
        <f>IF(Data_PLT[[#This Row],[Hole ID]]="","",Data_PLT[[#This Row],[Hole ID]]&amp;"_"&amp;Data_PLT[[#This Row],[Sample ID]])</f>
        <v>COG-25-08_24</v>
      </c>
      <c r="E27" s="6"/>
      <c r="F27" s="6">
        <v>86.81</v>
      </c>
      <c r="G27" s="63" t="str" cm="1">
        <f t="array" ref="G27">_xlfn.XLOOKUP(1,(A27=Geotech!$A$4:$A$11100)*(Data_PLT[[#This Row],[Depth (m)]]&gt;=Geotech!$C$4:$C$11100)*(Data_PLT[[#This Row],[Depth (m)]]&lt;Geotech!$D$4:$D$11100),Geotech!$M$4:$M$11100)</f>
        <v>Boulamarque granodiorite</v>
      </c>
      <c r="H27" s="6" t="s">
        <v>299</v>
      </c>
      <c r="I27" s="63" t="str">
        <f>VLOOKUP(Data_PLT[[#This Row],[Hole ID]],Data_Log[[Hole ID]:[Core size]],20,FALSE)</f>
        <v>HQ</v>
      </c>
      <c r="J27" s="13">
        <f>VLOOKUP(Data_PLT[[#This Row],[Core Size]],Table_CoreSize[],2,FALSE)</f>
        <v>63.5</v>
      </c>
      <c r="K27" s="19">
        <v>112</v>
      </c>
      <c r="L27" s="19" t="s">
        <v>574</v>
      </c>
      <c r="M27" s="5">
        <v>141</v>
      </c>
      <c r="N27" s="5"/>
      <c r="O27" s="6" t="s">
        <v>334</v>
      </c>
      <c r="P27" s="13" t="str">
        <f>IF(Data_PLT[[#This Row],[Failure type]]="","",IF(OR(Data_PLT[[#This Row],[Failure type]]="Invalid",Data_PLT[[#This Row],[Failure type]]="Chipped",Data_PLT[[#This Row],[Failure type]]="Penetrate",Data_PLT[[#This Row],[Failure type]]="Did not break"),"Invalid","Valid"))</f>
        <v>Valid</v>
      </c>
      <c r="Q27" s="6"/>
      <c r="R27" s="11"/>
      <c r="S27" s="13">
        <f>IF(Data_PLT[[#This Row],[Test type]]="Diametral",Data_PLT[[#This Row],[Diameter (mm)]],IF(Data_PLT[[#This Row],[Test type]]="Axial",SQRT(4*Data_PLT[[#This Row],[Diameter (mm)]]*Data_PLT[[#This Row],[Length or width (mm)]]/PI()),"ERROR"))</f>
        <v>63.5</v>
      </c>
      <c r="T27" s="13">
        <f>(Data_PLT[[#This Row],[Load (kN)]]*1000)/Data_PLT[[#This Row],[Equiv. Diam. (mm)]]^2</f>
        <v>0</v>
      </c>
      <c r="U27" s="13">
        <f>(Data_PLT[[#This Row],[Equiv. Diam. (mm)]]/50)^0.45</f>
        <v>1.1135550054708407</v>
      </c>
      <c r="V27" s="13">
        <f>Data_PLT[[#This Row],[Is (MPa)]]*Data_PLT[[#This Row],[F]]</f>
        <v>0</v>
      </c>
      <c r="W27" s="13" t="str">
        <f>Data_PLT[[#This Row],[Failure Validity]]&amp;"-"&amp;Data_PLT[[#This Row],[Test type]]</f>
        <v>Valid-Diametral</v>
      </c>
      <c r="X27" s="13">
        <f>Data_PLT[[#This Row],[Is50 (MPa)]]*VLOOKUP("Min",Table_PLT_Conversion[],2,FALSE)</f>
        <v>0</v>
      </c>
      <c r="Y27" s="13">
        <f>Data_PLT[[#This Row],[Is50 (MPa)]]*VLOOKUP("Avg",Table_PLT_Conversion[],2,FALSE)</f>
        <v>0</v>
      </c>
      <c r="Z27" s="13">
        <f>Data_PLT[[#This Row],[Is50 (MPa)]]*VLOOKUP("Max",Table_PLT_Conversion[],2,FALSE)</f>
        <v>0</v>
      </c>
      <c r="AA27" s="62" t="e">
        <f>MATCH(LOOKUP(Data_PLT[[#This Row],[UCS min (MPa)]],Table_FieldStrength[Min UCS]),Table_FieldStrength[Min UCS],0)-1</f>
        <v>#N/A</v>
      </c>
      <c r="AB27" s="62" t="e">
        <f>MATCH(LOOKUP(Data_PLT[[#This Row],[UCS avg (MPa)]],Table_FieldStrength[Min UCS]),Table_FieldStrength[Min UCS],0)-1</f>
        <v>#N/A</v>
      </c>
      <c r="AC27" s="62" t="e">
        <f>MATCH(LOOKUP(Data_PLT[[#This Row],[UCS max (MPa)]],Table_FieldStrength[Min UCS]),Table_FieldStrength[Min UCS],0)-1</f>
        <v>#N/A</v>
      </c>
      <c r="AD27" s="68" t="e">
        <f>Data_PLT[[#This Row],[Test code]]&amp;"-"&amp;Data_PLT[[#This Row],[UCS min code]]</f>
        <v>#N/A</v>
      </c>
      <c r="AE27" s="68" t="e">
        <f>Data_PLT[[#This Row],[Test code]]&amp;"-"&amp;Data_PLT[[#This Row],[UCS avg code]]</f>
        <v>#N/A</v>
      </c>
      <c r="AF27" s="67" t="e">
        <f>Data_PLT[[#This Row],[Test code]]&amp;"-"&amp;Data_PLT[[#This Row],[UCS max code]]</f>
        <v>#N/A</v>
      </c>
      <c r="AG27" s="67" t="str">
        <f>Data_PLT[[#This Row],[Failure type]]&amp;"-"&amp;Data_PLT[[#This Row],[Test type]]&amp;"-"&amp;(IF(Data_PLT[[#This Row],[Is50 (MPa)]]&lt;1,1,IF(Data_PLT[[#This Row],[Is50 (MPa)]]&lt;2,2,IF(Data_PLT[[#This Row],[Is50 (MPa)]]&lt;4,3,IF(Data_PLT[[#This Row],[Is50 (MPa)]]&lt;8,4,5)))))</f>
        <v>Along bedding/foliation-Diametral-1</v>
      </c>
      <c r="AR27" t="s">
        <v>161</v>
      </c>
      <c r="AS27">
        <f>COUNTIFS(Data_PLT[Failure type],"Valid",Data_PLT[Lithology],"Amphibolite")</f>
        <v>0</v>
      </c>
      <c r="AT27" s="146" t="e">
        <f>AS27/SUM($AS$27:$AS$32)</f>
        <v>#DIV/0!</v>
      </c>
      <c r="BG27" t="s">
        <v>161</v>
      </c>
      <c r="BH27">
        <f>COUNTIFS(Data_PLT[Failure type],"Valid",Data_PLT[Lithology],"Ultramafic Undifferentiated")</f>
        <v>0</v>
      </c>
      <c r="BI27" s="146" t="e">
        <f>BH27/SUM($BH$27:$BH$32)</f>
        <v>#DIV/0!</v>
      </c>
      <c r="BK27" t="s">
        <v>161</v>
      </c>
      <c r="BL27">
        <f>COUNTIFS(Data_PLT[Failure type],"Valid",Data_PLT[Lithology],"Pegmatite")</f>
        <v>0</v>
      </c>
      <c r="BM27" s="146" t="e">
        <f>BL27/SUM($BL$27:$BL$32)</f>
        <v>#DIV/0!</v>
      </c>
    </row>
    <row r="28" spans="1:65" x14ac:dyDescent="0.25">
      <c r="A28" t="s">
        <v>26</v>
      </c>
      <c r="B28" s="88" t="str">
        <f>VLOOKUP(Data_PLT[[#This Row],[Hole ID]],Data_Log[],2,FALSE)</f>
        <v>CGF-01</v>
      </c>
      <c r="C28" s="63">
        <f>IF(Data_PLT[[#This Row],[Hole ID]]="","",
IF(COUNTIF($A$4:A28,Data_PLT[[#This Row],[Hole ID]])=1,1,
IF(A28=A27,C27+1,
COUNTIF($A$4:A28,Data_PLT[[#This Row],[Hole ID]]))))</f>
        <v>25</v>
      </c>
      <c r="D28" s="63" t="str">
        <f>IF(Data_PLT[[#This Row],[Hole ID]]="","",Data_PLT[[#This Row],[Hole ID]]&amp;"_"&amp;Data_PLT[[#This Row],[Sample ID]])</f>
        <v>COG-25-08_25</v>
      </c>
      <c r="E28" s="6"/>
      <c r="F28" s="6">
        <v>87.2</v>
      </c>
      <c r="G28" s="63" t="str" cm="1">
        <f t="array" ref="G28">_xlfn.XLOOKUP(1,(A28=Geotech!$A$4:$A$11100)*(Data_PLT[[#This Row],[Depth (m)]]&gt;=Geotech!$C$4:$C$11100)*(Data_PLT[[#This Row],[Depth (m)]]&lt;Geotech!$D$4:$D$11100),Geotech!$M$4:$M$11100)</f>
        <v>Boulamarque granodiorite</v>
      </c>
      <c r="H28" s="6" t="s">
        <v>299</v>
      </c>
      <c r="I28" s="63" t="str">
        <f>VLOOKUP(Data_PLT[[#This Row],[Hole ID]],Data_Log[[Hole ID]:[Core size]],20,FALSE)</f>
        <v>HQ</v>
      </c>
      <c r="J28" s="13">
        <f>VLOOKUP(Data_PLT[[#This Row],[Core Size]],Table_CoreSize[],2,FALSE)</f>
        <v>63.5</v>
      </c>
      <c r="K28" s="19">
        <v>137</v>
      </c>
      <c r="L28" s="19" t="s">
        <v>574</v>
      </c>
      <c r="M28" s="5">
        <v>10</v>
      </c>
      <c r="N28" s="5"/>
      <c r="O28" s="6" t="s">
        <v>334</v>
      </c>
      <c r="P28" s="13" t="str">
        <f>IF(Data_PLT[[#This Row],[Failure type]]="","",IF(OR(Data_PLT[[#This Row],[Failure type]]="Invalid",Data_PLT[[#This Row],[Failure type]]="Chipped",Data_PLT[[#This Row],[Failure type]]="Penetrate",Data_PLT[[#This Row],[Failure type]]="Did not break"),"Invalid","Valid"))</f>
        <v>Valid</v>
      </c>
      <c r="Q28" s="6"/>
      <c r="R28" s="11"/>
      <c r="S28" s="13">
        <f>IF(Data_PLT[[#This Row],[Test type]]="Diametral",Data_PLT[[#This Row],[Diameter (mm)]],IF(Data_PLT[[#This Row],[Test type]]="Axial",SQRT(4*Data_PLT[[#This Row],[Diameter (mm)]]*Data_PLT[[#This Row],[Length or width (mm)]]/PI()),"ERROR"))</f>
        <v>63.5</v>
      </c>
      <c r="T28" s="13">
        <f>(Data_PLT[[#This Row],[Load (kN)]]*1000)/Data_PLT[[#This Row],[Equiv. Diam. (mm)]]^2</f>
        <v>0</v>
      </c>
      <c r="U28" s="13">
        <f>(Data_PLT[[#This Row],[Equiv. Diam. (mm)]]/50)^0.45</f>
        <v>1.1135550054708407</v>
      </c>
      <c r="V28" s="13">
        <f>Data_PLT[[#This Row],[Is (MPa)]]*Data_PLT[[#This Row],[F]]</f>
        <v>0</v>
      </c>
      <c r="W28" s="13" t="str">
        <f>Data_PLT[[#This Row],[Failure Validity]]&amp;"-"&amp;Data_PLT[[#This Row],[Test type]]</f>
        <v>Valid-Diametral</v>
      </c>
      <c r="X28" s="13">
        <f>Data_PLT[[#This Row],[Is50 (MPa)]]*VLOOKUP("Min",Table_PLT_Conversion[],2,FALSE)</f>
        <v>0</v>
      </c>
      <c r="Y28" s="13">
        <f>Data_PLT[[#This Row],[Is50 (MPa)]]*VLOOKUP("Avg",Table_PLT_Conversion[],2,FALSE)</f>
        <v>0</v>
      </c>
      <c r="Z28" s="13">
        <f>Data_PLT[[#This Row],[Is50 (MPa)]]*VLOOKUP("Max",Table_PLT_Conversion[],2,FALSE)</f>
        <v>0</v>
      </c>
      <c r="AA28" s="62" t="e">
        <f>MATCH(LOOKUP(Data_PLT[[#This Row],[UCS min (MPa)]],Table_FieldStrength[Min UCS]),Table_FieldStrength[Min UCS],0)-1</f>
        <v>#N/A</v>
      </c>
      <c r="AB28" s="62" t="e">
        <f>MATCH(LOOKUP(Data_PLT[[#This Row],[UCS avg (MPa)]],Table_FieldStrength[Min UCS]),Table_FieldStrength[Min UCS],0)-1</f>
        <v>#N/A</v>
      </c>
      <c r="AC28" s="62" t="e">
        <f>MATCH(LOOKUP(Data_PLT[[#This Row],[UCS max (MPa)]],Table_FieldStrength[Min UCS]),Table_FieldStrength[Min UCS],0)-1</f>
        <v>#N/A</v>
      </c>
      <c r="AD28" s="68" t="e">
        <f>Data_PLT[[#This Row],[Test code]]&amp;"-"&amp;Data_PLT[[#This Row],[UCS min code]]</f>
        <v>#N/A</v>
      </c>
      <c r="AE28" s="68" t="e">
        <f>Data_PLT[[#This Row],[Test code]]&amp;"-"&amp;Data_PLT[[#This Row],[UCS avg code]]</f>
        <v>#N/A</v>
      </c>
      <c r="AF28" s="67" t="e">
        <f>Data_PLT[[#This Row],[Test code]]&amp;"-"&amp;Data_PLT[[#This Row],[UCS max code]]</f>
        <v>#N/A</v>
      </c>
      <c r="AG28" s="67" t="str">
        <f>Data_PLT[[#This Row],[Failure type]]&amp;"-"&amp;Data_PLT[[#This Row],[Test type]]&amp;"-"&amp;(IF(Data_PLT[[#This Row],[Is50 (MPa)]]&lt;1,1,IF(Data_PLT[[#This Row],[Is50 (MPa)]]&lt;2,2,IF(Data_PLT[[#This Row],[Is50 (MPa)]]&lt;4,3,IF(Data_PLT[[#This Row],[Is50 (MPa)]]&lt;8,4,5)))))</f>
        <v>Along bedding/foliation-Diametral-1</v>
      </c>
      <c r="AR28" t="s">
        <v>162</v>
      </c>
      <c r="AS28">
        <f>COUNTIFS(Data_PLT[Failure type],"Penetrate",Data_PLT[Lithology],"Amphibolite")</f>
        <v>0</v>
      </c>
      <c r="AT28" s="146" t="e">
        <f t="shared" ref="AT28:AT32" si="2">AS28/SUM($AS$27:$AS$32)</f>
        <v>#DIV/0!</v>
      </c>
      <c r="BG28" t="s">
        <v>162</v>
      </c>
      <c r="BH28">
        <f>COUNTIFS(Data_PLT[Failure type],"Penetrate",Data_PLT[Lithology],"Ultramafic Undifferentiated")</f>
        <v>0</v>
      </c>
      <c r="BI28" s="146" t="e">
        <f t="shared" ref="BI28:BI32" si="3">BH28/SUM($BH$27:$BH$32)</f>
        <v>#DIV/0!</v>
      </c>
      <c r="BK28" t="s">
        <v>162</v>
      </c>
      <c r="BL28">
        <f>COUNTIFS(Data_PLT[Failure type],"Penetrate",Data_PLT[Lithology],"Pegmatite")</f>
        <v>0</v>
      </c>
      <c r="BM28" s="146" t="e">
        <f t="shared" ref="BM28:BM32" si="4">BL28/SUM($BL$27:$BL$32)</f>
        <v>#DIV/0!</v>
      </c>
    </row>
    <row r="29" spans="1:65" x14ac:dyDescent="0.25">
      <c r="A29" t="s">
        <v>26</v>
      </c>
      <c r="B29" s="88" t="str">
        <f>VLOOKUP(Data_PLT[[#This Row],[Hole ID]],Data_Log[],2,FALSE)</f>
        <v>CGF-01</v>
      </c>
      <c r="C29" s="63">
        <f>IF(Data_PLT[[#This Row],[Hole ID]]="","",
IF(COUNTIF($A$4:A29,Data_PLT[[#This Row],[Hole ID]])=1,1,
IF(A29=A28,C28+1,
COUNTIF($A$4:A29,Data_PLT[[#This Row],[Hole ID]]))))</f>
        <v>26</v>
      </c>
      <c r="D29" s="63" t="str">
        <f>IF(Data_PLT[[#This Row],[Hole ID]]="","",Data_PLT[[#This Row],[Hole ID]]&amp;"_"&amp;Data_PLT[[#This Row],[Sample ID]])</f>
        <v>COG-25-08_26</v>
      </c>
      <c r="E29" s="6"/>
      <c r="F29" s="6">
        <v>87.27</v>
      </c>
      <c r="G29" s="63" t="str" cm="1">
        <f t="array" ref="G29">_xlfn.XLOOKUP(1,(A29=Geotech!$A$4:$A$11100)*(Data_PLT[[#This Row],[Depth (m)]]&gt;=Geotech!$C$4:$C$11100)*(Data_PLT[[#This Row],[Depth (m)]]&lt;Geotech!$D$4:$D$11100),Geotech!$M$4:$M$11100)</f>
        <v>Boulamarque granodiorite</v>
      </c>
      <c r="H29" s="6" t="s">
        <v>267</v>
      </c>
      <c r="I29" s="63" t="str">
        <f>VLOOKUP(Data_PLT[[#This Row],[Hole ID]],Data_Log[[Hole ID]:[Core size]],20,FALSE)</f>
        <v>HQ</v>
      </c>
      <c r="J29" s="13">
        <f>VLOOKUP(Data_PLT[[#This Row],[Core Size]],Table_CoreSize[],2,FALSE)</f>
        <v>63.5</v>
      </c>
      <c r="K29" s="19">
        <v>40</v>
      </c>
      <c r="L29" s="19" t="s">
        <v>574</v>
      </c>
      <c r="M29" s="5">
        <v>299.8</v>
      </c>
      <c r="N29" s="5"/>
      <c r="O29" s="6" t="s">
        <v>165</v>
      </c>
      <c r="P29" s="13" t="str">
        <f>IF(Data_PLT[[#This Row],[Failure type]]="","",IF(OR(Data_PLT[[#This Row],[Failure type]]="Invalid",Data_PLT[[#This Row],[Failure type]]="Chipped",Data_PLT[[#This Row],[Failure type]]="Penetrate",Data_PLT[[#This Row],[Failure type]]="Did not break"),"Invalid","Valid"))</f>
        <v>Invalid</v>
      </c>
      <c r="Q29" s="6"/>
      <c r="R29" s="11"/>
      <c r="S29" s="13">
        <f>IF(Data_PLT[[#This Row],[Test type]]="Diametral",Data_PLT[[#This Row],[Diameter (mm)]],IF(Data_PLT[[#This Row],[Test type]]="Axial",SQRT(4*Data_PLT[[#This Row],[Diameter (mm)]]*Data_PLT[[#This Row],[Length or width (mm)]]/PI()),"ERROR"))</f>
        <v>56.868518915365762</v>
      </c>
      <c r="T29" s="13">
        <f>(Data_PLT[[#This Row],[Load (kN)]]*1000)/Data_PLT[[#This Row],[Equiv. Diam. (mm)]]^2</f>
        <v>0</v>
      </c>
      <c r="U29" s="13">
        <f>(Data_PLT[[#This Row],[Equiv. Diam. (mm)]]/50)^0.45</f>
        <v>1.0596339417358402</v>
      </c>
      <c r="V29" s="13">
        <f>Data_PLT[[#This Row],[Is (MPa)]]*Data_PLT[[#This Row],[F]]</f>
        <v>0</v>
      </c>
      <c r="W29" s="13" t="str">
        <f>Data_PLT[[#This Row],[Failure Validity]]&amp;"-"&amp;Data_PLT[[#This Row],[Test type]]</f>
        <v>Invalid-Axial</v>
      </c>
      <c r="X29" s="13">
        <f>Data_PLT[[#This Row],[Is50 (MPa)]]*VLOOKUP("Min",Table_PLT_Conversion[],2,FALSE)</f>
        <v>0</v>
      </c>
      <c r="Y29" s="13">
        <f>Data_PLT[[#This Row],[Is50 (MPa)]]*VLOOKUP("Avg",Table_PLT_Conversion[],2,FALSE)</f>
        <v>0</v>
      </c>
      <c r="Z29" s="13">
        <f>Data_PLT[[#This Row],[Is50 (MPa)]]*VLOOKUP("Max",Table_PLT_Conversion[],2,FALSE)</f>
        <v>0</v>
      </c>
      <c r="AA29" s="62" t="e">
        <f>MATCH(LOOKUP(Data_PLT[[#This Row],[UCS min (MPa)]],Table_FieldStrength[Min UCS]),Table_FieldStrength[Min UCS],0)-1</f>
        <v>#N/A</v>
      </c>
      <c r="AB29" s="62" t="e">
        <f>MATCH(LOOKUP(Data_PLT[[#This Row],[UCS avg (MPa)]],Table_FieldStrength[Min UCS]),Table_FieldStrength[Min UCS],0)-1</f>
        <v>#N/A</v>
      </c>
      <c r="AC29" s="62" t="e">
        <f>MATCH(LOOKUP(Data_PLT[[#This Row],[UCS max (MPa)]],Table_FieldStrength[Min UCS]),Table_FieldStrength[Min UCS],0)-1</f>
        <v>#N/A</v>
      </c>
      <c r="AD29" s="68" t="e">
        <f>Data_PLT[[#This Row],[Test code]]&amp;"-"&amp;Data_PLT[[#This Row],[UCS min code]]</f>
        <v>#N/A</v>
      </c>
      <c r="AE29" s="68" t="e">
        <f>Data_PLT[[#This Row],[Test code]]&amp;"-"&amp;Data_PLT[[#This Row],[UCS avg code]]</f>
        <v>#N/A</v>
      </c>
      <c r="AF29" s="67" t="e">
        <f>Data_PLT[[#This Row],[Test code]]&amp;"-"&amp;Data_PLT[[#This Row],[UCS max code]]</f>
        <v>#N/A</v>
      </c>
      <c r="AG29" s="67" t="str">
        <f>Data_PLT[[#This Row],[Failure type]]&amp;"-"&amp;Data_PLT[[#This Row],[Test type]]&amp;"-"&amp;(IF(Data_PLT[[#This Row],[Is50 (MPa)]]&lt;1,1,IF(Data_PLT[[#This Row],[Is50 (MPa)]]&lt;2,2,IF(Data_PLT[[#This Row],[Is50 (MPa)]]&lt;4,3,IF(Data_PLT[[#This Row],[Is50 (MPa)]]&lt;8,4,5)))))</f>
        <v>Chipped-Axial-1</v>
      </c>
      <c r="AR29" t="s">
        <v>163</v>
      </c>
      <c r="AS29">
        <f>COUNTIFS(Data_PLT[Failure type],"Broke along MD",Data_PLT[Lithology],"Amphibolite")</f>
        <v>0</v>
      </c>
      <c r="AT29" s="146" t="e">
        <f t="shared" si="2"/>
        <v>#DIV/0!</v>
      </c>
      <c r="BG29" t="s">
        <v>163</v>
      </c>
      <c r="BH29">
        <f>COUNTIFS(Data_PLT[Failure type],"Broke along MD",Data_PLT[Lithology],"Ultramafic Undifferentiated")</f>
        <v>0</v>
      </c>
      <c r="BI29" s="146" t="e">
        <f t="shared" si="3"/>
        <v>#DIV/0!</v>
      </c>
      <c r="BK29" t="s">
        <v>163</v>
      </c>
      <c r="BL29">
        <f>COUNTIFS(Data_PLT[Failure type],"Broke along MD",Data_PLT[Lithology],"Pegmatite")</f>
        <v>0</v>
      </c>
      <c r="BM29" s="146" t="e">
        <f t="shared" si="4"/>
        <v>#DIV/0!</v>
      </c>
    </row>
    <row r="30" spans="1:65" x14ac:dyDescent="0.25">
      <c r="A30" t="s">
        <v>26</v>
      </c>
      <c r="B30" s="88" t="str">
        <f>VLOOKUP(Data_PLT[[#This Row],[Hole ID]],Data_Log[],2,FALSE)</f>
        <v>CGF-01</v>
      </c>
      <c r="C30" s="63">
        <f>IF(Data_PLT[[#This Row],[Hole ID]]="","",
IF(COUNTIF($A$4:A30,Data_PLT[[#This Row],[Hole ID]])=1,1,
IF(A30=A29,C29+1,
COUNTIF($A$4:A30,Data_PLT[[#This Row],[Hole ID]]))))</f>
        <v>27</v>
      </c>
      <c r="D30" s="63" t="str">
        <f>IF(Data_PLT[[#This Row],[Hole ID]]="","",Data_PLT[[#This Row],[Hole ID]]&amp;"_"&amp;Data_PLT[[#This Row],[Sample ID]])</f>
        <v>COG-25-08_27</v>
      </c>
      <c r="E30" s="6"/>
      <c r="F30" s="6">
        <v>91.98</v>
      </c>
      <c r="G30" s="63" t="str" cm="1">
        <f t="array" ref="G30">_xlfn.XLOOKUP(1,(A30=Geotech!$A$4:$A$11100)*(Data_PLT[[#This Row],[Depth (m)]]&gt;=Geotech!$C$4:$C$11100)*(Data_PLT[[#This Row],[Depth (m)]]&lt;Geotech!$D$4:$D$11100),Geotech!$M$4:$M$11100)</f>
        <v>Boulamarque granodiorite</v>
      </c>
      <c r="H30" s="6" t="s">
        <v>299</v>
      </c>
      <c r="I30" s="63" t="str">
        <f>VLOOKUP(Data_PLT[[#This Row],[Hole ID]],Data_Log[[Hole ID]:[Core size]],20,FALSE)</f>
        <v>HQ</v>
      </c>
      <c r="J30" s="13">
        <f>VLOOKUP(Data_PLT[[#This Row],[Core Size]],Table_CoreSize[],2,FALSE)</f>
        <v>63.5</v>
      </c>
      <c r="K30" s="19">
        <v>90</v>
      </c>
      <c r="L30" s="19" t="s">
        <v>574</v>
      </c>
      <c r="M30" s="5">
        <v>217</v>
      </c>
      <c r="N30" s="5"/>
      <c r="O30" s="6" t="s">
        <v>334</v>
      </c>
      <c r="P30" s="13" t="str">
        <f>IF(Data_PLT[[#This Row],[Failure type]]="","",IF(OR(Data_PLT[[#This Row],[Failure type]]="Invalid",Data_PLT[[#This Row],[Failure type]]="Chipped",Data_PLT[[#This Row],[Failure type]]="Penetrate",Data_PLT[[#This Row],[Failure type]]="Did not break"),"Invalid","Valid"))</f>
        <v>Valid</v>
      </c>
      <c r="Q30" s="6"/>
      <c r="R30" s="11"/>
      <c r="S30" s="13">
        <f>IF(Data_PLT[[#This Row],[Test type]]="Diametral",Data_PLT[[#This Row],[Diameter (mm)]],IF(Data_PLT[[#This Row],[Test type]]="Axial",SQRT(4*Data_PLT[[#This Row],[Diameter (mm)]]*Data_PLT[[#This Row],[Length or width (mm)]]/PI()),"ERROR"))</f>
        <v>63.5</v>
      </c>
      <c r="T30" s="13">
        <f>(Data_PLT[[#This Row],[Load (kN)]]*1000)/Data_PLT[[#This Row],[Equiv. Diam. (mm)]]^2</f>
        <v>0</v>
      </c>
      <c r="U30" s="13">
        <f>(Data_PLT[[#This Row],[Equiv. Diam. (mm)]]/50)^0.45</f>
        <v>1.1135550054708407</v>
      </c>
      <c r="V30" s="13">
        <f>Data_PLT[[#This Row],[Is (MPa)]]*Data_PLT[[#This Row],[F]]</f>
        <v>0</v>
      </c>
      <c r="W30" s="13" t="str">
        <f>Data_PLT[[#This Row],[Failure Validity]]&amp;"-"&amp;Data_PLT[[#This Row],[Test type]]</f>
        <v>Valid-Diametral</v>
      </c>
      <c r="X30" s="13">
        <f>Data_PLT[[#This Row],[Is50 (MPa)]]*VLOOKUP("Min",Table_PLT_Conversion[],2,FALSE)</f>
        <v>0</v>
      </c>
      <c r="Y30" s="13">
        <f>Data_PLT[[#This Row],[Is50 (MPa)]]*VLOOKUP("Avg",Table_PLT_Conversion[],2,FALSE)</f>
        <v>0</v>
      </c>
      <c r="Z30" s="13">
        <f>Data_PLT[[#This Row],[Is50 (MPa)]]*VLOOKUP("Max",Table_PLT_Conversion[],2,FALSE)</f>
        <v>0</v>
      </c>
      <c r="AA30" s="62" t="e">
        <f>MATCH(LOOKUP(Data_PLT[[#This Row],[UCS min (MPa)]],Table_FieldStrength[Min UCS]),Table_FieldStrength[Min UCS],0)-1</f>
        <v>#N/A</v>
      </c>
      <c r="AB30" s="62" t="e">
        <f>MATCH(LOOKUP(Data_PLT[[#This Row],[UCS avg (MPa)]],Table_FieldStrength[Min UCS]),Table_FieldStrength[Min UCS],0)-1</f>
        <v>#N/A</v>
      </c>
      <c r="AC30" s="62" t="e">
        <f>MATCH(LOOKUP(Data_PLT[[#This Row],[UCS max (MPa)]],Table_FieldStrength[Min UCS]),Table_FieldStrength[Min UCS],0)-1</f>
        <v>#N/A</v>
      </c>
      <c r="AD30" s="68" t="e">
        <f>Data_PLT[[#This Row],[Test code]]&amp;"-"&amp;Data_PLT[[#This Row],[UCS min code]]</f>
        <v>#N/A</v>
      </c>
      <c r="AE30" s="68" t="e">
        <f>Data_PLT[[#This Row],[Test code]]&amp;"-"&amp;Data_PLT[[#This Row],[UCS avg code]]</f>
        <v>#N/A</v>
      </c>
      <c r="AF30" s="67" t="e">
        <f>Data_PLT[[#This Row],[Test code]]&amp;"-"&amp;Data_PLT[[#This Row],[UCS max code]]</f>
        <v>#N/A</v>
      </c>
      <c r="AG30" s="67" t="str">
        <f>Data_PLT[[#This Row],[Failure type]]&amp;"-"&amp;Data_PLT[[#This Row],[Test type]]&amp;"-"&amp;(IF(Data_PLT[[#This Row],[Is50 (MPa)]]&lt;1,1,IF(Data_PLT[[#This Row],[Is50 (MPa)]]&lt;2,2,IF(Data_PLT[[#This Row],[Is50 (MPa)]]&lt;4,3,IF(Data_PLT[[#This Row],[Is50 (MPa)]]&lt;8,4,5)))))</f>
        <v>Along bedding/foliation-Diametral-1</v>
      </c>
      <c r="AR30" t="s">
        <v>164</v>
      </c>
      <c r="AS30">
        <f>COUNTIFS(Data_PLT[Failure type],"Along bedding",Data_PLT[Lithology],"Amphibolite")</f>
        <v>0</v>
      </c>
      <c r="AT30" s="146" t="e">
        <f t="shared" si="2"/>
        <v>#DIV/0!</v>
      </c>
      <c r="BG30" t="s">
        <v>164</v>
      </c>
      <c r="BH30">
        <f>COUNTIFS(Data_PLT[Failure type],"Along bedding",Data_PLT[Lithology],"Ultramafic Undifferentiated")</f>
        <v>0</v>
      </c>
      <c r="BI30" s="146" t="e">
        <f t="shared" si="3"/>
        <v>#DIV/0!</v>
      </c>
      <c r="BK30" t="s">
        <v>164</v>
      </c>
      <c r="BL30">
        <f>COUNTIFS(Data_PLT[Failure type],"Along bedding",Data_PLT[Lithology],"Pegmatite")</f>
        <v>0</v>
      </c>
      <c r="BM30" s="146" t="e">
        <f t="shared" si="4"/>
        <v>#DIV/0!</v>
      </c>
    </row>
    <row r="31" spans="1:65" x14ac:dyDescent="0.25">
      <c r="A31" t="s">
        <v>26</v>
      </c>
      <c r="B31" s="88" t="str">
        <f>VLOOKUP(Data_PLT[[#This Row],[Hole ID]],Data_Log[],2,FALSE)</f>
        <v>CGF-01</v>
      </c>
      <c r="C31" s="63">
        <f>IF(Data_PLT[[#This Row],[Hole ID]]="","",
IF(COUNTIF($A$4:A31,Data_PLT[[#This Row],[Hole ID]])=1,1,
IF(A31=A30,C30+1,
COUNTIF($A$4:A31,Data_PLT[[#This Row],[Hole ID]]))))</f>
        <v>28</v>
      </c>
      <c r="D31" s="63" t="str">
        <f>IF(Data_PLT[[#This Row],[Hole ID]]="","",Data_PLT[[#This Row],[Hole ID]]&amp;"_"&amp;Data_PLT[[#This Row],[Sample ID]])</f>
        <v>COG-25-08_28</v>
      </c>
      <c r="E31" s="6"/>
      <c r="F31" s="6">
        <v>93.28</v>
      </c>
      <c r="G31" s="63" t="str" cm="1">
        <f t="array" ref="G31">_xlfn.XLOOKUP(1,(A31=Geotech!$A$4:$A$11100)*(Data_PLT[[#This Row],[Depth (m)]]&gt;=Geotech!$C$4:$C$11100)*(Data_PLT[[#This Row],[Depth (m)]]&lt;Geotech!$D$4:$D$11100),Geotech!$M$4:$M$11100)</f>
        <v>Boulamarque granodiorite</v>
      </c>
      <c r="H31" s="6" t="s">
        <v>299</v>
      </c>
      <c r="I31" s="63" t="str">
        <f>VLOOKUP(Data_PLT[[#This Row],[Hole ID]],Data_Log[[Hole ID]:[Core size]],20,FALSE)</f>
        <v>HQ</v>
      </c>
      <c r="J31" s="13">
        <f>VLOOKUP(Data_PLT[[#This Row],[Core Size]],Table_CoreSize[],2,FALSE)</f>
        <v>63.5</v>
      </c>
      <c r="K31" s="19">
        <v>80</v>
      </c>
      <c r="L31" s="19" t="s">
        <v>574</v>
      </c>
      <c r="M31" s="5">
        <v>133.80000000000001</v>
      </c>
      <c r="N31" s="5"/>
      <c r="O31" s="6" t="s">
        <v>165</v>
      </c>
      <c r="P31" s="13" t="str">
        <f>IF(Data_PLT[[#This Row],[Failure type]]="","",IF(OR(Data_PLT[[#This Row],[Failure type]]="Invalid",Data_PLT[[#This Row],[Failure type]]="Chipped",Data_PLT[[#This Row],[Failure type]]="Penetrate",Data_PLT[[#This Row],[Failure type]]="Did not break"),"Invalid","Valid"))</f>
        <v>Invalid</v>
      </c>
      <c r="Q31" s="6"/>
      <c r="R31" s="11"/>
      <c r="S31" s="13">
        <f>IF(Data_PLT[[#This Row],[Test type]]="Diametral",Data_PLT[[#This Row],[Diameter (mm)]],IF(Data_PLT[[#This Row],[Test type]]="Axial",SQRT(4*Data_PLT[[#This Row],[Diameter (mm)]]*Data_PLT[[#This Row],[Length or width (mm)]]/PI()),"ERROR"))</f>
        <v>63.5</v>
      </c>
      <c r="T31" s="13">
        <f>(Data_PLT[[#This Row],[Load (kN)]]*1000)/Data_PLT[[#This Row],[Equiv. Diam. (mm)]]^2</f>
        <v>0</v>
      </c>
      <c r="U31" s="13">
        <f>(Data_PLT[[#This Row],[Equiv. Diam. (mm)]]/50)^0.45</f>
        <v>1.1135550054708407</v>
      </c>
      <c r="V31" s="13">
        <f>Data_PLT[[#This Row],[Is (MPa)]]*Data_PLT[[#This Row],[F]]</f>
        <v>0</v>
      </c>
      <c r="W31" s="13" t="str">
        <f>Data_PLT[[#This Row],[Failure Validity]]&amp;"-"&amp;Data_PLT[[#This Row],[Test type]]</f>
        <v>Invalid-Diametral</v>
      </c>
      <c r="X31" s="13">
        <f>Data_PLT[[#This Row],[Is50 (MPa)]]*VLOOKUP("Min",Table_PLT_Conversion[],2,FALSE)</f>
        <v>0</v>
      </c>
      <c r="Y31" s="13">
        <f>Data_PLT[[#This Row],[Is50 (MPa)]]*VLOOKUP("Avg",Table_PLT_Conversion[],2,FALSE)</f>
        <v>0</v>
      </c>
      <c r="Z31" s="13">
        <f>Data_PLT[[#This Row],[Is50 (MPa)]]*VLOOKUP("Max",Table_PLT_Conversion[],2,FALSE)</f>
        <v>0</v>
      </c>
      <c r="AA31" s="62" t="e">
        <f>MATCH(LOOKUP(Data_PLT[[#This Row],[UCS min (MPa)]],Table_FieldStrength[Min UCS]),Table_FieldStrength[Min UCS],0)-1</f>
        <v>#N/A</v>
      </c>
      <c r="AB31" s="62" t="e">
        <f>MATCH(LOOKUP(Data_PLT[[#This Row],[UCS avg (MPa)]],Table_FieldStrength[Min UCS]),Table_FieldStrength[Min UCS],0)-1</f>
        <v>#N/A</v>
      </c>
      <c r="AC31" s="62" t="e">
        <f>MATCH(LOOKUP(Data_PLT[[#This Row],[UCS max (MPa)]],Table_FieldStrength[Min UCS]),Table_FieldStrength[Min UCS],0)-1</f>
        <v>#N/A</v>
      </c>
      <c r="AD31" s="68" t="e">
        <f>Data_PLT[[#This Row],[Test code]]&amp;"-"&amp;Data_PLT[[#This Row],[UCS min code]]</f>
        <v>#N/A</v>
      </c>
      <c r="AE31" s="68" t="e">
        <f>Data_PLT[[#This Row],[Test code]]&amp;"-"&amp;Data_PLT[[#This Row],[UCS avg code]]</f>
        <v>#N/A</v>
      </c>
      <c r="AF31" s="67" t="e">
        <f>Data_PLT[[#This Row],[Test code]]&amp;"-"&amp;Data_PLT[[#This Row],[UCS max code]]</f>
        <v>#N/A</v>
      </c>
      <c r="AG31" s="67" t="str">
        <f>Data_PLT[[#This Row],[Failure type]]&amp;"-"&amp;Data_PLT[[#This Row],[Test type]]&amp;"-"&amp;(IF(Data_PLT[[#This Row],[Is50 (MPa)]]&lt;1,1,IF(Data_PLT[[#This Row],[Is50 (MPa)]]&lt;2,2,IF(Data_PLT[[#This Row],[Is50 (MPa)]]&lt;4,3,IF(Data_PLT[[#This Row],[Is50 (MPa)]]&lt;8,4,5)))))</f>
        <v>Chipped-Diametral-1</v>
      </c>
      <c r="AR31" t="s">
        <v>165</v>
      </c>
      <c r="AS31">
        <f>COUNTIFS(Data_PLT[Failure type],"Chipped",Data_PLT[Lithology],"Amphibolite")</f>
        <v>0</v>
      </c>
      <c r="AT31" s="146" t="e">
        <f t="shared" si="2"/>
        <v>#DIV/0!</v>
      </c>
      <c r="BG31" t="s">
        <v>165</v>
      </c>
      <c r="BH31">
        <f>COUNTIFS(Data_PLT[Failure type],"Chipped",Data_PLT[Lithology],"Ultramafic Undifferentiated")</f>
        <v>0</v>
      </c>
      <c r="BI31" s="146" t="e">
        <f t="shared" si="3"/>
        <v>#DIV/0!</v>
      </c>
      <c r="BK31" t="s">
        <v>165</v>
      </c>
      <c r="BL31">
        <f>COUNTIFS(Data_PLT[Failure type],"Chipped",Data_PLT[Lithology],"Pegmatite")</f>
        <v>0</v>
      </c>
      <c r="BM31" s="146" t="e">
        <f t="shared" si="4"/>
        <v>#DIV/0!</v>
      </c>
    </row>
    <row r="32" spans="1:65" x14ac:dyDescent="0.25">
      <c r="A32" t="s">
        <v>26</v>
      </c>
      <c r="B32" s="88" t="str">
        <f>VLOOKUP(Data_PLT[[#This Row],[Hole ID]],Data_Log[],2,FALSE)</f>
        <v>CGF-01</v>
      </c>
      <c r="C32" s="63">
        <f>IF(Data_PLT[[#This Row],[Hole ID]]="","",
IF(COUNTIF($A$4:A32,Data_PLT[[#This Row],[Hole ID]])=1,1,
IF(A32=A31,C31+1,
COUNTIF($A$4:A32,Data_PLT[[#This Row],[Hole ID]]))))</f>
        <v>29</v>
      </c>
      <c r="D32" s="63" t="str">
        <f>IF(Data_PLT[[#This Row],[Hole ID]]="","",Data_PLT[[#This Row],[Hole ID]]&amp;"_"&amp;Data_PLT[[#This Row],[Sample ID]])</f>
        <v>COG-25-08_29</v>
      </c>
      <c r="E32" s="6"/>
      <c r="F32" s="6">
        <v>93.36</v>
      </c>
      <c r="G32" s="63" t="str" cm="1">
        <f t="array" ref="G32">_xlfn.XLOOKUP(1,(A32=Geotech!$A$4:$A$11100)*(Data_PLT[[#This Row],[Depth (m)]]&gt;=Geotech!$C$4:$C$11100)*(Data_PLT[[#This Row],[Depth (m)]]&lt;Geotech!$D$4:$D$11100),Geotech!$M$4:$M$11100)</f>
        <v>Boulamarque granodiorite</v>
      </c>
      <c r="H32" s="6" t="s">
        <v>299</v>
      </c>
      <c r="I32" s="63" t="str">
        <f>VLOOKUP(Data_PLT[[#This Row],[Hole ID]],Data_Log[[Hole ID]:[Core size]],20,FALSE)</f>
        <v>HQ</v>
      </c>
      <c r="J32" s="13">
        <f>VLOOKUP(Data_PLT[[#This Row],[Core Size]],Table_CoreSize[],2,FALSE)</f>
        <v>63.5</v>
      </c>
      <c r="K32" s="19">
        <v>60</v>
      </c>
      <c r="L32" s="19" t="s">
        <v>574</v>
      </c>
      <c r="M32" s="5">
        <v>142.4</v>
      </c>
      <c r="N32" s="5"/>
      <c r="O32" s="6" t="s">
        <v>334</v>
      </c>
      <c r="P32" s="13" t="str">
        <f>IF(Data_PLT[[#This Row],[Failure type]]="","",IF(OR(Data_PLT[[#This Row],[Failure type]]="Invalid",Data_PLT[[#This Row],[Failure type]]="Chipped",Data_PLT[[#This Row],[Failure type]]="Penetrate",Data_PLT[[#This Row],[Failure type]]="Did not break"),"Invalid","Valid"))</f>
        <v>Valid</v>
      </c>
      <c r="Q32" s="6"/>
      <c r="R32" s="11"/>
      <c r="S32" s="13">
        <f>IF(Data_PLT[[#This Row],[Test type]]="Diametral",Data_PLT[[#This Row],[Diameter (mm)]],IF(Data_PLT[[#This Row],[Test type]]="Axial",SQRT(4*Data_PLT[[#This Row],[Diameter (mm)]]*Data_PLT[[#This Row],[Length or width (mm)]]/PI()),"ERROR"))</f>
        <v>63.5</v>
      </c>
      <c r="T32" s="13">
        <f>(Data_PLT[[#This Row],[Load (kN)]]*1000)/Data_PLT[[#This Row],[Equiv. Diam. (mm)]]^2</f>
        <v>0</v>
      </c>
      <c r="U32" s="13">
        <f>(Data_PLT[[#This Row],[Equiv. Diam. (mm)]]/50)^0.45</f>
        <v>1.1135550054708407</v>
      </c>
      <c r="V32" s="13">
        <f>Data_PLT[[#This Row],[Is (MPa)]]*Data_PLT[[#This Row],[F]]</f>
        <v>0</v>
      </c>
      <c r="W32" s="13" t="str">
        <f>Data_PLT[[#This Row],[Failure Validity]]&amp;"-"&amp;Data_PLT[[#This Row],[Test type]]</f>
        <v>Valid-Diametral</v>
      </c>
      <c r="X32" s="13">
        <f>Data_PLT[[#This Row],[Is50 (MPa)]]*VLOOKUP("Min",Table_PLT_Conversion[],2,FALSE)</f>
        <v>0</v>
      </c>
      <c r="Y32" s="13">
        <f>Data_PLT[[#This Row],[Is50 (MPa)]]*VLOOKUP("Avg",Table_PLT_Conversion[],2,FALSE)</f>
        <v>0</v>
      </c>
      <c r="Z32" s="13">
        <f>Data_PLT[[#This Row],[Is50 (MPa)]]*VLOOKUP("Max",Table_PLT_Conversion[],2,FALSE)</f>
        <v>0</v>
      </c>
      <c r="AA32" s="62" t="e">
        <f>MATCH(LOOKUP(Data_PLT[[#This Row],[UCS min (MPa)]],Table_FieldStrength[Min UCS]),Table_FieldStrength[Min UCS],0)-1</f>
        <v>#N/A</v>
      </c>
      <c r="AB32" s="62" t="e">
        <f>MATCH(LOOKUP(Data_PLT[[#This Row],[UCS avg (MPa)]],Table_FieldStrength[Min UCS]),Table_FieldStrength[Min UCS],0)-1</f>
        <v>#N/A</v>
      </c>
      <c r="AC32" s="62" t="e">
        <f>MATCH(LOOKUP(Data_PLT[[#This Row],[UCS max (MPa)]],Table_FieldStrength[Min UCS]),Table_FieldStrength[Min UCS],0)-1</f>
        <v>#N/A</v>
      </c>
      <c r="AD32" s="68" t="e">
        <f>Data_PLT[[#This Row],[Test code]]&amp;"-"&amp;Data_PLT[[#This Row],[UCS min code]]</f>
        <v>#N/A</v>
      </c>
      <c r="AE32" s="68" t="e">
        <f>Data_PLT[[#This Row],[Test code]]&amp;"-"&amp;Data_PLT[[#This Row],[UCS avg code]]</f>
        <v>#N/A</v>
      </c>
      <c r="AF32" s="67" t="e">
        <f>Data_PLT[[#This Row],[Test code]]&amp;"-"&amp;Data_PLT[[#This Row],[UCS max code]]</f>
        <v>#N/A</v>
      </c>
      <c r="AG32" s="67" t="str">
        <f>Data_PLT[[#This Row],[Failure type]]&amp;"-"&amp;Data_PLT[[#This Row],[Test type]]&amp;"-"&amp;(IF(Data_PLT[[#This Row],[Is50 (MPa)]]&lt;1,1,IF(Data_PLT[[#This Row],[Is50 (MPa)]]&lt;2,2,IF(Data_PLT[[#This Row],[Is50 (MPa)]]&lt;4,3,IF(Data_PLT[[#This Row],[Is50 (MPa)]]&lt;8,4,5)))))</f>
        <v>Along bedding/foliation-Diametral-1</v>
      </c>
      <c r="AR32" t="s">
        <v>166</v>
      </c>
      <c r="AS32">
        <f>COUNTIFS(Data_PLT[Failure type],"Invalid",Data_PLT[Lithology],"Amphibolite")</f>
        <v>0</v>
      </c>
      <c r="AT32" s="146" t="e">
        <f t="shared" si="2"/>
        <v>#DIV/0!</v>
      </c>
      <c r="BG32" t="s">
        <v>166</v>
      </c>
      <c r="BH32">
        <f>COUNTIFS(Data_PLT[Failure type],"Invalid",Data_PLT[Lithology],"Ultramafic Undifferentiated")</f>
        <v>0</v>
      </c>
      <c r="BI32" s="146" t="e">
        <f t="shared" si="3"/>
        <v>#DIV/0!</v>
      </c>
      <c r="BK32" t="s">
        <v>166</v>
      </c>
      <c r="BL32">
        <f>COUNTIFS(Data_PLT[Failure type],"Invalid",Data_PLT[Lithology],"Pegmatite")</f>
        <v>0</v>
      </c>
      <c r="BM32" s="146" t="e">
        <f t="shared" si="4"/>
        <v>#DIV/0!</v>
      </c>
    </row>
    <row r="33" spans="1:33" x14ac:dyDescent="0.25">
      <c r="A33" t="s">
        <v>26</v>
      </c>
      <c r="B33" s="88" t="str">
        <f>VLOOKUP(Data_PLT[[#This Row],[Hole ID]],Data_Log[],2,FALSE)</f>
        <v>CGF-01</v>
      </c>
      <c r="C33" s="63">
        <f>IF(Data_PLT[[#This Row],[Hole ID]]="","",
IF(COUNTIF($A$4:A33,Data_PLT[[#This Row],[Hole ID]])=1,1,
IF(A33=A32,C32+1,
COUNTIF($A$4:A33,Data_PLT[[#This Row],[Hole ID]]))))</f>
        <v>30</v>
      </c>
      <c r="D33" s="63" t="str">
        <f>IF(Data_PLT[[#This Row],[Hole ID]]="","",Data_PLT[[#This Row],[Hole ID]]&amp;"_"&amp;Data_PLT[[#This Row],[Sample ID]])</f>
        <v>COG-25-08_30</v>
      </c>
      <c r="E33" s="6"/>
      <c r="F33" s="6">
        <v>97.24</v>
      </c>
      <c r="G33" s="63" t="str" cm="1">
        <f t="array" ref="G33">_xlfn.XLOOKUP(1,(A33=Geotech!$A$4:$A$11100)*(Data_PLT[[#This Row],[Depth (m)]]&gt;=Geotech!$C$4:$C$11100)*(Data_PLT[[#This Row],[Depth (m)]]&lt;Geotech!$D$4:$D$11100),Geotech!$M$4:$M$11100)</f>
        <v>Boulamarque granodiorite</v>
      </c>
      <c r="H33" s="6" t="s">
        <v>299</v>
      </c>
      <c r="I33" s="63" t="str">
        <f>VLOOKUP(Data_PLT[[#This Row],[Hole ID]],Data_Log[[Hole ID]:[Core size]],20,FALSE)</f>
        <v>HQ</v>
      </c>
      <c r="J33" s="13">
        <f>VLOOKUP(Data_PLT[[#This Row],[Core Size]],Table_CoreSize[],2,FALSE)</f>
        <v>63.5</v>
      </c>
      <c r="K33" s="19">
        <v>110</v>
      </c>
      <c r="L33" s="19" t="s">
        <v>574</v>
      </c>
      <c r="M33" s="5">
        <v>106</v>
      </c>
      <c r="N33" s="5"/>
      <c r="O33" s="6" t="s">
        <v>334</v>
      </c>
      <c r="P33" s="13" t="str">
        <f>IF(Data_PLT[[#This Row],[Failure type]]="","",IF(OR(Data_PLT[[#This Row],[Failure type]]="Invalid",Data_PLT[[#This Row],[Failure type]]="Chipped",Data_PLT[[#This Row],[Failure type]]="Penetrate",Data_PLT[[#This Row],[Failure type]]="Did not break"),"Invalid","Valid"))</f>
        <v>Valid</v>
      </c>
      <c r="Q33" s="6"/>
      <c r="R33" s="11"/>
      <c r="S33" s="13">
        <f>IF(Data_PLT[[#This Row],[Test type]]="Diametral",Data_PLT[[#This Row],[Diameter (mm)]],IF(Data_PLT[[#This Row],[Test type]]="Axial",SQRT(4*Data_PLT[[#This Row],[Diameter (mm)]]*Data_PLT[[#This Row],[Length or width (mm)]]/PI()),"ERROR"))</f>
        <v>63.5</v>
      </c>
      <c r="T33" s="13">
        <f>(Data_PLT[[#This Row],[Load (kN)]]*1000)/Data_PLT[[#This Row],[Equiv. Diam. (mm)]]^2</f>
        <v>0</v>
      </c>
      <c r="U33" s="13">
        <f>(Data_PLT[[#This Row],[Equiv. Diam. (mm)]]/50)^0.45</f>
        <v>1.1135550054708407</v>
      </c>
      <c r="V33" s="13">
        <f>Data_PLT[[#This Row],[Is (MPa)]]*Data_PLT[[#This Row],[F]]</f>
        <v>0</v>
      </c>
      <c r="W33" s="13" t="str">
        <f>Data_PLT[[#This Row],[Failure Validity]]&amp;"-"&amp;Data_PLT[[#This Row],[Test type]]</f>
        <v>Valid-Diametral</v>
      </c>
      <c r="X33" s="13">
        <f>Data_PLT[[#This Row],[Is50 (MPa)]]*VLOOKUP("Min",Table_PLT_Conversion[],2,FALSE)</f>
        <v>0</v>
      </c>
      <c r="Y33" s="13">
        <f>Data_PLT[[#This Row],[Is50 (MPa)]]*VLOOKUP("Avg",Table_PLT_Conversion[],2,FALSE)</f>
        <v>0</v>
      </c>
      <c r="Z33" s="13">
        <f>Data_PLT[[#This Row],[Is50 (MPa)]]*VLOOKUP("Max",Table_PLT_Conversion[],2,FALSE)</f>
        <v>0</v>
      </c>
      <c r="AA33" s="62" t="e">
        <f>MATCH(LOOKUP(Data_PLT[[#This Row],[UCS min (MPa)]],Table_FieldStrength[Min UCS]),Table_FieldStrength[Min UCS],0)-1</f>
        <v>#N/A</v>
      </c>
      <c r="AB33" s="62" t="e">
        <f>MATCH(LOOKUP(Data_PLT[[#This Row],[UCS avg (MPa)]],Table_FieldStrength[Min UCS]),Table_FieldStrength[Min UCS],0)-1</f>
        <v>#N/A</v>
      </c>
      <c r="AC33" s="62" t="e">
        <f>MATCH(LOOKUP(Data_PLT[[#This Row],[UCS max (MPa)]],Table_FieldStrength[Min UCS]),Table_FieldStrength[Min UCS],0)-1</f>
        <v>#N/A</v>
      </c>
      <c r="AD33" s="68" t="e">
        <f>Data_PLT[[#This Row],[Test code]]&amp;"-"&amp;Data_PLT[[#This Row],[UCS min code]]</f>
        <v>#N/A</v>
      </c>
      <c r="AE33" s="68" t="e">
        <f>Data_PLT[[#This Row],[Test code]]&amp;"-"&amp;Data_PLT[[#This Row],[UCS avg code]]</f>
        <v>#N/A</v>
      </c>
      <c r="AF33" s="67" t="e">
        <f>Data_PLT[[#This Row],[Test code]]&amp;"-"&amp;Data_PLT[[#This Row],[UCS max code]]</f>
        <v>#N/A</v>
      </c>
      <c r="AG33" s="67" t="str">
        <f>Data_PLT[[#This Row],[Failure type]]&amp;"-"&amp;Data_PLT[[#This Row],[Test type]]&amp;"-"&amp;(IF(Data_PLT[[#This Row],[Is50 (MPa)]]&lt;1,1,IF(Data_PLT[[#This Row],[Is50 (MPa)]]&lt;2,2,IF(Data_PLT[[#This Row],[Is50 (MPa)]]&lt;4,3,IF(Data_PLT[[#This Row],[Is50 (MPa)]]&lt;8,4,5)))))</f>
        <v>Along bedding/foliation-Diametral-1</v>
      </c>
    </row>
    <row r="34" spans="1:33" x14ac:dyDescent="0.25">
      <c r="A34" t="s">
        <v>26</v>
      </c>
      <c r="B34" s="88" t="str">
        <f>VLOOKUP(Data_PLT[[#This Row],[Hole ID]],Data_Log[],2,FALSE)</f>
        <v>CGF-01</v>
      </c>
      <c r="C34" s="63">
        <f>IF(Data_PLT[[#This Row],[Hole ID]]="","",
IF(COUNTIF($A$4:A34,Data_PLT[[#This Row],[Hole ID]])=1,1,
IF(A34=A33,C33+1,
COUNTIF($A$4:A34,Data_PLT[[#This Row],[Hole ID]]))))</f>
        <v>31</v>
      </c>
      <c r="D34" s="63" t="str">
        <f>IF(Data_PLT[[#This Row],[Hole ID]]="","",Data_PLT[[#This Row],[Hole ID]]&amp;"_"&amp;Data_PLT[[#This Row],[Sample ID]])</f>
        <v>COG-25-08_31</v>
      </c>
      <c r="E34" s="6"/>
      <c r="F34" s="6">
        <v>103.42</v>
      </c>
      <c r="G34" s="63" t="str" cm="1">
        <f t="array" ref="G34">_xlfn.XLOOKUP(1,(A34=Geotech!$A$4:$A$11100)*(Data_PLT[[#This Row],[Depth (m)]]&gt;=Geotech!$C$4:$C$11100)*(Data_PLT[[#This Row],[Depth (m)]]&lt;Geotech!$D$4:$D$11100),Geotech!$M$4:$M$11100)</f>
        <v>Boulamarque granodiorite</v>
      </c>
      <c r="H34" s="6" t="s">
        <v>299</v>
      </c>
      <c r="I34" s="63" t="str">
        <f>VLOOKUP(Data_PLT[[#This Row],[Hole ID]],Data_Log[[Hole ID]:[Core size]],20,FALSE)</f>
        <v>HQ</v>
      </c>
      <c r="J34" s="13">
        <f>VLOOKUP(Data_PLT[[#This Row],[Core Size]],Table_CoreSize[],2,FALSE)</f>
        <v>63.5</v>
      </c>
      <c r="K34" s="19">
        <v>150</v>
      </c>
      <c r="L34" s="19" t="s">
        <v>574</v>
      </c>
      <c r="M34" s="5">
        <v>155.80000000000001</v>
      </c>
      <c r="N34" s="5"/>
      <c r="O34" s="6" t="s">
        <v>334</v>
      </c>
      <c r="P34" s="13" t="str">
        <f>IF(Data_PLT[[#This Row],[Failure type]]="","",IF(OR(Data_PLT[[#This Row],[Failure type]]="Invalid",Data_PLT[[#This Row],[Failure type]]="Chipped",Data_PLT[[#This Row],[Failure type]]="Penetrate",Data_PLT[[#This Row],[Failure type]]="Did not break"),"Invalid","Valid"))</f>
        <v>Valid</v>
      </c>
      <c r="Q34" s="6"/>
      <c r="R34" s="11"/>
      <c r="S34" s="13">
        <f>IF(Data_PLT[[#This Row],[Test type]]="Diametral",Data_PLT[[#This Row],[Diameter (mm)]],IF(Data_PLT[[#This Row],[Test type]]="Axial",SQRT(4*Data_PLT[[#This Row],[Diameter (mm)]]*Data_PLT[[#This Row],[Length or width (mm)]]/PI()),"ERROR"))</f>
        <v>63.5</v>
      </c>
      <c r="T34" s="13">
        <f>(Data_PLT[[#This Row],[Load (kN)]]*1000)/Data_PLT[[#This Row],[Equiv. Diam. (mm)]]^2</f>
        <v>0</v>
      </c>
      <c r="U34" s="13">
        <f>(Data_PLT[[#This Row],[Equiv. Diam. (mm)]]/50)^0.45</f>
        <v>1.1135550054708407</v>
      </c>
      <c r="V34" s="13">
        <f>Data_PLT[[#This Row],[Is (MPa)]]*Data_PLT[[#This Row],[F]]</f>
        <v>0</v>
      </c>
      <c r="W34" s="13" t="str">
        <f>Data_PLT[[#This Row],[Failure Validity]]&amp;"-"&amp;Data_PLT[[#This Row],[Test type]]</f>
        <v>Valid-Diametral</v>
      </c>
      <c r="X34" s="13">
        <f>Data_PLT[[#This Row],[Is50 (MPa)]]*VLOOKUP("Min",Table_PLT_Conversion[],2,FALSE)</f>
        <v>0</v>
      </c>
      <c r="Y34" s="13">
        <f>Data_PLT[[#This Row],[Is50 (MPa)]]*VLOOKUP("Avg",Table_PLT_Conversion[],2,FALSE)</f>
        <v>0</v>
      </c>
      <c r="Z34" s="13">
        <f>Data_PLT[[#This Row],[Is50 (MPa)]]*VLOOKUP("Max",Table_PLT_Conversion[],2,FALSE)</f>
        <v>0</v>
      </c>
      <c r="AA34" s="62" t="e">
        <f>MATCH(LOOKUP(Data_PLT[[#This Row],[UCS min (MPa)]],Table_FieldStrength[Min UCS]),Table_FieldStrength[Min UCS],0)-1</f>
        <v>#N/A</v>
      </c>
      <c r="AB34" s="62" t="e">
        <f>MATCH(LOOKUP(Data_PLT[[#This Row],[UCS avg (MPa)]],Table_FieldStrength[Min UCS]),Table_FieldStrength[Min UCS],0)-1</f>
        <v>#N/A</v>
      </c>
      <c r="AC34" s="62" t="e">
        <f>MATCH(LOOKUP(Data_PLT[[#This Row],[UCS max (MPa)]],Table_FieldStrength[Min UCS]),Table_FieldStrength[Min UCS],0)-1</f>
        <v>#N/A</v>
      </c>
      <c r="AD34" s="68" t="e">
        <f>Data_PLT[[#This Row],[Test code]]&amp;"-"&amp;Data_PLT[[#This Row],[UCS min code]]</f>
        <v>#N/A</v>
      </c>
      <c r="AE34" s="68" t="e">
        <f>Data_PLT[[#This Row],[Test code]]&amp;"-"&amp;Data_PLT[[#This Row],[UCS avg code]]</f>
        <v>#N/A</v>
      </c>
      <c r="AF34" s="67" t="e">
        <f>Data_PLT[[#This Row],[Test code]]&amp;"-"&amp;Data_PLT[[#This Row],[UCS max code]]</f>
        <v>#N/A</v>
      </c>
      <c r="AG34" s="67" t="str">
        <f>Data_PLT[[#This Row],[Failure type]]&amp;"-"&amp;Data_PLT[[#This Row],[Test type]]&amp;"-"&amp;(IF(Data_PLT[[#This Row],[Is50 (MPa)]]&lt;1,1,IF(Data_PLT[[#This Row],[Is50 (MPa)]]&lt;2,2,IF(Data_PLT[[#This Row],[Is50 (MPa)]]&lt;4,3,IF(Data_PLT[[#This Row],[Is50 (MPa)]]&lt;8,4,5)))))</f>
        <v>Along bedding/foliation-Diametral-1</v>
      </c>
    </row>
    <row r="35" spans="1:33" x14ac:dyDescent="0.25">
      <c r="A35" t="s">
        <v>26</v>
      </c>
      <c r="B35" s="88" t="str">
        <f>VLOOKUP(Data_PLT[[#This Row],[Hole ID]],Data_Log[],2,FALSE)</f>
        <v>CGF-01</v>
      </c>
      <c r="C35" s="63">
        <f>IF(Data_PLT[[#This Row],[Hole ID]]="","",
IF(COUNTIF($A$4:A35,Data_PLT[[#This Row],[Hole ID]])=1,1,
IF(A35=A34,C34+1,
COUNTIF($A$4:A35,Data_PLT[[#This Row],[Hole ID]]))))</f>
        <v>32</v>
      </c>
      <c r="D35" s="63" t="str">
        <f>IF(Data_PLT[[#This Row],[Hole ID]]="","",Data_PLT[[#This Row],[Hole ID]]&amp;"_"&amp;Data_PLT[[#This Row],[Sample ID]])</f>
        <v>COG-25-08_32</v>
      </c>
      <c r="E35" s="6"/>
      <c r="F35" s="6">
        <v>107.4</v>
      </c>
      <c r="G35" s="63" t="str" cm="1">
        <f t="array" ref="G35">_xlfn.XLOOKUP(1,(A35=Geotech!$A$4:$A$11100)*(Data_PLT[[#This Row],[Depth (m)]]&gt;=Geotech!$C$4:$C$11100)*(Data_PLT[[#This Row],[Depth (m)]]&lt;Geotech!$D$4:$D$11100),Geotech!$M$4:$M$11100)</f>
        <v>Boulamarque granodiorite</v>
      </c>
      <c r="H35" s="6" t="s">
        <v>299</v>
      </c>
      <c r="I35" s="63" t="str">
        <f>VLOOKUP(Data_PLT[[#This Row],[Hole ID]],Data_Log[[Hole ID]:[Core size]],20,FALSE)</f>
        <v>HQ</v>
      </c>
      <c r="J35" s="13">
        <f>VLOOKUP(Data_PLT[[#This Row],[Core Size]],Table_CoreSize[],2,FALSE)</f>
        <v>63.5</v>
      </c>
      <c r="K35" s="19">
        <v>120</v>
      </c>
      <c r="L35" s="19" t="s">
        <v>574</v>
      </c>
      <c r="M35" s="5">
        <v>277.8</v>
      </c>
      <c r="N35" s="5"/>
      <c r="O35" s="6" t="s">
        <v>334</v>
      </c>
      <c r="P35" s="13" t="str">
        <f>IF(Data_PLT[[#This Row],[Failure type]]="","",IF(OR(Data_PLT[[#This Row],[Failure type]]="Invalid",Data_PLT[[#This Row],[Failure type]]="Chipped",Data_PLT[[#This Row],[Failure type]]="Penetrate",Data_PLT[[#This Row],[Failure type]]="Did not break"),"Invalid","Valid"))</f>
        <v>Valid</v>
      </c>
      <c r="Q35" s="6"/>
      <c r="R35" s="11"/>
      <c r="S35" s="13">
        <f>IF(Data_PLT[[#This Row],[Test type]]="Diametral",Data_PLT[[#This Row],[Diameter (mm)]],IF(Data_PLT[[#This Row],[Test type]]="Axial",SQRT(4*Data_PLT[[#This Row],[Diameter (mm)]]*Data_PLT[[#This Row],[Length or width (mm)]]/PI()),"ERROR"))</f>
        <v>63.5</v>
      </c>
      <c r="T35" s="13">
        <f>(Data_PLT[[#This Row],[Load (kN)]]*1000)/Data_PLT[[#This Row],[Equiv. Diam. (mm)]]^2</f>
        <v>0</v>
      </c>
      <c r="U35" s="13">
        <f>(Data_PLT[[#This Row],[Equiv. Diam. (mm)]]/50)^0.45</f>
        <v>1.1135550054708407</v>
      </c>
      <c r="V35" s="13">
        <f>Data_PLT[[#This Row],[Is (MPa)]]*Data_PLT[[#This Row],[F]]</f>
        <v>0</v>
      </c>
      <c r="W35" s="13" t="str">
        <f>Data_PLT[[#This Row],[Failure Validity]]&amp;"-"&amp;Data_PLT[[#This Row],[Test type]]</f>
        <v>Valid-Diametral</v>
      </c>
      <c r="X35" s="13">
        <f>Data_PLT[[#This Row],[Is50 (MPa)]]*VLOOKUP("Min",Table_PLT_Conversion[],2,FALSE)</f>
        <v>0</v>
      </c>
      <c r="Y35" s="13">
        <f>Data_PLT[[#This Row],[Is50 (MPa)]]*VLOOKUP("Avg",Table_PLT_Conversion[],2,FALSE)</f>
        <v>0</v>
      </c>
      <c r="Z35" s="13">
        <f>Data_PLT[[#This Row],[Is50 (MPa)]]*VLOOKUP("Max",Table_PLT_Conversion[],2,FALSE)</f>
        <v>0</v>
      </c>
      <c r="AA35" s="62" t="e">
        <f>MATCH(LOOKUP(Data_PLT[[#This Row],[UCS min (MPa)]],Table_FieldStrength[Min UCS]),Table_FieldStrength[Min UCS],0)-1</f>
        <v>#N/A</v>
      </c>
      <c r="AB35" s="62" t="e">
        <f>MATCH(LOOKUP(Data_PLT[[#This Row],[UCS avg (MPa)]],Table_FieldStrength[Min UCS]),Table_FieldStrength[Min UCS],0)-1</f>
        <v>#N/A</v>
      </c>
      <c r="AC35" s="62" t="e">
        <f>MATCH(LOOKUP(Data_PLT[[#This Row],[UCS max (MPa)]],Table_FieldStrength[Min UCS]),Table_FieldStrength[Min UCS],0)-1</f>
        <v>#N/A</v>
      </c>
      <c r="AD35" s="68" t="e">
        <f>Data_PLT[[#This Row],[Test code]]&amp;"-"&amp;Data_PLT[[#This Row],[UCS min code]]</f>
        <v>#N/A</v>
      </c>
      <c r="AE35" s="68" t="e">
        <f>Data_PLT[[#This Row],[Test code]]&amp;"-"&amp;Data_PLT[[#This Row],[UCS avg code]]</f>
        <v>#N/A</v>
      </c>
      <c r="AF35" s="67" t="e">
        <f>Data_PLT[[#This Row],[Test code]]&amp;"-"&amp;Data_PLT[[#This Row],[UCS max code]]</f>
        <v>#N/A</v>
      </c>
      <c r="AG35" s="67" t="str">
        <f>Data_PLT[[#This Row],[Failure type]]&amp;"-"&amp;Data_PLT[[#This Row],[Test type]]&amp;"-"&amp;(IF(Data_PLT[[#This Row],[Is50 (MPa)]]&lt;1,1,IF(Data_PLT[[#This Row],[Is50 (MPa)]]&lt;2,2,IF(Data_PLT[[#This Row],[Is50 (MPa)]]&lt;4,3,IF(Data_PLT[[#This Row],[Is50 (MPa)]]&lt;8,4,5)))))</f>
        <v>Along bedding/foliation-Diametral-1</v>
      </c>
    </row>
    <row r="36" spans="1:33" x14ac:dyDescent="0.25">
      <c r="A36" t="s">
        <v>26</v>
      </c>
      <c r="B36" s="88" t="str">
        <f>VLOOKUP(Data_PLT[[#This Row],[Hole ID]],Data_Log[],2,FALSE)</f>
        <v>CGF-01</v>
      </c>
      <c r="C36" s="63">
        <f>IF(Data_PLT[[#This Row],[Hole ID]]="","",
IF(COUNTIF($A$4:A36,Data_PLT[[#This Row],[Hole ID]])=1,1,
IF(A36=A35,C35+1,
COUNTIF($A$4:A36,Data_PLT[[#This Row],[Hole ID]]))))</f>
        <v>33</v>
      </c>
      <c r="D36" s="63" t="str">
        <f>IF(Data_PLT[[#This Row],[Hole ID]]="","",Data_PLT[[#This Row],[Hole ID]]&amp;"_"&amp;Data_PLT[[#This Row],[Sample ID]])</f>
        <v>COG-25-08_33</v>
      </c>
      <c r="E36" s="6"/>
      <c r="F36" s="6">
        <v>108.83</v>
      </c>
      <c r="G36" s="63" t="str" cm="1">
        <f t="array" ref="G36">_xlfn.XLOOKUP(1,(A36=Geotech!$A$4:$A$11100)*(Data_PLT[[#This Row],[Depth (m)]]&gt;=Geotech!$C$4:$C$11100)*(Data_PLT[[#This Row],[Depth (m)]]&lt;Geotech!$D$4:$D$11100),Geotech!$M$4:$M$11100)</f>
        <v>Boulamarque granodiorite</v>
      </c>
      <c r="H36" s="6" t="s">
        <v>299</v>
      </c>
      <c r="I36" s="63" t="str">
        <f>VLOOKUP(Data_PLT[[#This Row],[Hole ID]],Data_Log[[Hole ID]:[Core size]],20,FALSE)</f>
        <v>HQ</v>
      </c>
      <c r="J36" s="13">
        <f>VLOOKUP(Data_PLT[[#This Row],[Core Size]],Table_CoreSize[],2,FALSE)</f>
        <v>63.5</v>
      </c>
      <c r="K36" s="19">
        <v>80</v>
      </c>
      <c r="L36" s="19" t="s">
        <v>574</v>
      </c>
      <c r="M36" s="5">
        <v>107.4</v>
      </c>
      <c r="N36" s="5"/>
      <c r="O36" s="6" t="s">
        <v>334</v>
      </c>
      <c r="P36" s="13" t="str">
        <f>IF(Data_PLT[[#This Row],[Failure type]]="","",IF(OR(Data_PLT[[#This Row],[Failure type]]="Invalid",Data_PLT[[#This Row],[Failure type]]="Chipped",Data_PLT[[#This Row],[Failure type]]="Penetrate",Data_PLT[[#This Row],[Failure type]]="Did not break"),"Invalid","Valid"))</f>
        <v>Valid</v>
      </c>
      <c r="Q36" s="6"/>
      <c r="R36" s="11"/>
      <c r="S36" s="13">
        <f>IF(Data_PLT[[#This Row],[Test type]]="Diametral",Data_PLT[[#This Row],[Diameter (mm)]],IF(Data_PLT[[#This Row],[Test type]]="Axial",SQRT(4*Data_PLT[[#This Row],[Diameter (mm)]]*Data_PLT[[#This Row],[Length or width (mm)]]/PI()),"ERROR"))</f>
        <v>63.5</v>
      </c>
      <c r="T36" s="13">
        <f>(Data_PLT[[#This Row],[Load (kN)]]*1000)/Data_PLT[[#This Row],[Equiv. Diam. (mm)]]^2</f>
        <v>0</v>
      </c>
      <c r="U36" s="13">
        <f>(Data_PLT[[#This Row],[Equiv. Diam. (mm)]]/50)^0.45</f>
        <v>1.1135550054708407</v>
      </c>
      <c r="V36" s="13">
        <f>Data_PLT[[#This Row],[Is (MPa)]]*Data_PLT[[#This Row],[F]]</f>
        <v>0</v>
      </c>
      <c r="W36" s="13" t="str">
        <f>Data_PLT[[#This Row],[Failure Validity]]&amp;"-"&amp;Data_PLT[[#This Row],[Test type]]</f>
        <v>Valid-Diametral</v>
      </c>
      <c r="X36" s="13">
        <f>Data_PLT[[#This Row],[Is50 (MPa)]]*VLOOKUP("Min",Table_PLT_Conversion[],2,FALSE)</f>
        <v>0</v>
      </c>
      <c r="Y36" s="13">
        <f>Data_PLT[[#This Row],[Is50 (MPa)]]*VLOOKUP("Avg",Table_PLT_Conversion[],2,FALSE)</f>
        <v>0</v>
      </c>
      <c r="Z36" s="13">
        <f>Data_PLT[[#This Row],[Is50 (MPa)]]*VLOOKUP("Max",Table_PLT_Conversion[],2,FALSE)</f>
        <v>0</v>
      </c>
      <c r="AA36" s="62" t="e">
        <f>MATCH(LOOKUP(Data_PLT[[#This Row],[UCS min (MPa)]],Table_FieldStrength[Min UCS]),Table_FieldStrength[Min UCS],0)-1</f>
        <v>#N/A</v>
      </c>
      <c r="AB36" s="62" t="e">
        <f>MATCH(LOOKUP(Data_PLT[[#This Row],[UCS avg (MPa)]],Table_FieldStrength[Min UCS]),Table_FieldStrength[Min UCS],0)-1</f>
        <v>#N/A</v>
      </c>
      <c r="AC36" s="62" t="e">
        <f>MATCH(LOOKUP(Data_PLT[[#This Row],[UCS max (MPa)]],Table_FieldStrength[Min UCS]),Table_FieldStrength[Min UCS],0)-1</f>
        <v>#N/A</v>
      </c>
      <c r="AD36" s="68" t="e">
        <f>Data_PLT[[#This Row],[Test code]]&amp;"-"&amp;Data_PLT[[#This Row],[UCS min code]]</f>
        <v>#N/A</v>
      </c>
      <c r="AE36" s="68" t="e">
        <f>Data_PLT[[#This Row],[Test code]]&amp;"-"&amp;Data_PLT[[#This Row],[UCS avg code]]</f>
        <v>#N/A</v>
      </c>
      <c r="AF36" s="67" t="e">
        <f>Data_PLT[[#This Row],[Test code]]&amp;"-"&amp;Data_PLT[[#This Row],[UCS max code]]</f>
        <v>#N/A</v>
      </c>
      <c r="AG36" s="67" t="str">
        <f>Data_PLT[[#This Row],[Failure type]]&amp;"-"&amp;Data_PLT[[#This Row],[Test type]]&amp;"-"&amp;(IF(Data_PLT[[#This Row],[Is50 (MPa)]]&lt;1,1,IF(Data_PLT[[#This Row],[Is50 (MPa)]]&lt;2,2,IF(Data_PLT[[#This Row],[Is50 (MPa)]]&lt;4,3,IF(Data_PLT[[#This Row],[Is50 (MPa)]]&lt;8,4,5)))))</f>
        <v>Along bedding/foliation-Diametral-1</v>
      </c>
    </row>
    <row r="37" spans="1:33" x14ac:dyDescent="0.25">
      <c r="A37" t="s">
        <v>26</v>
      </c>
      <c r="B37" s="88" t="str">
        <f>VLOOKUP(Data_PLT[[#This Row],[Hole ID]],Data_Log[],2,FALSE)</f>
        <v>CGF-01</v>
      </c>
      <c r="C37" s="63">
        <f>IF(Data_PLT[[#This Row],[Hole ID]]="","",
IF(COUNTIF($A$4:A37,Data_PLT[[#This Row],[Hole ID]])=1,1,
IF(A37=A36,C36+1,
COUNTIF($A$4:A37,Data_PLT[[#This Row],[Hole ID]]))))</f>
        <v>34</v>
      </c>
      <c r="D37" s="63" t="str">
        <f>IF(Data_PLT[[#This Row],[Hole ID]]="","",Data_PLT[[#This Row],[Hole ID]]&amp;"_"&amp;Data_PLT[[#This Row],[Sample ID]])</f>
        <v>COG-25-08_34</v>
      </c>
      <c r="E37" s="6"/>
      <c r="F37" s="6">
        <v>111.19</v>
      </c>
      <c r="G37" s="63" t="str" cm="1">
        <f t="array" ref="G37">_xlfn.XLOOKUP(1,(A37=Geotech!$A$4:$A$11100)*(Data_PLT[[#This Row],[Depth (m)]]&gt;=Geotech!$C$4:$C$11100)*(Data_PLT[[#This Row],[Depth (m)]]&lt;Geotech!$D$4:$D$11100),Geotech!$M$4:$M$11100)</f>
        <v>Boulamarque granodiorite</v>
      </c>
      <c r="H37" s="6" t="s">
        <v>299</v>
      </c>
      <c r="I37" s="63" t="str">
        <f>VLOOKUP(Data_PLT[[#This Row],[Hole ID]],Data_Log[[Hole ID]:[Core size]],20,FALSE)</f>
        <v>HQ</v>
      </c>
      <c r="J37" s="13">
        <f>VLOOKUP(Data_PLT[[#This Row],[Core Size]],Table_CoreSize[],2,FALSE)</f>
        <v>63.5</v>
      </c>
      <c r="K37" s="19">
        <v>105</v>
      </c>
      <c r="L37" s="19" t="s">
        <v>574</v>
      </c>
      <c r="M37" s="5">
        <v>146.4</v>
      </c>
      <c r="N37" s="5"/>
      <c r="O37" s="6" t="s">
        <v>334</v>
      </c>
      <c r="P37" s="13" t="str">
        <f>IF(Data_PLT[[#This Row],[Failure type]]="","",IF(OR(Data_PLT[[#This Row],[Failure type]]="Invalid",Data_PLT[[#This Row],[Failure type]]="Chipped",Data_PLT[[#This Row],[Failure type]]="Penetrate",Data_PLT[[#This Row],[Failure type]]="Did not break"),"Invalid","Valid"))</f>
        <v>Valid</v>
      </c>
      <c r="Q37" s="6"/>
      <c r="R37" s="11"/>
      <c r="S37" s="13">
        <f>IF(Data_PLT[[#This Row],[Test type]]="Diametral",Data_PLT[[#This Row],[Diameter (mm)]],IF(Data_PLT[[#This Row],[Test type]]="Axial",SQRT(4*Data_PLT[[#This Row],[Diameter (mm)]]*Data_PLT[[#This Row],[Length or width (mm)]]/PI()),"ERROR"))</f>
        <v>63.5</v>
      </c>
      <c r="T37" s="13">
        <f>(Data_PLT[[#This Row],[Load (kN)]]*1000)/Data_PLT[[#This Row],[Equiv. Diam. (mm)]]^2</f>
        <v>0</v>
      </c>
      <c r="U37" s="13">
        <f>(Data_PLT[[#This Row],[Equiv. Diam. (mm)]]/50)^0.45</f>
        <v>1.1135550054708407</v>
      </c>
      <c r="V37" s="13">
        <f>Data_PLT[[#This Row],[Is (MPa)]]*Data_PLT[[#This Row],[F]]</f>
        <v>0</v>
      </c>
      <c r="W37" s="13" t="str">
        <f>Data_PLT[[#This Row],[Failure Validity]]&amp;"-"&amp;Data_PLT[[#This Row],[Test type]]</f>
        <v>Valid-Diametral</v>
      </c>
      <c r="X37" s="13">
        <f>Data_PLT[[#This Row],[Is50 (MPa)]]*VLOOKUP("Min",Table_PLT_Conversion[],2,FALSE)</f>
        <v>0</v>
      </c>
      <c r="Y37" s="13">
        <f>Data_PLT[[#This Row],[Is50 (MPa)]]*VLOOKUP("Avg",Table_PLT_Conversion[],2,FALSE)</f>
        <v>0</v>
      </c>
      <c r="Z37" s="13">
        <f>Data_PLT[[#This Row],[Is50 (MPa)]]*VLOOKUP("Max",Table_PLT_Conversion[],2,FALSE)</f>
        <v>0</v>
      </c>
      <c r="AA37" s="62" t="e">
        <f>MATCH(LOOKUP(Data_PLT[[#This Row],[UCS min (MPa)]],Table_FieldStrength[Min UCS]),Table_FieldStrength[Min UCS],0)-1</f>
        <v>#N/A</v>
      </c>
      <c r="AB37" s="62" t="e">
        <f>MATCH(LOOKUP(Data_PLT[[#This Row],[UCS avg (MPa)]],Table_FieldStrength[Min UCS]),Table_FieldStrength[Min UCS],0)-1</f>
        <v>#N/A</v>
      </c>
      <c r="AC37" s="62" t="e">
        <f>MATCH(LOOKUP(Data_PLT[[#This Row],[UCS max (MPa)]],Table_FieldStrength[Min UCS]),Table_FieldStrength[Min UCS],0)-1</f>
        <v>#N/A</v>
      </c>
      <c r="AD37" s="68" t="e">
        <f>Data_PLT[[#This Row],[Test code]]&amp;"-"&amp;Data_PLT[[#This Row],[UCS min code]]</f>
        <v>#N/A</v>
      </c>
      <c r="AE37" s="68" t="e">
        <f>Data_PLT[[#This Row],[Test code]]&amp;"-"&amp;Data_PLT[[#This Row],[UCS avg code]]</f>
        <v>#N/A</v>
      </c>
      <c r="AF37" s="67" t="e">
        <f>Data_PLT[[#This Row],[Test code]]&amp;"-"&amp;Data_PLT[[#This Row],[UCS max code]]</f>
        <v>#N/A</v>
      </c>
      <c r="AG37" s="67" t="str">
        <f>Data_PLT[[#This Row],[Failure type]]&amp;"-"&amp;Data_PLT[[#This Row],[Test type]]&amp;"-"&amp;(IF(Data_PLT[[#This Row],[Is50 (MPa)]]&lt;1,1,IF(Data_PLT[[#This Row],[Is50 (MPa)]]&lt;2,2,IF(Data_PLT[[#This Row],[Is50 (MPa)]]&lt;4,3,IF(Data_PLT[[#This Row],[Is50 (MPa)]]&lt;8,4,5)))))</f>
        <v>Along bedding/foliation-Diametral-1</v>
      </c>
    </row>
    <row r="38" spans="1:33" x14ac:dyDescent="0.25">
      <c r="A38" t="s">
        <v>26</v>
      </c>
      <c r="B38" s="88" t="str">
        <f>VLOOKUP(Data_PLT[[#This Row],[Hole ID]],Data_Log[],2,FALSE)</f>
        <v>CGF-01</v>
      </c>
      <c r="C38" s="63">
        <f>IF(Data_PLT[[#This Row],[Hole ID]]="","",
IF(COUNTIF($A$4:A38,Data_PLT[[#This Row],[Hole ID]])=1,1,
IF(A38=A37,C37+1,
COUNTIF($A$4:A38,Data_PLT[[#This Row],[Hole ID]]))))</f>
        <v>35</v>
      </c>
      <c r="D38" s="63" t="str">
        <f>IF(Data_PLT[[#This Row],[Hole ID]]="","",Data_PLT[[#This Row],[Hole ID]]&amp;"_"&amp;Data_PLT[[#This Row],[Sample ID]])</f>
        <v>COG-25-08_35</v>
      </c>
      <c r="E38" s="6"/>
      <c r="F38" s="6">
        <v>114.3</v>
      </c>
      <c r="G38" s="63" t="str" cm="1">
        <f t="array" ref="G38">_xlfn.XLOOKUP(1,(A38=Geotech!$A$4:$A$11100)*(Data_PLT[[#This Row],[Depth (m)]]&gt;=Geotech!$C$4:$C$11100)*(Data_PLT[[#This Row],[Depth (m)]]&lt;Geotech!$D$4:$D$11100),Geotech!$M$4:$M$11100)</f>
        <v>VT-TI Vein</v>
      </c>
      <c r="H38" s="6" t="s">
        <v>299</v>
      </c>
      <c r="I38" s="63" t="str">
        <f>VLOOKUP(Data_PLT[[#This Row],[Hole ID]],Data_Log[[Hole ID]:[Core size]],20,FALSE)</f>
        <v>HQ</v>
      </c>
      <c r="J38" s="13">
        <f>VLOOKUP(Data_PLT[[#This Row],[Core Size]],Table_CoreSize[],2,FALSE)</f>
        <v>63.5</v>
      </c>
      <c r="K38" s="19">
        <v>80</v>
      </c>
      <c r="L38" s="19" t="s">
        <v>574</v>
      </c>
      <c r="M38" s="5">
        <v>208.8</v>
      </c>
      <c r="N38" s="5"/>
      <c r="O38" s="6" t="s">
        <v>163</v>
      </c>
      <c r="P38" s="13" t="str">
        <f>IF(Data_PLT[[#This Row],[Failure type]]="","",IF(OR(Data_PLT[[#This Row],[Failure type]]="Invalid",Data_PLT[[#This Row],[Failure type]]="Chipped",Data_PLT[[#This Row],[Failure type]]="Penetrate",Data_PLT[[#This Row],[Failure type]]="Did not break"),"Invalid","Valid"))</f>
        <v>Valid</v>
      </c>
      <c r="Q38" s="6"/>
      <c r="R38" s="11"/>
      <c r="S38" s="13">
        <f>IF(Data_PLT[[#This Row],[Test type]]="Diametral",Data_PLT[[#This Row],[Diameter (mm)]],IF(Data_PLT[[#This Row],[Test type]]="Axial",SQRT(4*Data_PLT[[#This Row],[Diameter (mm)]]*Data_PLT[[#This Row],[Length or width (mm)]]/PI()),"ERROR"))</f>
        <v>63.5</v>
      </c>
      <c r="T38" s="13">
        <f>(Data_PLT[[#This Row],[Load (kN)]]*1000)/Data_PLT[[#This Row],[Equiv. Diam. (mm)]]^2</f>
        <v>0</v>
      </c>
      <c r="U38" s="13">
        <f>(Data_PLT[[#This Row],[Equiv. Diam. (mm)]]/50)^0.45</f>
        <v>1.1135550054708407</v>
      </c>
      <c r="V38" s="13">
        <f>Data_PLT[[#This Row],[Is (MPa)]]*Data_PLT[[#This Row],[F]]</f>
        <v>0</v>
      </c>
      <c r="W38" s="13" t="str">
        <f>Data_PLT[[#This Row],[Failure Validity]]&amp;"-"&amp;Data_PLT[[#This Row],[Test type]]</f>
        <v>Valid-Diametral</v>
      </c>
      <c r="X38" s="13">
        <f>Data_PLT[[#This Row],[Is50 (MPa)]]*VLOOKUP("Min",Table_PLT_Conversion[],2,FALSE)</f>
        <v>0</v>
      </c>
      <c r="Y38" s="13">
        <f>Data_PLT[[#This Row],[Is50 (MPa)]]*VLOOKUP("Avg",Table_PLT_Conversion[],2,FALSE)</f>
        <v>0</v>
      </c>
      <c r="Z38" s="13">
        <f>Data_PLT[[#This Row],[Is50 (MPa)]]*VLOOKUP("Max",Table_PLT_Conversion[],2,FALSE)</f>
        <v>0</v>
      </c>
      <c r="AA38" s="62" t="e">
        <f>MATCH(LOOKUP(Data_PLT[[#This Row],[UCS min (MPa)]],Table_FieldStrength[Min UCS]),Table_FieldStrength[Min UCS],0)-1</f>
        <v>#N/A</v>
      </c>
      <c r="AB38" s="62" t="e">
        <f>MATCH(LOOKUP(Data_PLT[[#This Row],[UCS avg (MPa)]],Table_FieldStrength[Min UCS]),Table_FieldStrength[Min UCS],0)-1</f>
        <v>#N/A</v>
      </c>
      <c r="AC38" s="62" t="e">
        <f>MATCH(LOOKUP(Data_PLT[[#This Row],[UCS max (MPa)]],Table_FieldStrength[Min UCS]),Table_FieldStrength[Min UCS],0)-1</f>
        <v>#N/A</v>
      </c>
      <c r="AD38" s="68" t="e">
        <f>Data_PLT[[#This Row],[Test code]]&amp;"-"&amp;Data_PLT[[#This Row],[UCS min code]]</f>
        <v>#N/A</v>
      </c>
      <c r="AE38" s="68" t="e">
        <f>Data_PLT[[#This Row],[Test code]]&amp;"-"&amp;Data_PLT[[#This Row],[UCS avg code]]</f>
        <v>#N/A</v>
      </c>
      <c r="AF38" s="67" t="e">
        <f>Data_PLT[[#This Row],[Test code]]&amp;"-"&amp;Data_PLT[[#This Row],[UCS max code]]</f>
        <v>#N/A</v>
      </c>
      <c r="AG38" s="67" t="str">
        <f>Data_PLT[[#This Row],[Failure type]]&amp;"-"&amp;Data_PLT[[#This Row],[Test type]]&amp;"-"&amp;(IF(Data_PLT[[#This Row],[Is50 (MPa)]]&lt;1,1,IF(Data_PLT[[#This Row],[Is50 (MPa)]]&lt;2,2,IF(Data_PLT[[#This Row],[Is50 (MPa)]]&lt;4,3,IF(Data_PLT[[#This Row],[Is50 (MPa)]]&lt;8,4,5)))))</f>
        <v>Broke along MD-Diametral-1</v>
      </c>
    </row>
    <row r="39" spans="1:33" x14ac:dyDescent="0.25">
      <c r="A39" t="s">
        <v>26</v>
      </c>
      <c r="B39" s="88" t="str">
        <f>VLOOKUP(Data_PLT[[#This Row],[Hole ID]],Data_Log[],2,FALSE)</f>
        <v>CGF-01</v>
      </c>
      <c r="C39" s="63">
        <f>IF(Data_PLT[[#This Row],[Hole ID]]="","",
IF(COUNTIF($A$4:A39,Data_PLT[[#This Row],[Hole ID]])=1,1,
IF(A39=A38,C38+1,
COUNTIF($A$4:A39,Data_PLT[[#This Row],[Hole ID]]))))</f>
        <v>36</v>
      </c>
      <c r="D39" s="63" t="str">
        <f>IF(Data_PLT[[#This Row],[Hole ID]]="","",Data_PLT[[#This Row],[Hole ID]]&amp;"_"&amp;Data_PLT[[#This Row],[Sample ID]])</f>
        <v>COG-25-08_36</v>
      </c>
      <c r="E39" s="6"/>
      <c r="F39" s="6">
        <v>117.1</v>
      </c>
      <c r="G39" s="63" t="str" cm="1">
        <f t="array" ref="G39">_xlfn.XLOOKUP(1,(A39=Geotech!$A$4:$A$11100)*(Data_PLT[[#This Row],[Depth (m)]]&gt;=Geotech!$C$4:$C$11100)*(Data_PLT[[#This Row],[Depth (m)]]&lt;Geotech!$D$4:$D$11100),Geotech!$M$4:$M$11100)</f>
        <v>VT-TI Vein</v>
      </c>
      <c r="H39" s="6" t="s">
        <v>299</v>
      </c>
      <c r="I39" s="63" t="str">
        <f>VLOOKUP(Data_PLT[[#This Row],[Hole ID]],Data_Log[[Hole ID]:[Core size]],20,FALSE)</f>
        <v>HQ</v>
      </c>
      <c r="J39" s="13">
        <f>VLOOKUP(Data_PLT[[#This Row],[Core Size]],Table_CoreSize[],2,FALSE)</f>
        <v>63.5</v>
      </c>
      <c r="K39" s="19">
        <v>80</v>
      </c>
      <c r="L39" s="19" t="s">
        <v>574</v>
      </c>
      <c r="M39" s="5">
        <v>306.8</v>
      </c>
      <c r="N39" s="5"/>
      <c r="O39" s="6" t="s">
        <v>163</v>
      </c>
      <c r="P39" s="13" t="str">
        <f>IF(Data_PLT[[#This Row],[Failure type]]="","",IF(OR(Data_PLT[[#This Row],[Failure type]]="Invalid",Data_PLT[[#This Row],[Failure type]]="Chipped",Data_PLT[[#This Row],[Failure type]]="Penetrate",Data_PLT[[#This Row],[Failure type]]="Did not break"),"Invalid","Valid"))</f>
        <v>Valid</v>
      </c>
      <c r="Q39" s="6"/>
      <c r="R39" s="11"/>
      <c r="S39" s="13">
        <f>IF(Data_PLT[[#This Row],[Test type]]="Diametral",Data_PLT[[#This Row],[Diameter (mm)]],IF(Data_PLT[[#This Row],[Test type]]="Axial",SQRT(4*Data_PLT[[#This Row],[Diameter (mm)]]*Data_PLT[[#This Row],[Length or width (mm)]]/PI()),"ERROR"))</f>
        <v>63.5</v>
      </c>
      <c r="T39" s="13">
        <f>(Data_PLT[[#This Row],[Load (kN)]]*1000)/Data_PLT[[#This Row],[Equiv. Diam. (mm)]]^2</f>
        <v>0</v>
      </c>
      <c r="U39" s="13">
        <f>(Data_PLT[[#This Row],[Equiv. Diam. (mm)]]/50)^0.45</f>
        <v>1.1135550054708407</v>
      </c>
      <c r="V39" s="13">
        <f>Data_PLT[[#This Row],[Is (MPa)]]*Data_PLT[[#This Row],[F]]</f>
        <v>0</v>
      </c>
      <c r="W39" s="13" t="str">
        <f>Data_PLT[[#This Row],[Failure Validity]]&amp;"-"&amp;Data_PLT[[#This Row],[Test type]]</f>
        <v>Valid-Diametral</v>
      </c>
      <c r="X39" s="13">
        <f>Data_PLT[[#This Row],[Is50 (MPa)]]*VLOOKUP("Min",Table_PLT_Conversion[],2,FALSE)</f>
        <v>0</v>
      </c>
      <c r="Y39" s="13">
        <f>Data_PLT[[#This Row],[Is50 (MPa)]]*VLOOKUP("Avg",Table_PLT_Conversion[],2,FALSE)</f>
        <v>0</v>
      </c>
      <c r="Z39" s="13">
        <f>Data_PLT[[#This Row],[Is50 (MPa)]]*VLOOKUP("Max",Table_PLT_Conversion[],2,FALSE)</f>
        <v>0</v>
      </c>
      <c r="AA39" s="62" t="e">
        <f>MATCH(LOOKUP(Data_PLT[[#This Row],[UCS min (MPa)]],Table_FieldStrength[Min UCS]),Table_FieldStrength[Min UCS],0)-1</f>
        <v>#N/A</v>
      </c>
      <c r="AB39" s="62" t="e">
        <f>MATCH(LOOKUP(Data_PLT[[#This Row],[UCS avg (MPa)]],Table_FieldStrength[Min UCS]),Table_FieldStrength[Min UCS],0)-1</f>
        <v>#N/A</v>
      </c>
      <c r="AC39" s="62" t="e">
        <f>MATCH(LOOKUP(Data_PLT[[#This Row],[UCS max (MPa)]],Table_FieldStrength[Min UCS]),Table_FieldStrength[Min UCS],0)-1</f>
        <v>#N/A</v>
      </c>
      <c r="AD39" s="68" t="e">
        <f>Data_PLT[[#This Row],[Test code]]&amp;"-"&amp;Data_PLT[[#This Row],[UCS min code]]</f>
        <v>#N/A</v>
      </c>
      <c r="AE39" s="68" t="e">
        <f>Data_PLT[[#This Row],[Test code]]&amp;"-"&amp;Data_PLT[[#This Row],[UCS avg code]]</f>
        <v>#N/A</v>
      </c>
      <c r="AF39" s="67" t="e">
        <f>Data_PLT[[#This Row],[Test code]]&amp;"-"&amp;Data_PLT[[#This Row],[UCS max code]]</f>
        <v>#N/A</v>
      </c>
      <c r="AG39" s="67" t="str">
        <f>Data_PLT[[#This Row],[Failure type]]&amp;"-"&amp;Data_PLT[[#This Row],[Test type]]&amp;"-"&amp;(IF(Data_PLT[[#This Row],[Is50 (MPa)]]&lt;1,1,IF(Data_PLT[[#This Row],[Is50 (MPa)]]&lt;2,2,IF(Data_PLT[[#This Row],[Is50 (MPa)]]&lt;4,3,IF(Data_PLT[[#This Row],[Is50 (MPa)]]&lt;8,4,5)))))</f>
        <v>Broke along MD-Diametral-1</v>
      </c>
    </row>
    <row r="40" spans="1:33" x14ac:dyDescent="0.25">
      <c r="A40" t="s">
        <v>26</v>
      </c>
      <c r="B40" s="88" t="str">
        <f>VLOOKUP(Data_PLT[[#This Row],[Hole ID]],Data_Log[],2,FALSE)</f>
        <v>CGF-01</v>
      </c>
      <c r="C40" s="63">
        <f>IF(Data_PLT[[#This Row],[Hole ID]]="","",
IF(COUNTIF($A$4:A40,Data_PLT[[#This Row],[Hole ID]])=1,1,
IF(A40=A39,C39+1,
COUNTIF($A$4:A40,Data_PLT[[#This Row],[Hole ID]]))))</f>
        <v>37</v>
      </c>
      <c r="D40" s="63" t="str">
        <f>IF(Data_PLT[[#This Row],[Hole ID]]="","",Data_PLT[[#This Row],[Hole ID]]&amp;"_"&amp;Data_PLT[[#This Row],[Sample ID]])</f>
        <v>COG-25-08_37</v>
      </c>
      <c r="E40" s="6"/>
      <c r="F40" s="6">
        <v>118.2</v>
      </c>
      <c r="G40" s="63" t="str" cm="1">
        <f t="array" ref="G40">_xlfn.XLOOKUP(1,(A40=Geotech!$A$4:$A$11100)*(Data_PLT[[#This Row],[Depth (m)]]&gt;=Geotech!$C$4:$C$11100)*(Data_PLT[[#This Row],[Depth (m)]]&lt;Geotech!$D$4:$D$11100),Geotech!$M$4:$M$11100)</f>
        <v>Boulamarque granodiorite</v>
      </c>
      <c r="H40" s="6" t="s">
        <v>299</v>
      </c>
      <c r="I40" s="63" t="str">
        <f>VLOOKUP(Data_PLT[[#This Row],[Hole ID]],Data_Log[[Hole ID]:[Core size]],20,FALSE)</f>
        <v>HQ</v>
      </c>
      <c r="J40" s="13">
        <f>VLOOKUP(Data_PLT[[#This Row],[Core Size]],Table_CoreSize[],2,FALSE)</f>
        <v>63.5</v>
      </c>
      <c r="K40" s="19">
        <v>95</v>
      </c>
      <c r="L40" s="19" t="s">
        <v>574</v>
      </c>
      <c r="M40" s="5">
        <v>149.6</v>
      </c>
      <c r="N40" s="5"/>
      <c r="O40" s="6" t="s">
        <v>334</v>
      </c>
      <c r="P40" s="13" t="str">
        <f>IF(Data_PLT[[#This Row],[Failure type]]="","",IF(OR(Data_PLT[[#This Row],[Failure type]]="Invalid",Data_PLT[[#This Row],[Failure type]]="Chipped",Data_PLT[[#This Row],[Failure type]]="Penetrate",Data_PLT[[#This Row],[Failure type]]="Did not break"),"Invalid","Valid"))</f>
        <v>Valid</v>
      </c>
      <c r="Q40" s="6"/>
      <c r="R40" s="11"/>
      <c r="S40" s="13">
        <f>IF(Data_PLT[[#This Row],[Test type]]="Diametral",Data_PLT[[#This Row],[Diameter (mm)]],IF(Data_PLT[[#This Row],[Test type]]="Axial",SQRT(4*Data_PLT[[#This Row],[Diameter (mm)]]*Data_PLT[[#This Row],[Length or width (mm)]]/PI()),"ERROR"))</f>
        <v>63.5</v>
      </c>
      <c r="T40" s="13">
        <f>(Data_PLT[[#This Row],[Load (kN)]]*1000)/Data_PLT[[#This Row],[Equiv. Diam. (mm)]]^2</f>
        <v>0</v>
      </c>
      <c r="U40" s="13">
        <f>(Data_PLT[[#This Row],[Equiv. Diam. (mm)]]/50)^0.45</f>
        <v>1.1135550054708407</v>
      </c>
      <c r="V40" s="13">
        <f>Data_PLT[[#This Row],[Is (MPa)]]*Data_PLT[[#This Row],[F]]</f>
        <v>0</v>
      </c>
      <c r="W40" s="13" t="str">
        <f>Data_PLT[[#This Row],[Failure Validity]]&amp;"-"&amp;Data_PLT[[#This Row],[Test type]]</f>
        <v>Valid-Diametral</v>
      </c>
      <c r="X40" s="13">
        <f>Data_PLT[[#This Row],[Is50 (MPa)]]*VLOOKUP("Min",Table_PLT_Conversion[],2,FALSE)</f>
        <v>0</v>
      </c>
      <c r="Y40" s="13">
        <f>Data_PLT[[#This Row],[Is50 (MPa)]]*VLOOKUP("Avg",Table_PLT_Conversion[],2,FALSE)</f>
        <v>0</v>
      </c>
      <c r="Z40" s="13">
        <f>Data_PLT[[#This Row],[Is50 (MPa)]]*VLOOKUP("Max",Table_PLT_Conversion[],2,FALSE)</f>
        <v>0</v>
      </c>
      <c r="AA40" s="62" t="e">
        <f>MATCH(LOOKUP(Data_PLT[[#This Row],[UCS min (MPa)]],Table_FieldStrength[Min UCS]),Table_FieldStrength[Min UCS],0)-1</f>
        <v>#N/A</v>
      </c>
      <c r="AB40" s="62" t="e">
        <f>MATCH(LOOKUP(Data_PLT[[#This Row],[UCS avg (MPa)]],Table_FieldStrength[Min UCS]),Table_FieldStrength[Min UCS],0)-1</f>
        <v>#N/A</v>
      </c>
      <c r="AC40" s="62" t="e">
        <f>MATCH(LOOKUP(Data_PLT[[#This Row],[UCS max (MPa)]],Table_FieldStrength[Min UCS]),Table_FieldStrength[Min UCS],0)-1</f>
        <v>#N/A</v>
      </c>
      <c r="AD40" s="68" t="e">
        <f>Data_PLT[[#This Row],[Test code]]&amp;"-"&amp;Data_PLT[[#This Row],[UCS min code]]</f>
        <v>#N/A</v>
      </c>
      <c r="AE40" s="68" t="e">
        <f>Data_PLT[[#This Row],[Test code]]&amp;"-"&amp;Data_PLT[[#This Row],[UCS avg code]]</f>
        <v>#N/A</v>
      </c>
      <c r="AF40" s="67" t="e">
        <f>Data_PLT[[#This Row],[Test code]]&amp;"-"&amp;Data_PLT[[#This Row],[UCS max code]]</f>
        <v>#N/A</v>
      </c>
      <c r="AG40" s="67" t="str">
        <f>Data_PLT[[#This Row],[Failure type]]&amp;"-"&amp;Data_PLT[[#This Row],[Test type]]&amp;"-"&amp;(IF(Data_PLT[[#This Row],[Is50 (MPa)]]&lt;1,1,IF(Data_PLT[[#This Row],[Is50 (MPa)]]&lt;2,2,IF(Data_PLT[[#This Row],[Is50 (MPa)]]&lt;4,3,IF(Data_PLT[[#This Row],[Is50 (MPa)]]&lt;8,4,5)))))</f>
        <v>Along bedding/foliation-Diametral-1</v>
      </c>
    </row>
    <row r="41" spans="1:33" x14ac:dyDescent="0.25">
      <c r="A41" t="s">
        <v>26</v>
      </c>
      <c r="B41" s="88" t="str">
        <f>VLOOKUP(Data_PLT[[#This Row],[Hole ID]],Data_Log[],2,FALSE)</f>
        <v>CGF-01</v>
      </c>
      <c r="C41" s="63">
        <f>IF(Data_PLT[[#This Row],[Hole ID]]="","",
IF(COUNTIF($A$4:A41,Data_PLT[[#This Row],[Hole ID]])=1,1,
IF(A41=A40,C40+1,
COUNTIF($A$4:A41,Data_PLT[[#This Row],[Hole ID]]))))</f>
        <v>38</v>
      </c>
      <c r="D41" s="63" t="str">
        <f>IF(Data_PLT[[#This Row],[Hole ID]]="","",Data_PLT[[#This Row],[Hole ID]]&amp;"_"&amp;Data_PLT[[#This Row],[Sample ID]])</f>
        <v>COG-25-08_38</v>
      </c>
      <c r="E41" s="6"/>
      <c r="F41" s="6">
        <v>120</v>
      </c>
      <c r="G41" s="63" t="str" cm="1">
        <f t="array" ref="G41">_xlfn.XLOOKUP(1,(A41=Geotech!$A$4:$A$11100)*(Data_PLT[[#This Row],[Depth (m)]]&gt;=Geotech!$C$4:$C$11100)*(Data_PLT[[#This Row],[Depth (m)]]&lt;Geotech!$D$4:$D$11100),Geotech!$M$4:$M$11100)</f>
        <v>Boulamarque granodiorite</v>
      </c>
      <c r="H41" s="6" t="s">
        <v>299</v>
      </c>
      <c r="I41" s="63" t="str">
        <f>VLOOKUP(Data_PLT[[#This Row],[Hole ID]],Data_Log[[Hole ID]:[Core size]],20,FALSE)</f>
        <v>HQ</v>
      </c>
      <c r="J41" s="13">
        <f>VLOOKUP(Data_PLT[[#This Row],[Core Size]],Table_CoreSize[],2,FALSE)</f>
        <v>63.5</v>
      </c>
      <c r="K41" s="19">
        <v>100</v>
      </c>
      <c r="L41" s="19" t="s">
        <v>574</v>
      </c>
      <c r="M41" s="5">
        <v>190.6</v>
      </c>
      <c r="N41" s="5"/>
      <c r="O41" s="6" t="s">
        <v>300</v>
      </c>
      <c r="P41" s="13" t="str">
        <f>IF(Data_PLT[[#This Row],[Failure type]]="","",IF(OR(Data_PLT[[#This Row],[Failure type]]="Invalid",Data_PLT[[#This Row],[Failure type]]="Chipped",Data_PLT[[#This Row],[Failure type]]="Penetrate",Data_PLT[[#This Row],[Failure type]]="Did not break"),"Invalid","Valid"))</f>
        <v>Valid</v>
      </c>
      <c r="Q41" s="6"/>
      <c r="R41" s="11"/>
      <c r="S41" s="13">
        <f>IF(Data_PLT[[#This Row],[Test type]]="Diametral",Data_PLT[[#This Row],[Diameter (mm)]],IF(Data_PLT[[#This Row],[Test type]]="Axial",SQRT(4*Data_PLT[[#This Row],[Diameter (mm)]]*Data_PLT[[#This Row],[Length or width (mm)]]/PI()),"ERROR"))</f>
        <v>63.5</v>
      </c>
      <c r="T41" s="13">
        <f>(Data_PLT[[#This Row],[Load (kN)]]*1000)/Data_PLT[[#This Row],[Equiv. Diam. (mm)]]^2</f>
        <v>0</v>
      </c>
      <c r="U41" s="13">
        <f>(Data_PLT[[#This Row],[Equiv. Diam. (mm)]]/50)^0.45</f>
        <v>1.1135550054708407</v>
      </c>
      <c r="V41" s="13">
        <f>Data_PLT[[#This Row],[Is (MPa)]]*Data_PLT[[#This Row],[F]]</f>
        <v>0</v>
      </c>
      <c r="W41" s="13" t="str">
        <f>Data_PLT[[#This Row],[Failure Validity]]&amp;"-"&amp;Data_PLT[[#This Row],[Test type]]</f>
        <v>Valid-Diametral</v>
      </c>
      <c r="X41" s="13">
        <f>Data_PLT[[#This Row],[Is50 (MPa)]]*VLOOKUP("Min",Table_PLT_Conversion[],2,FALSE)</f>
        <v>0</v>
      </c>
      <c r="Y41" s="13">
        <f>Data_PLT[[#This Row],[Is50 (MPa)]]*VLOOKUP("Avg",Table_PLT_Conversion[],2,FALSE)</f>
        <v>0</v>
      </c>
      <c r="Z41" s="13">
        <f>Data_PLT[[#This Row],[Is50 (MPa)]]*VLOOKUP("Max",Table_PLT_Conversion[],2,FALSE)</f>
        <v>0</v>
      </c>
      <c r="AA41" s="62" t="e">
        <f>MATCH(LOOKUP(Data_PLT[[#This Row],[UCS min (MPa)]],Table_FieldStrength[Min UCS]),Table_FieldStrength[Min UCS],0)-1</f>
        <v>#N/A</v>
      </c>
      <c r="AB41" s="62" t="e">
        <f>MATCH(LOOKUP(Data_PLT[[#This Row],[UCS avg (MPa)]],Table_FieldStrength[Min UCS]),Table_FieldStrength[Min UCS],0)-1</f>
        <v>#N/A</v>
      </c>
      <c r="AC41" s="62" t="e">
        <f>MATCH(LOOKUP(Data_PLT[[#This Row],[UCS max (MPa)]],Table_FieldStrength[Min UCS]),Table_FieldStrength[Min UCS],0)-1</f>
        <v>#N/A</v>
      </c>
      <c r="AD41" s="68" t="e">
        <f>Data_PLT[[#This Row],[Test code]]&amp;"-"&amp;Data_PLT[[#This Row],[UCS min code]]</f>
        <v>#N/A</v>
      </c>
      <c r="AE41" s="68" t="e">
        <f>Data_PLT[[#This Row],[Test code]]&amp;"-"&amp;Data_PLT[[#This Row],[UCS avg code]]</f>
        <v>#N/A</v>
      </c>
      <c r="AF41" s="67" t="e">
        <f>Data_PLT[[#This Row],[Test code]]&amp;"-"&amp;Data_PLT[[#This Row],[UCS max code]]</f>
        <v>#N/A</v>
      </c>
      <c r="AG41" s="67" t="str">
        <f>Data_PLT[[#This Row],[Failure type]]&amp;"-"&amp;Data_PLT[[#This Row],[Test type]]&amp;"-"&amp;(IF(Data_PLT[[#This Row],[Is50 (MPa)]]&lt;1,1,IF(Data_PLT[[#This Row],[Is50 (MPa)]]&lt;2,2,IF(Data_PLT[[#This Row],[Is50 (MPa)]]&lt;4,3,IF(Data_PLT[[#This Row],[Is50 (MPa)]]&lt;8,4,5)))))</f>
        <v>Intact-Diametral-1</v>
      </c>
    </row>
    <row r="42" spans="1:33" x14ac:dyDescent="0.25">
      <c r="A42" t="s">
        <v>26</v>
      </c>
      <c r="B42" s="88" t="str">
        <f>VLOOKUP(Data_PLT[[#This Row],[Hole ID]],Data_Log[],2,FALSE)</f>
        <v>CGF-01</v>
      </c>
      <c r="C42" s="63">
        <f>IF(Data_PLT[[#This Row],[Hole ID]]="","",
IF(COUNTIF($A$4:A42,Data_PLT[[#This Row],[Hole ID]])=1,1,
IF(A42=A41,C41+1,
COUNTIF($A$4:A42,Data_PLT[[#This Row],[Hole ID]]))))</f>
        <v>39</v>
      </c>
      <c r="D42" s="63" t="str">
        <f>IF(Data_PLT[[#This Row],[Hole ID]]="","",Data_PLT[[#This Row],[Hole ID]]&amp;"_"&amp;Data_PLT[[#This Row],[Sample ID]])</f>
        <v>COG-25-08_39</v>
      </c>
      <c r="E42" s="6"/>
      <c r="F42" s="6">
        <v>123.75</v>
      </c>
      <c r="G42" s="63" t="str" cm="1">
        <f t="array" ref="G42">_xlfn.XLOOKUP(1,(A42=Geotech!$A$4:$A$11100)*(Data_PLT[[#This Row],[Depth (m)]]&gt;=Geotech!$C$4:$C$11100)*(Data_PLT[[#This Row],[Depth (m)]]&lt;Geotech!$D$4:$D$11100),Geotech!$M$4:$M$11100)</f>
        <v>VT-TI Vein</v>
      </c>
      <c r="H42" s="6" t="s">
        <v>299</v>
      </c>
      <c r="I42" s="63" t="str">
        <f>VLOOKUP(Data_PLT[[#This Row],[Hole ID]],Data_Log[[Hole ID]:[Core size]],20,FALSE)</f>
        <v>HQ</v>
      </c>
      <c r="J42" s="13">
        <f>VLOOKUP(Data_PLT[[#This Row],[Core Size]],Table_CoreSize[],2,FALSE)</f>
        <v>63.5</v>
      </c>
      <c r="K42" s="19">
        <v>125</v>
      </c>
      <c r="L42" s="19" t="s">
        <v>574</v>
      </c>
      <c r="M42" s="5">
        <v>145.19999999999999</v>
      </c>
      <c r="N42" s="5"/>
      <c r="O42" s="6" t="s">
        <v>334</v>
      </c>
      <c r="P42" s="13" t="str">
        <f>IF(Data_PLT[[#This Row],[Failure type]]="","",IF(OR(Data_PLT[[#This Row],[Failure type]]="Invalid",Data_PLT[[#This Row],[Failure type]]="Chipped",Data_PLT[[#This Row],[Failure type]]="Penetrate",Data_PLT[[#This Row],[Failure type]]="Did not break"),"Invalid","Valid"))</f>
        <v>Valid</v>
      </c>
      <c r="Q42" s="6"/>
      <c r="R42" s="11"/>
      <c r="S42" s="13">
        <f>IF(Data_PLT[[#This Row],[Test type]]="Diametral",Data_PLT[[#This Row],[Diameter (mm)]],IF(Data_PLT[[#This Row],[Test type]]="Axial",SQRT(4*Data_PLT[[#This Row],[Diameter (mm)]]*Data_PLT[[#This Row],[Length or width (mm)]]/PI()),"ERROR"))</f>
        <v>63.5</v>
      </c>
      <c r="T42" s="13">
        <f>(Data_PLT[[#This Row],[Load (kN)]]*1000)/Data_PLT[[#This Row],[Equiv. Diam. (mm)]]^2</f>
        <v>0</v>
      </c>
      <c r="U42" s="13">
        <f>(Data_PLT[[#This Row],[Equiv. Diam. (mm)]]/50)^0.45</f>
        <v>1.1135550054708407</v>
      </c>
      <c r="V42" s="13">
        <f>Data_PLT[[#This Row],[Is (MPa)]]*Data_PLT[[#This Row],[F]]</f>
        <v>0</v>
      </c>
      <c r="W42" s="13" t="str">
        <f>Data_PLT[[#This Row],[Failure Validity]]&amp;"-"&amp;Data_PLT[[#This Row],[Test type]]</f>
        <v>Valid-Diametral</v>
      </c>
      <c r="X42" s="13">
        <f>Data_PLT[[#This Row],[Is50 (MPa)]]*VLOOKUP("Min",Table_PLT_Conversion[],2,FALSE)</f>
        <v>0</v>
      </c>
      <c r="Y42" s="13">
        <f>Data_PLT[[#This Row],[Is50 (MPa)]]*VLOOKUP("Avg",Table_PLT_Conversion[],2,FALSE)</f>
        <v>0</v>
      </c>
      <c r="Z42" s="13">
        <f>Data_PLT[[#This Row],[Is50 (MPa)]]*VLOOKUP("Max",Table_PLT_Conversion[],2,FALSE)</f>
        <v>0</v>
      </c>
      <c r="AA42" s="62" t="e">
        <f>MATCH(LOOKUP(Data_PLT[[#This Row],[UCS min (MPa)]],Table_FieldStrength[Min UCS]),Table_FieldStrength[Min UCS],0)-1</f>
        <v>#N/A</v>
      </c>
      <c r="AB42" s="62" t="e">
        <f>MATCH(LOOKUP(Data_PLT[[#This Row],[UCS avg (MPa)]],Table_FieldStrength[Min UCS]),Table_FieldStrength[Min UCS],0)-1</f>
        <v>#N/A</v>
      </c>
      <c r="AC42" s="62" t="e">
        <f>MATCH(LOOKUP(Data_PLT[[#This Row],[UCS max (MPa)]],Table_FieldStrength[Min UCS]),Table_FieldStrength[Min UCS],0)-1</f>
        <v>#N/A</v>
      </c>
      <c r="AD42" s="68" t="e">
        <f>Data_PLT[[#This Row],[Test code]]&amp;"-"&amp;Data_PLT[[#This Row],[UCS min code]]</f>
        <v>#N/A</v>
      </c>
      <c r="AE42" s="68" t="e">
        <f>Data_PLT[[#This Row],[Test code]]&amp;"-"&amp;Data_PLT[[#This Row],[UCS avg code]]</f>
        <v>#N/A</v>
      </c>
      <c r="AF42" s="67" t="e">
        <f>Data_PLT[[#This Row],[Test code]]&amp;"-"&amp;Data_PLT[[#This Row],[UCS max code]]</f>
        <v>#N/A</v>
      </c>
      <c r="AG42" s="67" t="str">
        <f>Data_PLT[[#This Row],[Failure type]]&amp;"-"&amp;Data_PLT[[#This Row],[Test type]]&amp;"-"&amp;(IF(Data_PLT[[#This Row],[Is50 (MPa)]]&lt;1,1,IF(Data_PLT[[#This Row],[Is50 (MPa)]]&lt;2,2,IF(Data_PLT[[#This Row],[Is50 (MPa)]]&lt;4,3,IF(Data_PLT[[#This Row],[Is50 (MPa)]]&lt;8,4,5)))))</f>
        <v>Along bedding/foliation-Diametral-1</v>
      </c>
    </row>
    <row r="43" spans="1:33" x14ac:dyDescent="0.25">
      <c r="A43" t="s">
        <v>26</v>
      </c>
      <c r="B43" s="88" t="str">
        <f>VLOOKUP(Data_PLT[[#This Row],[Hole ID]],Data_Log[],2,FALSE)</f>
        <v>CGF-01</v>
      </c>
      <c r="C43" s="63">
        <f>IF(Data_PLT[[#This Row],[Hole ID]]="","",
IF(COUNTIF($A$4:A43,Data_PLT[[#This Row],[Hole ID]])=1,1,
IF(A43=A42,C42+1,
COUNTIF($A$4:A43,Data_PLT[[#This Row],[Hole ID]]))))</f>
        <v>40</v>
      </c>
      <c r="D43" s="63" t="str">
        <f>IF(Data_PLT[[#This Row],[Hole ID]]="","",Data_PLT[[#This Row],[Hole ID]]&amp;"_"&amp;Data_PLT[[#This Row],[Sample ID]])</f>
        <v>COG-25-08_40</v>
      </c>
      <c r="E43" s="6"/>
      <c r="F43" s="6">
        <v>125.17</v>
      </c>
      <c r="G43" s="63" t="str" cm="1">
        <f t="array" ref="G43">_xlfn.XLOOKUP(1,(A43=Geotech!$A$4:$A$11100)*(Data_PLT[[#This Row],[Depth (m)]]&gt;=Geotech!$C$4:$C$11100)*(Data_PLT[[#This Row],[Depth (m)]]&lt;Geotech!$D$4:$D$11100),Geotech!$M$4:$M$11100)</f>
        <v>Boulamarque granodiorite</v>
      </c>
      <c r="H43" s="6" t="s">
        <v>299</v>
      </c>
      <c r="I43" s="63" t="str">
        <f>VLOOKUP(Data_PLT[[#This Row],[Hole ID]],Data_Log[[Hole ID]:[Core size]],20,FALSE)</f>
        <v>HQ</v>
      </c>
      <c r="J43" s="13">
        <f>VLOOKUP(Data_PLT[[#This Row],[Core Size]],Table_CoreSize[],2,FALSE)</f>
        <v>63.5</v>
      </c>
      <c r="K43" s="19">
        <v>110</v>
      </c>
      <c r="L43" s="19" t="s">
        <v>574</v>
      </c>
      <c r="M43" s="5">
        <v>57</v>
      </c>
      <c r="N43" s="5"/>
      <c r="O43" s="6" t="s">
        <v>334</v>
      </c>
      <c r="P43" s="13" t="str">
        <f>IF(Data_PLT[[#This Row],[Failure type]]="","",IF(OR(Data_PLT[[#This Row],[Failure type]]="Invalid",Data_PLT[[#This Row],[Failure type]]="Chipped",Data_PLT[[#This Row],[Failure type]]="Penetrate",Data_PLT[[#This Row],[Failure type]]="Did not break"),"Invalid","Valid"))</f>
        <v>Valid</v>
      </c>
      <c r="Q43" s="6"/>
      <c r="R43" s="11"/>
      <c r="S43" s="13">
        <f>IF(Data_PLT[[#This Row],[Test type]]="Diametral",Data_PLT[[#This Row],[Diameter (mm)]],IF(Data_PLT[[#This Row],[Test type]]="Axial",SQRT(4*Data_PLT[[#This Row],[Diameter (mm)]]*Data_PLT[[#This Row],[Length or width (mm)]]/PI()),"ERROR"))</f>
        <v>63.5</v>
      </c>
      <c r="T43" s="13">
        <f>(Data_PLT[[#This Row],[Load (kN)]]*1000)/Data_PLT[[#This Row],[Equiv. Diam. (mm)]]^2</f>
        <v>0</v>
      </c>
      <c r="U43" s="13">
        <f>(Data_PLT[[#This Row],[Equiv. Diam. (mm)]]/50)^0.45</f>
        <v>1.1135550054708407</v>
      </c>
      <c r="V43" s="13">
        <f>Data_PLT[[#This Row],[Is (MPa)]]*Data_PLT[[#This Row],[F]]</f>
        <v>0</v>
      </c>
      <c r="W43" s="13" t="str">
        <f>Data_PLT[[#This Row],[Failure Validity]]&amp;"-"&amp;Data_PLT[[#This Row],[Test type]]</f>
        <v>Valid-Diametral</v>
      </c>
      <c r="X43" s="13">
        <f>Data_PLT[[#This Row],[Is50 (MPa)]]*VLOOKUP("Min",Table_PLT_Conversion[],2,FALSE)</f>
        <v>0</v>
      </c>
      <c r="Y43" s="13">
        <f>Data_PLT[[#This Row],[Is50 (MPa)]]*VLOOKUP("Avg",Table_PLT_Conversion[],2,FALSE)</f>
        <v>0</v>
      </c>
      <c r="Z43" s="13">
        <f>Data_PLT[[#This Row],[Is50 (MPa)]]*VLOOKUP("Max",Table_PLT_Conversion[],2,FALSE)</f>
        <v>0</v>
      </c>
      <c r="AA43" s="62" t="e">
        <f>MATCH(LOOKUP(Data_PLT[[#This Row],[UCS min (MPa)]],Table_FieldStrength[Min UCS]),Table_FieldStrength[Min UCS],0)-1</f>
        <v>#N/A</v>
      </c>
      <c r="AB43" s="62" t="e">
        <f>MATCH(LOOKUP(Data_PLT[[#This Row],[UCS avg (MPa)]],Table_FieldStrength[Min UCS]),Table_FieldStrength[Min UCS],0)-1</f>
        <v>#N/A</v>
      </c>
      <c r="AC43" s="62" t="e">
        <f>MATCH(LOOKUP(Data_PLT[[#This Row],[UCS max (MPa)]],Table_FieldStrength[Min UCS]),Table_FieldStrength[Min UCS],0)-1</f>
        <v>#N/A</v>
      </c>
      <c r="AD43" s="68" t="e">
        <f>Data_PLT[[#This Row],[Test code]]&amp;"-"&amp;Data_PLT[[#This Row],[UCS min code]]</f>
        <v>#N/A</v>
      </c>
      <c r="AE43" s="68" t="e">
        <f>Data_PLT[[#This Row],[Test code]]&amp;"-"&amp;Data_PLT[[#This Row],[UCS avg code]]</f>
        <v>#N/A</v>
      </c>
      <c r="AF43" s="67" t="e">
        <f>Data_PLT[[#This Row],[Test code]]&amp;"-"&amp;Data_PLT[[#This Row],[UCS max code]]</f>
        <v>#N/A</v>
      </c>
      <c r="AG43" s="67" t="str">
        <f>Data_PLT[[#This Row],[Failure type]]&amp;"-"&amp;Data_PLT[[#This Row],[Test type]]&amp;"-"&amp;(IF(Data_PLT[[#This Row],[Is50 (MPa)]]&lt;1,1,IF(Data_PLT[[#This Row],[Is50 (MPa)]]&lt;2,2,IF(Data_PLT[[#This Row],[Is50 (MPa)]]&lt;4,3,IF(Data_PLT[[#This Row],[Is50 (MPa)]]&lt;8,4,5)))))</f>
        <v>Along bedding/foliation-Diametral-1</v>
      </c>
    </row>
    <row r="44" spans="1:33" x14ac:dyDescent="0.25">
      <c r="A44" t="s">
        <v>26</v>
      </c>
      <c r="B44" s="88" t="str">
        <f>VLOOKUP(Data_PLT[[#This Row],[Hole ID]],Data_Log[],2,FALSE)</f>
        <v>CGF-01</v>
      </c>
      <c r="C44" s="63">
        <f>IF(Data_PLT[[#This Row],[Hole ID]]="","",
IF(COUNTIF($A$4:A44,Data_PLT[[#This Row],[Hole ID]])=1,1,
IF(A44=A43,C43+1,
COUNTIF($A$4:A44,Data_PLT[[#This Row],[Hole ID]]))))</f>
        <v>41</v>
      </c>
      <c r="D44" s="63" t="str">
        <f>IF(Data_PLT[[#This Row],[Hole ID]]="","",Data_PLT[[#This Row],[Hole ID]]&amp;"_"&amp;Data_PLT[[#This Row],[Sample ID]])</f>
        <v>COG-25-08_41</v>
      </c>
      <c r="E44" s="6"/>
      <c r="F44" s="6">
        <v>126.82</v>
      </c>
      <c r="G44" s="63" t="str" cm="1">
        <f t="array" ref="G44">_xlfn.XLOOKUP(1,(A44=Geotech!$A$4:$A$11100)*(Data_PLT[[#This Row],[Depth (m)]]&gt;=Geotech!$C$4:$C$11100)*(Data_PLT[[#This Row],[Depth (m)]]&lt;Geotech!$D$4:$D$11100),Geotech!$M$4:$M$11100)</f>
        <v>Boulamarque granodiorite</v>
      </c>
      <c r="H44" s="6" t="s">
        <v>299</v>
      </c>
      <c r="I44" s="63" t="str">
        <f>VLOOKUP(Data_PLT[[#This Row],[Hole ID]],Data_Log[[Hole ID]:[Core size]],20,FALSE)</f>
        <v>HQ</v>
      </c>
      <c r="J44" s="13">
        <f>VLOOKUP(Data_PLT[[#This Row],[Core Size]],Table_CoreSize[],2,FALSE)</f>
        <v>63.5</v>
      </c>
      <c r="K44" s="19">
        <v>90</v>
      </c>
      <c r="L44" s="19" t="s">
        <v>574</v>
      </c>
      <c r="M44" s="5">
        <v>31</v>
      </c>
      <c r="N44" s="5"/>
      <c r="O44" s="6" t="s">
        <v>334</v>
      </c>
      <c r="P44" s="13" t="str">
        <f>IF(Data_PLT[[#This Row],[Failure type]]="","",IF(OR(Data_PLT[[#This Row],[Failure type]]="Invalid",Data_PLT[[#This Row],[Failure type]]="Chipped",Data_PLT[[#This Row],[Failure type]]="Penetrate",Data_PLT[[#This Row],[Failure type]]="Did not break"),"Invalid","Valid"))</f>
        <v>Valid</v>
      </c>
      <c r="Q44" s="6"/>
      <c r="R44" s="11"/>
      <c r="S44" s="13">
        <f>IF(Data_PLT[[#This Row],[Test type]]="Diametral",Data_PLT[[#This Row],[Diameter (mm)]],IF(Data_PLT[[#This Row],[Test type]]="Axial",SQRT(4*Data_PLT[[#This Row],[Diameter (mm)]]*Data_PLT[[#This Row],[Length or width (mm)]]/PI()),"ERROR"))</f>
        <v>63.5</v>
      </c>
      <c r="T44" s="13">
        <f>(Data_PLT[[#This Row],[Load (kN)]]*1000)/Data_PLT[[#This Row],[Equiv. Diam. (mm)]]^2</f>
        <v>0</v>
      </c>
      <c r="U44" s="13">
        <f>(Data_PLT[[#This Row],[Equiv. Diam. (mm)]]/50)^0.45</f>
        <v>1.1135550054708407</v>
      </c>
      <c r="V44" s="13">
        <f>Data_PLT[[#This Row],[Is (MPa)]]*Data_PLT[[#This Row],[F]]</f>
        <v>0</v>
      </c>
      <c r="W44" s="13" t="str">
        <f>Data_PLT[[#This Row],[Failure Validity]]&amp;"-"&amp;Data_PLT[[#This Row],[Test type]]</f>
        <v>Valid-Diametral</v>
      </c>
      <c r="X44" s="13">
        <f>Data_PLT[[#This Row],[Is50 (MPa)]]*VLOOKUP("Min",Table_PLT_Conversion[],2,FALSE)</f>
        <v>0</v>
      </c>
      <c r="Y44" s="13">
        <f>Data_PLT[[#This Row],[Is50 (MPa)]]*VLOOKUP("Avg",Table_PLT_Conversion[],2,FALSE)</f>
        <v>0</v>
      </c>
      <c r="Z44" s="13">
        <f>Data_PLT[[#This Row],[Is50 (MPa)]]*VLOOKUP("Max",Table_PLT_Conversion[],2,FALSE)</f>
        <v>0</v>
      </c>
      <c r="AA44" s="62" t="e">
        <f>MATCH(LOOKUP(Data_PLT[[#This Row],[UCS min (MPa)]],Table_FieldStrength[Min UCS]),Table_FieldStrength[Min UCS],0)-1</f>
        <v>#N/A</v>
      </c>
      <c r="AB44" s="62" t="e">
        <f>MATCH(LOOKUP(Data_PLT[[#This Row],[UCS avg (MPa)]],Table_FieldStrength[Min UCS]),Table_FieldStrength[Min UCS],0)-1</f>
        <v>#N/A</v>
      </c>
      <c r="AC44" s="62" t="e">
        <f>MATCH(LOOKUP(Data_PLT[[#This Row],[UCS max (MPa)]],Table_FieldStrength[Min UCS]),Table_FieldStrength[Min UCS],0)-1</f>
        <v>#N/A</v>
      </c>
      <c r="AD44" s="68" t="e">
        <f>Data_PLT[[#This Row],[Test code]]&amp;"-"&amp;Data_PLT[[#This Row],[UCS min code]]</f>
        <v>#N/A</v>
      </c>
      <c r="AE44" s="68" t="e">
        <f>Data_PLT[[#This Row],[Test code]]&amp;"-"&amp;Data_PLT[[#This Row],[UCS avg code]]</f>
        <v>#N/A</v>
      </c>
      <c r="AF44" s="67" t="e">
        <f>Data_PLT[[#This Row],[Test code]]&amp;"-"&amp;Data_PLT[[#This Row],[UCS max code]]</f>
        <v>#N/A</v>
      </c>
      <c r="AG44" s="67" t="str">
        <f>Data_PLT[[#This Row],[Failure type]]&amp;"-"&amp;Data_PLT[[#This Row],[Test type]]&amp;"-"&amp;(IF(Data_PLT[[#This Row],[Is50 (MPa)]]&lt;1,1,IF(Data_PLT[[#This Row],[Is50 (MPa)]]&lt;2,2,IF(Data_PLT[[#This Row],[Is50 (MPa)]]&lt;4,3,IF(Data_PLT[[#This Row],[Is50 (MPa)]]&lt;8,4,5)))))</f>
        <v>Along bedding/foliation-Diametral-1</v>
      </c>
    </row>
    <row r="45" spans="1:33" x14ac:dyDescent="0.25">
      <c r="A45" t="s">
        <v>26</v>
      </c>
      <c r="B45" s="88" t="str">
        <f>VLOOKUP(Data_PLT[[#This Row],[Hole ID]],Data_Log[],2,FALSE)</f>
        <v>CGF-01</v>
      </c>
      <c r="C45" s="63">
        <f>IF(Data_PLT[[#This Row],[Hole ID]]="","",
IF(COUNTIF($A$4:A45,Data_PLT[[#This Row],[Hole ID]])=1,1,
IF(A45=A44,C44+1,
COUNTIF($A$4:A45,Data_PLT[[#This Row],[Hole ID]]))))</f>
        <v>42</v>
      </c>
      <c r="D45" s="63" t="str">
        <f>IF(Data_PLT[[#This Row],[Hole ID]]="","",Data_PLT[[#This Row],[Hole ID]]&amp;"_"&amp;Data_PLT[[#This Row],[Sample ID]])</f>
        <v>COG-25-08_42</v>
      </c>
      <c r="E45" s="6"/>
      <c r="F45" s="6">
        <v>129.31</v>
      </c>
      <c r="G45" s="63" t="str" cm="1">
        <f t="array" ref="G45">_xlfn.XLOOKUP(1,(A45=Geotech!$A$4:$A$11100)*(Data_PLT[[#This Row],[Depth (m)]]&gt;=Geotech!$C$4:$C$11100)*(Data_PLT[[#This Row],[Depth (m)]]&lt;Geotech!$D$4:$D$11100),Geotech!$M$4:$M$11100)</f>
        <v>Boulamarque granodiorite</v>
      </c>
      <c r="H45" s="6" t="s">
        <v>299</v>
      </c>
      <c r="I45" s="63" t="str">
        <f>VLOOKUP(Data_PLT[[#This Row],[Hole ID]],Data_Log[[Hole ID]:[Core size]],20,FALSE)</f>
        <v>HQ</v>
      </c>
      <c r="J45" s="13">
        <f>VLOOKUP(Data_PLT[[#This Row],[Core Size]],Table_CoreSize[],2,FALSE)</f>
        <v>63.5</v>
      </c>
      <c r="K45" s="19">
        <v>80</v>
      </c>
      <c r="L45" s="19" t="s">
        <v>574</v>
      </c>
      <c r="M45" s="5">
        <v>69.8</v>
      </c>
      <c r="N45" s="5"/>
      <c r="O45" s="6" t="s">
        <v>334</v>
      </c>
      <c r="P45" s="13" t="str">
        <f>IF(Data_PLT[[#This Row],[Failure type]]="","",IF(OR(Data_PLT[[#This Row],[Failure type]]="Invalid",Data_PLT[[#This Row],[Failure type]]="Chipped",Data_PLT[[#This Row],[Failure type]]="Penetrate",Data_PLT[[#This Row],[Failure type]]="Did not break"),"Invalid","Valid"))</f>
        <v>Valid</v>
      </c>
      <c r="Q45" s="6"/>
      <c r="R45" s="11"/>
      <c r="S45" s="13">
        <f>IF(Data_PLT[[#This Row],[Test type]]="Diametral",Data_PLT[[#This Row],[Diameter (mm)]],IF(Data_PLT[[#This Row],[Test type]]="Axial",SQRT(4*Data_PLT[[#This Row],[Diameter (mm)]]*Data_PLT[[#This Row],[Length or width (mm)]]/PI()),"ERROR"))</f>
        <v>63.5</v>
      </c>
      <c r="T45" s="13">
        <f>(Data_PLT[[#This Row],[Load (kN)]]*1000)/Data_PLT[[#This Row],[Equiv. Diam. (mm)]]^2</f>
        <v>0</v>
      </c>
      <c r="U45" s="13">
        <f>(Data_PLT[[#This Row],[Equiv. Diam. (mm)]]/50)^0.45</f>
        <v>1.1135550054708407</v>
      </c>
      <c r="V45" s="13">
        <f>Data_PLT[[#This Row],[Is (MPa)]]*Data_PLT[[#This Row],[F]]</f>
        <v>0</v>
      </c>
      <c r="W45" s="13" t="str">
        <f>Data_PLT[[#This Row],[Failure Validity]]&amp;"-"&amp;Data_PLT[[#This Row],[Test type]]</f>
        <v>Valid-Diametral</v>
      </c>
      <c r="X45" s="13">
        <f>Data_PLT[[#This Row],[Is50 (MPa)]]*VLOOKUP("Min",Table_PLT_Conversion[],2,FALSE)</f>
        <v>0</v>
      </c>
      <c r="Y45" s="13">
        <f>Data_PLT[[#This Row],[Is50 (MPa)]]*VLOOKUP("Avg",Table_PLT_Conversion[],2,FALSE)</f>
        <v>0</v>
      </c>
      <c r="Z45" s="13">
        <f>Data_PLT[[#This Row],[Is50 (MPa)]]*VLOOKUP("Max",Table_PLT_Conversion[],2,FALSE)</f>
        <v>0</v>
      </c>
      <c r="AA45" s="62" t="e">
        <f>MATCH(LOOKUP(Data_PLT[[#This Row],[UCS min (MPa)]],Table_FieldStrength[Min UCS]),Table_FieldStrength[Min UCS],0)-1</f>
        <v>#N/A</v>
      </c>
      <c r="AB45" s="62" t="e">
        <f>MATCH(LOOKUP(Data_PLT[[#This Row],[UCS avg (MPa)]],Table_FieldStrength[Min UCS]),Table_FieldStrength[Min UCS],0)-1</f>
        <v>#N/A</v>
      </c>
      <c r="AC45" s="62" t="e">
        <f>MATCH(LOOKUP(Data_PLT[[#This Row],[UCS max (MPa)]],Table_FieldStrength[Min UCS]),Table_FieldStrength[Min UCS],0)-1</f>
        <v>#N/A</v>
      </c>
      <c r="AD45" s="68" t="e">
        <f>Data_PLT[[#This Row],[Test code]]&amp;"-"&amp;Data_PLT[[#This Row],[UCS min code]]</f>
        <v>#N/A</v>
      </c>
      <c r="AE45" s="68" t="e">
        <f>Data_PLT[[#This Row],[Test code]]&amp;"-"&amp;Data_PLT[[#This Row],[UCS avg code]]</f>
        <v>#N/A</v>
      </c>
      <c r="AF45" s="67" t="e">
        <f>Data_PLT[[#This Row],[Test code]]&amp;"-"&amp;Data_PLT[[#This Row],[UCS max code]]</f>
        <v>#N/A</v>
      </c>
      <c r="AG45" s="67" t="str">
        <f>Data_PLT[[#This Row],[Failure type]]&amp;"-"&amp;Data_PLT[[#This Row],[Test type]]&amp;"-"&amp;(IF(Data_PLT[[#This Row],[Is50 (MPa)]]&lt;1,1,IF(Data_PLT[[#This Row],[Is50 (MPa)]]&lt;2,2,IF(Data_PLT[[#This Row],[Is50 (MPa)]]&lt;4,3,IF(Data_PLT[[#This Row],[Is50 (MPa)]]&lt;8,4,5)))))</f>
        <v>Along bedding/foliation-Diametral-1</v>
      </c>
    </row>
    <row r="46" spans="1:33" x14ac:dyDescent="0.25">
      <c r="A46" t="s">
        <v>26</v>
      </c>
      <c r="B46" s="88" t="str">
        <f>VLOOKUP(Data_PLT[[#This Row],[Hole ID]],Data_Log[],2,FALSE)</f>
        <v>CGF-01</v>
      </c>
      <c r="C46" s="63">
        <f>IF(Data_PLT[[#This Row],[Hole ID]]="","",
IF(COUNTIF($A$4:A46,Data_PLT[[#This Row],[Hole ID]])=1,1,
IF(A46=A45,C45+1,
COUNTIF($A$4:A46,Data_PLT[[#This Row],[Hole ID]]))))</f>
        <v>43</v>
      </c>
      <c r="D46" s="63" t="str">
        <f>IF(Data_PLT[[#This Row],[Hole ID]]="","",Data_PLT[[#This Row],[Hole ID]]&amp;"_"&amp;Data_PLT[[#This Row],[Sample ID]])</f>
        <v>COG-25-08_43</v>
      </c>
      <c r="E46" s="6"/>
      <c r="F46" s="6">
        <v>132.4</v>
      </c>
      <c r="G46" s="63" t="str" cm="1">
        <f t="array" ref="G46">_xlfn.XLOOKUP(1,(A46=Geotech!$A$4:$A$11100)*(Data_PLT[[#This Row],[Depth (m)]]&gt;=Geotech!$C$4:$C$11100)*(Data_PLT[[#This Row],[Depth (m)]]&lt;Geotech!$D$4:$D$11100),Geotech!$M$4:$M$11100)</f>
        <v>Boulamarque granodiorite</v>
      </c>
      <c r="H46" s="6" t="s">
        <v>299</v>
      </c>
      <c r="I46" s="63" t="str">
        <f>VLOOKUP(Data_PLT[[#This Row],[Hole ID]],Data_Log[[Hole ID]:[Core size]],20,FALSE)</f>
        <v>HQ</v>
      </c>
      <c r="J46" s="13">
        <f>VLOOKUP(Data_PLT[[#This Row],[Core Size]],Table_CoreSize[],2,FALSE)</f>
        <v>63.5</v>
      </c>
      <c r="K46" s="19">
        <v>100</v>
      </c>
      <c r="L46" s="19" t="s">
        <v>574</v>
      </c>
      <c r="M46" s="5">
        <v>6.2</v>
      </c>
      <c r="N46" s="5"/>
      <c r="O46" s="6" t="s">
        <v>334</v>
      </c>
      <c r="P46" s="13" t="str">
        <f>IF(Data_PLT[[#This Row],[Failure type]]="","",IF(OR(Data_PLT[[#This Row],[Failure type]]="Invalid",Data_PLT[[#This Row],[Failure type]]="Chipped",Data_PLT[[#This Row],[Failure type]]="Penetrate",Data_PLT[[#This Row],[Failure type]]="Did not break"),"Invalid","Valid"))</f>
        <v>Valid</v>
      </c>
      <c r="Q46" s="6"/>
      <c r="R46" s="11"/>
      <c r="S46" s="13">
        <f>IF(Data_PLT[[#This Row],[Test type]]="Diametral",Data_PLT[[#This Row],[Diameter (mm)]],IF(Data_PLT[[#This Row],[Test type]]="Axial",SQRT(4*Data_PLT[[#This Row],[Diameter (mm)]]*Data_PLT[[#This Row],[Length or width (mm)]]/PI()),"ERROR"))</f>
        <v>63.5</v>
      </c>
      <c r="T46" s="13">
        <f>(Data_PLT[[#This Row],[Load (kN)]]*1000)/Data_PLT[[#This Row],[Equiv. Diam. (mm)]]^2</f>
        <v>0</v>
      </c>
      <c r="U46" s="13">
        <f>(Data_PLT[[#This Row],[Equiv. Diam. (mm)]]/50)^0.45</f>
        <v>1.1135550054708407</v>
      </c>
      <c r="V46" s="13">
        <f>Data_PLT[[#This Row],[Is (MPa)]]*Data_PLT[[#This Row],[F]]</f>
        <v>0</v>
      </c>
      <c r="W46" s="13" t="str">
        <f>Data_PLT[[#This Row],[Failure Validity]]&amp;"-"&amp;Data_PLT[[#This Row],[Test type]]</f>
        <v>Valid-Diametral</v>
      </c>
      <c r="X46" s="13">
        <f>Data_PLT[[#This Row],[Is50 (MPa)]]*VLOOKUP("Min",Table_PLT_Conversion[],2,FALSE)</f>
        <v>0</v>
      </c>
      <c r="Y46" s="13">
        <f>Data_PLT[[#This Row],[Is50 (MPa)]]*VLOOKUP("Avg",Table_PLT_Conversion[],2,FALSE)</f>
        <v>0</v>
      </c>
      <c r="Z46" s="13">
        <f>Data_PLT[[#This Row],[Is50 (MPa)]]*VLOOKUP("Max",Table_PLT_Conversion[],2,FALSE)</f>
        <v>0</v>
      </c>
      <c r="AA46" s="62" t="e">
        <f>MATCH(LOOKUP(Data_PLT[[#This Row],[UCS min (MPa)]],Table_FieldStrength[Min UCS]),Table_FieldStrength[Min UCS],0)-1</f>
        <v>#N/A</v>
      </c>
      <c r="AB46" s="62" t="e">
        <f>MATCH(LOOKUP(Data_PLT[[#This Row],[UCS avg (MPa)]],Table_FieldStrength[Min UCS]),Table_FieldStrength[Min UCS],0)-1</f>
        <v>#N/A</v>
      </c>
      <c r="AC46" s="62" t="e">
        <f>MATCH(LOOKUP(Data_PLT[[#This Row],[UCS max (MPa)]],Table_FieldStrength[Min UCS]),Table_FieldStrength[Min UCS],0)-1</f>
        <v>#N/A</v>
      </c>
      <c r="AD46" s="68" t="e">
        <f>Data_PLT[[#This Row],[Test code]]&amp;"-"&amp;Data_PLT[[#This Row],[UCS min code]]</f>
        <v>#N/A</v>
      </c>
      <c r="AE46" s="68" t="e">
        <f>Data_PLT[[#This Row],[Test code]]&amp;"-"&amp;Data_PLT[[#This Row],[UCS avg code]]</f>
        <v>#N/A</v>
      </c>
      <c r="AF46" s="67" t="e">
        <f>Data_PLT[[#This Row],[Test code]]&amp;"-"&amp;Data_PLT[[#This Row],[UCS max code]]</f>
        <v>#N/A</v>
      </c>
      <c r="AG46" s="67" t="str">
        <f>Data_PLT[[#This Row],[Failure type]]&amp;"-"&amp;Data_PLT[[#This Row],[Test type]]&amp;"-"&amp;(IF(Data_PLT[[#This Row],[Is50 (MPa)]]&lt;1,1,IF(Data_PLT[[#This Row],[Is50 (MPa)]]&lt;2,2,IF(Data_PLT[[#This Row],[Is50 (MPa)]]&lt;4,3,IF(Data_PLT[[#This Row],[Is50 (MPa)]]&lt;8,4,5)))))</f>
        <v>Along bedding/foliation-Diametral-1</v>
      </c>
    </row>
    <row r="47" spans="1:33" x14ac:dyDescent="0.25">
      <c r="A47" t="s">
        <v>26</v>
      </c>
      <c r="B47" s="88" t="str">
        <f>VLOOKUP(Data_PLT[[#This Row],[Hole ID]],Data_Log[],2,FALSE)</f>
        <v>CGF-01</v>
      </c>
      <c r="C47" s="63">
        <f>IF(Data_PLT[[#This Row],[Hole ID]]="","",
IF(COUNTIF($A$4:A47,Data_PLT[[#This Row],[Hole ID]])=1,1,
IF(A47=A46,C46+1,
COUNTIF($A$4:A47,Data_PLT[[#This Row],[Hole ID]]))))</f>
        <v>44</v>
      </c>
      <c r="D47" s="63" t="str">
        <f>IF(Data_PLT[[#This Row],[Hole ID]]="","",Data_PLT[[#This Row],[Hole ID]]&amp;"_"&amp;Data_PLT[[#This Row],[Sample ID]])</f>
        <v>COG-25-08_44</v>
      </c>
      <c r="E47" s="6"/>
      <c r="F47" s="6">
        <v>136.51</v>
      </c>
      <c r="G47" s="63" t="str" cm="1">
        <f t="array" ref="G47">_xlfn.XLOOKUP(1,(A47=Geotech!$A$4:$A$11100)*(Data_PLT[[#This Row],[Depth (m)]]&gt;=Geotech!$C$4:$C$11100)*(Data_PLT[[#This Row],[Depth (m)]]&lt;Geotech!$D$4:$D$11100),Geotech!$M$4:$M$11100)</f>
        <v>Boulamarque granodiorite</v>
      </c>
      <c r="H47" s="6" t="s">
        <v>299</v>
      </c>
      <c r="I47" s="63" t="str">
        <f>VLOOKUP(Data_PLT[[#This Row],[Hole ID]],Data_Log[[Hole ID]:[Core size]],20,FALSE)</f>
        <v>HQ</v>
      </c>
      <c r="J47" s="13">
        <f>VLOOKUP(Data_PLT[[#This Row],[Core Size]],Table_CoreSize[],2,FALSE)</f>
        <v>63.5</v>
      </c>
      <c r="K47" s="19">
        <v>55</v>
      </c>
      <c r="L47" s="19" t="s">
        <v>574</v>
      </c>
      <c r="M47" s="5">
        <v>40.6</v>
      </c>
      <c r="N47" s="5"/>
      <c r="O47" s="6" t="s">
        <v>163</v>
      </c>
      <c r="P47" s="13" t="str">
        <f>IF(Data_PLT[[#This Row],[Failure type]]="","",IF(OR(Data_PLT[[#This Row],[Failure type]]="Invalid",Data_PLT[[#This Row],[Failure type]]="Chipped",Data_PLT[[#This Row],[Failure type]]="Penetrate",Data_PLT[[#This Row],[Failure type]]="Did not break"),"Invalid","Valid"))</f>
        <v>Valid</v>
      </c>
      <c r="Q47" s="6"/>
      <c r="R47" s="11"/>
      <c r="S47" s="13">
        <f>IF(Data_PLT[[#This Row],[Test type]]="Diametral",Data_PLT[[#This Row],[Diameter (mm)]],IF(Data_PLT[[#This Row],[Test type]]="Axial",SQRT(4*Data_PLT[[#This Row],[Diameter (mm)]]*Data_PLT[[#This Row],[Length or width (mm)]]/PI()),"ERROR"))</f>
        <v>63.5</v>
      </c>
      <c r="T47" s="13">
        <f>(Data_PLT[[#This Row],[Load (kN)]]*1000)/Data_PLT[[#This Row],[Equiv. Diam. (mm)]]^2</f>
        <v>0</v>
      </c>
      <c r="U47" s="13">
        <f>(Data_PLT[[#This Row],[Equiv. Diam. (mm)]]/50)^0.45</f>
        <v>1.1135550054708407</v>
      </c>
      <c r="V47" s="13">
        <f>Data_PLT[[#This Row],[Is (MPa)]]*Data_PLT[[#This Row],[F]]</f>
        <v>0</v>
      </c>
      <c r="W47" s="13" t="str">
        <f>Data_PLT[[#This Row],[Failure Validity]]&amp;"-"&amp;Data_PLT[[#This Row],[Test type]]</f>
        <v>Valid-Diametral</v>
      </c>
      <c r="X47" s="13">
        <f>Data_PLT[[#This Row],[Is50 (MPa)]]*VLOOKUP("Min",Table_PLT_Conversion[],2,FALSE)</f>
        <v>0</v>
      </c>
      <c r="Y47" s="13">
        <f>Data_PLT[[#This Row],[Is50 (MPa)]]*VLOOKUP("Avg",Table_PLT_Conversion[],2,FALSE)</f>
        <v>0</v>
      </c>
      <c r="Z47" s="13">
        <f>Data_PLT[[#This Row],[Is50 (MPa)]]*VLOOKUP("Max",Table_PLT_Conversion[],2,FALSE)</f>
        <v>0</v>
      </c>
      <c r="AA47" s="62" t="e">
        <f>MATCH(LOOKUP(Data_PLT[[#This Row],[UCS min (MPa)]],Table_FieldStrength[Min UCS]),Table_FieldStrength[Min UCS],0)-1</f>
        <v>#N/A</v>
      </c>
      <c r="AB47" s="62" t="e">
        <f>MATCH(LOOKUP(Data_PLT[[#This Row],[UCS avg (MPa)]],Table_FieldStrength[Min UCS]),Table_FieldStrength[Min UCS],0)-1</f>
        <v>#N/A</v>
      </c>
      <c r="AC47" s="62" t="e">
        <f>MATCH(LOOKUP(Data_PLT[[#This Row],[UCS max (MPa)]],Table_FieldStrength[Min UCS]),Table_FieldStrength[Min UCS],0)-1</f>
        <v>#N/A</v>
      </c>
      <c r="AD47" s="68" t="e">
        <f>Data_PLT[[#This Row],[Test code]]&amp;"-"&amp;Data_PLT[[#This Row],[UCS min code]]</f>
        <v>#N/A</v>
      </c>
      <c r="AE47" s="68" t="e">
        <f>Data_PLT[[#This Row],[Test code]]&amp;"-"&amp;Data_PLT[[#This Row],[UCS avg code]]</f>
        <v>#N/A</v>
      </c>
      <c r="AF47" s="67" t="e">
        <f>Data_PLT[[#This Row],[Test code]]&amp;"-"&amp;Data_PLT[[#This Row],[UCS max code]]</f>
        <v>#N/A</v>
      </c>
      <c r="AG47" s="67" t="str">
        <f>Data_PLT[[#This Row],[Failure type]]&amp;"-"&amp;Data_PLT[[#This Row],[Test type]]&amp;"-"&amp;(IF(Data_PLT[[#This Row],[Is50 (MPa)]]&lt;1,1,IF(Data_PLT[[#This Row],[Is50 (MPa)]]&lt;2,2,IF(Data_PLT[[#This Row],[Is50 (MPa)]]&lt;4,3,IF(Data_PLT[[#This Row],[Is50 (MPa)]]&lt;8,4,5)))))</f>
        <v>Broke along MD-Diametral-1</v>
      </c>
    </row>
    <row r="48" spans="1:33" x14ac:dyDescent="0.25">
      <c r="A48" t="s">
        <v>26</v>
      </c>
      <c r="B48" s="88" t="str">
        <f>VLOOKUP(Data_PLT[[#This Row],[Hole ID]],Data_Log[],2,FALSE)</f>
        <v>CGF-01</v>
      </c>
      <c r="C48" s="63">
        <f>IF(Data_PLT[[#This Row],[Hole ID]]="","",
IF(COUNTIF($A$4:A48,Data_PLT[[#This Row],[Hole ID]])=1,1,
IF(A48=A47,C47+1,
COUNTIF($A$4:A48,Data_PLT[[#This Row],[Hole ID]]))))</f>
        <v>45</v>
      </c>
      <c r="D48" s="63" t="str">
        <f>IF(Data_PLT[[#This Row],[Hole ID]]="","",Data_PLT[[#This Row],[Hole ID]]&amp;"_"&amp;Data_PLT[[#This Row],[Sample ID]])</f>
        <v>COG-25-08_45</v>
      </c>
      <c r="E48" s="6"/>
      <c r="F48" s="6">
        <v>140.07</v>
      </c>
      <c r="G48" s="63" t="str" cm="1">
        <f t="array" ref="G48">_xlfn.XLOOKUP(1,(A48=Geotech!$A$4:$A$11100)*(Data_PLT[[#This Row],[Depth (m)]]&gt;=Geotech!$C$4:$C$11100)*(Data_PLT[[#This Row],[Depth (m)]]&lt;Geotech!$D$4:$D$11100),Geotech!$M$4:$M$11100)</f>
        <v>Boulamarque granodiorite</v>
      </c>
      <c r="H48" s="6" t="s">
        <v>299</v>
      </c>
      <c r="I48" s="63" t="str">
        <f>VLOOKUP(Data_PLT[[#This Row],[Hole ID]],Data_Log[[Hole ID]:[Core size]],20,FALSE)</f>
        <v>HQ</v>
      </c>
      <c r="J48" s="13">
        <f>VLOOKUP(Data_PLT[[#This Row],[Core Size]],Table_CoreSize[],2,FALSE)</f>
        <v>63.5</v>
      </c>
      <c r="K48" s="19">
        <v>115</v>
      </c>
      <c r="L48" s="19" t="s">
        <v>574</v>
      </c>
      <c r="M48" s="5">
        <v>94.6</v>
      </c>
      <c r="N48" s="5"/>
      <c r="O48" s="6" t="s">
        <v>300</v>
      </c>
      <c r="P48" s="13" t="str">
        <f>IF(Data_PLT[[#This Row],[Failure type]]="","",IF(OR(Data_PLT[[#This Row],[Failure type]]="Invalid",Data_PLT[[#This Row],[Failure type]]="Chipped",Data_PLT[[#This Row],[Failure type]]="Penetrate",Data_PLT[[#This Row],[Failure type]]="Did not break"),"Invalid","Valid"))</f>
        <v>Valid</v>
      </c>
      <c r="Q48" s="6"/>
      <c r="R48" s="11"/>
      <c r="S48" s="13">
        <f>IF(Data_PLT[[#This Row],[Test type]]="Diametral",Data_PLT[[#This Row],[Diameter (mm)]],IF(Data_PLT[[#This Row],[Test type]]="Axial",SQRT(4*Data_PLT[[#This Row],[Diameter (mm)]]*Data_PLT[[#This Row],[Length or width (mm)]]/PI()),"ERROR"))</f>
        <v>63.5</v>
      </c>
      <c r="T48" s="13">
        <f>(Data_PLT[[#This Row],[Load (kN)]]*1000)/Data_PLT[[#This Row],[Equiv. Diam. (mm)]]^2</f>
        <v>0</v>
      </c>
      <c r="U48" s="13">
        <f>(Data_PLT[[#This Row],[Equiv. Diam. (mm)]]/50)^0.45</f>
        <v>1.1135550054708407</v>
      </c>
      <c r="V48" s="13">
        <f>Data_PLT[[#This Row],[Is (MPa)]]*Data_PLT[[#This Row],[F]]</f>
        <v>0</v>
      </c>
      <c r="W48" s="13" t="str">
        <f>Data_PLT[[#This Row],[Failure Validity]]&amp;"-"&amp;Data_PLT[[#This Row],[Test type]]</f>
        <v>Valid-Diametral</v>
      </c>
      <c r="X48" s="13">
        <f>Data_PLT[[#This Row],[Is50 (MPa)]]*VLOOKUP("Min",Table_PLT_Conversion[],2,FALSE)</f>
        <v>0</v>
      </c>
      <c r="Y48" s="13">
        <f>Data_PLT[[#This Row],[Is50 (MPa)]]*VLOOKUP("Avg",Table_PLT_Conversion[],2,FALSE)</f>
        <v>0</v>
      </c>
      <c r="Z48" s="13">
        <f>Data_PLT[[#This Row],[Is50 (MPa)]]*VLOOKUP("Max",Table_PLT_Conversion[],2,FALSE)</f>
        <v>0</v>
      </c>
      <c r="AA48" s="62" t="e">
        <f>MATCH(LOOKUP(Data_PLT[[#This Row],[UCS min (MPa)]],Table_FieldStrength[Min UCS]),Table_FieldStrength[Min UCS],0)-1</f>
        <v>#N/A</v>
      </c>
      <c r="AB48" s="62" t="e">
        <f>MATCH(LOOKUP(Data_PLT[[#This Row],[UCS avg (MPa)]],Table_FieldStrength[Min UCS]),Table_FieldStrength[Min UCS],0)-1</f>
        <v>#N/A</v>
      </c>
      <c r="AC48" s="62" t="e">
        <f>MATCH(LOOKUP(Data_PLT[[#This Row],[UCS max (MPa)]],Table_FieldStrength[Min UCS]),Table_FieldStrength[Min UCS],0)-1</f>
        <v>#N/A</v>
      </c>
      <c r="AD48" s="68" t="e">
        <f>Data_PLT[[#This Row],[Test code]]&amp;"-"&amp;Data_PLT[[#This Row],[UCS min code]]</f>
        <v>#N/A</v>
      </c>
      <c r="AE48" s="68" t="e">
        <f>Data_PLT[[#This Row],[Test code]]&amp;"-"&amp;Data_PLT[[#This Row],[UCS avg code]]</f>
        <v>#N/A</v>
      </c>
      <c r="AF48" s="67" t="e">
        <f>Data_PLT[[#This Row],[Test code]]&amp;"-"&amp;Data_PLT[[#This Row],[UCS max code]]</f>
        <v>#N/A</v>
      </c>
      <c r="AG48" s="67" t="str">
        <f>Data_PLT[[#This Row],[Failure type]]&amp;"-"&amp;Data_PLT[[#This Row],[Test type]]&amp;"-"&amp;(IF(Data_PLT[[#This Row],[Is50 (MPa)]]&lt;1,1,IF(Data_PLT[[#This Row],[Is50 (MPa)]]&lt;2,2,IF(Data_PLT[[#This Row],[Is50 (MPa)]]&lt;4,3,IF(Data_PLT[[#This Row],[Is50 (MPa)]]&lt;8,4,5)))))</f>
        <v>Intact-Diametral-1</v>
      </c>
    </row>
    <row r="49" spans="1:33" x14ac:dyDescent="0.25">
      <c r="A49" t="s">
        <v>26</v>
      </c>
      <c r="B49" s="88" t="str">
        <f>VLOOKUP(Data_PLT[[#This Row],[Hole ID]],Data_Log[],2,FALSE)</f>
        <v>CGF-01</v>
      </c>
      <c r="C49" s="63">
        <f>IF(Data_PLT[[#This Row],[Hole ID]]="","",
IF(COUNTIF($A$4:A49,Data_PLT[[#This Row],[Hole ID]])=1,1,
IF(A49=A48,C48+1,
COUNTIF($A$4:A49,Data_PLT[[#This Row],[Hole ID]]))))</f>
        <v>46</v>
      </c>
      <c r="D49" s="63" t="str">
        <f>IF(Data_PLT[[#This Row],[Hole ID]]="","",Data_PLT[[#This Row],[Hole ID]]&amp;"_"&amp;Data_PLT[[#This Row],[Sample ID]])</f>
        <v>COG-25-08_46</v>
      </c>
      <c r="E49" s="6"/>
      <c r="F49" s="6">
        <v>141.5</v>
      </c>
      <c r="G49" s="63" t="str" cm="1">
        <f t="array" ref="G49">_xlfn.XLOOKUP(1,(A49=Geotech!$A$4:$A$11100)*(Data_PLT[[#This Row],[Depth (m)]]&gt;=Geotech!$C$4:$C$11100)*(Data_PLT[[#This Row],[Depth (m)]]&lt;Geotech!$D$4:$D$11100),Geotech!$M$4:$M$11100)</f>
        <v>Diorite</v>
      </c>
      <c r="H49" s="6" t="s">
        <v>299</v>
      </c>
      <c r="I49" s="63" t="str">
        <f>VLOOKUP(Data_PLT[[#This Row],[Hole ID]],Data_Log[[Hole ID]:[Core size]],20,FALSE)</f>
        <v>HQ</v>
      </c>
      <c r="J49" s="13">
        <f>VLOOKUP(Data_PLT[[#This Row],[Core Size]],Table_CoreSize[],2,FALSE)</f>
        <v>63.5</v>
      </c>
      <c r="K49" s="19">
        <v>65</v>
      </c>
      <c r="L49" s="19" t="s">
        <v>574</v>
      </c>
      <c r="M49" s="5">
        <v>6.4</v>
      </c>
      <c r="N49" s="5"/>
      <c r="O49" s="6" t="s">
        <v>334</v>
      </c>
      <c r="P49" s="13" t="str">
        <f>IF(Data_PLT[[#This Row],[Failure type]]="","",IF(OR(Data_PLT[[#This Row],[Failure type]]="Invalid",Data_PLT[[#This Row],[Failure type]]="Chipped",Data_PLT[[#This Row],[Failure type]]="Penetrate",Data_PLT[[#This Row],[Failure type]]="Did not break"),"Invalid","Valid"))</f>
        <v>Valid</v>
      </c>
      <c r="Q49" s="6"/>
      <c r="R49" s="11"/>
      <c r="S49" s="13">
        <f>IF(Data_PLT[[#This Row],[Test type]]="Diametral",Data_PLT[[#This Row],[Diameter (mm)]],IF(Data_PLT[[#This Row],[Test type]]="Axial",SQRT(4*Data_PLT[[#This Row],[Diameter (mm)]]*Data_PLT[[#This Row],[Length or width (mm)]]/PI()),"ERROR"))</f>
        <v>63.5</v>
      </c>
      <c r="T49" s="13">
        <f>(Data_PLT[[#This Row],[Load (kN)]]*1000)/Data_PLT[[#This Row],[Equiv. Diam. (mm)]]^2</f>
        <v>0</v>
      </c>
      <c r="U49" s="13">
        <f>(Data_PLT[[#This Row],[Equiv. Diam. (mm)]]/50)^0.45</f>
        <v>1.1135550054708407</v>
      </c>
      <c r="V49" s="13">
        <f>Data_PLT[[#This Row],[Is (MPa)]]*Data_PLT[[#This Row],[F]]</f>
        <v>0</v>
      </c>
      <c r="W49" s="13" t="str">
        <f>Data_PLT[[#This Row],[Failure Validity]]&amp;"-"&amp;Data_PLT[[#This Row],[Test type]]</f>
        <v>Valid-Diametral</v>
      </c>
      <c r="X49" s="13">
        <f>Data_PLT[[#This Row],[Is50 (MPa)]]*VLOOKUP("Min",Table_PLT_Conversion[],2,FALSE)</f>
        <v>0</v>
      </c>
      <c r="Y49" s="13">
        <f>Data_PLT[[#This Row],[Is50 (MPa)]]*VLOOKUP("Avg",Table_PLT_Conversion[],2,FALSE)</f>
        <v>0</v>
      </c>
      <c r="Z49" s="13">
        <f>Data_PLT[[#This Row],[Is50 (MPa)]]*VLOOKUP("Max",Table_PLT_Conversion[],2,FALSE)</f>
        <v>0</v>
      </c>
      <c r="AA49" s="62" t="e">
        <f>MATCH(LOOKUP(Data_PLT[[#This Row],[UCS min (MPa)]],Table_FieldStrength[Min UCS]),Table_FieldStrength[Min UCS],0)-1</f>
        <v>#N/A</v>
      </c>
      <c r="AB49" s="62" t="e">
        <f>MATCH(LOOKUP(Data_PLT[[#This Row],[UCS avg (MPa)]],Table_FieldStrength[Min UCS]),Table_FieldStrength[Min UCS],0)-1</f>
        <v>#N/A</v>
      </c>
      <c r="AC49" s="62" t="e">
        <f>MATCH(LOOKUP(Data_PLT[[#This Row],[UCS max (MPa)]],Table_FieldStrength[Min UCS]),Table_FieldStrength[Min UCS],0)-1</f>
        <v>#N/A</v>
      </c>
      <c r="AD49" s="68" t="e">
        <f>Data_PLT[[#This Row],[Test code]]&amp;"-"&amp;Data_PLT[[#This Row],[UCS min code]]</f>
        <v>#N/A</v>
      </c>
      <c r="AE49" s="68" t="e">
        <f>Data_PLT[[#This Row],[Test code]]&amp;"-"&amp;Data_PLT[[#This Row],[UCS avg code]]</f>
        <v>#N/A</v>
      </c>
      <c r="AF49" s="67" t="e">
        <f>Data_PLT[[#This Row],[Test code]]&amp;"-"&amp;Data_PLT[[#This Row],[UCS max code]]</f>
        <v>#N/A</v>
      </c>
      <c r="AG49" s="67" t="str">
        <f>Data_PLT[[#This Row],[Failure type]]&amp;"-"&amp;Data_PLT[[#This Row],[Test type]]&amp;"-"&amp;(IF(Data_PLT[[#This Row],[Is50 (MPa)]]&lt;1,1,IF(Data_PLT[[#This Row],[Is50 (MPa)]]&lt;2,2,IF(Data_PLT[[#This Row],[Is50 (MPa)]]&lt;4,3,IF(Data_PLT[[#This Row],[Is50 (MPa)]]&lt;8,4,5)))))</f>
        <v>Along bedding/foliation-Diametral-1</v>
      </c>
    </row>
    <row r="50" spans="1:33" x14ac:dyDescent="0.25">
      <c r="A50" t="s">
        <v>26</v>
      </c>
      <c r="B50" s="88" t="str">
        <f>VLOOKUP(Data_PLT[[#This Row],[Hole ID]],Data_Log[],2,FALSE)</f>
        <v>CGF-01</v>
      </c>
      <c r="C50" s="63">
        <f>IF(Data_PLT[[#This Row],[Hole ID]]="","",
IF(COUNTIF($A$4:A50,Data_PLT[[#This Row],[Hole ID]])=1,1,
IF(A50=A49,C49+1,
COUNTIF($A$4:A50,Data_PLT[[#This Row],[Hole ID]]))))</f>
        <v>47</v>
      </c>
      <c r="D50" s="63" t="str">
        <f>IF(Data_PLT[[#This Row],[Hole ID]]="","",Data_PLT[[#This Row],[Hole ID]]&amp;"_"&amp;Data_PLT[[#This Row],[Sample ID]])</f>
        <v>COG-25-08_47</v>
      </c>
      <c r="E50" s="6"/>
      <c r="F50" s="6">
        <v>141.96</v>
      </c>
      <c r="G50" s="63" t="str" cm="1">
        <f t="array" ref="G50">_xlfn.XLOOKUP(1,(A50=Geotech!$A$4:$A$11100)*(Data_PLT[[#This Row],[Depth (m)]]&gt;=Geotech!$C$4:$C$11100)*(Data_PLT[[#This Row],[Depth (m)]]&lt;Geotech!$D$4:$D$11100),Geotech!$M$4:$M$11100)</f>
        <v>VT-TI Vein</v>
      </c>
      <c r="H50" s="6" t="s">
        <v>299</v>
      </c>
      <c r="I50" s="63" t="str">
        <f>VLOOKUP(Data_PLT[[#This Row],[Hole ID]],Data_Log[[Hole ID]:[Core size]],20,FALSE)</f>
        <v>HQ</v>
      </c>
      <c r="J50" s="13">
        <f>VLOOKUP(Data_PLT[[#This Row],[Core Size]],Table_CoreSize[],2,FALSE)</f>
        <v>63.5</v>
      </c>
      <c r="K50" s="19">
        <v>100</v>
      </c>
      <c r="L50" s="19" t="s">
        <v>574</v>
      </c>
      <c r="M50" s="5">
        <v>269.2</v>
      </c>
      <c r="N50" s="5"/>
      <c r="O50" s="6" t="s">
        <v>300</v>
      </c>
      <c r="P50" s="13" t="str">
        <f>IF(Data_PLT[[#This Row],[Failure type]]="","",IF(OR(Data_PLT[[#This Row],[Failure type]]="Invalid",Data_PLT[[#This Row],[Failure type]]="Chipped",Data_PLT[[#This Row],[Failure type]]="Penetrate",Data_PLT[[#This Row],[Failure type]]="Did not break"),"Invalid","Valid"))</f>
        <v>Valid</v>
      </c>
      <c r="Q50" s="6"/>
      <c r="R50" s="11"/>
      <c r="S50" s="13">
        <f>IF(Data_PLT[[#This Row],[Test type]]="Diametral",Data_PLT[[#This Row],[Diameter (mm)]],IF(Data_PLT[[#This Row],[Test type]]="Axial",SQRT(4*Data_PLT[[#This Row],[Diameter (mm)]]*Data_PLT[[#This Row],[Length or width (mm)]]/PI()),"ERROR"))</f>
        <v>63.5</v>
      </c>
      <c r="T50" s="13">
        <f>(Data_PLT[[#This Row],[Load (kN)]]*1000)/Data_PLT[[#This Row],[Equiv. Diam. (mm)]]^2</f>
        <v>0</v>
      </c>
      <c r="U50" s="13">
        <f>(Data_PLT[[#This Row],[Equiv. Diam. (mm)]]/50)^0.45</f>
        <v>1.1135550054708407</v>
      </c>
      <c r="V50" s="13">
        <f>Data_PLT[[#This Row],[Is (MPa)]]*Data_PLT[[#This Row],[F]]</f>
        <v>0</v>
      </c>
      <c r="W50" s="13" t="str">
        <f>Data_PLT[[#This Row],[Failure Validity]]&amp;"-"&amp;Data_PLT[[#This Row],[Test type]]</f>
        <v>Valid-Diametral</v>
      </c>
      <c r="X50" s="13">
        <f>Data_PLT[[#This Row],[Is50 (MPa)]]*VLOOKUP("Min",Table_PLT_Conversion[],2,FALSE)</f>
        <v>0</v>
      </c>
      <c r="Y50" s="13">
        <f>Data_PLT[[#This Row],[Is50 (MPa)]]*VLOOKUP("Avg",Table_PLT_Conversion[],2,FALSE)</f>
        <v>0</v>
      </c>
      <c r="Z50" s="13">
        <f>Data_PLT[[#This Row],[Is50 (MPa)]]*VLOOKUP("Max",Table_PLT_Conversion[],2,FALSE)</f>
        <v>0</v>
      </c>
      <c r="AA50" s="62" t="e">
        <f>MATCH(LOOKUP(Data_PLT[[#This Row],[UCS min (MPa)]],Table_FieldStrength[Min UCS]),Table_FieldStrength[Min UCS],0)-1</f>
        <v>#N/A</v>
      </c>
      <c r="AB50" s="62" t="e">
        <f>MATCH(LOOKUP(Data_PLT[[#This Row],[UCS avg (MPa)]],Table_FieldStrength[Min UCS]),Table_FieldStrength[Min UCS],0)-1</f>
        <v>#N/A</v>
      </c>
      <c r="AC50" s="62" t="e">
        <f>MATCH(LOOKUP(Data_PLT[[#This Row],[UCS max (MPa)]],Table_FieldStrength[Min UCS]),Table_FieldStrength[Min UCS],0)-1</f>
        <v>#N/A</v>
      </c>
      <c r="AD50" s="68" t="e">
        <f>Data_PLT[[#This Row],[Test code]]&amp;"-"&amp;Data_PLT[[#This Row],[UCS min code]]</f>
        <v>#N/A</v>
      </c>
      <c r="AE50" s="68" t="e">
        <f>Data_PLT[[#This Row],[Test code]]&amp;"-"&amp;Data_PLT[[#This Row],[UCS avg code]]</f>
        <v>#N/A</v>
      </c>
      <c r="AF50" s="67" t="e">
        <f>Data_PLT[[#This Row],[Test code]]&amp;"-"&amp;Data_PLT[[#This Row],[UCS max code]]</f>
        <v>#N/A</v>
      </c>
      <c r="AG50" s="67" t="str">
        <f>Data_PLT[[#This Row],[Failure type]]&amp;"-"&amp;Data_PLT[[#This Row],[Test type]]&amp;"-"&amp;(IF(Data_PLT[[#This Row],[Is50 (MPa)]]&lt;1,1,IF(Data_PLT[[#This Row],[Is50 (MPa)]]&lt;2,2,IF(Data_PLT[[#This Row],[Is50 (MPa)]]&lt;4,3,IF(Data_PLT[[#This Row],[Is50 (MPa)]]&lt;8,4,5)))))</f>
        <v>Intact-Diametral-1</v>
      </c>
    </row>
    <row r="51" spans="1:33" x14ac:dyDescent="0.25">
      <c r="A51" t="s">
        <v>26</v>
      </c>
      <c r="B51" s="88" t="str">
        <f>VLOOKUP(Data_PLT[[#This Row],[Hole ID]],Data_Log[],2,FALSE)</f>
        <v>CGF-01</v>
      </c>
      <c r="C51" s="63">
        <f>IF(Data_PLT[[#This Row],[Hole ID]]="","",
IF(COUNTIF($A$4:A51,Data_PLT[[#This Row],[Hole ID]])=1,1,
IF(A51=A50,C50+1,
COUNTIF($A$4:A51,Data_PLT[[#This Row],[Hole ID]]))))</f>
        <v>48</v>
      </c>
      <c r="D51" s="63" t="str">
        <f>IF(Data_PLT[[#This Row],[Hole ID]]="","",Data_PLT[[#This Row],[Hole ID]]&amp;"_"&amp;Data_PLT[[#This Row],[Sample ID]])</f>
        <v>COG-25-08_48</v>
      </c>
      <c r="E51" s="6"/>
      <c r="F51" s="6">
        <v>143.38</v>
      </c>
      <c r="G51" s="63" t="str" cm="1">
        <f t="array" ref="G51">_xlfn.XLOOKUP(1,(A51=Geotech!$A$4:$A$11100)*(Data_PLT[[#This Row],[Depth (m)]]&gt;=Geotech!$C$4:$C$11100)*(Data_PLT[[#This Row],[Depth (m)]]&lt;Geotech!$D$4:$D$11100),Geotech!$M$4:$M$11100)</f>
        <v>Boulamarque granodiorite</v>
      </c>
      <c r="H51" s="6" t="s">
        <v>299</v>
      </c>
      <c r="I51" s="63" t="str">
        <f>VLOOKUP(Data_PLT[[#This Row],[Hole ID]],Data_Log[[Hole ID]:[Core size]],20,FALSE)</f>
        <v>HQ</v>
      </c>
      <c r="J51" s="13">
        <f>VLOOKUP(Data_PLT[[#This Row],[Core Size]],Table_CoreSize[],2,FALSE)</f>
        <v>63.5</v>
      </c>
      <c r="K51" s="19">
        <v>130</v>
      </c>
      <c r="L51" s="19" t="s">
        <v>574</v>
      </c>
      <c r="M51" s="5">
        <v>47.4</v>
      </c>
      <c r="N51" s="5"/>
      <c r="O51" s="6" t="s">
        <v>334</v>
      </c>
      <c r="P51" s="13" t="str">
        <f>IF(Data_PLT[[#This Row],[Failure type]]="","",IF(OR(Data_PLT[[#This Row],[Failure type]]="Invalid",Data_PLT[[#This Row],[Failure type]]="Chipped",Data_PLT[[#This Row],[Failure type]]="Penetrate",Data_PLT[[#This Row],[Failure type]]="Did not break"),"Invalid","Valid"))</f>
        <v>Valid</v>
      </c>
      <c r="Q51" s="6"/>
      <c r="R51" s="11"/>
      <c r="S51" s="13">
        <f>IF(Data_PLT[[#This Row],[Test type]]="Diametral",Data_PLT[[#This Row],[Diameter (mm)]],IF(Data_PLT[[#This Row],[Test type]]="Axial",SQRT(4*Data_PLT[[#This Row],[Diameter (mm)]]*Data_PLT[[#This Row],[Length or width (mm)]]/PI()),"ERROR"))</f>
        <v>63.5</v>
      </c>
      <c r="T51" s="13">
        <f>(Data_PLT[[#This Row],[Load (kN)]]*1000)/Data_PLT[[#This Row],[Equiv. Diam. (mm)]]^2</f>
        <v>0</v>
      </c>
      <c r="U51" s="13">
        <f>(Data_PLT[[#This Row],[Equiv. Diam. (mm)]]/50)^0.45</f>
        <v>1.1135550054708407</v>
      </c>
      <c r="V51" s="13">
        <f>Data_PLT[[#This Row],[Is (MPa)]]*Data_PLT[[#This Row],[F]]</f>
        <v>0</v>
      </c>
      <c r="W51" s="13" t="str">
        <f>Data_PLT[[#This Row],[Failure Validity]]&amp;"-"&amp;Data_PLT[[#This Row],[Test type]]</f>
        <v>Valid-Diametral</v>
      </c>
      <c r="X51" s="13">
        <f>Data_PLT[[#This Row],[Is50 (MPa)]]*VLOOKUP("Min",Table_PLT_Conversion[],2,FALSE)</f>
        <v>0</v>
      </c>
      <c r="Y51" s="13">
        <f>Data_PLT[[#This Row],[Is50 (MPa)]]*VLOOKUP("Avg",Table_PLT_Conversion[],2,FALSE)</f>
        <v>0</v>
      </c>
      <c r="Z51" s="13">
        <f>Data_PLT[[#This Row],[Is50 (MPa)]]*VLOOKUP("Max",Table_PLT_Conversion[],2,FALSE)</f>
        <v>0</v>
      </c>
      <c r="AA51" s="62" t="e">
        <f>MATCH(LOOKUP(Data_PLT[[#This Row],[UCS min (MPa)]],Table_FieldStrength[Min UCS]),Table_FieldStrength[Min UCS],0)-1</f>
        <v>#N/A</v>
      </c>
      <c r="AB51" s="62" t="e">
        <f>MATCH(LOOKUP(Data_PLT[[#This Row],[UCS avg (MPa)]],Table_FieldStrength[Min UCS]),Table_FieldStrength[Min UCS],0)-1</f>
        <v>#N/A</v>
      </c>
      <c r="AC51" s="62" t="e">
        <f>MATCH(LOOKUP(Data_PLT[[#This Row],[UCS max (MPa)]],Table_FieldStrength[Min UCS]),Table_FieldStrength[Min UCS],0)-1</f>
        <v>#N/A</v>
      </c>
      <c r="AD51" s="68" t="e">
        <f>Data_PLT[[#This Row],[Test code]]&amp;"-"&amp;Data_PLT[[#This Row],[UCS min code]]</f>
        <v>#N/A</v>
      </c>
      <c r="AE51" s="68" t="e">
        <f>Data_PLT[[#This Row],[Test code]]&amp;"-"&amp;Data_PLT[[#This Row],[UCS avg code]]</f>
        <v>#N/A</v>
      </c>
      <c r="AF51" s="67" t="e">
        <f>Data_PLT[[#This Row],[Test code]]&amp;"-"&amp;Data_PLT[[#This Row],[UCS max code]]</f>
        <v>#N/A</v>
      </c>
      <c r="AG51" s="67" t="str">
        <f>Data_PLT[[#This Row],[Failure type]]&amp;"-"&amp;Data_PLT[[#This Row],[Test type]]&amp;"-"&amp;(IF(Data_PLT[[#This Row],[Is50 (MPa)]]&lt;1,1,IF(Data_PLT[[#This Row],[Is50 (MPa)]]&lt;2,2,IF(Data_PLT[[#This Row],[Is50 (MPa)]]&lt;4,3,IF(Data_PLT[[#This Row],[Is50 (MPa)]]&lt;8,4,5)))))</f>
        <v>Along bedding/foliation-Diametral-1</v>
      </c>
    </row>
    <row r="52" spans="1:33" x14ac:dyDescent="0.25">
      <c r="A52" t="s">
        <v>26</v>
      </c>
      <c r="B52" s="88" t="str">
        <f>VLOOKUP(Data_PLT[[#This Row],[Hole ID]],Data_Log[],2,FALSE)</f>
        <v>CGF-01</v>
      </c>
      <c r="C52" s="63">
        <f>IF(Data_PLT[[#This Row],[Hole ID]]="","",
IF(COUNTIF($A$4:A52,Data_PLT[[#This Row],[Hole ID]])=1,1,
IF(A52=A51,C51+1,
COUNTIF($A$4:A52,Data_PLT[[#This Row],[Hole ID]]))))</f>
        <v>49</v>
      </c>
      <c r="D52" s="63" t="str">
        <f>IF(Data_PLT[[#This Row],[Hole ID]]="","",Data_PLT[[#This Row],[Hole ID]]&amp;"_"&amp;Data_PLT[[#This Row],[Sample ID]])</f>
        <v>COG-25-08_49</v>
      </c>
      <c r="E52" s="6"/>
      <c r="F52" s="6">
        <v>143.76</v>
      </c>
      <c r="G52" s="63" t="str" cm="1">
        <f t="array" ref="G52">_xlfn.XLOOKUP(1,(A52=Geotech!$A$4:$A$11100)*(Data_PLT[[#This Row],[Depth (m)]]&gt;=Geotech!$C$4:$C$11100)*(Data_PLT[[#This Row],[Depth (m)]]&lt;Geotech!$D$4:$D$11100),Geotech!$M$4:$M$11100)</f>
        <v>Diorite</v>
      </c>
      <c r="H52" s="6" t="s">
        <v>299</v>
      </c>
      <c r="I52" s="63" t="str">
        <f>VLOOKUP(Data_PLT[[#This Row],[Hole ID]],Data_Log[[Hole ID]:[Core size]],20,FALSE)</f>
        <v>HQ</v>
      </c>
      <c r="J52" s="13">
        <f>VLOOKUP(Data_PLT[[#This Row],[Core Size]],Table_CoreSize[],2,FALSE)</f>
        <v>63.5</v>
      </c>
      <c r="K52" s="19">
        <v>110</v>
      </c>
      <c r="L52" s="19" t="s">
        <v>574</v>
      </c>
      <c r="M52" s="5">
        <v>164.2</v>
      </c>
      <c r="N52" s="5"/>
      <c r="O52" s="6" t="s">
        <v>334</v>
      </c>
      <c r="P52" s="13" t="str">
        <f>IF(Data_PLT[[#This Row],[Failure type]]="","",IF(OR(Data_PLT[[#This Row],[Failure type]]="Invalid",Data_PLT[[#This Row],[Failure type]]="Chipped",Data_PLT[[#This Row],[Failure type]]="Penetrate",Data_PLT[[#This Row],[Failure type]]="Did not break"),"Invalid","Valid"))</f>
        <v>Valid</v>
      </c>
      <c r="Q52" s="6"/>
      <c r="R52" s="11"/>
      <c r="S52" s="13">
        <f>IF(Data_PLT[[#This Row],[Test type]]="Diametral",Data_PLT[[#This Row],[Diameter (mm)]],IF(Data_PLT[[#This Row],[Test type]]="Axial",SQRT(4*Data_PLT[[#This Row],[Diameter (mm)]]*Data_PLT[[#This Row],[Length or width (mm)]]/PI()),"ERROR"))</f>
        <v>63.5</v>
      </c>
      <c r="T52" s="13">
        <f>(Data_PLT[[#This Row],[Load (kN)]]*1000)/Data_PLT[[#This Row],[Equiv. Diam. (mm)]]^2</f>
        <v>0</v>
      </c>
      <c r="U52" s="13">
        <f>(Data_PLT[[#This Row],[Equiv. Diam. (mm)]]/50)^0.45</f>
        <v>1.1135550054708407</v>
      </c>
      <c r="V52" s="13">
        <f>Data_PLT[[#This Row],[Is (MPa)]]*Data_PLT[[#This Row],[F]]</f>
        <v>0</v>
      </c>
      <c r="W52" s="13" t="str">
        <f>Data_PLT[[#This Row],[Failure Validity]]&amp;"-"&amp;Data_PLT[[#This Row],[Test type]]</f>
        <v>Valid-Diametral</v>
      </c>
      <c r="X52" s="13">
        <f>Data_PLT[[#This Row],[Is50 (MPa)]]*VLOOKUP("Min",Table_PLT_Conversion[],2,FALSE)</f>
        <v>0</v>
      </c>
      <c r="Y52" s="13">
        <f>Data_PLT[[#This Row],[Is50 (MPa)]]*VLOOKUP("Avg",Table_PLT_Conversion[],2,FALSE)</f>
        <v>0</v>
      </c>
      <c r="Z52" s="13">
        <f>Data_PLT[[#This Row],[Is50 (MPa)]]*VLOOKUP("Max",Table_PLT_Conversion[],2,FALSE)</f>
        <v>0</v>
      </c>
      <c r="AA52" s="62" t="e">
        <f>MATCH(LOOKUP(Data_PLT[[#This Row],[UCS min (MPa)]],Table_FieldStrength[Min UCS]),Table_FieldStrength[Min UCS],0)-1</f>
        <v>#N/A</v>
      </c>
      <c r="AB52" s="62" t="e">
        <f>MATCH(LOOKUP(Data_PLT[[#This Row],[UCS avg (MPa)]],Table_FieldStrength[Min UCS]),Table_FieldStrength[Min UCS],0)-1</f>
        <v>#N/A</v>
      </c>
      <c r="AC52" s="62" t="e">
        <f>MATCH(LOOKUP(Data_PLT[[#This Row],[UCS max (MPa)]],Table_FieldStrength[Min UCS]),Table_FieldStrength[Min UCS],0)-1</f>
        <v>#N/A</v>
      </c>
      <c r="AD52" s="68" t="e">
        <f>Data_PLT[[#This Row],[Test code]]&amp;"-"&amp;Data_PLT[[#This Row],[UCS min code]]</f>
        <v>#N/A</v>
      </c>
      <c r="AE52" s="68" t="e">
        <f>Data_PLT[[#This Row],[Test code]]&amp;"-"&amp;Data_PLT[[#This Row],[UCS avg code]]</f>
        <v>#N/A</v>
      </c>
      <c r="AF52" s="67" t="e">
        <f>Data_PLT[[#This Row],[Test code]]&amp;"-"&amp;Data_PLT[[#This Row],[UCS max code]]</f>
        <v>#N/A</v>
      </c>
      <c r="AG52" s="67" t="str">
        <f>Data_PLT[[#This Row],[Failure type]]&amp;"-"&amp;Data_PLT[[#This Row],[Test type]]&amp;"-"&amp;(IF(Data_PLT[[#This Row],[Is50 (MPa)]]&lt;1,1,IF(Data_PLT[[#This Row],[Is50 (MPa)]]&lt;2,2,IF(Data_PLT[[#This Row],[Is50 (MPa)]]&lt;4,3,IF(Data_PLT[[#This Row],[Is50 (MPa)]]&lt;8,4,5)))))</f>
        <v>Along bedding/foliation-Diametral-1</v>
      </c>
    </row>
    <row r="53" spans="1:33" x14ac:dyDescent="0.25">
      <c r="A53" t="s">
        <v>26</v>
      </c>
      <c r="B53" s="88" t="str">
        <f>VLOOKUP(Data_PLT[[#This Row],[Hole ID]],Data_Log[],2,FALSE)</f>
        <v>CGF-01</v>
      </c>
      <c r="C53" s="63">
        <f>IF(Data_PLT[[#This Row],[Hole ID]]="","",
IF(COUNTIF($A$4:A53,Data_PLT[[#This Row],[Hole ID]])=1,1,
IF(A53=A52,C52+1,
COUNTIF($A$4:A53,Data_PLT[[#This Row],[Hole ID]]))))</f>
        <v>50</v>
      </c>
      <c r="D53" s="63" t="str">
        <f>IF(Data_PLT[[#This Row],[Hole ID]]="","",Data_PLT[[#This Row],[Hole ID]]&amp;"_"&amp;Data_PLT[[#This Row],[Sample ID]])</f>
        <v>COG-25-08_50</v>
      </c>
      <c r="E53" s="6"/>
      <c r="F53" s="6">
        <v>144.41</v>
      </c>
      <c r="G53" s="63" t="str" cm="1">
        <f t="array" ref="G53">_xlfn.XLOOKUP(1,(A53=Geotech!$A$4:$A$11100)*(Data_PLT[[#This Row],[Depth (m)]]&gt;=Geotech!$C$4:$C$11100)*(Data_PLT[[#This Row],[Depth (m)]]&lt;Geotech!$D$4:$D$11100),Geotech!$M$4:$M$11100)</f>
        <v>Boulamarque granodiorite</v>
      </c>
      <c r="H53" s="6" t="s">
        <v>299</v>
      </c>
      <c r="I53" s="63" t="str">
        <f>VLOOKUP(Data_PLT[[#This Row],[Hole ID]],Data_Log[[Hole ID]:[Core size]],20,FALSE)</f>
        <v>HQ</v>
      </c>
      <c r="J53" s="13">
        <f>VLOOKUP(Data_PLT[[#This Row],[Core Size]],Table_CoreSize[],2,FALSE)</f>
        <v>63.5</v>
      </c>
      <c r="K53" s="19">
        <v>75</v>
      </c>
      <c r="L53" s="19" t="s">
        <v>574</v>
      </c>
      <c r="M53" s="5">
        <v>19.2</v>
      </c>
      <c r="N53" s="5"/>
      <c r="O53" s="6" t="s">
        <v>163</v>
      </c>
      <c r="P53" s="13" t="str">
        <f>IF(Data_PLT[[#This Row],[Failure type]]="","",IF(OR(Data_PLT[[#This Row],[Failure type]]="Invalid",Data_PLT[[#This Row],[Failure type]]="Chipped",Data_PLT[[#This Row],[Failure type]]="Penetrate",Data_PLT[[#This Row],[Failure type]]="Did not break"),"Invalid","Valid"))</f>
        <v>Valid</v>
      </c>
      <c r="Q53" s="6"/>
      <c r="R53" s="11"/>
      <c r="S53" s="13">
        <f>IF(Data_PLT[[#This Row],[Test type]]="Diametral",Data_PLT[[#This Row],[Diameter (mm)]],IF(Data_PLT[[#This Row],[Test type]]="Axial",SQRT(4*Data_PLT[[#This Row],[Diameter (mm)]]*Data_PLT[[#This Row],[Length or width (mm)]]/PI()),"ERROR"))</f>
        <v>63.5</v>
      </c>
      <c r="T53" s="13">
        <f>(Data_PLT[[#This Row],[Load (kN)]]*1000)/Data_PLT[[#This Row],[Equiv. Diam. (mm)]]^2</f>
        <v>0</v>
      </c>
      <c r="U53" s="13">
        <f>(Data_PLT[[#This Row],[Equiv. Diam. (mm)]]/50)^0.45</f>
        <v>1.1135550054708407</v>
      </c>
      <c r="V53" s="13">
        <f>Data_PLT[[#This Row],[Is (MPa)]]*Data_PLT[[#This Row],[F]]</f>
        <v>0</v>
      </c>
      <c r="W53" s="13" t="str">
        <f>Data_PLT[[#This Row],[Failure Validity]]&amp;"-"&amp;Data_PLT[[#This Row],[Test type]]</f>
        <v>Valid-Diametral</v>
      </c>
      <c r="X53" s="13">
        <f>Data_PLT[[#This Row],[Is50 (MPa)]]*VLOOKUP("Min",Table_PLT_Conversion[],2,FALSE)</f>
        <v>0</v>
      </c>
      <c r="Y53" s="13">
        <f>Data_PLT[[#This Row],[Is50 (MPa)]]*VLOOKUP("Avg",Table_PLT_Conversion[],2,FALSE)</f>
        <v>0</v>
      </c>
      <c r="Z53" s="13">
        <f>Data_PLT[[#This Row],[Is50 (MPa)]]*VLOOKUP("Max",Table_PLT_Conversion[],2,FALSE)</f>
        <v>0</v>
      </c>
      <c r="AA53" s="62" t="e">
        <f>MATCH(LOOKUP(Data_PLT[[#This Row],[UCS min (MPa)]],Table_FieldStrength[Min UCS]),Table_FieldStrength[Min UCS],0)-1</f>
        <v>#N/A</v>
      </c>
      <c r="AB53" s="62" t="e">
        <f>MATCH(LOOKUP(Data_PLT[[#This Row],[UCS avg (MPa)]],Table_FieldStrength[Min UCS]),Table_FieldStrength[Min UCS],0)-1</f>
        <v>#N/A</v>
      </c>
      <c r="AC53" s="62" t="e">
        <f>MATCH(LOOKUP(Data_PLT[[#This Row],[UCS max (MPa)]],Table_FieldStrength[Min UCS]),Table_FieldStrength[Min UCS],0)-1</f>
        <v>#N/A</v>
      </c>
      <c r="AD53" s="68" t="e">
        <f>Data_PLT[[#This Row],[Test code]]&amp;"-"&amp;Data_PLT[[#This Row],[UCS min code]]</f>
        <v>#N/A</v>
      </c>
      <c r="AE53" s="68" t="e">
        <f>Data_PLT[[#This Row],[Test code]]&amp;"-"&amp;Data_PLT[[#This Row],[UCS avg code]]</f>
        <v>#N/A</v>
      </c>
      <c r="AF53" s="67" t="e">
        <f>Data_PLT[[#This Row],[Test code]]&amp;"-"&amp;Data_PLT[[#This Row],[UCS max code]]</f>
        <v>#N/A</v>
      </c>
      <c r="AG53" s="67" t="str">
        <f>Data_PLT[[#This Row],[Failure type]]&amp;"-"&amp;Data_PLT[[#This Row],[Test type]]&amp;"-"&amp;(IF(Data_PLT[[#This Row],[Is50 (MPa)]]&lt;1,1,IF(Data_PLT[[#This Row],[Is50 (MPa)]]&lt;2,2,IF(Data_PLT[[#This Row],[Is50 (MPa)]]&lt;4,3,IF(Data_PLT[[#This Row],[Is50 (MPa)]]&lt;8,4,5)))))</f>
        <v>Broke along MD-Diametral-1</v>
      </c>
    </row>
    <row r="54" spans="1:33" x14ac:dyDescent="0.25">
      <c r="A54" t="s">
        <v>26</v>
      </c>
      <c r="B54" s="88" t="str">
        <f>VLOOKUP(Data_PLT[[#This Row],[Hole ID]],Data_Log[],2,FALSE)</f>
        <v>CGF-01</v>
      </c>
      <c r="C54" s="63">
        <f>IF(Data_PLT[[#This Row],[Hole ID]]="","",
IF(COUNTIF($A$4:A54,Data_PLT[[#This Row],[Hole ID]])=1,1,
IF(A54=A53,C53+1,
COUNTIF($A$4:A54,Data_PLT[[#This Row],[Hole ID]]))))</f>
        <v>51</v>
      </c>
      <c r="D54" s="63" t="str">
        <f>IF(Data_PLT[[#This Row],[Hole ID]]="","",Data_PLT[[#This Row],[Hole ID]]&amp;"_"&amp;Data_PLT[[#This Row],[Sample ID]])</f>
        <v>COG-25-08_51</v>
      </c>
      <c r="E54" s="6"/>
      <c r="F54" s="6">
        <v>146</v>
      </c>
      <c r="G54" s="63" t="str" cm="1">
        <f t="array" ref="G54">_xlfn.XLOOKUP(1,(A54=Geotech!$A$4:$A$11100)*(Data_PLT[[#This Row],[Depth (m)]]&gt;=Geotech!$C$4:$C$11100)*(Data_PLT[[#This Row],[Depth (m)]]&lt;Geotech!$D$4:$D$11100),Geotech!$M$4:$M$11100)</f>
        <v>Boulamarque granodiorite</v>
      </c>
      <c r="H54" s="6" t="s">
        <v>299</v>
      </c>
      <c r="I54" s="63" t="str">
        <f>VLOOKUP(Data_PLT[[#This Row],[Hole ID]],Data_Log[[Hole ID]:[Core size]],20,FALSE)</f>
        <v>HQ</v>
      </c>
      <c r="J54" s="13">
        <f>VLOOKUP(Data_PLT[[#This Row],[Core Size]],Table_CoreSize[],2,FALSE)</f>
        <v>63.5</v>
      </c>
      <c r="K54" s="19">
        <v>130</v>
      </c>
      <c r="L54" s="19" t="s">
        <v>574</v>
      </c>
      <c r="M54" s="5">
        <v>90.4</v>
      </c>
      <c r="N54" s="5"/>
      <c r="O54" s="6" t="s">
        <v>334</v>
      </c>
      <c r="P54" s="13" t="str">
        <f>IF(Data_PLT[[#This Row],[Failure type]]="","",IF(OR(Data_PLT[[#This Row],[Failure type]]="Invalid",Data_PLT[[#This Row],[Failure type]]="Chipped",Data_PLT[[#This Row],[Failure type]]="Penetrate",Data_PLT[[#This Row],[Failure type]]="Did not break"),"Invalid","Valid"))</f>
        <v>Valid</v>
      </c>
      <c r="Q54" s="6"/>
      <c r="R54" s="11"/>
      <c r="S54" s="13">
        <f>IF(Data_PLT[[#This Row],[Test type]]="Diametral",Data_PLT[[#This Row],[Diameter (mm)]],IF(Data_PLT[[#This Row],[Test type]]="Axial",SQRT(4*Data_PLT[[#This Row],[Diameter (mm)]]*Data_PLT[[#This Row],[Length or width (mm)]]/PI()),"ERROR"))</f>
        <v>63.5</v>
      </c>
      <c r="T54" s="13">
        <f>(Data_PLT[[#This Row],[Load (kN)]]*1000)/Data_PLT[[#This Row],[Equiv. Diam. (mm)]]^2</f>
        <v>0</v>
      </c>
      <c r="U54" s="13">
        <f>(Data_PLT[[#This Row],[Equiv. Diam. (mm)]]/50)^0.45</f>
        <v>1.1135550054708407</v>
      </c>
      <c r="V54" s="13">
        <f>Data_PLT[[#This Row],[Is (MPa)]]*Data_PLT[[#This Row],[F]]</f>
        <v>0</v>
      </c>
      <c r="W54" s="13" t="str">
        <f>Data_PLT[[#This Row],[Failure Validity]]&amp;"-"&amp;Data_PLT[[#This Row],[Test type]]</f>
        <v>Valid-Diametral</v>
      </c>
      <c r="X54" s="13">
        <f>Data_PLT[[#This Row],[Is50 (MPa)]]*VLOOKUP("Min",Table_PLT_Conversion[],2,FALSE)</f>
        <v>0</v>
      </c>
      <c r="Y54" s="13">
        <f>Data_PLT[[#This Row],[Is50 (MPa)]]*VLOOKUP("Avg",Table_PLT_Conversion[],2,FALSE)</f>
        <v>0</v>
      </c>
      <c r="Z54" s="13">
        <f>Data_PLT[[#This Row],[Is50 (MPa)]]*VLOOKUP("Max",Table_PLT_Conversion[],2,FALSE)</f>
        <v>0</v>
      </c>
      <c r="AA54" s="62" t="e">
        <f>MATCH(LOOKUP(Data_PLT[[#This Row],[UCS min (MPa)]],Table_FieldStrength[Min UCS]),Table_FieldStrength[Min UCS],0)-1</f>
        <v>#N/A</v>
      </c>
      <c r="AB54" s="62" t="e">
        <f>MATCH(LOOKUP(Data_PLT[[#This Row],[UCS avg (MPa)]],Table_FieldStrength[Min UCS]),Table_FieldStrength[Min UCS],0)-1</f>
        <v>#N/A</v>
      </c>
      <c r="AC54" s="62" t="e">
        <f>MATCH(LOOKUP(Data_PLT[[#This Row],[UCS max (MPa)]],Table_FieldStrength[Min UCS]),Table_FieldStrength[Min UCS],0)-1</f>
        <v>#N/A</v>
      </c>
      <c r="AD54" s="68" t="e">
        <f>Data_PLT[[#This Row],[Test code]]&amp;"-"&amp;Data_PLT[[#This Row],[UCS min code]]</f>
        <v>#N/A</v>
      </c>
      <c r="AE54" s="68" t="e">
        <f>Data_PLT[[#This Row],[Test code]]&amp;"-"&amp;Data_PLT[[#This Row],[UCS avg code]]</f>
        <v>#N/A</v>
      </c>
      <c r="AF54" s="67" t="e">
        <f>Data_PLT[[#This Row],[Test code]]&amp;"-"&amp;Data_PLT[[#This Row],[UCS max code]]</f>
        <v>#N/A</v>
      </c>
      <c r="AG54" s="67" t="str">
        <f>Data_PLT[[#This Row],[Failure type]]&amp;"-"&amp;Data_PLT[[#This Row],[Test type]]&amp;"-"&amp;(IF(Data_PLT[[#This Row],[Is50 (MPa)]]&lt;1,1,IF(Data_PLT[[#This Row],[Is50 (MPa)]]&lt;2,2,IF(Data_PLT[[#This Row],[Is50 (MPa)]]&lt;4,3,IF(Data_PLT[[#This Row],[Is50 (MPa)]]&lt;8,4,5)))))</f>
        <v>Along bedding/foliation-Diametral-1</v>
      </c>
    </row>
    <row r="55" spans="1:33" x14ac:dyDescent="0.25">
      <c r="A55" t="s">
        <v>26</v>
      </c>
      <c r="B55" s="88" t="str">
        <f>VLOOKUP(Data_PLT[[#This Row],[Hole ID]],Data_Log[],2,FALSE)</f>
        <v>CGF-01</v>
      </c>
      <c r="C55" s="63">
        <f>IF(Data_PLT[[#This Row],[Hole ID]]="","",
IF(COUNTIF($A$4:A55,Data_PLT[[#This Row],[Hole ID]])=1,1,
IF(A55=A54,C54+1,
COUNTIF($A$4:A55,Data_PLT[[#This Row],[Hole ID]]))))</f>
        <v>52</v>
      </c>
      <c r="D55" s="63" t="str">
        <f>IF(Data_PLT[[#This Row],[Hole ID]]="","",Data_PLT[[#This Row],[Hole ID]]&amp;"_"&amp;Data_PLT[[#This Row],[Sample ID]])</f>
        <v>COG-25-08_52</v>
      </c>
      <c r="E55" s="6"/>
      <c r="F55" s="6">
        <v>147.53</v>
      </c>
      <c r="G55" s="63" t="str" cm="1">
        <f t="array" ref="G55">_xlfn.XLOOKUP(1,(A55=Geotech!$A$4:$A$11100)*(Data_PLT[[#This Row],[Depth (m)]]&gt;=Geotech!$C$4:$C$11100)*(Data_PLT[[#This Row],[Depth (m)]]&lt;Geotech!$D$4:$D$11100),Geotech!$M$4:$M$11100)</f>
        <v>Boulamarque granodiorite</v>
      </c>
      <c r="H55" s="6" t="s">
        <v>299</v>
      </c>
      <c r="I55" s="63" t="str">
        <f>VLOOKUP(Data_PLT[[#This Row],[Hole ID]],Data_Log[[Hole ID]:[Core size]],20,FALSE)</f>
        <v>HQ</v>
      </c>
      <c r="J55" s="13">
        <f>VLOOKUP(Data_PLT[[#This Row],[Core Size]],Table_CoreSize[],2,FALSE)</f>
        <v>63.5</v>
      </c>
      <c r="K55" s="19">
        <v>115</v>
      </c>
      <c r="L55" s="19" t="s">
        <v>574</v>
      </c>
      <c r="M55" s="5">
        <v>20.399999999999999</v>
      </c>
      <c r="N55" s="5"/>
      <c r="O55" s="6" t="s">
        <v>334</v>
      </c>
      <c r="P55" s="13" t="str">
        <f>IF(Data_PLT[[#This Row],[Failure type]]="","",IF(OR(Data_PLT[[#This Row],[Failure type]]="Invalid",Data_PLT[[#This Row],[Failure type]]="Chipped",Data_PLT[[#This Row],[Failure type]]="Penetrate",Data_PLT[[#This Row],[Failure type]]="Did not break"),"Invalid","Valid"))</f>
        <v>Valid</v>
      </c>
      <c r="Q55" s="6"/>
      <c r="R55" s="11"/>
      <c r="S55" s="13">
        <f>IF(Data_PLT[[#This Row],[Test type]]="Diametral",Data_PLT[[#This Row],[Diameter (mm)]],IF(Data_PLT[[#This Row],[Test type]]="Axial",SQRT(4*Data_PLT[[#This Row],[Diameter (mm)]]*Data_PLT[[#This Row],[Length or width (mm)]]/PI()),"ERROR"))</f>
        <v>63.5</v>
      </c>
      <c r="T55" s="13">
        <f>(Data_PLT[[#This Row],[Load (kN)]]*1000)/Data_PLT[[#This Row],[Equiv. Diam. (mm)]]^2</f>
        <v>0</v>
      </c>
      <c r="U55" s="13">
        <f>(Data_PLT[[#This Row],[Equiv. Diam. (mm)]]/50)^0.45</f>
        <v>1.1135550054708407</v>
      </c>
      <c r="V55" s="13">
        <f>Data_PLT[[#This Row],[Is (MPa)]]*Data_PLT[[#This Row],[F]]</f>
        <v>0</v>
      </c>
      <c r="W55" s="13" t="str">
        <f>Data_PLT[[#This Row],[Failure Validity]]&amp;"-"&amp;Data_PLT[[#This Row],[Test type]]</f>
        <v>Valid-Diametral</v>
      </c>
      <c r="X55" s="13">
        <f>Data_PLT[[#This Row],[Is50 (MPa)]]*VLOOKUP("Min",Table_PLT_Conversion[],2,FALSE)</f>
        <v>0</v>
      </c>
      <c r="Y55" s="13">
        <f>Data_PLT[[#This Row],[Is50 (MPa)]]*VLOOKUP("Avg",Table_PLT_Conversion[],2,FALSE)</f>
        <v>0</v>
      </c>
      <c r="Z55" s="13">
        <f>Data_PLT[[#This Row],[Is50 (MPa)]]*VLOOKUP("Max",Table_PLT_Conversion[],2,FALSE)</f>
        <v>0</v>
      </c>
      <c r="AA55" s="62" t="e">
        <f>MATCH(LOOKUP(Data_PLT[[#This Row],[UCS min (MPa)]],Table_FieldStrength[Min UCS]),Table_FieldStrength[Min UCS],0)-1</f>
        <v>#N/A</v>
      </c>
      <c r="AB55" s="62" t="e">
        <f>MATCH(LOOKUP(Data_PLT[[#This Row],[UCS avg (MPa)]],Table_FieldStrength[Min UCS]),Table_FieldStrength[Min UCS],0)-1</f>
        <v>#N/A</v>
      </c>
      <c r="AC55" s="62" t="e">
        <f>MATCH(LOOKUP(Data_PLT[[#This Row],[UCS max (MPa)]],Table_FieldStrength[Min UCS]),Table_FieldStrength[Min UCS],0)-1</f>
        <v>#N/A</v>
      </c>
      <c r="AD55" s="68" t="e">
        <f>Data_PLT[[#This Row],[Test code]]&amp;"-"&amp;Data_PLT[[#This Row],[UCS min code]]</f>
        <v>#N/A</v>
      </c>
      <c r="AE55" s="68" t="e">
        <f>Data_PLT[[#This Row],[Test code]]&amp;"-"&amp;Data_PLT[[#This Row],[UCS avg code]]</f>
        <v>#N/A</v>
      </c>
      <c r="AF55" s="67" t="e">
        <f>Data_PLT[[#This Row],[Test code]]&amp;"-"&amp;Data_PLT[[#This Row],[UCS max code]]</f>
        <v>#N/A</v>
      </c>
      <c r="AG55" s="67" t="str">
        <f>Data_PLT[[#This Row],[Failure type]]&amp;"-"&amp;Data_PLT[[#This Row],[Test type]]&amp;"-"&amp;(IF(Data_PLT[[#This Row],[Is50 (MPa)]]&lt;1,1,IF(Data_PLT[[#This Row],[Is50 (MPa)]]&lt;2,2,IF(Data_PLT[[#This Row],[Is50 (MPa)]]&lt;4,3,IF(Data_PLT[[#This Row],[Is50 (MPa)]]&lt;8,4,5)))))</f>
        <v>Along bedding/foliation-Diametral-1</v>
      </c>
    </row>
    <row r="56" spans="1:33" x14ac:dyDescent="0.25">
      <c r="A56" t="s">
        <v>26</v>
      </c>
      <c r="B56" s="88" t="str">
        <f>VLOOKUP(Data_PLT[[#This Row],[Hole ID]],Data_Log[],2,FALSE)</f>
        <v>CGF-01</v>
      </c>
      <c r="C56" s="63">
        <f>IF(Data_PLT[[#This Row],[Hole ID]]="","",
IF(COUNTIF($A$4:A56,Data_PLT[[#This Row],[Hole ID]])=1,1,
IF(A56=A55,C55+1,
COUNTIF($A$4:A56,Data_PLT[[#This Row],[Hole ID]]))))</f>
        <v>53</v>
      </c>
      <c r="D56" s="63" t="str">
        <f>IF(Data_PLT[[#This Row],[Hole ID]]="","",Data_PLT[[#This Row],[Hole ID]]&amp;"_"&amp;Data_PLT[[#This Row],[Sample ID]])</f>
        <v>COG-25-08_53</v>
      </c>
      <c r="E56" s="6"/>
      <c r="F56" s="6">
        <v>150.86000000000001</v>
      </c>
      <c r="G56" s="63" t="str" cm="1">
        <f t="array" ref="G56">_xlfn.XLOOKUP(1,(A56=Geotech!$A$4:$A$11100)*(Data_PLT[[#This Row],[Depth (m)]]&gt;=Geotech!$C$4:$C$11100)*(Data_PLT[[#This Row],[Depth (m)]]&lt;Geotech!$D$4:$D$11100),Geotech!$M$4:$M$11100)</f>
        <v>Boulamarque granodiorite</v>
      </c>
      <c r="H56" s="6" t="s">
        <v>299</v>
      </c>
      <c r="I56" s="63" t="str">
        <f>VLOOKUP(Data_PLT[[#This Row],[Hole ID]],Data_Log[[Hole ID]:[Core size]],20,FALSE)</f>
        <v>HQ</v>
      </c>
      <c r="J56" s="13">
        <f>VLOOKUP(Data_PLT[[#This Row],[Core Size]],Table_CoreSize[],2,FALSE)</f>
        <v>63.5</v>
      </c>
      <c r="K56" s="19">
        <v>65</v>
      </c>
      <c r="L56" s="19" t="s">
        <v>574</v>
      </c>
      <c r="M56" s="5">
        <v>2.8</v>
      </c>
      <c r="N56" s="5"/>
      <c r="O56" s="6" t="s">
        <v>334</v>
      </c>
      <c r="P56" s="13" t="str">
        <f>IF(Data_PLT[[#This Row],[Failure type]]="","",IF(OR(Data_PLT[[#This Row],[Failure type]]="Invalid",Data_PLT[[#This Row],[Failure type]]="Chipped",Data_PLT[[#This Row],[Failure type]]="Penetrate",Data_PLT[[#This Row],[Failure type]]="Did not break"),"Invalid","Valid"))</f>
        <v>Valid</v>
      </c>
      <c r="Q56" s="6"/>
      <c r="R56" s="11"/>
      <c r="S56" s="13">
        <f>IF(Data_PLT[[#This Row],[Test type]]="Diametral",Data_PLT[[#This Row],[Diameter (mm)]],IF(Data_PLT[[#This Row],[Test type]]="Axial",SQRT(4*Data_PLT[[#This Row],[Diameter (mm)]]*Data_PLT[[#This Row],[Length or width (mm)]]/PI()),"ERROR"))</f>
        <v>63.5</v>
      </c>
      <c r="T56" s="13">
        <f>(Data_PLT[[#This Row],[Load (kN)]]*1000)/Data_PLT[[#This Row],[Equiv. Diam. (mm)]]^2</f>
        <v>0</v>
      </c>
      <c r="U56" s="13">
        <f>(Data_PLT[[#This Row],[Equiv. Diam. (mm)]]/50)^0.45</f>
        <v>1.1135550054708407</v>
      </c>
      <c r="V56" s="13">
        <f>Data_PLT[[#This Row],[Is (MPa)]]*Data_PLT[[#This Row],[F]]</f>
        <v>0</v>
      </c>
      <c r="W56" s="13" t="str">
        <f>Data_PLT[[#This Row],[Failure Validity]]&amp;"-"&amp;Data_PLT[[#This Row],[Test type]]</f>
        <v>Valid-Diametral</v>
      </c>
      <c r="X56" s="13">
        <f>Data_PLT[[#This Row],[Is50 (MPa)]]*VLOOKUP("Min",Table_PLT_Conversion[],2,FALSE)</f>
        <v>0</v>
      </c>
      <c r="Y56" s="13">
        <f>Data_PLT[[#This Row],[Is50 (MPa)]]*VLOOKUP("Avg",Table_PLT_Conversion[],2,FALSE)</f>
        <v>0</v>
      </c>
      <c r="Z56" s="13">
        <f>Data_PLT[[#This Row],[Is50 (MPa)]]*VLOOKUP("Max",Table_PLT_Conversion[],2,FALSE)</f>
        <v>0</v>
      </c>
      <c r="AA56" s="62" t="e">
        <f>MATCH(LOOKUP(Data_PLT[[#This Row],[UCS min (MPa)]],Table_FieldStrength[Min UCS]),Table_FieldStrength[Min UCS],0)-1</f>
        <v>#N/A</v>
      </c>
      <c r="AB56" s="62" t="e">
        <f>MATCH(LOOKUP(Data_PLT[[#This Row],[UCS avg (MPa)]],Table_FieldStrength[Min UCS]),Table_FieldStrength[Min UCS],0)-1</f>
        <v>#N/A</v>
      </c>
      <c r="AC56" s="62" t="e">
        <f>MATCH(LOOKUP(Data_PLT[[#This Row],[UCS max (MPa)]],Table_FieldStrength[Min UCS]),Table_FieldStrength[Min UCS],0)-1</f>
        <v>#N/A</v>
      </c>
      <c r="AD56" s="68" t="e">
        <f>Data_PLT[[#This Row],[Test code]]&amp;"-"&amp;Data_PLT[[#This Row],[UCS min code]]</f>
        <v>#N/A</v>
      </c>
      <c r="AE56" s="68" t="e">
        <f>Data_PLT[[#This Row],[Test code]]&amp;"-"&amp;Data_PLT[[#This Row],[UCS avg code]]</f>
        <v>#N/A</v>
      </c>
      <c r="AF56" s="67" t="e">
        <f>Data_PLT[[#This Row],[Test code]]&amp;"-"&amp;Data_PLT[[#This Row],[UCS max code]]</f>
        <v>#N/A</v>
      </c>
      <c r="AG56" s="67" t="str">
        <f>Data_PLT[[#This Row],[Failure type]]&amp;"-"&amp;Data_PLT[[#This Row],[Test type]]&amp;"-"&amp;(IF(Data_PLT[[#This Row],[Is50 (MPa)]]&lt;1,1,IF(Data_PLT[[#This Row],[Is50 (MPa)]]&lt;2,2,IF(Data_PLT[[#This Row],[Is50 (MPa)]]&lt;4,3,IF(Data_PLT[[#This Row],[Is50 (MPa)]]&lt;8,4,5)))))</f>
        <v>Along bedding/foliation-Diametral-1</v>
      </c>
    </row>
    <row r="57" spans="1:33" x14ac:dyDescent="0.25">
      <c r="A57" t="s">
        <v>26</v>
      </c>
      <c r="B57" s="88" t="str">
        <f>VLOOKUP(Data_PLT[[#This Row],[Hole ID]],Data_Log[],2,FALSE)</f>
        <v>CGF-01</v>
      </c>
      <c r="C57" s="63">
        <f>IF(Data_PLT[[#This Row],[Hole ID]]="","",
IF(COUNTIF($A$4:A57,Data_PLT[[#This Row],[Hole ID]])=1,1,
IF(A57=A56,C56+1,
COUNTIF($A$4:A57,Data_PLT[[#This Row],[Hole ID]]))))</f>
        <v>54</v>
      </c>
      <c r="D57" s="63" t="str">
        <f>IF(Data_PLT[[#This Row],[Hole ID]]="","",Data_PLT[[#This Row],[Hole ID]]&amp;"_"&amp;Data_PLT[[#This Row],[Sample ID]])</f>
        <v>COG-25-08_54</v>
      </c>
      <c r="E57" s="6"/>
      <c r="F57" s="6">
        <v>153.74</v>
      </c>
      <c r="G57" s="63" t="str" cm="1">
        <f t="array" ref="G57">_xlfn.XLOOKUP(1,(A57=Geotech!$A$4:$A$11100)*(Data_PLT[[#This Row],[Depth (m)]]&gt;=Geotech!$C$4:$C$11100)*(Data_PLT[[#This Row],[Depth (m)]]&lt;Geotech!$D$4:$D$11100),Geotech!$M$4:$M$11100)</f>
        <v>Boulamarque granodiorite</v>
      </c>
      <c r="H57" s="6" t="s">
        <v>299</v>
      </c>
      <c r="I57" s="63" t="str">
        <f>VLOOKUP(Data_PLT[[#This Row],[Hole ID]],Data_Log[[Hole ID]:[Core size]],20,FALSE)</f>
        <v>HQ</v>
      </c>
      <c r="J57" s="13">
        <f>VLOOKUP(Data_PLT[[#This Row],[Core Size]],Table_CoreSize[],2,FALSE)</f>
        <v>63.5</v>
      </c>
      <c r="K57" s="19">
        <v>90</v>
      </c>
      <c r="L57" s="19" t="s">
        <v>574</v>
      </c>
      <c r="M57" s="5">
        <v>49.6</v>
      </c>
      <c r="N57" s="5"/>
      <c r="O57" s="6" t="s">
        <v>334</v>
      </c>
      <c r="P57" s="13" t="str">
        <f>IF(Data_PLT[[#This Row],[Failure type]]="","",IF(OR(Data_PLT[[#This Row],[Failure type]]="Invalid",Data_PLT[[#This Row],[Failure type]]="Chipped",Data_PLT[[#This Row],[Failure type]]="Penetrate",Data_PLT[[#This Row],[Failure type]]="Did not break"),"Invalid","Valid"))</f>
        <v>Valid</v>
      </c>
      <c r="Q57" s="6"/>
      <c r="R57" s="11"/>
      <c r="S57" s="13">
        <f>IF(Data_PLT[[#This Row],[Test type]]="Diametral",Data_PLT[[#This Row],[Diameter (mm)]],IF(Data_PLT[[#This Row],[Test type]]="Axial",SQRT(4*Data_PLT[[#This Row],[Diameter (mm)]]*Data_PLT[[#This Row],[Length or width (mm)]]/PI()),"ERROR"))</f>
        <v>63.5</v>
      </c>
      <c r="T57" s="13">
        <f>(Data_PLT[[#This Row],[Load (kN)]]*1000)/Data_PLT[[#This Row],[Equiv. Diam. (mm)]]^2</f>
        <v>0</v>
      </c>
      <c r="U57" s="13">
        <f>(Data_PLT[[#This Row],[Equiv. Diam. (mm)]]/50)^0.45</f>
        <v>1.1135550054708407</v>
      </c>
      <c r="V57" s="13">
        <f>Data_PLT[[#This Row],[Is (MPa)]]*Data_PLT[[#This Row],[F]]</f>
        <v>0</v>
      </c>
      <c r="W57" s="13" t="str">
        <f>Data_PLT[[#This Row],[Failure Validity]]&amp;"-"&amp;Data_PLT[[#This Row],[Test type]]</f>
        <v>Valid-Diametral</v>
      </c>
      <c r="X57" s="13">
        <f>Data_PLT[[#This Row],[Is50 (MPa)]]*VLOOKUP("Min",Table_PLT_Conversion[],2,FALSE)</f>
        <v>0</v>
      </c>
      <c r="Y57" s="13">
        <f>Data_PLT[[#This Row],[Is50 (MPa)]]*VLOOKUP("Avg",Table_PLT_Conversion[],2,FALSE)</f>
        <v>0</v>
      </c>
      <c r="Z57" s="13">
        <f>Data_PLT[[#This Row],[Is50 (MPa)]]*VLOOKUP("Max",Table_PLT_Conversion[],2,FALSE)</f>
        <v>0</v>
      </c>
      <c r="AA57" s="62" t="e">
        <f>MATCH(LOOKUP(Data_PLT[[#This Row],[UCS min (MPa)]],Table_FieldStrength[Min UCS]),Table_FieldStrength[Min UCS],0)-1</f>
        <v>#N/A</v>
      </c>
      <c r="AB57" s="62" t="e">
        <f>MATCH(LOOKUP(Data_PLT[[#This Row],[UCS avg (MPa)]],Table_FieldStrength[Min UCS]),Table_FieldStrength[Min UCS],0)-1</f>
        <v>#N/A</v>
      </c>
      <c r="AC57" s="62" t="e">
        <f>MATCH(LOOKUP(Data_PLT[[#This Row],[UCS max (MPa)]],Table_FieldStrength[Min UCS]),Table_FieldStrength[Min UCS],0)-1</f>
        <v>#N/A</v>
      </c>
      <c r="AD57" s="68" t="e">
        <f>Data_PLT[[#This Row],[Test code]]&amp;"-"&amp;Data_PLT[[#This Row],[UCS min code]]</f>
        <v>#N/A</v>
      </c>
      <c r="AE57" s="68" t="e">
        <f>Data_PLT[[#This Row],[Test code]]&amp;"-"&amp;Data_PLT[[#This Row],[UCS avg code]]</f>
        <v>#N/A</v>
      </c>
      <c r="AF57" s="67" t="e">
        <f>Data_PLT[[#This Row],[Test code]]&amp;"-"&amp;Data_PLT[[#This Row],[UCS max code]]</f>
        <v>#N/A</v>
      </c>
      <c r="AG57" s="67" t="str">
        <f>Data_PLT[[#This Row],[Failure type]]&amp;"-"&amp;Data_PLT[[#This Row],[Test type]]&amp;"-"&amp;(IF(Data_PLT[[#This Row],[Is50 (MPa)]]&lt;1,1,IF(Data_PLT[[#This Row],[Is50 (MPa)]]&lt;2,2,IF(Data_PLT[[#This Row],[Is50 (MPa)]]&lt;4,3,IF(Data_PLT[[#This Row],[Is50 (MPa)]]&lt;8,4,5)))))</f>
        <v>Along bedding/foliation-Diametral-1</v>
      </c>
    </row>
    <row r="58" spans="1:33" x14ac:dyDescent="0.25">
      <c r="A58" t="s">
        <v>26</v>
      </c>
      <c r="B58" s="88" t="str">
        <f>VLOOKUP(Data_PLT[[#This Row],[Hole ID]],Data_Log[],2,FALSE)</f>
        <v>CGF-01</v>
      </c>
      <c r="C58" s="63">
        <f>IF(Data_PLT[[#This Row],[Hole ID]]="","",
IF(COUNTIF($A$4:A58,Data_PLT[[#This Row],[Hole ID]])=1,1,
IF(A58=A57,C57+1,
COUNTIF($A$4:A58,Data_PLT[[#This Row],[Hole ID]]))))</f>
        <v>55</v>
      </c>
      <c r="D58" s="63" t="str">
        <f>IF(Data_PLT[[#This Row],[Hole ID]]="","",Data_PLT[[#This Row],[Hole ID]]&amp;"_"&amp;Data_PLT[[#This Row],[Sample ID]])</f>
        <v>COG-25-08_55</v>
      </c>
      <c r="E58" s="6"/>
      <c r="F58" s="6">
        <v>155.53</v>
      </c>
      <c r="G58" s="63" t="str" cm="1">
        <f t="array" ref="G58">_xlfn.XLOOKUP(1,(A58=Geotech!$A$4:$A$11100)*(Data_PLT[[#This Row],[Depth (m)]]&gt;=Geotech!$C$4:$C$11100)*(Data_PLT[[#This Row],[Depth (m)]]&lt;Geotech!$D$4:$D$11100),Geotech!$M$4:$M$11100)</f>
        <v>Boulamarque granodiorite</v>
      </c>
      <c r="H58" s="6" t="s">
        <v>299</v>
      </c>
      <c r="I58" s="63" t="str">
        <f>VLOOKUP(Data_PLT[[#This Row],[Hole ID]],Data_Log[[Hole ID]:[Core size]],20,FALSE)</f>
        <v>HQ</v>
      </c>
      <c r="J58" s="13">
        <f>VLOOKUP(Data_PLT[[#This Row],[Core Size]],Table_CoreSize[],2,FALSE)</f>
        <v>63.5</v>
      </c>
      <c r="K58" s="19">
        <v>110</v>
      </c>
      <c r="L58" s="19" t="s">
        <v>574</v>
      </c>
      <c r="M58" s="5">
        <v>159.4</v>
      </c>
      <c r="N58" s="5"/>
      <c r="O58" s="6" t="s">
        <v>334</v>
      </c>
      <c r="P58" s="13" t="str">
        <f>IF(Data_PLT[[#This Row],[Failure type]]="","",IF(OR(Data_PLT[[#This Row],[Failure type]]="Invalid",Data_PLT[[#This Row],[Failure type]]="Chipped",Data_PLT[[#This Row],[Failure type]]="Penetrate",Data_PLT[[#This Row],[Failure type]]="Did not break"),"Invalid","Valid"))</f>
        <v>Valid</v>
      </c>
      <c r="Q58" s="6"/>
      <c r="R58" s="11"/>
      <c r="S58" s="13">
        <f>IF(Data_PLT[[#This Row],[Test type]]="Diametral",Data_PLT[[#This Row],[Diameter (mm)]],IF(Data_PLT[[#This Row],[Test type]]="Axial",SQRT(4*Data_PLT[[#This Row],[Diameter (mm)]]*Data_PLT[[#This Row],[Length or width (mm)]]/PI()),"ERROR"))</f>
        <v>63.5</v>
      </c>
      <c r="T58" s="13">
        <f>(Data_PLT[[#This Row],[Load (kN)]]*1000)/Data_PLT[[#This Row],[Equiv. Diam. (mm)]]^2</f>
        <v>0</v>
      </c>
      <c r="U58" s="13">
        <f>(Data_PLT[[#This Row],[Equiv. Diam. (mm)]]/50)^0.45</f>
        <v>1.1135550054708407</v>
      </c>
      <c r="V58" s="13">
        <f>Data_PLT[[#This Row],[Is (MPa)]]*Data_PLT[[#This Row],[F]]</f>
        <v>0</v>
      </c>
      <c r="W58" s="13" t="str">
        <f>Data_PLT[[#This Row],[Failure Validity]]&amp;"-"&amp;Data_PLT[[#This Row],[Test type]]</f>
        <v>Valid-Diametral</v>
      </c>
      <c r="X58" s="13">
        <f>Data_PLT[[#This Row],[Is50 (MPa)]]*VLOOKUP("Min",Table_PLT_Conversion[],2,FALSE)</f>
        <v>0</v>
      </c>
      <c r="Y58" s="13">
        <f>Data_PLT[[#This Row],[Is50 (MPa)]]*VLOOKUP("Avg",Table_PLT_Conversion[],2,FALSE)</f>
        <v>0</v>
      </c>
      <c r="Z58" s="13">
        <f>Data_PLT[[#This Row],[Is50 (MPa)]]*VLOOKUP("Max",Table_PLT_Conversion[],2,FALSE)</f>
        <v>0</v>
      </c>
      <c r="AA58" s="62" t="e">
        <f>MATCH(LOOKUP(Data_PLT[[#This Row],[UCS min (MPa)]],Table_FieldStrength[Min UCS]),Table_FieldStrength[Min UCS],0)-1</f>
        <v>#N/A</v>
      </c>
      <c r="AB58" s="62" t="e">
        <f>MATCH(LOOKUP(Data_PLT[[#This Row],[UCS avg (MPa)]],Table_FieldStrength[Min UCS]),Table_FieldStrength[Min UCS],0)-1</f>
        <v>#N/A</v>
      </c>
      <c r="AC58" s="62" t="e">
        <f>MATCH(LOOKUP(Data_PLT[[#This Row],[UCS max (MPa)]],Table_FieldStrength[Min UCS]),Table_FieldStrength[Min UCS],0)-1</f>
        <v>#N/A</v>
      </c>
      <c r="AD58" s="68" t="e">
        <f>Data_PLT[[#This Row],[Test code]]&amp;"-"&amp;Data_PLT[[#This Row],[UCS min code]]</f>
        <v>#N/A</v>
      </c>
      <c r="AE58" s="68" t="e">
        <f>Data_PLT[[#This Row],[Test code]]&amp;"-"&amp;Data_PLT[[#This Row],[UCS avg code]]</f>
        <v>#N/A</v>
      </c>
      <c r="AF58" s="67" t="e">
        <f>Data_PLT[[#This Row],[Test code]]&amp;"-"&amp;Data_PLT[[#This Row],[UCS max code]]</f>
        <v>#N/A</v>
      </c>
      <c r="AG58" s="67" t="str">
        <f>Data_PLT[[#This Row],[Failure type]]&amp;"-"&amp;Data_PLT[[#This Row],[Test type]]&amp;"-"&amp;(IF(Data_PLT[[#This Row],[Is50 (MPa)]]&lt;1,1,IF(Data_PLT[[#This Row],[Is50 (MPa)]]&lt;2,2,IF(Data_PLT[[#This Row],[Is50 (MPa)]]&lt;4,3,IF(Data_PLT[[#This Row],[Is50 (MPa)]]&lt;8,4,5)))))</f>
        <v>Along bedding/foliation-Diametral-1</v>
      </c>
    </row>
    <row r="59" spans="1:33" x14ac:dyDescent="0.25">
      <c r="A59" t="s">
        <v>26</v>
      </c>
      <c r="B59" s="88" t="str">
        <f>VLOOKUP(Data_PLT[[#This Row],[Hole ID]],Data_Log[],2,FALSE)</f>
        <v>CGF-01</v>
      </c>
      <c r="C59" s="63">
        <f>IF(Data_PLT[[#This Row],[Hole ID]]="","",
IF(COUNTIF($A$4:A59,Data_PLT[[#This Row],[Hole ID]])=1,1,
IF(A59=A58,C58+1,
COUNTIF($A$4:A59,Data_PLT[[#This Row],[Hole ID]]))))</f>
        <v>56</v>
      </c>
      <c r="D59" s="63" t="str">
        <f>IF(Data_PLT[[#This Row],[Hole ID]]="","",Data_PLT[[#This Row],[Hole ID]]&amp;"_"&amp;Data_PLT[[#This Row],[Sample ID]])</f>
        <v>COG-25-08_56</v>
      </c>
      <c r="E59" s="6"/>
      <c r="F59" s="6">
        <v>156.54</v>
      </c>
      <c r="G59" s="63" t="str" cm="1">
        <f t="array" ref="G59">_xlfn.XLOOKUP(1,(A59=Geotech!$A$4:$A$11100)*(Data_PLT[[#This Row],[Depth (m)]]&gt;=Geotech!$C$4:$C$11100)*(Data_PLT[[#This Row],[Depth (m)]]&lt;Geotech!$D$4:$D$11100),Geotech!$M$4:$M$11100)</f>
        <v>Boulamarque granodiorite</v>
      </c>
      <c r="H59" s="6" t="s">
        <v>299</v>
      </c>
      <c r="I59" s="63" t="str">
        <f>VLOOKUP(Data_PLT[[#This Row],[Hole ID]],Data_Log[[Hole ID]:[Core size]],20,FALSE)</f>
        <v>HQ</v>
      </c>
      <c r="J59" s="13">
        <f>VLOOKUP(Data_PLT[[#This Row],[Core Size]],Table_CoreSize[],2,FALSE)</f>
        <v>63.5</v>
      </c>
      <c r="K59" s="19">
        <v>50</v>
      </c>
      <c r="L59" s="19" t="s">
        <v>574</v>
      </c>
      <c r="M59" s="5">
        <v>78.2</v>
      </c>
      <c r="N59" s="5"/>
      <c r="O59" s="6" t="s">
        <v>334</v>
      </c>
      <c r="P59" s="13" t="str">
        <f>IF(Data_PLT[[#This Row],[Failure type]]="","",IF(OR(Data_PLT[[#This Row],[Failure type]]="Invalid",Data_PLT[[#This Row],[Failure type]]="Chipped",Data_PLT[[#This Row],[Failure type]]="Penetrate",Data_PLT[[#This Row],[Failure type]]="Did not break"),"Invalid","Valid"))</f>
        <v>Valid</v>
      </c>
      <c r="Q59" s="6"/>
      <c r="R59" s="11"/>
      <c r="S59" s="13">
        <f>IF(Data_PLT[[#This Row],[Test type]]="Diametral",Data_PLT[[#This Row],[Diameter (mm)]],IF(Data_PLT[[#This Row],[Test type]]="Axial",SQRT(4*Data_PLT[[#This Row],[Diameter (mm)]]*Data_PLT[[#This Row],[Length or width (mm)]]/PI()),"ERROR"))</f>
        <v>63.5</v>
      </c>
      <c r="T59" s="13">
        <f>(Data_PLT[[#This Row],[Load (kN)]]*1000)/Data_PLT[[#This Row],[Equiv. Diam. (mm)]]^2</f>
        <v>0</v>
      </c>
      <c r="U59" s="13">
        <f>(Data_PLT[[#This Row],[Equiv. Diam. (mm)]]/50)^0.45</f>
        <v>1.1135550054708407</v>
      </c>
      <c r="V59" s="13">
        <f>Data_PLT[[#This Row],[Is (MPa)]]*Data_PLT[[#This Row],[F]]</f>
        <v>0</v>
      </c>
      <c r="W59" s="13" t="str">
        <f>Data_PLT[[#This Row],[Failure Validity]]&amp;"-"&amp;Data_PLT[[#This Row],[Test type]]</f>
        <v>Valid-Diametral</v>
      </c>
      <c r="X59" s="13">
        <f>Data_PLT[[#This Row],[Is50 (MPa)]]*VLOOKUP("Min",Table_PLT_Conversion[],2,FALSE)</f>
        <v>0</v>
      </c>
      <c r="Y59" s="13">
        <f>Data_PLT[[#This Row],[Is50 (MPa)]]*VLOOKUP("Avg",Table_PLT_Conversion[],2,FALSE)</f>
        <v>0</v>
      </c>
      <c r="Z59" s="13">
        <f>Data_PLT[[#This Row],[Is50 (MPa)]]*VLOOKUP("Max",Table_PLT_Conversion[],2,FALSE)</f>
        <v>0</v>
      </c>
      <c r="AA59" s="62" t="e">
        <f>MATCH(LOOKUP(Data_PLT[[#This Row],[UCS min (MPa)]],Table_FieldStrength[Min UCS]),Table_FieldStrength[Min UCS],0)-1</f>
        <v>#N/A</v>
      </c>
      <c r="AB59" s="62" t="e">
        <f>MATCH(LOOKUP(Data_PLT[[#This Row],[UCS avg (MPa)]],Table_FieldStrength[Min UCS]),Table_FieldStrength[Min UCS],0)-1</f>
        <v>#N/A</v>
      </c>
      <c r="AC59" s="62" t="e">
        <f>MATCH(LOOKUP(Data_PLT[[#This Row],[UCS max (MPa)]],Table_FieldStrength[Min UCS]),Table_FieldStrength[Min UCS],0)-1</f>
        <v>#N/A</v>
      </c>
      <c r="AD59" s="68" t="e">
        <f>Data_PLT[[#This Row],[Test code]]&amp;"-"&amp;Data_PLT[[#This Row],[UCS min code]]</f>
        <v>#N/A</v>
      </c>
      <c r="AE59" s="68" t="e">
        <f>Data_PLT[[#This Row],[Test code]]&amp;"-"&amp;Data_PLT[[#This Row],[UCS avg code]]</f>
        <v>#N/A</v>
      </c>
      <c r="AF59" s="67" t="e">
        <f>Data_PLT[[#This Row],[Test code]]&amp;"-"&amp;Data_PLT[[#This Row],[UCS max code]]</f>
        <v>#N/A</v>
      </c>
      <c r="AG59" s="67" t="str">
        <f>Data_PLT[[#This Row],[Failure type]]&amp;"-"&amp;Data_PLT[[#This Row],[Test type]]&amp;"-"&amp;(IF(Data_PLT[[#This Row],[Is50 (MPa)]]&lt;1,1,IF(Data_PLT[[#This Row],[Is50 (MPa)]]&lt;2,2,IF(Data_PLT[[#This Row],[Is50 (MPa)]]&lt;4,3,IF(Data_PLT[[#This Row],[Is50 (MPa)]]&lt;8,4,5)))))</f>
        <v>Along bedding/foliation-Diametral-1</v>
      </c>
    </row>
    <row r="60" spans="1:33" x14ac:dyDescent="0.25">
      <c r="A60" t="s">
        <v>26</v>
      </c>
      <c r="B60" s="88" t="str">
        <f>VLOOKUP(Data_PLT[[#This Row],[Hole ID]],Data_Log[],2,FALSE)</f>
        <v>CGF-01</v>
      </c>
      <c r="C60" s="63">
        <f>IF(Data_PLT[[#This Row],[Hole ID]]="","",
IF(COUNTIF($A$4:A60,Data_PLT[[#This Row],[Hole ID]])=1,1,
IF(A60=A59,C59+1,
COUNTIF($A$4:A60,Data_PLT[[#This Row],[Hole ID]]))))</f>
        <v>57</v>
      </c>
      <c r="D60" s="63" t="str">
        <f>IF(Data_PLT[[#This Row],[Hole ID]]="","",Data_PLT[[#This Row],[Hole ID]]&amp;"_"&amp;Data_PLT[[#This Row],[Sample ID]])</f>
        <v>COG-25-08_57</v>
      </c>
      <c r="E60" s="6"/>
      <c r="F60" s="6">
        <v>160.18</v>
      </c>
      <c r="G60" s="63" t="str" cm="1">
        <f t="array" ref="G60">_xlfn.XLOOKUP(1,(A60=Geotech!$A$4:$A$11100)*(Data_PLT[[#This Row],[Depth (m)]]&gt;=Geotech!$C$4:$C$11100)*(Data_PLT[[#This Row],[Depth (m)]]&lt;Geotech!$D$4:$D$11100),Geotech!$M$4:$M$11100)</f>
        <v>Boulamarque granodiorite</v>
      </c>
      <c r="H60" s="6" t="s">
        <v>299</v>
      </c>
      <c r="I60" s="63" t="str">
        <f>VLOOKUP(Data_PLT[[#This Row],[Hole ID]],Data_Log[[Hole ID]:[Core size]],20,FALSE)</f>
        <v>HQ</v>
      </c>
      <c r="J60" s="13">
        <f>VLOOKUP(Data_PLT[[#This Row],[Core Size]],Table_CoreSize[],2,FALSE)</f>
        <v>63.5</v>
      </c>
      <c r="K60" s="19">
        <v>90</v>
      </c>
      <c r="L60" s="19" t="s">
        <v>574</v>
      </c>
      <c r="M60" s="5">
        <v>154</v>
      </c>
      <c r="N60" s="5"/>
      <c r="O60" s="6" t="s">
        <v>165</v>
      </c>
      <c r="P60" s="13"/>
      <c r="Q60" s="6"/>
      <c r="R60" s="11"/>
      <c r="S60" s="13">
        <f>IF(Data_PLT[[#This Row],[Test type]]="Diametral",Data_PLT[[#This Row],[Diameter (mm)]],IF(Data_PLT[[#This Row],[Test type]]="Axial",SQRT(4*Data_PLT[[#This Row],[Diameter (mm)]]*Data_PLT[[#This Row],[Length or width (mm)]]/PI()),"ERROR"))</f>
        <v>63.5</v>
      </c>
      <c r="T60" s="13">
        <f>(Data_PLT[[#This Row],[Load (kN)]]*1000)/Data_PLT[[#This Row],[Equiv. Diam. (mm)]]^2</f>
        <v>0</v>
      </c>
      <c r="U60" s="13">
        <f>(Data_PLT[[#This Row],[Equiv. Diam. (mm)]]/50)^0.45</f>
        <v>1.1135550054708407</v>
      </c>
      <c r="V60" s="13">
        <f>Data_PLT[[#This Row],[Is (MPa)]]*Data_PLT[[#This Row],[F]]</f>
        <v>0</v>
      </c>
      <c r="W60" s="13" t="str">
        <f>Data_PLT[[#This Row],[Failure Validity]]&amp;"-"&amp;Data_PLT[[#This Row],[Test type]]</f>
        <v>-Diametral</v>
      </c>
      <c r="X60" s="13">
        <f>Data_PLT[[#This Row],[Is50 (MPa)]]*VLOOKUP("Min",Table_PLT_Conversion[],2,FALSE)</f>
        <v>0</v>
      </c>
      <c r="Y60" s="13">
        <f>Data_PLT[[#This Row],[Is50 (MPa)]]*VLOOKUP("Avg",Table_PLT_Conversion[],2,FALSE)</f>
        <v>0</v>
      </c>
      <c r="Z60" s="13">
        <f>Data_PLT[[#This Row],[Is50 (MPa)]]*VLOOKUP("Max",Table_PLT_Conversion[],2,FALSE)</f>
        <v>0</v>
      </c>
      <c r="AA60" s="62" t="e">
        <f>MATCH(LOOKUP(Data_PLT[[#This Row],[UCS min (MPa)]],Table_FieldStrength[Min UCS]),Table_FieldStrength[Min UCS],0)-1</f>
        <v>#N/A</v>
      </c>
      <c r="AB60" s="62" t="e">
        <f>MATCH(LOOKUP(Data_PLT[[#This Row],[UCS avg (MPa)]],Table_FieldStrength[Min UCS]),Table_FieldStrength[Min UCS],0)-1</f>
        <v>#N/A</v>
      </c>
      <c r="AC60" s="62" t="e">
        <f>MATCH(LOOKUP(Data_PLT[[#This Row],[UCS max (MPa)]],Table_FieldStrength[Min UCS]),Table_FieldStrength[Min UCS],0)-1</f>
        <v>#N/A</v>
      </c>
      <c r="AD60" s="68" t="e">
        <f>Data_PLT[[#This Row],[Test code]]&amp;"-"&amp;Data_PLT[[#This Row],[UCS min code]]</f>
        <v>#N/A</v>
      </c>
      <c r="AE60" s="68" t="e">
        <f>Data_PLT[[#This Row],[Test code]]&amp;"-"&amp;Data_PLT[[#This Row],[UCS avg code]]</f>
        <v>#N/A</v>
      </c>
      <c r="AF60" s="67" t="e">
        <f>Data_PLT[[#This Row],[Test code]]&amp;"-"&amp;Data_PLT[[#This Row],[UCS max code]]</f>
        <v>#N/A</v>
      </c>
      <c r="AG60" s="67" t="str">
        <f>Data_PLT[[#This Row],[Failure type]]&amp;"-"&amp;Data_PLT[[#This Row],[Test type]]&amp;"-"&amp;(IF(Data_PLT[[#This Row],[Is50 (MPa)]]&lt;1,1,IF(Data_PLT[[#This Row],[Is50 (MPa)]]&lt;2,2,IF(Data_PLT[[#This Row],[Is50 (MPa)]]&lt;4,3,IF(Data_PLT[[#This Row],[Is50 (MPa)]]&lt;8,4,5)))))</f>
        <v>Chipped-Diametral-1</v>
      </c>
    </row>
    <row r="61" spans="1:33" x14ac:dyDescent="0.25">
      <c r="A61" t="s">
        <v>26</v>
      </c>
      <c r="B61" s="88" t="str">
        <f>VLOOKUP(Data_PLT[[#This Row],[Hole ID]],Data_Log[],2,FALSE)</f>
        <v>CGF-01</v>
      </c>
      <c r="C61" s="63">
        <f>IF(Data_PLT[[#This Row],[Hole ID]]="","",
IF(COUNTIF($A$4:A61,Data_PLT[[#This Row],[Hole ID]])=1,1,
IF(A61=A60,C60+1,
COUNTIF($A$4:A61,Data_PLT[[#This Row],[Hole ID]]))))</f>
        <v>58</v>
      </c>
      <c r="D61" s="63" t="str">
        <f>IF(Data_PLT[[#This Row],[Hole ID]]="","",Data_PLT[[#This Row],[Hole ID]]&amp;"_"&amp;Data_PLT[[#This Row],[Sample ID]])</f>
        <v>COG-25-08_58</v>
      </c>
      <c r="E61" s="6"/>
      <c r="F61" s="6">
        <v>161.58000000000001</v>
      </c>
      <c r="G61" s="63" t="str" cm="1">
        <f t="array" ref="G61">_xlfn.XLOOKUP(1,(A61=Geotech!$A$4:$A$11100)*(Data_PLT[[#This Row],[Depth (m)]]&gt;=Geotech!$C$4:$C$11100)*(Data_PLT[[#This Row],[Depth (m)]]&lt;Geotech!$D$4:$D$11100),Geotech!$M$4:$M$11100)</f>
        <v>Boulamarque granodiorite</v>
      </c>
      <c r="H61" s="6" t="s">
        <v>299</v>
      </c>
      <c r="I61" s="63" t="str">
        <f>VLOOKUP(Data_PLT[[#This Row],[Hole ID]],Data_Log[[Hole ID]:[Core size]],20,FALSE)</f>
        <v>HQ</v>
      </c>
      <c r="J61" s="13">
        <f>VLOOKUP(Data_PLT[[#This Row],[Core Size]],Table_CoreSize[],2,FALSE)</f>
        <v>63.5</v>
      </c>
      <c r="K61" s="19">
        <v>90</v>
      </c>
      <c r="L61" s="19" t="s">
        <v>574</v>
      </c>
      <c r="M61" s="5">
        <v>208.6</v>
      </c>
      <c r="N61" s="5"/>
      <c r="O61" s="6" t="s">
        <v>334</v>
      </c>
      <c r="P61" s="13" t="str">
        <f>IF(Data_PLT[[#This Row],[Failure type]]="","",IF(OR(Data_PLT[[#This Row],[Failure type]]="Invalid",Data_PLT[[#This Row],[Failure type]]="Chipped",Data_PLT[[#This Row],[Failure type]]="Penetrate",Data_PLT[[#This Row],[Failure type]]="Did not break"),"Invalid","Valid"))</f>
        <v>Valid</v>
      </c>
      <c r="Q61" s="6"/>
      <c r="R61" s="11"/>
      <c r="S61" s="13">
        <f>IF(Data_PLT[[#This Row],[Test type]]="Diametral",Data_PLT[[#This Row],[Diameter (mm)]],IF(Data_PLT[[#This Row],[Test type]]="Axial",SQRT(4*Data_PLT[[#This Row],[Diameter (mm)]]*Data_PLT[[#This Row],[Length or width (mm)]]/PI()),"ERROR"))</f>
        <v>63.5</v>
      </c>
      <c r="T61" s="13">
        <f>(Data_PLT[[#This Row],[Load (kN)]]*1000)/Data_PLT[[#This Row],[Equiv. Diam. (mm)]]^2</f>
        <v>0</v>
      </c>
      <c r="U61" s="13">
        <f>(Data_PLT[[#This Row],[Equiv. Diam. (mm)]]/50)^0.45</f>
        <v>1.1135550054708407</v>
      </c>
      <c r="V61" s="13">
        <f>Data_PLT[[#This Row],[Is (MPa)]]*Data_PLT[[#This Row],[F]]</f>
        <v>0</v>
      </c>
      <c r="W61" s="13" t="str">
        <f>Data_PLT[[#This Row],[Failure Validity]]&amp;"-"&amp;Data_PLT[[#This Row],[Test type]]</f>
        <v>Valid-Diametral</v>
      </c>
      <c r="X61" s="13">
        <f>Data_PLT[[#This Row],[Is50 (MPa)]]*VLOOKUP("Min",Table_PLT_Conversion[],2,FALSE)</f>
        <v>0</v>
      </c>
      <c r="Y61" s="13">
        <f>Data_PLT[[#This Row],[Is50 (MPa)]]*VLOOKUP("Avg",Table_PLT_Conversion[],2,FALSE)</f>
        <v>0</v>
      </c>
      <c r="Z61" s="13">
        <f>Data_PLT[[#This Row],[Is50 (MPa)]]*VLOOKUP("Max",Table_PLT_Conversion[],2,FALSE)</f>
        <v>0</v>
      </c>
      <c r="AA61" s="62" t="e">
        <f>MATCH(LOOKUP(Data_PLT[[#This Row],[UCS min (MPa)]],Table_FieldStrength[Min UCS]),Table_FieldStrength[Min UCS],0)-1</f>
        <v>#N/A</v>
      </c>
      <c r="AB61" s="62" t="e">
        <f>MATCH(LOOKUP(Data_PLT[[#This Row],[UCS avg (MPa)]],Table_FieldStrength[Min UCS]),Table_FieldStrength[Min UCS],0)-1</f>
        <v>#N/A</v>
      </c>
      <c r="AC61" s="62" t="e">
        <f>MATCH(LOOKUP(Data_PLT[[#This Row],[UCS max (MPa)]],Table_FieldStrength[Min UCS]),Table_FieldStrength[Min UCS],0)-1</f>
        <v>#N/A</v>
      </c>
      <c r="AD61" s="68" t="e">
        <f>Data_PLT[[#This Row],[Test code]]&amp;"-"&amp;Data_PLT[[#This Row],[UCS min code]]</f>
        <v>#N/A</v>
      </c>
      <c r="AE61" s="68" t="e">
        <f>Data_PLT[[#This Row],[Test code]]&amp;"-"&amp;Data_PLT[[#This Row],[UCS avg code]]</f>
        <v>#N/A</v>
      </c>
      <c r="AF61" s="67" t="e">
        <f>Data_PLT[[#This Row],[Test code]]&amp;"-"&amp;Data_PLT[[#This Row],[UCS max code]]</f>
        <v>#N/A</v>
      </c>
      <c r="AG61" s="67" t="str">
        <f>Data_PLT[[#This Row],[Failure type]]&amp;"-"&amp;Data_PLT[[#This Row],[Test type]]&amp;"-"&amp;(IF(Data_PLT[[#This Row],[Is50 (MPa)]]&lt;1,1,IF(Data_PLT[[#This Row],[Is50 (MPa)]]&lt;2,2,IF(Data_PLT[[#This Row],[Is50 (MPa)]]&lt;4,3,IF(Data_PLT[[#This Row],[Is50 (MPa)]]&lt;8,4,5)))))</f>
        <v>Along bedding/foliation-Diametral-1</v>
      </c>
    </row>
    <row r="62" spans="1:33" x14ac:dyDescent="0.25">
      <c r="A62" t="s">
        <v>26</v>
      </c>
      <c r="B62" s="88" t="str">
        <f>VLOOKUP(Data_PLT[[#This Row],[Hole ID]],Data_Log[],2,FALSE)</f>
        <v>CGF-01</v>
      </c>
      <c r="C62" s="63">
        <f>IF(Data_PLT[[#This Row],[Hole ID]]="","",
IF(COUNTIF($A$4:A62,Data_PLT[[#This Row],[Hole ID]])=1,1,
IF(A62=A61,C61+1,
COUNTIF($A$4:A62,Data_PLT[[#This Row],[Hole ID]]))))</f>
        <v>59</v>
      </c>
      <c r="D62" s="63" t="str">
        <f>IF(Data_PLT[[#This Row],[Hole ID]]="","",Data_PLT[[#This Row],[Hole ID]]&amp;"_"&amp;Data_PLT[[#This Row],[Sample ID]])</f>
        <v>COG-25-08_59</v>
      </c>
      <c r="E62" s="6"/>
      <c r="F62" s="6">
        <v>162.94</v>
      </c>
      <c r="G62" s="63" t="str" cm="1">
        <f t="array" ref="G62">_xlfn.XLOOKUP(1,(A62=Geotech!$A$4:$A$11100)*(Data_PLT[[#This Row],[Depth (m)]]&gt;=Geotech!$C$4:$C$11100)*(Data_PLT[[#This Row],[Depth (m)]]&lt;Geotech!$D$4:$D$11100),Geotech!$M$4:$M$11100)</f>
        <v>Boulamarque granodiorite</v>
      </c>
      <c r="H62" s="6" t="s">
        <v>299</v>
      </c>
      <c r="I62" s="63" t="str">
        <f>VLOOKUP(Data_PLT[[#This Row],[Hole ID]],Data_Log[[Hole ID]:[Core size]],20,FALSE)</f>
        <v>HQ</v>
      </c>
      <c r="J62" s="13">
        <f>VLOOKUP(Data_PLT[[#This Row],[Core Size]],Table_CoreSize[],2,FALSE)</f>
        <v>63.5</v>
      </c>
      <c r="K62" s="19">
        <v>90</v>
      </c>
      <c r="L62" s="19" t="s">
        <v>574</v>
      </c>
      <c r="M62" s="5">
        <v>139.80000000000001</v>
      </c>
      <c r="N62" s="5"/>
      <c r="O62" s="6" t="s">
        <v>334</v>
      </c>
      <c r="P62" s="13" t="str">
        <f>IF(Data_PLT[[#This Row],[Failure type]]="","",IF(OR(Data_PLT[[#This Row],[Failure type]]="Invalid",Data_PLT[[#This Row],[Failure type]]="Chipped",Data_PLT[[#This Row],[Failure type]]="Penetrate",Data_PLT[[#This Row],[Failure type]]="Did not break"),"Invalid","Valid"))</f>
        <v>Valid</v>
      </c>
      <c r="Q62" s="6"/>
      <c r="R62" s="11"/>
      <c r="S62" s="13">
        <f>IF(Data_PLT[[#This Row],[Test type]]="Diametral",Data_PLT[[#This Row],[Diameter (mm)]],IF(Data_PLT[[#This Row],[Test type]]="Axial",SQRT(4*Data_PLT[[#This Row],[Diameter (mm)]]*Data_PLT[[#This Row],[Length or width (mm)]]/PI()),"ERROR"))</f>
        <v>63.5</v>
      </c>
      <c r="T62" s="13">
        <f>(Data_PLT[[#This Row],[Load (kN)]]*1000)/Data_PLT[[#This Row],[Equiv. Diam. (mm)]]^2</f>
        <v>0</v>
      </c>
      <c r="U62" s="13">
        <f>(Data_PLT[[#This Row],[Equiv. Diam. (mm)]]/50)^0.45</f>
        <v>1.1135550054708407</v>
      </c>
      <c r="V62" s="13">
        <f>Data_PLT[[#This Row],[Is (MPa)]]*Data_PLT[[#This Row],[F]]</f>
        <v>0</v>
      </c>
      <c r="W62" s="13" t="str">
        <f>Data_PLT[[#This Row],[Failure Validity]]&amp;"-"&amp;Data_PLT[[#This Row],[Test type]]</f>
        <v>Valid-Diametral</v>
      </c>
      <c r="X62" s="13">
        <f>Data_PLT[[#This Row],[Is50 (MPa)]]*VLOOKUP("Min",Table_PLT_Conversion[],2,FALSE)</f>
        <v>0</v>
      </c>
      <c r="Y62" s="13">
        <f>Data_PLT[[#This Row],[Is50 (MPa)]]*VLOOKUP("Avg",Table_PLT_Conversion[],2,FALSE)</f>
        <v>0</v>
      </c>
      <c r="Z62" s="13">
        <f>Data_PLT[[#This Row],[Is50 (MPa)]]*VLOOKUP("Max",Table_PLT_Conversion[],2,FALSE)</f>
        <v>0</v>
      </c>
      <c r="AA62" s="62" t="e">
        <f>MATCH(LOOKUP(Data_PLT[[#This Row],[UCS min (MPa)]],Table_FieldStrength[Min UCS]),Table_FieldStrength[Min UCS],0)-1</f>
        <v>#N/A</v>
      </c>
      <c r="AB62" s="62" t="e">
        <f>MATCH(LOOKUP(Data_PLT[[#This Row],[UCS avg (MPa)]],Table_FieldStrength[Min UCS]),Table_FieldStrength[Min UCS],0)-1</f>
        <v>#N/A</v>
      </c>
      <c r="AC62" s="62" t="e">
        <f>MATCH(LOOKUP(Data_PLT[[#This Row],[UCS max (MPa)]],Table_FieldStrength[Min UCS]),Table_FieldStrength[Min UCS],0)-1</f>
        <v>#N/A</v>
      </c>
      <c r="AD62" s="68" t="e">
        <f>Data_PLT[[#This Row],[Test code]]&amp;"-"&amp;Data_PLT[[#This Row],[UCS min code]]</f>
        <v>#N/A</v>
      </c>
      <c r="AE62" s="68" t="e">
        <f>Data_PLT[[#This Row],[Test code]]&amp;"-"&amp;Data_PLT[[#This Row],[UCS avg code]]</f>
        <v>#N/A</v>
      </c>
      <c r="AF62" s="67" t="e">
        <f>Data_PLT[[#This Row],[Test code]]&amp;"-"&amp;Data_PLT[[#This Row],[UCS max code]]</f>
        <v>#N/A</v>
      </c>
      <c r="AG62" s="67" t="str">
        <f>Data_PLT[[#This Row],[Failure type]]&amp;"-"&amp;Data_PLT[[#This Row],[Test type]]&amp;"-"&amp;(IF(Data_PLT[[#This Row],[Is50 (MPa)]]&lt;1,1,IF(Data_PLT[[#This Row],[Is50 (MPa)]]&lt;2,2,IF(Data_PLT[[#This Row],[Is50 (MPa)]]&lt;4,3,IF(Data_PLT[[#This Row],[Is50 (MPa)]]&lt;8,4,5)))))</f>
        <v>Along bedding/foliation-Diametral-1</v>
      </c>
    </row>
    <row r="63" spans="1:33" x14ac:dyDescent="0.25">
      <c r="A63" t="s">
        <v>26</v>
      </c>
      <c r="B63" s="88" t="str">
        <f>VLOOKUP(Data_PLT[[#This Row],[Hole ID]],Data_Log[],2,FALSE)</f>
        <v>CGF-01</v>
      </c>
      <c r="C63" s="63">
        <f>IF(Data_PLT[[#This Row],[Hole ID]]="","",
IF(COUNTIF($A$4:A63,Data_PLT[[#This Row],[Hole ID]])=1,1,
IF(A63=A62,C62+1,
COUNTIF($A$4:A63,Data_PLT[[#This Row],[Hole ID]]))))</f>
        <v>60</v>
      </c>
      <c r="D63" s="63" t="str">
        <f>IF(Data_PLT[[#This Row],[Hole ID]]="","",Data_PLT[[#This Row],[Hole ID]]&amp;"_"&amp;Data_PLT[[#This Row],[Sample ID]])</f>
        <v>COG-25-08_60</v>
      </c>
      <c r="E63" s="6"/>
      <c r="F63" s="6">
        <v>165.69</v>
      </c>
      <c r="G63" s="63" t="str" cm="1">
        <f t="array" ref="G63">_xlfn.XLOOKUP(1,(A63=Geotech!$A$4:$A$11100)*(Data_PLT[[#This Row],[Depth (m)]]&gt;=Geotech!$C$4:$C$11100)*(Data_PLT[[#This Row],[Depth (m)]]&lt;Geotech!$D$4:$D$11100),Geotech!$M$4:$M$11100)</f>
        <v>Boulamarque granodiorite</v>
      </c>
      <c r="H63" s="6" t="s">
        <v>299</v>
      </c>
      <c r="I63" s="63" t="str">
        <f>VLOOKUP(Data_PLT[[#This Row],[Hole ID]],Data_Log[[Hole ID]:[Core size]],20,FALSE)</f>
        <v>HQ</v>
      </c>
      <c r="J63" s="13">
        <f>VLOOKUP(Data_PLT[[#This Row],[Core Size]],Table_CoreSize[],2,FALSE)</f>
        <v>63.5</v>
      </c>
      <c r="K63" s="19">
        <v>60</v>
      </c>
      <c r="L63" s="19" t="s">
        <v>574</v>
      </c>
      <c r="M63" s="5">
        <v>98.8</v>
      </c>
      <c r="N63" s="5"/>
      <c r="O63" s="6" t="s">
        <v>334</v>
      </c>
      <c r="P63" s="13" t="str">
        <f>IF(Data_PLT[[#This Row],[Failure type]]="","",IF(OR(Data_PLT[[#This Row],[Failure type]]="Invalid",Data_PLT[[#This Row],[Failure type]]="Chipped",Data_PLT[[#This Row],[Failure type]]="Penetrate",Data_PLT[[#This Row],[Failure type]]="Did not break"),"Invalid","Valid"))</f>
        <v>Valid</v>
      </c>
      <c r="Q63" s="6"/>
      <c r="R63" s="11"/>
      <c r="S63" s="13">
        <f>IF(Data_PLT[[#This Row],[Test type]]="Diametral",Data_PLT[[#This Row],[Diameter (mm)]],IF(Data_PLT[[#This Row],[Test type]]="Axial",SQRT(4*Data_PLT[[#This Row],[Diameter (mm)]]*Data_PLT[[#This Row],[Length or width (mm)]]/PI()),"ERROR"))</f>
        <v>63.5</v>
      </c>
      <c r="T63" s="13">
        <f>(Data_PLT[[#This Row],[Load (kN)]]*1000)/Data_PLT[[#This Row],[Equiv. Diam. (mm)]]^2</f>
        <v>0</v>
      </c>
      <c r="U63" s="13">
        <f>(Data_PLT[[#This Row],[Equiv. Diam. (mm)]]/50)^0.45</f>
        <v>1.1135550054708407</v>
      </c>
      <c r="V63" s="13">
        <f>Data_PLT[[#This Row],[Is (MPa)]]*Data_PLT[[#This Row],[F]]</f>
        <v>0</v>
      </c>
      <c r="W63" s="13" t="str">
        <f>Data_PLT[[#This Row],[Failure Validity]]&amp;"-"&amp;Data_PLT[[#This Row],[Test type]]</f>
        <v>Valid-Diametral</v>
      </c>
      <c r="X63" s="13">
        <f>Data_PLT[[#This Row],[Is50 (MPa)]]*VLOOKUP("Min",Table_PLT_Conversion[],2,FALSE)</f>
        <v>0</v>
      </c>
      <c r="Y63" s="13">
        <f>Data_PLT[[#This Row],[Is50 (MPa)]]*VLOOKUP("Avg",Table_PLT_Conversion[],2,FALSE)</f>
        <v>0</v>
      </c>
      <c r="Z63" s="13">
        <f>Data_PLT[[#This Row],[Is50 (MPa)]]*VLOOKUP("Max",Table_PLT_Conversion[],2,FALSE)</f>
        <v>0</v>
      </c>
      <c r="AA63" s="62" t="e">
        <f>MATCH(LOOKUP(Data_PLT[[#This Row],[UCS min (MPa)]],Table_FieldStrength[Min UCS]),Table_FieldStrength[Min UCS],0)-1</f>
        <v>#N/A</v>
      </c>
      <c r="AB63" s="62" t="e">
        <f>MATCH(LOOKUP(Data_PLT[[#This Row],[UCS avg (MPa)]],Table_FieldStrength[Min UCS]),Table_FieldStrength[Min UCS],0)-1</f>
        <v>#N/A</v>
      </c>
      <c r="AC63" s="62" t="e">
        <f>MATCH(LOOKUP(Data_PLT[[#This Row],[UCS max (MPa)]],Table_FieldStrength[Min UCS]),Table_FieldStrength[Min UCS],0)-1</f>
        <v>#N/A</v>
      </c>
      <c r="AD63" s="68" t="e">
        <f>Data_PLT[[#This Row],[Test code]]&amp;"-"&amp;Data_PLT[[#This Row],[UCS min code]]</f>
        <v>#N/A</v>
      </c>
      <c r="AE63" s="68" t="e">
        <f>Data_PLT[[#This Row],[Test code]]&amp;"-"&amp;Data_PLT[[#This Row],[UCS avg code]]</f>
        <v>#N/A</v>
      </c>
      <c r="AF63" s="67" t="e">
        <f>Data_PLT[[#This Row],[Test code]]&amp;"-"&amp;Data_PLT[[#This Row],[UCS max code]]</f>
        <v>#N/A</v>
      </c>
      <c r="AG63" s="67" t="str">
        <f>Data_PLT[[#This Row],[Failure type]]&amp;"-"&amp;Data_PLT[[#This Row],[Test type]]&amp;"-"&amp;(IF(Data_PLT[[#This Row],[Is50 (MPa)]]&lt;1,1,IF(Data_PLT[[#This Row],[Is50 (MPa)]]&lt;2,2,IF(Data_PLT[[#This Row],[Is50 (MPa)]]&lt;4,3,IF(Data_PLT[[#This Row],[Is50 (MPa)]]&lt;8,4,5)))))</f>
        <v>Along bedding/foliation-Diametral-1</v>
      </c>
    </row>
    <row r="64" spans="1:33" x14ac:dyDescent="0.25">
      <c r="A64" t="s">
        <v>26</v>
      </c>
      <c r="B64" s="88" t="str">
        <f>VLOOKUP(Data_PLT[[#This Row],[Hole ID]],Data_Log[],2,FALSE)</f>
        <v>CGF-01</v>
      </c>
      <c r="C64" s="63">
        <f>IF(Data_PLT[[#This Row],[Hole ID]]="","",
IF(COUNTIF($A$4:A64,Data_PLT[[#This Row],[Hole ID]])=1,1,
IF(A64=A63,C63+1,
COUNTIF($A$4:A64,Data_PLT[[#This Row],[Hole ID]]))))</f>
        <v>61</v>
      </c>
      <c r="D64" s="63" t="str">
        <f>IF(Data_PLT[[#This Row],[Hole ID]]="","",Data_PLT[[#This Row],[Hole ID]]&amp;"_"&amp;Data_PLT[[#This Row],[Sample ID]])</f>
        <v>COG-25-08_61</v>
      </c>
      <c r="E64" s="6"/>
      <c r="F64" s="6">
        <v>168.19</v>
      </c>
      <c r="G64" s="63" t="str" cm="1">
        <f t="array" ref="G64">_xlfn.XLOOKUP(1,(A64=Geotech!$A$4:$A$11100)*(Data_PLT[[#This Row],[Depth (m)]]&gt;=Geotech!$C$4:$C$11100)*(Data_PLT[[#This Row],[Depth (m)]]&lt;Geotech!$D$4:$D$11100),Geotech!$M$4:$M$11100)</f>
        <v>Boulamarque granodiorite</v>
      </c>
      <c r="H64" s="6" t="s">
        <v>299</v>
      </c>
      <c r="I64" s="63" t="str">
        <f>VLOOKUP(Data_PLT[[#This Row],[Hole ID]],Data_Log[[Hole ID]:[Core size]],20,FALSE)</f>
        <v>HQ</v>
      </c>
      <c r="J64" s="13">
        <f>VLOOKUP(Data_PLT[[#This Row],[Core Size]],Table_CoreSize[],2,FALSE)</f>
        <v>63.5</v>
      </c>
      <c r="K64" s="19">
        <v>60</v>
      </c>
      <c r="L64" s="19" t="s">
        <v>574</v>
      </c>
      <c r="M64" s="5">
        <v>196.8</v>
      </c>
      <c r="N64" s="5"/>
      <c r="O64" s="6" t="s">
        <v>334</v>
      </c>
      <c r="P64" s="13" t="str">
        <f>IF(Data_PLT[[#This Row],[Failure type]]="","",IF(OR(Data_PLT[[#This Row],[Failure type]]="Invalid",Data_PLT[[#This Row],[Failure type]]="Chipped",Data_PLT[[#This Row],[Failure type]]="Penetrate",Data_PLT[[#This Row],[Failure type]]="Did not break"),"Invalid","Valid"))</f>
        <v>Valid</v>
      </c>
      <c r="Q64" s="6"/>
      <c r="R64" s="11"/>
      <c r="S64" s="13">
        <f>IF(Data_PLT[[#This Row],[Test type]]="Diametral",Data_PLT[[#This Row],[Diameter (mm)]],IF(Data_PLT[[#This Row],[Test type]]="Axial",SQRT(4*Data_PLT[[#This Row],[Diameter (mm)]]*Data_PLT[[#This Row],[Length or width (mm)]]/PI()),"ERROR"))</f>
        <v>63.5</v>
      </c>
      <c r="T64" s="13">
        <f>(Data_PLT[[#This Row],[Load (kN)]]*1000)/Data_PLT[[#This Row],[Equiv. Diam. (mm)]]^2</f>
        <v>0</v>
      </c>
      <c r="U64" s="13">
        <f>(Data_PLT[[#This Row],[Equiv. Diam. (mm)]]/50)^0.45</f>
        <v>1.1135550054708407</v>
      </c>
      <c r="V64" s="13">
        <f>Data_PLT[[#This Row],[Is (MPa)]]*Data_PLT[[#This Row],[F]]</f>
        <v>0</v>
      </c>
      <c r="W64" s="13" t="str">
        <f>Data_PLT[[#This Row],[Failure Validity]]&amp;"-"&amp;Data_PLT[[#This Row],[Test type]]</f>
        <v>Valid-Diametral</v>
      </c>
      <c r="X64" s="13">
        <f>Data_PLT[[#This Row],[Is50 (MPa)]]*VLOOKUP("Min",Table_PLT_Conversion[],2,FALSE)</f>
        <v>0</v>
      </c>
      <c r="Y64" s="13">
        <f>Data_PLT[[#This Row],[Is50 (MPa)]]*VLOOKUP("Avg",Table_PLT_Conversion[],2,FALSE)</f>
        <v>0</v>
      </c>
      <c r="Z64" s="13">
        <f>Data_PLT[[#This Row],[Is50 (MPa)]]*VLOOKUP("Max",Table_PLT_Conversion[],2,FALSE)</f>
        <v>0</v>
      </c>
      <c r="AA64" s="62" t="e">
        <f>MATCH(LOOKUP(Data_PLT[[#This Row],[UCS min (MPa)]],Table_FieldStrength[Min UCS]),Table_FieldStrength[Min UCS],0)-1</f>
        <v>#N/A</v>
      </c>
      <c r="AB64" s="62" t="e">
        <f>MATCH(LOOKUP(Data_PLT[[#This Row],[UCS avg (MPa)]],Table_FieldStrength[Min UCS]),Table_FieldStrength[Min UCS],0)-1</f>
        <v>#N/A</v>
      </c>
      <c r="AC64" s="62" t="e">
        <f>MATCH(LOOKUP(Data_PLT[[#This Row],[UCS max (MPa)]],Table_FieldStrength[Min UCS]),Table_FieldStrength[Min UCS],0)-1</f>
        <v>#N/A</v>
      </c>
      <c r="AD64" s="68" t="e">
        <f>Data_PLT[[#This Row],[Test code]]&amp;"-"&amp;Data_PLT[[#This Row],[UCS min code]]</f>
        <v>#N/A</v>
      </c>
      <c r="AE64" s="68" t="e">
        <f>Data_PLT[[#This Row],[Test code]]&amp;"-"&amp;Data_PLT[[#This Row],[UCS avg code]]</f>
        <v>#N/A</v>
      </c>
      <c r="AF64" s="67" t="e">
        <f>Data_PLT[[#This Row],[Test code]]&amp;"-"&amp;Data_PLT[[#This Row],[UCS max code]]</f>
        <v>#N/A</v>
      </c>
      <c r="AG64" s="67" t="str">
        <f>Data_PLT[[#This Row],[Failure type]]&amp;"-"&amp;Data_PLT[[#This Row],[Test type]]&amp;"-"&amp;(IF(Data_PLT[[#This Row],[Is50 (MPa)]]&lt;1,1,IF(Data_PLT[[#This Row],[Is50 (MPa)]]&lt;2,2,IF(Data_PLT[[#This Row],[Is50 (MPa)]]&lt;4,3,IF(Data_PLT[[#This Row],[Is50 (MPa)]]&lt;8,4,5)))))</f>
        <v>Along bedding/foliation-Diametral-1</v>
      </c>
    </row>
    <row r="65" spans="1:33" x14ac:dyDescent="0.25">
      <c r="A65" t="s">
        <v>26</v>
      </c>
      <c r="B65" s="88" t="str">
        <f>VLOOKUP(Data_PLT[[#This Row],[Hole ID]],Data_Log[],2,FALSE)</f>
        <v>CGF-01</v>
      </c>
      <c r="C65" s="63">
        <f>IF(Data_PLT[[#This Row],[Hole ID]]="","",
IF(COUNTIF($A$4:A65,Data_PLT[[#This Row],[Hole ID]])=1,1,
IF(A65=A64,C64+1,
COUNTIF($A$4:A65,Data_PLT[[#This Row],[Hole ID]]))))</f>
        <v>62</v>
      </c>
      <c r="D65" s="63" t="str">
        <f>IF(Data_PLT[[#This Row],[Hole ID]]="","",Data_PLT[[#This Row],[Hole ID]]&amp;"_"&amp;Data_PLT[[#This Row],[Sample ID]])</f>
        <v>COG-25-08_62</v>
      </c>
      <c r="E65" s="6"/>
      <c r="F65" s="6">
        <v>173.97</v>
      </c>
      <c r="G65" s="63" t="str" cm="1">
        <f t="array" ref="G65">_xlfn.XLOOKUP(1,(A65=Geotech!$A$4:$A$11100)*(Data_PLT[[#This Row],[Depth (m)]]&gt;=Geotech!$C$4:$C$11100)*(Data_PLT[[#This Row],[Depth (m)]]&lt;Geotech!$D$4:$D$11100),Geotech!$M$4:$M$11100)</f>
        <v>Boulamarque granodiorite</v>
      </c>
      <c r="H65" s="6" t="s">
        <v>299</v>
      </c>
      <c r="I65" s="63" t="str">
        <f>VLOOKUP(Data_PLT[[#This Row],[Hole ID]],Data_Log[[Hole ID]:[Core size]],20,FALSE)</f>
        <v>HQ</v>
      </c>
      <c r="J65" s="13">
        <f>VLOOKUP(Data_PLT[[#This Row],[Core Size]],Table_CoreSize[],2,FALSE)</f>
        <v>63.5</v>
      </c>
      <c r="K65" s="19">
        <v>50</v>
      </c>
      <c r="L65" s="19" t="s">
        <v>574</v>
      </c>
      <c r="M65" s="5">
        <v>191.2</v>
      </c>
      <c r="N65" s="5"/>
      <c r="O65" s="6" t="s">
        <v>165</v>
      </c>
      <c r="P65" s="13" t="str">
        <f>IF(Data_PLT[[#This Row],[Failure type]]="","",IF(OR(Data_PLT[[#This Row],[Failure type]]="Invalid",Data_PLT[[#This Row],[Failure type]]="Chipped",Data_PLT[[#This Row],[Failure type]]="Penetrate",Data_PLT[[#This Row],[Failure type]]="Did not break"),"Invalid","Valid"))</f>
        <v>Invalid</v>
      </c>
      <c r="Q65" s="6"/>
      <c r="R65" s="11"/>
      <c r="S65" s="13">
        <f>IF(Data_PLT[[#This Row],[Test type]]="Diametral",Data_PLT[[#This Row],[Diameter (mm)]],IF(Data_PLT[[#This Row],[Test type]]="Axial",SQRT(4*Data_PLT[[#This Row],[Diameter (mm)]]*Data_PLT[[#This Row],[Length or width (mm)]]/PI()),"ERROR"))</f>
        <v>63.5</v>
      </c>
      <c r="T65" s="13">
        <f>(Data_PLT[[#This Row],[Load (kN)]]*1000)/Data_PLT[[#This Row],[Equiv. Diam. (mm)]]^2</f>
        <v>0</v>
      </c>
      <c r="U65" s="13">
        <f>(Data_PLT[[#This Row],[Equiv. Diam. (mm)]]/50)^0.45</f>
        <v>1.1135550054708407</v>
      </c>
      <c r="V65" s="13">
        <f>Data_PLT[[#This Row],[Is (MPa)]]*Data_PLT[[#This Row],[F]]</f>
        <v>0</v>
      </c>
      <c r="W65" s="13" t="str">
        <f>Data_PLT[[#This Row],[Failure Validity]]&amp;"-"&amp;Data_PLT[[#This Row],[Test type]]</f>
        <v>Invalid-Diametral</v>
      </c>
      <c r="X65" s="13">
        <f>Data_PLT[[#This Row],[Is50 (MPa)]]*VLOOKUP("Min",Table_PLT_Conversion[],2,FALSE)</f>
        <v>0</v>
      </c>
      <c r="Y65" s="13">
        <f>Data_PLT[[#This Row],[Is50 (MPa)]]*VLOOKUP("Avg",Table_PLT_Conversion[],2,FALSE)</f>
        <v>0</v>
      </c>
      <c r="Z65" s="13">
        <f>Data_PLT[[#This Row],[Is50 (MPa)]]*VLOOKUP("Max",Table_PLT_Conversion[],2,FALSE)</f>
        <v>0</v>
      </c>
      <c r="AA65" s="62" t="e">
        <f>MATCH(LOOKUP(Data_PLT[[#This Row],[UCS min (MPa)]],Table_FieldStrength[Min UCS]),Table_FieldStrength[Min UCS],0)-1</f>
        <v>#N/A</v>
      </c>
      <c r="AB65" s="62" t="e">
        <f>MATCH(LOOKUP(Data_PLT[[#This Row],[UCS avg (MPa)]],Table_FieldStrength[Min UCS]),Table_FieldStrength[Min UCS],0)-1</f>
        <v>#N/A</v>
      </c>
      <c r="AC65" s="62" t="e">
        <f>MATCH(LOOKUP(Data_PLT[[#This Row],[UCS max (MPa)]],Table_FieldStrength[Min UCS]),Table_FieldStrength[Min UCS],0)-1</f>
        <v>#N/A</v>
      </c>
      <c r="AD65" s="68" t="e">
        <f>Data_PLT[[#This Row],[Test code]]&amp;"-"&amp;Data_PLT[[#This Row],[UCS min code]]</f>
        <v>#N/A</v>
      </c>
      <c r="AE65" s="68" t="e">
        <f>Data_PLT[[#This Row],[Test code]]&amp;"-"&amp;Data_PLT[[#This Row],[UCS avg code]]</f>
        <v>#N/A</v>
      </c>
      <c r="AF65" s="67" t="e">
        <f>Data_PLT[[#This Row],[Test code]]&amp;"-"&amp;Data_PLT[[#This Row],[UCS max code]]</f>
        <v>#N/A</v>
      </c>
      <c r="AG65" s="67" t="str">
        <f>Data_PLT[[#This Row],[Failure type]]&amp;"-"&amp;Data_PLT[[#This Row],[Test type]]&amp;"-"&amp;(IF(Data_PLT[[#This Row],[Is50 (MPa)]]&lt;1,1,IF(Data_PLT[[#This Row],[Is50 (MPa)]]&lt;2,2,IF(Data_PLT[[#This Row],[Is50 (MPa)]]&lt;4,3,IF(Data_PLT[[#This Row],[Is50 (MPa)]]&lt;8,4,5)))))</f>
        <v>Chipped-Diametral-1</v>
      </c>
    </row>
    <row r="66" spans="1:33" x14ac:dyDescent="0.25">
      <c r="A66" t="s">
        <v>26</v>
      </c>
      <c r="B66" s="88" t="str">
        <f>VLOOKUP(Data_PLT[[#This Row],[Hole ID]],Data_Log[],2,FALSE)</f>
        <v>CGF-01</v>
      </c>
      <c r="C66" s="63">
        <f>IF(Data_PLT[[#This Row],[Hole ID]]="","",
IF(COUNTIF($A$4:A66,Data_PLT[[#This Row],[Hole ID]])=1,1,
IF(A66=A65,C65+1,
COUNTIF($A$4:A66,Data_PLT[[#This Row],[Hole ID]]))))</f>
        <v>63</v>
      </c>
      <c r="D66" s="63" t="str">
        <f>IF(Data_PLT[[#This Row],[Hole ID]]="","",Data_PLT[[#This Row],[Hole ID]]&amp;"_"&amp;Data_PLT[[#This Row],[Sample ID]])</f>
        <v>COG-25-08_63</v>
      </c>
      <c r="E66" s="6"/>
      <c r="F66" s="6">
        <v>172.84</v>
      </c>
      <c r="G66" s="63" t="str" cm="1">
        <f t="array" ref="G66">_xlfn.XLOOKUP(1,(A66=Geotech!$A$4:$A$11100)*(Data_PLT[[#This Row],[Depth (m)]]&gt;=Geotech!$C$4:$C$11100)*(Data_PLT[[#This Row],[Depth (m)]]&lt;Geotech!$D$4:$D$11100),Geotech!$M$4:$M$11100)</f>
        <v>Boulamarque granodiorite</v>
      </c>
      <c r="H66" s="6" t="s">
        <v>299</v>
      </c>
      <c r="I66" s="63" t="str">
        <f>VLOOKUP(Data_PLT[[#This Row],[Hole ID]],Data_Log[[Hole ID]:[Core size]],20,FALSE)</f>
        <v>HQ</v>
      </c>
      <c r="J66" s="13">
        <f>VLOOKUP(Data_PLT[[#This Row],[Core Size]],Table_CoreSize[],2,FALSE)</f>
        <v>63.5</v>
      </c>
      <c r="K66" s="19">
        <v>120</v>
      </c>
      <c r="L66" s="19" t="s">
        <v>574</v>
      </c>
      <c r="M66" s="5">
        <v>218</v>
      </c>
      <c r="N66" s="5"/>
      <c r="O66" s="6" t="s">
        <v>300</v>
      </c>
      <c r="P66" s="13" t="str">
        <f>IF(Data_PLT[[#This Row],[Failure type]]="","",IF(OR(Data_PLT[[#This Row],[Failure type]]="Invalid",Data_PLT[[#This Row],[Failure type]]="Chipped",Data_PLT[[#This Row],[Failure type]]="Penetrate",Data_PLT[[#This Row],[Failure type]]="Did not break"),"Invalid","Valid"))</f>
        <v>Valid</v>
      </c>
      <c r="Q66" s="6"/>
      <c r="R66" s="11"/>
      <c r="S66" s="13">
        <f>IF(Data_PLT[[#This Row],[Test type]]="Diametral",Data_PLT[[#This Row],[Diameter (mm)]],IF(Data_PLT[[#This Row],[Test type]]="Axial",SQRT(4*Data_PLT[[#This Row],[Diameter (mm)]]*Data_PLT[[#This Row],[Length or width (mm)]]/PI()),"ERROR"))</f>
        <v>63.5</v>
      </c>
      <c r="T66" s="13">
        <f>(Data_PLT[[#This Row],[Load (kN)]]*1000)/Data_PLT[[#This Row],[Equiv. Diam. (mm)]]^2</f>
        <v>0</v>
      </c>
      <c r="U66" s="13">
        <f>(Data_PLT[[#This Row],[Equiv. Diam. (mm)]]/50)^0.45</f>
        <v>1.1135550054708407</v>
      </c>
      <c r="V66" s="13">
        <f>Data_PLT[[#This Row],[Is (MPa)]]*Data_PLT[[#This Row],[F]]</f>
        <v>0</v>
      </c>
      <c r="W66" s="13" t="str">
        <f>Data_PLT[[#This Row],[Failure Validity]]&amp;"-"&amp;Data_PLT[[#This Row],[Test type]]</f>
        <v>Valid-Diametral</v>
      </c>
      <c r="X66" s="13">
        <f>Data_PLT[[#This Row],[Is50 (MPa)]]*VLOOKUP("Min",Table_PLT_Conversion[],2,FALSE)</f>
        <v>0</v>
      </c>
      <c r="Y66" s="13">
        <f>Data_PLT[[#This Row],[Is50 (MPa)]]*VLOOKUP("Avg",Table_PLT_Conversion[],2,FALSE)</f>
        <v>0</v>
      </c>
      <c r="Z66" s="13">
        <f>Data_PLT[[#This Row],[Is50 (MPa)]]*VLOOKUP("Max",Table_PLT_Conversion[],2,FALSE)</f>
        <v>0</v>
      </c>
      <c r="AA66" s="62" t="e">
        <f>MATCH(LOOKUP(Data_PLT[[#This Row],[UCS min (MPa)]],Table_FieldStrength[Min UCS]),Table_FieldStrength[Min UCS],0)-1</f>
        <v>#N/A</v>
      </c>
      <c r="AB66" s="62" t="e">
        <f>MATCH(LOOKUP(Data_PLT[[#This Row],[UCS avg (MPa)]],Table_FieldStrength[Min UCS]),Table_FieldStrength[Min UCS],0)-1</f>
        <v>#N/A</v>
      </c>
      <c r="AC66" s="62" t="e">
        <f>MATCH(LOOKUP(Data_PLT[[#This Row],[UCS max (MPa)]],Table_FieldStrength[Min UCS]),Table_FieldStrength[Min UCS],0)-1</f>
        <v>#N/A</v>
      </c>
      <c r="AD66" s="68" t="e">
        <f>Data_PLT[[#This Row],[Test code]]&amp;"-"&amp;Data_PLT[[#This Row],[UCS min code]]</f>
        <v>#N/A</v>
      </c>
      <c r="AE66" s="68" t="e">
        <f>Data_PLT[[#This Row],[Test code]]&amp;"-"&amp;Data_PLT[[#This Row],[UCS avg code]]</f>
        <v>#N/A</v>
      </c>
      <c r="AF66" s="67" t="e">
        <f>Data_PLT[[#This Row],[Test code]]&amp;"-"&amp;Data_PLT[[#This Row],[UCS max code]]</f>
        <v>#N/A</v>
      </c>
      <c r="AG66" s="67" t="str">
        <f>Data_PLT[[#This Row],[Failure type]]&amp;"-"&amp;Data_PLT[[#This Row],[Test type]]&amp;"-"&amp;(IF(Data_PLT[[#This Row],[Is50 (MPa)]]&lt;1,1,IF(Data_PLT[[#This Row],[Is50 (MPa)]]&lt;2,2,IF(Data_PLT[[#This Row],[Is50 (MPa)]]&lt;4,3,IF(Data_PLT[[#This Row],[Is50 (MPa)]]&lt;8,4,5)))))</f>
        <v>Intact-Diametral-1</v>
      </c>
    </row>
    <row r="67" spans="1:33" x14ac:dyDescent="0.25">
      <c r="A67" t="s">
        <v>26</v>
      </c>
      <c r="B67" s="88" t="str">
        <f>VLOOKUP(Data_PLT[[#This Row],[Hole ID]],Data_Log[],2,FALSE)</f>
        <v>CGF-01</v>
      </c>
      <c r="C67" s="63">
        <f>IF(Data_PLT[[#This Row],[Hole ID]]="","",
IF(COUNTIF($A$4:A67,Data_PLT[[#This Row],[Hole ID]])=1,1,
IF(A67=A66,C66+1,
COUNTIF($A$4:A67,Data_PLT[[#This Row],[Hole ID]]))))</f>
        <v>64</v>
      </c>
      <c r="D67" s="63" t="str">
        <f>IF(Data_PLT[[#This Row],[Hole ID]]="","",Data_PLT[[#This Row],[Hole ID]]&amp;"_"&amp;Data_PLT[[#This Row],[Sample ID]])</f>
        <v>COG-25-08_64</v>
      </c>
      <c r="E67" s="6"/>
      <c r="F67" s="6">
        <v>175.73</v>
      </c>
      <c r="G67" s="63" t="str" cm="1">
        <f t="array" ref="G67">_xlfn.XLOOKUP(1,(A67=Geotech!$A$4:$A$11100)*(Data_PLT[[#This Row],[Depth (m)]]&gt;=Geotech!$C$4:$C$11100)*(Data_PLT[[#This Row],[Depth (m)]]&lt;Geotech!$D$4:$D$11100),Geotech!$M$4:$M$11100)</f>
        <v>Boulamarque granodiorite</v>
      </c>
      <c r="H67" s="6" t="s">
        <v>299</v>
      </c>
      <c r="I67" s="63" t="str">
        <f>VLOOKUP(Data_PLT[[#This Row],[Hole ID]],Data_Log[[Hole ID]:[Core size]],20,FALSE)</f>
        <v>HQ</v>
      </c>
      <c r="J67" s="13">
        <f>VLOOKUP(Data_PLT[[#This Row],[Core Size]],Table_CoreSize[],2,FALSE)</f>
        <v>63.5</v>
      </c>
      <c r="K67" s="19">
        <v>105</v>
      </c>
      <c r="L67" s="19" t="s">
        <v>574</v>
      </c>
      <c r="M67" s="5">
        <v>155.80000000000001</v>
      </c>
      <c r="N67" s="5"/>
      <c r="O67" s="6" t="s">
        <v>163</v>
      </c>
      <c r="P67" s="13" t="str">
        <f>IF(Data_PLT[[#This Row],[Failure type]]="","",IF(OR(Data_PLT[[#This Row],[Failure type]]="Invalid",Data_PLT[[#This Row],[Failure type]]="Chipped",Data_PLT[[#This Row],[Failure type]]="Penetrate",Data_PLT[[#This Row],[Failure type]]="Did not break"),"Invalid","Valid"))</f>
        <v>Valid</v>
      </c>
      <c r="Q67" s="6"/>
      <c r="R67" s="11"/>
      <c r="S67" s="13">
        <f>IF(Data_PLT[[#This Row],[Test type]]="Diametral",Data_PLT[[#This Row],[Diameter (mm)]],IF(Data_PLT[[#This Row],[Test type]]="Axial",SQRT(4*Data_PLT[[#This Row],[Diameter (mm)]]*Data_PLT[[#This Row],[Length or width (mm)]]/PI()),"ERROR"))</f>
        <v>63.5</v>
      </c>
      <c r="T67" s="13">
        <f>(Data_PLT[[#This Row],[Load (kN)]]*1000)/Data_PLT[[#This Row],[Equiv. Diam. (mm)]]^2</f>
        <v>0</v>
      </c>
      <c r="U67" s="13">
        <f>(Data_PLT[[#This Row],[Equiv. Diam. (mm)]]/50)^0.45</f>
        <v>1.1135550054708407</v>
      </c>
      <c r="V67" s="13">
        <f>Data_PLT[[#This Row],[Is (MPa)]]*Data_PLT[[#This Row],[F]]</f>
        <v>0</v>
      </c>
      <c r="W67" s="13" t="str">
        <f>Data_PLT[[#This Row],[Failure Validity]]&amp;"-"&amp;Data_PLT[[#This Row],[Test type]]</f>
        <v>Valid-Diametral</v>
      </c>
      <c r="X67" s="13">
        <f>Data_PLT[[#This Row],[Is50 (MPa)]]*VLOOKUP("Min",Table_PLT_Conversion[],2,FALSE)</f>
        <v>0</v>
      </c>
      <c r="Y67" s="13">
        <f>Data_PLT[[#This Row],[Is50 (MPa)]]*VLOOKUP("Avg",Table_PLT_Conversion[],2,FALSE)</f>
        <v>0</v>
      </c>
      <c r="Z67" s="13">
        <f>Data_PLT[[#This Row],[Is50 (MPa)]]*VLOOKUP("Max",Table_PLT_Conversion[],2,FALSE)</f>
        <v>0</v>
      </c>
      <c r="AA67" s="62" t="e">
        <f>MATCH(LOOKUP(Data_PLT[[#This Row],[UCS min (MPa)]],Table_FieldStrength[Min UCS]),Table_FieldStrength[Min UCS],0)-1</f>
        <v>#N/A</v>
      </c>
      <c r="AB67" s="62" t="e">
        <f>MATCH(LOOKUP(Data_PLT[[#This Row],[UCS avg (MPa)]],Table_FieldStrength[Min UCS]),Table_FieldStrength[Min UCS],0)-1</f>
        <v>#N/A</v>
      </c>
      <c r="AC67" s="62" t="e">
        <f>MATCH(LOOKUP(Data_PLT[[#This Row],[UCS max (MPa)]],Table_FieldStrength[Min UCS]),Table_FieldStrength[Min UCS],0)-1</f>
        <v>#N/A</v>
      </c>
      <c r="AD67" s="68" t="e">
        <f>Data_PLT[[#This Row],[Test code]]&amp;"-"&amp;Data_PLT[[#This Row],[UCS min code]]</f>
        <v>#N/A</v>
      </c>
      <c r="AE67" s="68" t="e">
        <f>Data_PLT[[#This Row],[Test code]]&amp;"-"&amp;Data_PLT[[#This Row],[UCS avg code]]</f>
        <v>#N/A</v>
      </c>
      <c r="AF67" s="67" t="e">
        <f>Data_PLT[[#This Row],[Test code]]&amp;"-"&amp;Data_PLT[[#This Row],[UCS max code]]</f>
        <v>#N/A</v>
      </c>
      <c r="AG67" s="67" t="str">
        <f>Data_PLT[[#This Row],[Failure type]]&amp;"-"&amp;Data_PLT[[#This Row],[Test type]]&amp;"-"&amp;(IF(Data_PLT[[#This Row],[Is50 (MPa)]]&lt;1,1,IF(Data_PLT[[#This Row],[Is50 (MPa)]]&lt;2,2,IF(Data_PLT[[#This Row],[Is50 (MPa)]]&lt;4,3,IF(Data_PLT[[#This Row],[Is50 (MPa)]]&lt;8,4,5)))))</f>
        <v>Broke along MD-Diametral-1</v>
      </c>
    </row>
    <row r="68" spans="1:33" x14ac:dyDescent="0.25">
      <c r="A68" t="s">
        <v>26</v>
      </c>
      <c r="B68" s="88" t="str">
        <f>VLOOKUP(Data_PLT[[#This Row],[Hole ID]],Data_Log[],2,FALSE)</f>
        <v>CGF-01</v>
      </c>
      <c r="C68" s="63">
        <f>IF(Data_PLT[[#This Row],[Hole ID]]="","",
IF(COUNTIF($A$4:A68,Data_PLT[[#This Row],[Hole ID]])=1,1,
IF(A68=A67,C67+1,
COUNTIF($A$4:A68,Data_PLT[[#This Row],[Hole ID]]))))</f>
        <v>65</v>
      </c>
      <c r="D68" s="63" t="str">
        <f>IF(Data_PLT[[#This Row],[Hole ID]]="","",Data_PLT[[#This Row],[Hole ID]]&amp;"_"&amp;Data_PLT[[#This Row],[Sample ID]])</f>
        <v>COG-25-08_65</v>
      </c>
      <c r="E68" s="6"/>
      <c r="F68" s="6">
        <v>177.36</v>
      </c>
      <c r="G68" s="63" t="str" cm="1">
        <f t="array" ref="G68">_xlfn.XLOOKUP(1,(A68=Geotech!$A$4:$A$11100)*(Data_PLT[[#This Row],[Depth (m)]]&gt;=Geotech!$C$4:$C$11100)*(Data_PLT[[#This Row],[Depth (m)]]&lt;Geotech!$D$4:$D$11100),Geotech!$M$4:$M$11100)</f>
        <v>Boulamarque granodiorite</v>
      </c>
      <c r="H68" s="6" t="s">
        <v>299</v>
      </c>
      <c r="I68" s="63" t="str">
        <f>VLOOKUP(Data_PLT[[#This Row],[Hole ID]],Data_Log[[Hole ID]:[Core size]],20,FALSE)</f>
        <v>HQ</v>
      </c>
      <c r="J68" s="13">
        <f>VLOOKUP(Data_PLT[[#This Row],[Core Size]],Table_CoreSize[],2,FALSE)</f>
        <v>63.5</v>
      </c>
      <c r="K68" s="19">
        <v>100</v>
      </c>
      <c r="L68" s="19" t="s">
        <v>574</v>
      </c>
      <c r="M68" s="5">
        <v>321.8</v>
      </c>
      <c r="N68" s="5"/>
      <c r="O68" s="6" t="s">
        <v>300</v>
      </c>
      <c r="P68" s="13" t="str">
        <f>IF(Data_PLT[[#This Row],[Failure type]]="","",IF(OR(Data_PLT[[#This Row],[Failure type]]="Invalid",Data_PLT[[#This Row],[Failure type]]="Chipped",Data_PLT[[#This Row],[Failure type]]="Penetrate",Data_PLT[[#This Row],[Failure type]]="Did not break"),"Invalid","Valid"))</f>
        <v>Valid</v>
      </c>
      <c r="Q68" s="6"/>
      <c r="R68" s="11"/>
      <c r="S68" s="13">
        <f>IF(Data_PLT[[#This Row],[Test type]]="Diametral",Data_PLT[[#This Row],[Diameter (mm)]],IF(Data_PLT[[#This Row],[Test type]]="Axial",SQRT(4*Data_PLT[[#This Row],[Diameter (mm)]]*Data_PLT[[#This Row],[Length or width (mm)]]/PI()),"ERROR"))</f>
        <v>63.5</v>
      </c>
      <c r="T68" s="13">
        <f>(Data_PLT[[#This Row],[Load (kN)]]*1000)/Data_PLT[[#This Row],[Equiv. Diam. (mm)]]^2</f>
        <v>0</v>
      </c>
      <c r="U68" s="13">
        <f>(Data_PLT[[#This Row],[Equiv. Diam. (mm)]]/50)^0.45</f>
        <v>1.1135550054708407</v>
      </c>
      <c r="V68" s="13">
        <f>Data_PLT[[#This Row],[Is (MPa)]]*Data_PLT[[#This Row],[F]]</f>
        <v>0</v>
      </c>
      <c r="W68" s="13" t="str">
        <f>Data_PLT[[#This Row],[Failure Validity]]&amp;"-"&amp;Data_PLT[[#This Row],[Test type]]</f>
        <v>Valid-Diametral</v>
      </c>
      <c r="X68" s="13">
        <f>Data_PLT[[#This Row],[Is50 (MPa)]]*VLOOKUP("Min",Table_PLT_Conversion[],2,FALSE)</f>
        <v>0</v>
      </c>
      <c r="Y68" s="13">
        <f>Data_PLT[[#This Row],[Is50 (MPa)]]*VLOOKUP("Avg",Table_PLT_Conversion[],2,FALSE)</f>
        <v>0</v>
      </c>
      <c r="Z68" s="13">
        <f>Data_PLT[[#This Row],[Is50 (MPa)]]*VLOOKUP("Max",Table_PLT_Conversion[],2,FALSE)</f>
        <v>0</v>
      </c>
      <c r="AA68" s="62" t="e">
        <f>MATCH(LOOKUP(Data_PLT[[#This Row],[UCS min (MPa)]],Table_FieldStrength[Min UCS]),Table_FieldStrength[Min UCS],0)-1</f>
        <v>#N/A</v>
      </c>
      <c r="AB68" s="62" t="e">
        <f>MATCH(LOOKUP(Data_PLT[[#This Row],[UCS avg (MPa)]],Table_FieldStrength[Min UCS]),Table_FieldStrength[Min UCS],0)-1</f>
        <v>#N/A</v>
      </c>
      <c r="AC68" s="62" t="e">
        <f>MATCH(LOOKUP(Data_PLT[[#This Row],[UCS max (MPa)]],Table_FieldStrength[Min UCS]),Table_FieldStrength[Min UCS],0)-1</f>
        <v>#N/A</v>
      </c>
      <c r="AD68" s="68" t="e">
        <f>Data_PLT[[#This Row],[Test code]]&amp;"-"&amp;Data_PLT[[#This Row],[UCS min code]]</f>
        <v>#N/A</v>
      </c>
      <c r="AE68" s="68" t="e">
        <f>Data_PLT[[#This Row],[Test code]]&amp;"-"&amp;Data_PLT[[#This Row],[UCS avg code]]</f>
        <v>#N/A</v>
      </c>
      <c r="AF68" s="67" t="e">
        <f>Data_PLT[[#This Row],[Test code]]&amp;"-"&amp;Data_PLT[[#This Row],[UCS max code]]</f>
        <v>#N/A</v>
      </c>
      <c r="AG68" s="67" t="str">
        <f>Data_PLT[[#This Row],[Failure type]]&amp;"-"&amp;Data_PLT[[#This Row],[Test type]]&amp;"-"&amp;(IF(Data_PLT[[#This Row],[Is50 (MPa)]]&lt;1,1,IF(Data_PLT[[#This Row],[Is50 (MPa)]]&lt;2,2,IF(Data_PLT[[#This Row],[Is50 (MPa)]]&lt;4,3,IF(Data_PLT[[#This Row],[Is50 (MPa)]]&lt;8,4,5)))))</f>
        <v>Intact-Diametral-1</v>
      </c>
    </row>
    <row r="69" spans="1:33" x14ac:dyDescent="0.25">
      <c r="A69" t="s">
        <v>26</v>
      </c>
      <c r="B69" s="88" t="str">
        <f>VLOOKUP(Data_PLT[[#This Row],[Hole ID]],Data_Log[],2,FALSE)</f>
        <v>CGF-01</v>
      </c>
      <c r="C69" s="63">
        <f>IF(Data_PLT[[#This Row],[Hole ID]]="","",
IF(COUNTIF($A$4:A69,Data_PLT[[#This Row],[Hole ID]])=1,1,
IF(A69=A68,C68+1,
COUNTIF($A$4:A69,Data_PLT[[#This Row],[Hole ID]]))))</f>
        <v>66</v>
      </c>
      <c r="D69" s="63" t="str">
        <f>IF(Data_PLT[[#This Row],[Hole ID]]="","",Data_PLT[[#This Row],[Hole ID]]&amp;"_"&amp;Data_PLT[[#This Row],[Sample ID]])</f>
        <v>COG-25-08_66</v>
      </c>
      <c r="E69" s="6"/>
      <c r="F69" s="6">
        <v>181.43</v>
      </c>
      <c r="G69" s="63" t="str" cm="1">
        <f t="array" ref="G69">_xlfn.XLOOKUP(1,(A69=Geotech!$A$4:$A$11100)*(Data_PLT[[#This Row],[Depth (m)]]&gt;=Geotech!$C$4:$C$11100)*(Data_PLT[[#This Row],[Depth (m)]]&lt;Geotech!$D$4:$D$11100),Geotech!$M$4:$M$11100)</f>
        <v>Boulamarque granodiorite</v>
      </c>
      <c r="H69" s="6" t="s">
        <v>299</v>
      </c>
      <c r="I69" s="63" t="str">
        <f>VLOOKUP(Data_PLT[[#This Row],[Hole ID]],Data_Log[[Hole ID]:[Core size]],20,FALSE)</f>
        <v>HQ</v>
      </c>
      <c r="J69" s="13">
        <f>VLOOKUP(Data_PLT[[#This Row],[Core Size]],Table_CoreSize[],2,FALSE)</f>
        <v>63.5</v>
      </c>
      <c r="K69" s="19">
        <v>90</v>
      </c>
      <c r="L69" s="19" t="s">
        <v>574</v>
      </c>
      <c r="M69" s="5">
        <v>286.60000000000002</v>
      </c>
      <c r="N69" s="5"/>
      <c r="O69" s="6" t="s">
        <v>300</v>
      </c>
      <c r="P69" s="13" t="str">
        <f>IF(Data_PLT[[#This Row],[Failure type]]="","",IF(OR(Data_PLT[[#This Row],[Failure type]]="Invalid",Data_PLT[[#This Row],[Failure type]]="Chipped",Data_PLT[[#This Row],[Failure type]]="Penetrate",Data_PLT[[#This Row],[Failure type]]="Did not break"),"Invalid","Valid"))</f>
        <v>Valid</v>
      </c>
      <c r="Q69" s="6"/>
      <c r="R69" s="11"/>
      <c r="S69" s="13">
        <f>IF(Data_PLT[[#This Row],[Test type]]="Diametral",Data_PLT[[#This Row],[Diameter (mm)]],IF(Data_PLT[[#This Row],[Test type]]="Axial",SQRT(4*Data_PLT[[#This Row],[Diameter (mm)]]*Data_PLT[[#This Row],[Length or width (mm)]]/PI()),"ERROR"))</f>
        <v>63.5</v>
      </c>
      <c r="T69" s="13">
        <f>(Data_PLT[[#This Row],[Load (kN)]]*1000)/Data_PLT[[#This Row],[Equiv. Diam. (mm)]]^2</f>
        <v>0</v>
      </c>
      <c r="U69" s="13">
        <f>(Data_PLT[[#This Row],[Equiv. Diam. (mm)]]/50)^0.45</f>
        <v>1.1135550054708407</v>
      </c>
      <c r="V69" s="13">
        <f>Data_PLT[[#This Row],[Is (MPa)]]*Data_PLT[[#This Row],[F]]</f>
        <v>0</v>
      </c>
      <c r="W69" s="13" t="str">
        <f>Data_PLT[[#This Row],[Failure Validity]]&amp;"-"&amp;Data_PLT[[#This Row],[Test type]]</f>
        <v>Valid-Diametral</v>
      </c>
      <c r="X69" s="13">
        <f>Data_PLT[[#This Row],[Is50 (MPa)]]*VLOOKUP("Min",Table_PLT_Conversion[],2,FALSE)</f>
        <v>0</v>
      </c>
      <c r="Y69" s="13">
        <f>Data_PLT[[#This Row],[Is50 (MPa)]]*VLOOKUP("Avg",Table_PLT_Conversion[],2,FALSE)</f>
        <v>0</v>
      </c>
      <c r="Z69" s="13">
        <f>Data_PLT[[#This Row],[Is50 (MPa)]]*VLOOKUP("Max",Table_PLT_Conversion[],2,FALSE)</f>
        <v>0</v>
      </c>
      <c r="AA69" s="62" t="e">
        <f>MATCH(LOOKUP(Data_PLT[[#This Row],[UCS min (MPa)]],Table_FieldStrength[Min UCS]),Table_FieldStrength[Min UCS],0)-1</f>
        <v>#N/A</v>
      </c>
      <c r="AB69" s="62" t="e">
        <f>MATCH(LOOKUP(Data_PLT[[#This Row],[UCS avg (MPa)]],Table_FieldStrength[Min UCS]),Table_FieldStrength[Min UCS],0)-1</f>
        <v>#N/A</v>
      </c>
      <c r="AC69" s="62" t="e">
        <f>MATCH(LOOKUP(Data_PLT[[#This Row],[UCS max (MPa)]],Table_FieldStrength[Min UCS]),Table_FieldStrength[Min UCS],0)-1</f>
        <v>#N/A</v>
      </c>
      <c r="AD69" s="68" t="e">
        <f>Data_PLT[[#This Row],[Test code]]&amp;"-"&amp;Data_PLT[[#This Row],[UCS min code]]</f>
        <v>#N/A</v>
      </c>
      <c r="AE69" s="68" t="e">
        <f>Data_PLT[[#This Row],[Test code]]&amp;"-"&amp;Data_PLT[[#This Row],[UCS avg code]]</f>
        <v>#N/A</v>
      </c>
      <c r="AF69" s="67" t="e">
        <f>Data_PLT[[#This Row],[Test code]]&amp;"-"&amp;Data_PLT[[#This Row],[UCS max code]]</f>
        <v>#N/A</v>
      </c>
      <c r="AG69" s="67" t="str">
        <f>Data_PLT[[#This Row],[Failure type]]&amp;"-"&amp;Data_PLT[[#This Row],[Test type]]&amp;"-"&amp;(IF(Data_PLT[[#This Row],[Is50 (MPa)]]&lt;1,1,IF(Data_PLT[[#This Row],[Is50 (MPa)]]&lt;2,2,IF(Data_PLT[[#This Row],[Is50 (MPa)]]&lt;4,3,IF(Data_PLT[[#This Row],[Is50 (MPa)]]&lt;8,4,5)))))</f>
        <v>Intact-Diametral-1</v>
      </c>
    </row>
    <row r="70" spans="1:33" x14ac:dyDescent="0.25">
      <c r="A70" t="s">
        <v>26</v>
      </c>
      <c r="B70" s="88" t="str">
        <f>VLOOKUP(Data_PLT[[#This Row],[Hole ID]],Data_Log[],2,FALSE)</f>
        <v>CGF-01</v>
      </c>
      <c r="C70" s="63">
        <f>IF(Data_PLT[[#This Row],[Hole ID]]="","",
IF(COUNTIF($A$4:A70,Data_PLT[[#This Row],[Hole ID]])=1,1,
IF(A70=A69,C69+1,
COUNTIF($A$4:A70,Data_PLT[[#This Row],[Hole ID]]))))</f>
        <v>67</v>
      </c>
      <c r="D70" s="63" t="str">
        <f>IF(Data_PLT[[#This Row],[Hole ID]]="","",Data_PLT[[#This Row],[Hole ID]]&amp;"_"&amp;Data_PLT[[#This Row],[Sample ID]])</f>
        <v>COG-25-08_67</v>
      </c>
      <c r="E70" s="6"/>
      <c r="F70" s="6">
        <v>184.58</v>
      </c>
      <c r="G70" s="63" t="str" cm="1">
        <f t="array" ref="G70">_xlfn.XLOOKUP(1,(A70=Geotech!$A$4:$A$11100)*(Data_PLT[[#This Row],[Depth (m)]]&gt;=Geotech!$C$4:$C$11100)*(Data_PLT[[#This Row],[Depth (m)]]&lt;Geotech!$D$4:$D$11100),Geotech!$M$4:$M$11100)</f>
        <v>Boulamarque granodiorite</v>
      </c>
      <c r="H70" s="6" t="s">
        <v>299</v>
      </c>
      <c r="I70" s="63" t="str">
        <f>VLOOKUP(Data_PLT[[#This Row],[Hole ID]],Data_Log[[Hole ID]:[Core size]],20,FALSE)</f>
        <v>HQ</v>
      </c>
      <c r="J70" s="13">
        <f>VLOOKUP(Data_PLT[[#This Row],[Core Size]],Table_CoreSize[],2,FALSE)</f>
        <v>63.5</v>
      </c>
      <c r="K70" s="19">
        <v>95</v>
      </c>
      <c r="L70" s="19" t="s">
        <v>574</v>
      </c>
      <c r="M70" s="5">
        <v>104</v>
      </c>
      <c r="N70" s="5"/>
      <c r="O70" s="6" t="s">
        <v>334</v>
      </c>
      <c r="P70" s="13" t="str">
        <f>IF(Data_PLT[[#This Row],[Failure type]]="","",IF(OR(Data_PLT[[#This Row],[Failure type]]="Invalid",Data_PLT[[#This Row],[Failure type]]="Chipped",Data_PLT[[#This Row],[Failure type]]="Penetrate",Data_PLT[[#This Row],[Failure type]]="Did not break"),"Invalid","Valid"))</f>
        <v>Valid</v>
      </c>
      <c r="Q70" s="6"/>
      <c r="R70" s="11"/>
      <c r="S70" s="13">
        <f>IF(Data_PLT[[#This Row],[Test type]]="Diametral",Data_PLT[[#This Row],[Diameter (mm)]],IF(Data_PLT[[#This Row],[Test type]]="Axial",SQRT(4*Data_PLT[[#This Row],[Diameter (mm)]]*Data_PLT[[#This Row],[Length or width (mm)]]/PI()),"ERROR"))</f>
        <v>63.5</v>
      </c>
      <c r="T70" s="13">
        <f>(Data_PLT[[#This Row],[Load (kN)]]*1000)/Data_PLT[[#This Row],[Equiv. Diam. (mm)]]^2</f>
        <v>0</v>
      </c>
      <c r="U70" s="13">
        <f>(Data_PLT[[#This Row],[Equiv. Diam. (mm)]]/50)^0.45</f>
        <v>1.1135550054708407</v>
      </c>
      <c r="V70" s="13">
        <f>Data_PLT[[#This Row],[Is (MPa)]]*Data_PLT[[#This Row],[F]]</f>
        <v>0</v>
      </c>
      <c r="W70" s="13" t="str">
        <f>Data_PLT[[#This Row],[Failure Validity]]&amp;"-"&amp;Data_PLT[[#This Row],[Test type]]</f>
        <v>Valid-Diametral</v>
      </c>
      <c r="X70" s="13">
        <f>Data_PLT[[#This Row],[Is50 (MPa)]]*VLOOKUP("Min",Table_PLT_Conversion[],2,FALSE)</f>
        <v>0</v>
      </c>
      <c r="Y70" s="13">
        <f>Data_PLT[[#This Row],[Is50 (MPa)]]*VLOOKUP("Avg",Table_PLT_Conversion[],2,FALSE)</f>
        <v>0</v>
      </c>
      <c r="Z70" s="13">
        <f>Data_PLT[[#This Row],[Is50 (MPa)]]*VLOOKUP("Max",Table_PLT_Conversion[],2,FALSE)</f>
        <v>0</v>
      </c>
      <c r="AA70" s="62" t="e">
        <f>MATCH(LOOKUP(Data_PLT[[#This Row],[UCS min (MPa)]],Table_FieldStrength[Min UCS]),Table_FieldStrength[Min UCS],0)-1</f>
        <v>#N/A</v>
      </c>
      <c r="AB70" s="62" t="e">
        <f>MATCH(LOOKUP(Data_PLT[[#This Row],[UCS avg (MPa)]],Table_FieldStrength[Min UCS]),Table_FieldStrength[Min UCS],0)-1</f>
        <v>#N/A</v>
      </c>
      <c r="AC70" s="62" t="e">
        <f>MATCH(LOOKUP(Data_PLT[[#This Row],[UCS max (MPa)]],Table_FieldStrength[Min UCS]),Table_FieldStrength[Min UCS],0)-1</f>
        <v>#N/A</v>
      </c>
      <c r="AD70" s="68" t="e">
        <f>Data_PLT[[#This Row],[Test code]]&amp;"-"&amp;Data_PLT[[#This Row],[UCS min code]]</f>
        <v>#N/A</v>
      </c>
      <c r="AE70" s="68" t="e">
        <f>Data_PLT[[#This Row],[Test code]]&amp;"-"&amp;Data_PLT[[#This Row],[UCS avg code]]</f>
        <v>#N/A</v>
      </c>
      <c r="AF70" s="67" t="e">
        <f>Data_PLT[[#This Row],[Test code]]&amp;"-"&amp;Data_PLT[[#This Row],[UCS max code]]</f>
        <v>#N/A</v>
      </c>
      <c r="AG70" s="67" t="str">
        <f>Data_PLT[[#This Row],[Failure type]]&amp;"-"&amp;Data_PLT[[#This Row],[Test type]]&amp;"-"&amp;(IF(Data_PLT[[#This Row],[Is50 (MPa)]]&lt;1,1,IF(Data_PLT[[#This Row],[Is50 (MPa)]]&lt;2,2,IF(Data_PLT[[#This Row],[Is50 (MPa)]]&lt;4,3,IF(Data_PLT[[#This Row],[Is50 (MPa)]]&lt;8,4,5)))))</f>
        <v>Along bedding/foliation-Diametral-1</v>
      </c>
    </row>
    <row r="71" spans="1:33" x14ac:dyDescent="0.25">
      <c r="B71" s="88" t="e">
        <f>VLOOKUP(Data_PLT[[#This Row],[Hole ID]],Data_Log[],2,FALSE)</f>
        <v>#N/A</v>
      </c>
      <c r="C71" s="63" t="str">
        <f>IF(Data_PLT[[#This Row],[Hole ID]]="","",
IF(COUNTIF($A$4:A71,Data_PLT[[#This Row],[Hole ID]])=1,1,
IF(A71=A70,C70+1,
COUNTIF($A$4:A71,Data_PLT[[#This Row],[Hole ID]]))))</f>
        <v/>
      </c>
      <c r="D71" s="63" t="str">
        <f>IF(Data_PLT[[#This Row],[Hole ID]]="","",Data_PLT[[#This Row],[Hole ID]]&amp;"_"&amp;Data_PLT[[#This Row],[Sample ID]])</f>
        <v/>
      </c>
      <c r="E71" s="6"/>
      <c r="F71" s="6"/>
      <c r="G71" s="63" t="e" cm="1">
        <f t="array" ref="G71">_xlfn.XLOOKUP(1,(A71=Geotech!$A$4:$A$11100)*(Data_PLT[[#This Row],[Depth (m)]]&gt;=Geotech!$C$4:$C$11100)*(Data_PLT[[#This Row],[Depth (m)]]&lt;Geotech!$D$4:$D$11100),Geotech!$M$4:$M$11100)</f>
        <v>#N/A</v>
      </c>
      <c r="H71" s="6"/>
      <c r="I71" s="63" t="e">
        <f>VLOOKUP(Data_PLT[[#This Row],[Hole ID]],Data_Log[[Hole ID]:[Core size]],20,FALSE)</f>
        <v>#N/A</v>
      </c>
      <c r="J71" s="13" t="e">
        <f>VLOOKUP(Data_PLT[[#This Row],[Core Size]],Table_CoreSize[],2,FALSE)</f>
        <v>#N/A</v>
      </c>
      <c r="K71" s="19"/>
      <c r="L71" s="19"/>
      <c r="M71" s="5"/>
      <c r="N71" s="5"/>
      <c r="O71" s="6"/>
      <c r="P71" s="13" t="str">
        <f>IF(Data_PLT[[#This Row],[Failure type]]="","",IF(OR(Data_PLT[[#This Row],[Failure type]]="Invalid",Data_PLT[[#This Row],[Failure type]]="Chipped",Data_PLT[[#This Row],[Failure type]]="Penetrate",Data_PLT[[#This Row],[Failure type]]="Did not break"),"Invalid","Valid"))</f>
        <v/>
      </c>
      <c r="Q71" s="6"/>
      <c r="R71" s="11"/>
      <c r="S71" s="13" t="str">
        <f>IF(Data_PLT[[#This Row],[Test type]]="Diametral",Data_PLT[[#This Row],[Diameter (mm)]],IF(Data_PLT[[#This Row],[Test type]]="Axial",SQRT(4*Data_PLT[[#This Row],[Diameter (mm)]]*Data_PLT[[#This Row],[Length or width (mm)]]/PI()),"ERROR"))</f>
        <v>ERROR</v>
      </c>
      <c r="T71" s="13" t="e">
        <f>(Data_PLT[[#This Row],[Load (kN)]]*1000)/Data_PLT[[#This Row],[Equiv. Diam. (mm)]]^2</f>
        <v>#VALUE!</v>
      </c>
      <c r="U71" s="13" t="e">
        <f>(Data_PLT[[#This Row],[Equiv. Diam. (mm)]]/50)^0.45</f>
        <v>#VALUE!</v>
      </c>
      <c r="V71" s="13" t="e">
        <f>Data_PLT[[#This Row],[Is (MPa)]]*Data_PLT[[#This Row],[F]]</f>
        <v>#VALUE!</v>
      </c>
      <c r="W71" s="13" t="str">
        <f>Data_PLT[[#This Row],[Failure Validity]]&amp;"-"&amp;Data_PLT[[#This Row],[Test type]]</f>
        <v>-</v>
      </c>
      <c r="X71" s="13" t="e">
        <f>Data_PLT[[#This Row],[Is50 (MPa)]]*VLOOKUP("Min",Table_PLT_Conversion[],2,FALSE)</f>
        <v>#VALUE!</v>
      </c>
      <c r="Y71" s="13" t="e">
        <f>Data_PLT[[#This Row],[Is50 (MPa)]]*VLOOKUP("Avg",Table_PLT_Conversion[],2,FALSE)</f>
        <v>#VALUE!</v>
      </c>
      <c r="Z71" s="13" t="e">
        <f>Data_PLT[[#This Row],[Is50 (MPa)]]*VLOOKUP("Max",Table_PLT_Conversion[],2,FALSE)</f>
        <v>#VALUE!</v>
      </c>
      <c r="AA71" s="62" t="e">
        <f>MATCH(LOOKUP(Data_PLT[[#This Row],[UCS min (MPa)]],Table_FieldStrength[Min UCS]),Table_FieldStrength[Min UCS],0)-1</f>
        <v>#VALUE!</v>
      </c>
      <c r="AB71" s="62" t="e">
        <f>MATCH(LOOKUP(Data_PLT[[#This Row],[UCS avg (MPa)]],Table_FieldStrength[Min UCS]),Table_FieldStrength[Min UCS],0)-1</f>
        <v>#VALUE!</v>
      </c>
      <c r="AC71" s="62" t="e">
        <f>MATCH(LOOKUP(Data_PLT[[#This Row],[UCS max (MPa)]],Table_FieldStrength[Min UCS]),Table_FieldStrength[Min UCS],0)-1</f>
        <v>#VALUE!</v>
      </c>
      <c r="AD71" s="68" t="e">
        <f>Data_PLT[[#This Row],[Test code]]&amp;"-"&amp;Data_PLT[[#This Row],[UCS min code]]</f>
        <v>#VALUE!</v>
      </c>
      <c r="AE71" s="68" t="e">
        <f>Data_PLT[[#This Row],[Test code]]&amp;"-"&amp;Data_PLT[[#This Row],[UCS avg code]]</f>
        <v>#VALUE!</v>
      </c>
      <c r="AF71" s="67" t="e">
        <f>Data_PLT[[#This Row],[Test code]]&amp;"-"&amp;Data_PLT[[#This Row],[UCS max code]]</f>
        <v>#VALUE!</v>
      </c>
      <c r="AG71" s="67" t="e">
        <f>Data_PLT[[#This Row],[Failure type]]&amp;"-"&amp;Data_PLT[[#This Row],[Test type]]&amp;"-"&amp;(IF(Data_PLT[[#This Row],[Is50 (MPa)]]&lt;1,1,IF(Data_PLT[[#This Row],[Is50 (MPa)]]&lt;2,2,IF(Data_PLT[[#This Row],[Is50 (MPa)]]&lt;4,3,IF(Data_PLT[[#This Row],[Is50 (MPa)]]&lt;8,4,5)))))</f>
        <v>#VALUE!</v>
      </c>
    </row>
    <row r="72" spans="1:33" x14ac:dyDescent="0.25">
      <c r="A72" t="s">
        <v>30</v>
      </c>
      <c r="B72" s="88" t="str">
        <f>VLOOKUP(Data_PLT[[#This Row],[Hole ID]],Data_Log[],2,FALSE)</f>
        <v>CGF-02</v>
      </c>
      <c r="C72" s="63">
        <f>IF(Data_PLT[[#This Row],[Hole ID]]="","",
IF(COUNTIF($A$4:A72,Data_PLT[[#This Row],[Hole ID]])=1,1,
IF(A72=A71,C71+1,
COUNTIF($A$4:A72,Data_PLT[[#This Row],[Hole ID]]))))</f>
        <v>1</v>
      </c>
      <c r="D72" s="63" t="str">
        <f>IF(Data_PLT[[#This Row],[Hole ID]]="","",Data_PLT[[#This Row],[Hole ID]]&amp;"_"&amp;Data_PLT[[#This Row],[Sample ID]])</f>
        <v>COG-25-10_1</v>
      </c>
      <c r="E72" s="6"/>
      <c r="F72" s="6">
        <v>61.72</v>
      </c>
      <c r="G72" s="63" t="str" cm="1">
        <f t="array" ref="G72">_xlfn.XLOOKUP(1,(A72=Geotech!$A$4:$A$11100)*(Data_PLT[[#This Row],[Depth (m)]]&gt;=Geotech!$C$4:$C$11100)*(Data_PLT[[#This Row],[Depth (m)]]&lt;Geotech!$D$4:$D$11100),Geotech!$M$4:$M$11100)</f>
        <v>Basalt</v>
      </c>
      <c r="H72" s="6" t="s">
        <v>299</v>
      </c>
      <c r="I72" s="63" t="str">
        <f>VLOOKUP(Data_PLT[[#This Row],[Hole ID]],Data_Log[[Hole ID]:[Core size]],20,FALSE)</f>
        <v>HQ</v>
      </c>
      <c r="J72" s="13">
        <f>VLOOKUP(Data_PLT[[#This Row],[Core Size]],Table_CoreSize[],2,FALSE)</f>
        <v>63.5</v>
      </c>
      <c r="K72" s="19">
        <v>110</v>
      </c>
      <c r="L72" s="19" t="s">
        <v>574</v>
      </c>
      <c r="M72" s="5">
        <v>75.8</v>
      </c>
      <c r="N72" s="5"/>
      <c r="O72" s="6" t="s">
        <v>300</v>
      </c>
      <c r="P72" s="13" t="str">
        <f>IF(Data_PLT[[#This Row],[Failure type]]="","",IF(OR(Data_PLT[[#This Row],[Failure type]]="Invalid",Data_PLT[[#This Row],[Failure type]]="Chipped",Data_PLT[[#This Row],[Failure type]]="Penetrate",Data_PLT[[#This Row],[Failure type]]="Did not break"),"Invalid","Valid"))</f>
        <v>Valid</v>
      </c>
      <c r="Q72" s="6"/>
      <c r="R72" s="11"/>
      <c r="S72" s="13">
        <f>IF(Data_PLT[[#This Row],[Test type]]="Diametral",Data_PLT[[#This Row],[Diameter (mm)]],IF(Data_PLT[[#This Row],[Test type]]="Axial",SQRT(4*Data_PLT[[#This Row],[Diameter (mm)]]*Data_PLT[[#This Row],[Length or width (mm)]]/PI()),"ERROR"))</f>
        <v>63.5</v>
      </c>
      <c r="T72" s="13">
        <f>(Data_PLT[[#This Row],[Load (kN)]]*1000)/Data_PLT[[#This Row],[Equiv. Diam. (mm)]]^2</f>
        <v>0</v>
      </c>
      <c r="U72" s="13">
        <f>(Data_PLT[[#This Row],[Equiv. Diam. (mm)]]/50)^0.45</f>
        <v>1.1135550054708407</v>
      </c>
      <c r="V72" s="13">
        <f>Data_PLT[[#This Row],[Is (MPa)]]*Data_PLT[[#This Row],[F]]</f>
        <v>0</v>
      </c>
      <c r="W72" s="13" t="str">
        <f>Data_PLT[[#This Row],[Failure Validity]]&amp;"-"&amp;Data_PLT[[#This Row],[Test type]]</f>
        <v>Valid-Diametral</v>
      </c>
      <c r="X72" s="13">
        <f>Data_PLT[[#This Row],[Is50 (MPa)]]*VLOOKUP("Min",Table_PLT_Conversion[],2,FALSE)</f>
        <v>0</v>
      </c>
      <c r="Y72" s="13">
        <f>Data_PLT[[#This Row],[Is50 (MPa)]]*VLOOKUP("Avg",Table_PLT_Conversion[],2,FALSE)</f>
        <v>0</v>
      </c>
      <c r="Z72" s="13">
        <f>Data_PLT[[#This Row],[Is50 (MPa)]]*VLOOKUP("Max",Table_PLT_Conversion[],2,FALSE)</f>
        <v>0</v>
      </c>
      <c r="AA72" s="62" t="e">
        <f>MATCH(LOOKUP(Data_PLT[[#This Row],[UCS min (MPa)]],Table_FieldStrength[Min UCS]),Table_FieldStrength[Min UCS],0)-1</f>
        <v>#N/A</v>
      </c>
      <c r="AB72" s="62" t="e">
        <f>MATCH(LOOKUP(Data_PLT[[#This Row],[UCS avg (MPa)]],Table_FieldStrength[Min UCS]),Table_FieldStrength[Min UCS],0)-1</f>
        <v>#N/A</v>
      </c>
      <c r="AC72" s="62" t="e">
        <f>MATCH(LOOKUP(Data_PLT[[#This Row],[UCS max (MPa)]],Table_FieldStrength[Min UCS]),Table_FieldStrength[Min UCS],0)-1</f>
        <v>#N/A</v>
      </c>
      <c r="AD72" s="68" t="e">
        <f>Data_PLT[[#This Row],[Test code]]&amp;"-"&amp;Data_PLT[[#This Row],[UCS min code]]</f>
        <v>#N/A</v>
      </c>
      <c r="AE72" s="68" t="e">
        <f>Data_PLT[[#This Row],[Test code]]&amp;"-"&amp;Data_PLT[[#This Row],[UCS avg code]]</f>
        <v>#N/A</v>
      </c>
      <c r="AF72" s="67" t="e">
        <f>Data_PLT[[#This Row],[Test code]]&amp;"-"&amp;Data_PLT[[#This Row],[UCS max code]]</f>
        <v>#N/A</v>
      </c>
      <c r="AG72" s="67" t="str">
        <f>Data_PLT[[#This Row],[Failure type]]&amp;"-"&amp;Data_PLT[[#This Row],[Test type]]&amp;"-"&amp;(IF(Data_PLT[[#This Row],[Is50 (MPa)]]&lt;1,1,IF(Data_PLT[[#This Row],[Is50 (MPa)]]&lt;2,2,IF(Data_PLT[[#This Row],[Is50 (MPa)]]&lt;4,3,IF(Data_PLT[[#This Row],[Is50 (MPa)]]&lt;8,4,5)))))</f>
        <v>Intact-Diametral-1</v>
      </c>
    </row>
    <row r="73" spans="1:33" x14ac:dyDescent="0.25">
      <c r="A73" t="s">
        <v>30</v>
      </c>
      <c r="B73" s="88" t="str">
        <f>VLOOKUP(Data_PLT[[#This Row],[Hole ID]],Data_Log[],2,FALSE)</f>
        <v>CGF-02</v>
      </c>
      <c r="C73" s="63">
        <f>IF(Data_PLT[[#This Row],[Hole ID]]="","",
IF(COUNTIF($A$4:A73,Data_PLT[[#This Row],[Hole ID]])=1,1,
IF(A73=A72,C72+1,
COUNTIF($A$4:A73,Data_PLT[[#This Row],[Hole ID]]))))</f>
        <v>2</v>
      </c>
      <c r="D73" s="63" t="str">
        <f>IF(Data_PLT[[#This Row],[Hole ID]]="","",Data_PLT[[#This Row],[Hole ID]]&amp;"_"&amp;Data_PLT[[#This Row],[Sample ID]])</f>
        <v>COG-25-10_2</v>
      </c>
      <c r="E73" s="6"/>
      <c r="F73" s="6">
        <v>65.87</v>
      </c>
      <c r="G73" s="63" t="str" cm="1">
        <f t="array" ref="G73">_xlfn.XLOOKUP(1,(A73=Geotech!$A$4:$A$11100)*(Data_PLT[[#This Row],[Depth (m)]]&gt;=Geotech!$C$4:$C$11100)*(Data_PLT[[#This Row],[Depth (m)]]&lt;Geotech!$D$4:$D$11100),Geotech!$M$4:$M$11100)</f>
        <v>Basalt</v>
      </c>
      <c r="H73" s="6" t="s">
        <v>299</v>
      </c>
      <c r="I73" s="63" t="str">
        <f>VLOOKUP(Data_PLT[[#This Row],[Hole ID]],Data_Log[[Hole ID]:[Core size]],20,FALSE)</f>
        <v>HQ</v>
      </c>
      <c r="J73" s="13">
        <f>VLOOKUP(Data_PLT[[#This Row],[Core Size]],Table_CoreSize[],2,FALSE)</f>
        <v>63.5</v>
      </c>
      <c r="K73" s="19">
        <v>180</v>
      </c>
      <c r="L73" s="19" t="s">
        <v>574</v>
      </c>
      <c r="M73" s="5">
        <v>182</v>
      </c>
      <c r="N73" s="5"/>
      <c r="O73" s="6" t="s">
        <v>165</v>
      </c>
      <c r="P73" s="13" t="str">
        <f>IF(Data_PLT[[#This Row],[Failure type]]="","",IF(OR(Data_PLT[[#This Row],[Failure type]]="Invalid",Data_PLT[[#This Row],[Failure type]]="Chipped",Data_PLT[[#This Row],[Failure type]]="Penetrate",Data_PLT[[#This Row],[Failure type]]="Did not break"),"Invalid","Valid"))</f>
        <v>Invalid</v>
      </c>
      <c r="Q73" s="6"/>
      <c r="R73" s="11"/>
      <c r="S73" s="13">
        <f>IF(Data_PLT[[#This Row],[Test type]]="Diametral",Data_PLT[[#This Row],[Diameter (mm)]],IF(Data_PLT[[#This Row],[Test type]]="Axial",SQRT(4*Data_PLT[[#This Row],[Diameter (mm)]]*Data_PLT[[#This Row],[Length or width (mm)]]/PI()),"ERROR"))</f>
        <v>63.5</v>
      </c>
      <c r="T73" s="13">
        <f>(Data_PLT[[#This Row],[Load (kN)]]*1000)/Data_PLT[[#This Row],[Equiv. Diam. (mm)]]^2</f>
        <v>0</v>
      </c>
      <c r="U73" s="13">
        <f>(Data_PLT[[#This Row],[Equiv. Diam. (mm)]]/50)^0.45</f>
        <v>1.1135550054708407</v>
      </c>
      <c r="V73" s="13">
        <f>Data_PLT[[#This Row],[Is (MPa)]]*Data_PLT[[#This Row],[F]]</f>
        <v>0</v>
      </c>
      <c r="W73" s="13" t="str">
        <f>Data_PLT[[#This Row],[Failure Validity]]&amp;"-"&amp;Data_PLT[[#This Row],[Test type]]</f>
        <v>Invalid-Diametral</v>
      </c>
      <c r="X73" s="13">
        <f>Data_PLT[[#This Row],[Is50 (MPa)]]*VLOOKUP("Min",Table_PLT_Conversion[],2,FALSE)</f>
        <v>0</v>
      </c>
      <c r="Y73" s="13">
        <f>Data_PLT[[#This Row],[Is50 (MPa)]]*VLOOKUP("Avg",Table_PLT_Conversion[],2,FALSE)</f>
        <v>0</v>
      </c>
      <c r="Z73" s="13">
        <f>Data_PLT[[#This Row],[Is50 (MPa)]]*VLOOKUP("Max",Table_PLT_Conversion[],2,FALSE)</f>
        <v>0</v>
      </c>
      <c r="AA73" s="62" t="e">
        <f>MATCH(LOOKUP(Data_PLT[[#This Row],[UCS min (MPa)]],Table_FieldStrength[Min UCS]),Table_FieldStrength[Min UCS],0)-1</f>
        <v>#N/A</v>
      </c>
      <c r="AB73" s="62" t="e">
        <f>MATCH(LOOKUP(Data_PLT[[#This Row],[UCS avg (MPa)]],Table_FieldStrength[Min UCS]),Table_FieldStrength[Min UCS],0)-1</f>
        <v>#N/A</v>
      </c>
      <c r="AC73" s="62" t="e">
        <f>MATCH(LOOKUP(Data_PLT[[#This Row],[UCS max (MPa)]],Table_FieldStrength[Min UCS]),Table_FieldStrength[Min UCS],0)-1</f>
        <v>#N/A</v>
      </c>
      <c r="AD73" s="68" t="e">
        <f>Data_PLT[[#This Row],[Test code]]&amp;"-"&amp;Data_PLT[[#This Row],[UCS min code]]</f>
        <v>#N/A</v>
      </c>
      <c r="AE73" s="68" t="e">
        <f>Data_PLT[[#This Row],[Test code]]&amp;"-"&amp;Data_PLT[[#This Row],[UCS avg code]]</f>
        <v>#N/A</v>
      </c>
      <c r="AF73" s="67" t="e">
        <f>Data_PLT[[#This Row],[Test code]]&amp;"-"&amp;Data_PLT[[#This Row],[UCS max code]]</f>
        <v>#N/A</v>
      </c>
      <c r="AG73" s="67" t="str">
        <f>Data_PLT[[#This Row],[Failure type]]&amp;"-"&amp;Data_PLT[[#This Row],[Test type]]&amp;"-"&amp;(IF(Data_PLT[[#This Row],[Is50 (MPa)]]&lt;1,1,IF(Data_PLT[[#This Row],[Is50 (MPa)]]&lt;2,2,IF(Data_PLT[[#This Row],[Is50 (MPa)]]&lt;4,3,IF(Data_PLT[[#This Row],[Is50 (MPa)]]&lt;8,4,5)))))</f>
        <v>Chipped-Diametral-1</v>
      </c>
    </row>
    <row r="74" spans="1:33" x14ac:dyDescent="0.25">
      <c r="A74" t="s">
        <v>30</v>
      </c>
      <c r="B74" s="88" t="str">
        <f>VLOOKUP(Data_PLT[[#This Row],[Hole ID]],Data_Log[],2,FALSE)</f>
        <v>CGF-02</v>
      </c>
      <c r="C74" s="63">
        <f>IF(Data_PLT[[#This Row],[Hole ID]]="","",
IF(COUNTIF($A$4:A74,Data_PLT[[#This Row],[Hole ID]])=1,1,
IF(A74=A73,C73+1,
COUNTIF($A$4:A74,Data_PLT[[#This Row],[Hole ID]]))))</f>
        <v>3</v>
      </c>
      <c r="D74" s="63" t="str">
        <f>IF(Data_PLT[[#This Row],[Hole ID]]="","",Data_PLT[[#This Row],[Hole ID]]&amp;"_"&amp;Data_PLT[[#This Row],[Sample ID]])</f>
        <v>COG-25-10_3</v>
      </c>
      <c r="E74" s="6"/>
      <c r="F74" s="6">
        <v>66.099999999999994</v>
      </c>
      <c r="G74" s="63" t="str" cm="1">
        <f t="array" ref="G74">_xlfn.XLOOKUP(1,(A74=Geotech!$A$4:$A$11100)*(Data_PLT[[#This Row],[Depth (m)]]&gt;=Geotech!$C$4:$C$11100)*(Data_PLT[[#This Row],[Depth (m)]]&lt;Geotech!$D$4:$D$11100),Geotech!$M$4:$M$11100)</f>
        <v>Basalt</v>
      </c>
      <c r="H74" s="6" t="s">
        <v>299</v>
      </c>
      <c r="I74" s="63" t="str">
        <f>VLOOKUP(Data_PLT[[#This Row],[Hole ID]],Data_Log[[Hole ID]:[Core size]],20,FALSE)</f>
        <v>HQ</v>
      </c>
      <c r="J74" s="13">
        <f>VLOOKUP(Data_PLT[[#This Row],[Core Size]],Table_CoreSize[],2,FALSE)</f>
        <v>63.5</v>
      </c>
      <c r="K74" s="19">
        <v>140</v>
      </c>
      <c r="L74" s="19" t="s">
        <v>574</v>
      </c>
      <c r="M74" s="5">
        <v>36.6</v>
      </c>
      <c r="N74" s="5"/>
      <c r="O74" s="6" t="s">
        <v>163</v>
      </c>
      <c r="P74" s="13" t="str">
        <f>IF(Data_PLT[[#This Row],[Failure type]]="","",IF(OR(Data_PLT[[#This Row],[Failure type]]="Invalid",Data_PLT[[#This Row],[Failure type]]="Chipped",Data_PLT[[#This Row],[Failure type]]="Penetrate",Data_PLT[[#This Row],[Failure type]]="Did not break"),"Invalid","Valid"))</f>
        <v>Valid</v>
      </c>
      <c r="Q74" s="6"/>
      <c r="R74" s="11"/>
      <c r="S74" s="13">
        <f>IF(Data_PLT[[#This Row],[Test type]]="Diametral",Data_PLT[[#This Row],[Diameter (mm)]],IF(Data_PLT[[#This Row],[Test type]]="Axial",SQRT(4*Data_PLT[[#This Row],[Diameter (mm)]]*Data_PLT[[#This Row],[Length or width (mm)]]/PI()),"ERROR"))</f>
        <v>63.5</v>
      </c>
      <c r="T74" s="13">
        <f>(Data_PLT[[#This Row],[Load (kN)]]*1000)/Data_PLT[[#This Row],[Equiv. Diam. (mm)]]^2</f>
        <v>0</v>
      </c>
      <c r="U74" s="13">
        <f>(Data_PLT[[#This Row],[Equiv. Diam. (mm)]]/50)^0.45</f>
        <v>1.1135550054708407</v>
      </c>
      <c r="V74" s="13">
        <f>Data_PLT[[#This Row],[Is (MPa)]]*Data_PLT[[#This Row],[F]]</f>
        <v>0</v>
      </c>
      <c r="W74" s="13" t="str">
        <f>Data_PLT[[#This Row],[Failure Validity]]&amp;"-"&amp;Data_PLT[[#This Row],[Test type]]</f>
        <v>Valid-Diametral</v>
      </c>
      <c r="X74" s="13">
        <f>Data_PLT[[#This Row],[Is50 (MPa)]]*VLOOKUP("Min",Table_PLT_Conversion[],2,FALSE)</f>
        <v>0</v>
      </c>
      <c r="Y74" s="13">
        <f>Data_PLT[[#This Row],[Is50 (MPa)]]*VLOOKUP("Avg",Table_PLT_Conversion[],2,FALSE)</f>
        <v>0</v>
      </c>
      <c r="Z74" s="13">
        <f>Data_PLT[[#This Row],[Is50 (MPa)]]*VLOOKUP("Max",Table_PLT_Conversion[],2,FALSE)</f>
        <v>0</v>
      </c>
      <c r="AA74" s="62" t="e">
        <f>MATCH(LOOKUP(Data_PLT[[#This Row],[UCS min (MPa)]],Table_FieldStrength[Min UCS]),Table_FieldStrength[Min UCS],0)-1</f>
        <v>#N/A</v>
      </c>
      <c r="AB74" s="62" t="e">
        <f>MATCH(LOOKUP(Data_PLT[[#This Row],[UCS avg (MPa)]],Table_FieldStrength[Min UCS]),Table_FieldStrength[Min UCS],0)-1</f>
        <v>#N/A</v>
      </c>
      <c r="AC74" s="62" t="e">
        <f>MATCH(LOOKUP(Data_PLT[[#This Row],[UCS max (MPa)]],Table_FieldStrength[Min UCS]),Table_FieldStrength[Min UCS],0)-1</f>
        <v>#N/A</v>
      </c>
      <c r="AD74" s="68" t="e">
        <f>Data_PLT[[#This Row],[Test code]]&amp;"-"&amp;Data_PLT[[#This Row],[UCS min code]]</f>
        <v>#N/A</v>
      </c>
      <c r="AE74" s="68" t="e">
        <f>Data_PLT[[#This Row],[Test code]]&amp;"-"&amp;Data_PLT[[#This Row],[UCS avg code]]</f>
        <v>#N/A</v>
      </c>
      <c r="AF74" s="67" t="e">
        <f>Data_PLT[[#This Row],[Test code]]&amp;"-"&amp;Data_PLT[[#This Row],[UCS max code]]</f>
        <v>#N/A</v>
      </c>
      <c r="AG74" s="67" t="str">
        <f>Data_PLT[[#This Row],[Failure type]]&amp;"-"&amp;Data_PLT[[#This Row],[Test type]]&amp;"-"&amp;(IF(Data_PLT[[#This Row],[Is50 (MPa)]]&lt;1,1,IF(Data_PLT[[#This Row],[Is50 (MPa)]]&lt;2,2,IF(Data_PLT[[#This Row],[Is50 (MPa)]]&lt;4,3,IF(Data_PLT[[#This Row],[Is50 (MPa)]]&lt;8,4,5)))))</f>
        <v>Broke along MD-Diametral-1</v>
      </c>
    </row>
    <row r="75" spans="1:33" x14ac:dyDescent="0.25">
      <c r="A75" t="s">
        <v>30</v>
      </c>
      <c r="B75" s="88" t="str">
        <f>VLOOKUP(Data_PLT[[#This Row],[Hole ID]],Data_Log[],2,FALSE)</f>
        <v>CGF-02</v>
      </c>
      <c r="C75" s="63">
        <f>IF(Data_PLT[[#This Row],[Hole ID]]="","",
IF(COUNTIF($A$4:A75,Data_PLT[[#This Row],[Hole ID]])=1,1,
IF(A75=A74,C74+1,
COUNTIF($A$4:A75,Data_PLT[[#This Row],[Hole ID]]))))</f>
        <v>4</v>
      </c>
      <c r="D75" s="63" t="str">
        <f>IF(Data_PLT[[#This Row],[Hole ID]]="","",Data_PLT[[#This Row],[Hole ID]]&amp;"_"&amp;Data_PLT[[#This Row],[Sample ID]])</f>
        <v>COG-25-10_4</v>
      </c>
      <c r="E75" s="6"/>
      <c r="F75" s="6">
        <v>66.540000000000006</v>
      </c>
      <c r="G75" s="63" t="str" cm="1">
        <f t="array" ref="G75">_xlfn.XLOOKUP(1,(A75=Geotech!$A$4:$A$11100)*(Data_PLT[[#This Row],[Depth (m)]]&gt;=Geotech!$C$4:$C$11100)*(Data_PLT[[#This Row],[Depth (m)]]&lt;Geotech!$D$4:$D$11100),Geotech!$M$4:$M$11100)</f>
        <v>VT-TI Vein</v>
      </c>
      <c r="H75" s="6" t="s">
        <v>299</v>
      </c>
      <c r="I75" s="63" t="str">
        <f>VLOOKUP(Data_PLT[[#This Row],[Hole ID]],Data_Log[[Hole ID]:[Core size]],20,FALSE)</f>
        <v>HQ</v>
      </c>
      <c r="J75" s="13">
        <f>VLOOKUP(Data_PLT[[#This Row],[Core Size]],Table_CoreSize[],2,FALSE)</f>
        <v>63.5</v>
      </c>
      <c r="K75" s="19">
        <v>140</v>
      </c>
      <c r="L75" s="19" t="s">
        <v>574</v>
      </c>
      <c r="M75" s="5">
        <v>157</v>
      </c>
      <c r="N75" s="5"/>
      <c r="O75" s="6" t="s">
        <v>163</v>
      </c>
      <c r="P75" s="13" t="str">
        <f>IF(Data_PLT[[#This Row],[Failure type]]="","",IF(OR(Data_PLT[[#This Row],[Failure type]]="Invalid",Data_PLT[[#This Row],[Failure type]]="Chipped",Data_PLT[[#This Row],[Failure type]]="Penetrate",Data_PLT[[#This Row],[Failure type]]="Did not break"),"Invalid","Valid"))</f>
        <v>Valid</v>
      </c>
      <c r="Q75" s="6"/>
      <c r="R75" s="11"/>
      <c r="S75" s="13">
        <f>IF(Data_PLT[[#This Row],[Test type]]="Diametral",Data_PLT[[#This Row],[Diameter (mm)]],IF(Data_PLT[[#This Row],[Test type]]="Axial",SQRT(4*Data_PLT[[#This Row],[Diameter (mm)]]*Data_PLT[[#This Row],[Length or width (mm)]]/PI()),"ERROR"))</f>
        <v>63.5</v>
      </c>
      <c r="T75" s="13">
        <f>(Data_PLT[[#This Row],[Load (kN)]]*1000)/Data_PLT[[#This Row],[Equiv. Diam. (mm)]]^2</f>
        <v>0</v>
      </c>
      <c r="U75" s="13">
        <f>(Data_PLT[[#This Row],[Equiv. Diam. (mm)]]/50)^0.45</f>
        <v>1.1135550054708407</v>
      </c>
      <c r="V75" s="13">
        <f>Data_PLT[[#This Row],[Is (MPa)]]*Data_PLT[[#This Row],[F]]</f>
        <v>0</v>
      </c>
      <c r="W75" s="13" t="str">
        <f>Data_PLT[[#This Row],[Failure Validity]]&amp;"-"&amp;Data_PLT[[#This Row],[Test type]]</f>
        <v>Valid-Diametral</v>
      </c>
      <c r="X75" s="13">
        <f>Data_PLT[[#This Row],[Is50 (MPa)]]*VLOOKUP("Min",Table_PLT_Conversion[],2,FALSE)</f>
        <v>0</v>
      </c>
      <c r="Y75" s="13">
        <f>Data_PLT[[#This Row],[Is50 (MPa)]]*VLOOKUP("Avg",Table_PLT_Conversion[],2,FALSE)</f>
        <v>0</v>
      </c>
      <c r="Z75" s="13">
        <f>Data_PLT[[#This Row],[Is50 (MPa)]]*VLOOKUP("Max",Table_PLT_Conversion[],2,FALSE)</f>
        <v>0</v>
      </c>
      <c r="AA75" s="62" t="e">
        <f>MATCH(LOOKUP(Data_PLT[[#This Row],[UCS min (MPa)]],Table_FieldStrength[Min UCS]),Table_FieldStrength[Min UCS],0)-1</f>
        <v>#N/A</v>
      </c>
      <c r="AB75" s="62" t="e">
        <f>MATCH(LOOKUP(Data_PLT[[#This Row],[UCS avg (MPa)]],Table_FieldStrength[Min UCS]),Table_FieldStrength[Min UCS],0)-1</f>
        <v>#N/A</v>
      </c>
      <c r="AC75" s="62" t="e">
        <f>MATCH(LOOKUP(Data_PLT[[#This Row],[UCS max (MPa)]],Table_FieldStrength[Min UCS]),Table_FieldStrength[Min UCS],0)-1</f>
        <v>#N/A</v>
      </c>
      <c r="AD75" s="68" t="e">
        <f>Data_PLT[[#This Row],[Test code]]&amp;"-"&amp;Data_PLT[[#This Row],[UCS min code]]</f>
        <v>#N/A</v>
      </c>
      <c r="AE75" s="68" t="e">
        <f>Data_PLT[[#This Row],[Test code]]&amp;"-"&amp;Data_PLT[[#This Row],[UCS avg code]]</f>
        <v>#N/A</v>
      </c>
      <c r="AF75" s="67" t="e">
        <f>Data_PLT[[#This Row],[Test code]]&amp;"-"&amp;Data_PLT[[#This Row],[UCS max code]]</f>
        <v>#N/A</v>
      </c>
      <c r="AG75" s="67" t="str">
        <f>Data_PLT[[#This Row],[Failure type]]&amp;"-"&amp;Data_PLT[[#This Row],[Test type]]&amp;"-"&amp;(IF(Data_PLT[[#This Row],[Is50 (MPa)]]&lt;1,1,IF(Data_PLT[[#This Row],[Is50 (MPa)]]&lt;2,2,IF(Data_PLT[[#This Row],[Is50 (MPa)]]&lt;4,3,IF(Data_PLT[[#This Row],[Is50 (MPa)]]&lt;8,4,5)))))</f>
        <v>Broke along MD-Diametral-1</v>
      </c>
    </row>
    <row r="76" spans="1:33" x14ac:dyDescent="0.25">
      <c r="A76" t="s">
        <v>30</v>
      </c>
      <c r="B76" s="88" t="str">
        <f>VLOOKUP(Data_PLT[[#This Row],[Hole ID]],Data_Log[],2,FALSE)</f>
        <v>CGF-02</v>
      </c>
      <c r="C76" s="63">
        <f>IF(Data_PLT[[#This Row],[Hole ID]]="","",
IF(COUNTIF($A$4:A76,Data_PLT[[#This Row],[Hole ID]])=1,1,
IF(A76=A75,C75+1,
COUNTIF($A$4:A76,Data_PLT[[#This Row],[Hole ID]]))))</f>
        <v>5</v>
      </c>
      <c r="D76" s="63" t="str">
        <f>IF(Data_PLT[[#This Row],[Hole ID]]="","",Data_PLT[[#This Row],[Hole ID]]&amp;"_"&amp;Data_PLT[[#This Row],[Sample ID]])</f>
        <v>COG-25-10_5</v>
      </c>
      <c r="E76" s="6"/>
      <c r="F76" s="6">
        <v>68.69</v>
      </c>
      <c r="G76" s="63" t="str" cm="1">
        <f t="array" ref="G76">_xlfn.XLOOKUP(1,(A76=Geotech!$A$4:$A$11100)*(Data_PLT[[#This Row],[Depth (m)]]&gt;=Geotech!$C$4:$C$11100)*(Data_PLT[[#This Row],[Depth (m)]]&lt;Geotech!$D$4:$D$11100),Geotech!$M$4:$M$11100)</f>
        <v>Basalt</v>
      </c>
      <c r="H76" s="6" t="s">
        <v>299</v>
      </c>
      <c r="I76" s="63" t="str">
        <f>VLOOKUP(Data_PLT[[#This Row],[Hole ID]],Data_Log[[Hole ID]:[Core size]],20,FALSE)</f>
        <v>HQ</v>
      </c>
      <c r="J76" s="13">
        <f>VLOOKUP(Data_PLT[[#This Row],[Core Size]],Table_CoreSize[],2,FALSE)</f>
        <v>63.5</v>
      </c>
      <c r="K76" s="19">
        <v>130</v>
      </c>
      <c r="L76" s="19" t="s">
        <v>574</v>
      </c>
      <c r="M76" s="5">
        <v>246</v>
      </c>
      <c r="N76" s="5"/>
      <c r="O76" s="6" t="s">
        <v>300</v>
      </c>
      <c r="P76" s="13" t="str">
        <f>IF(Data_PLT[[#This Row],[Failure type]]="","",IF(OR(Data_PLT[[#This Row],[Failure type]]="Invalid",Data_PLT[[#This Row],[Failure type]]="Chipped",Data_PLT[[#This Row],[Failure type]]="Penetrate",Data_PLT[[#This Row],[Failure type]]="Did not break"),"Invalid","Valid"))</f>
        <v>Valid</v>
      </c>
      <c r="Q76" s="6"/>
      <c r="R76" s="11"/>
      <c r="S76" s="13">
        <f>IF(Data_PLT[[#This Row],[Test type]]="Diametral",Data_PLT[[#This Row],[Diameter (mm)]],IF(Data_PLT[[#This Row],[Test type]]="Axial",SQRT(4*Data_PLT[[#This Row],[Diameter (mm)]]*Data_PLT[[#This Row],[Length or width (mm)]]/PI()),"ERROR"))</f>
        <v>63.5</v>
      </c>
      <c r="T76" s="13">
        <f>(Data_PLT[[#This Row],[Load (kN)]]*1000)/Data_PLT[[#This Row],[Equiv. Diam. (mm)]]^2</f>
        <v>0</v>
      </c>
      <c r="U76" s="13">
        <f>(Data_PLT[[#This Row],[Equiv. Diam. (mm)]]/50)^0.45</f>
        <v>1.1135550054708407</v>
      </c>
      <c r="V76" s="13">
        <f>Data_PLT[[#This Row],[Is (MPa)]]*Data_PLT[[#This Row],[F]]</f>
        <v>0</v>
      </c>
      <c r="W76" s="13" t="str">
        <f>Data_PLT[[#This Row],[Failure Validity]]&amp;"-"&amp;Data_PLT[[#This Row],[Test type]]</f>
        <v>Valid-Diametral</v>
      </c>
      <c r="X76" s="13">
        <f>Data_PLT[[#This Row],[Is50 (MPa)]]*VLOOKUP("Min",Table_PLT_Conversion[],2,FALSE)</f>
        <v>0</v>
      </c>
      <c r="Y76" s="13">
        <f>Data_PLT[[#This Row],[Is50 (MPa)]]*VLOOKUP("Avg",Table_PLT_Conversion[],2,FALSE)</f>
        <v>0</v>
      </c>
      <c r="Z76" s="13">
        <f>Data_PLT[[#This Row],[Is50 (MPa)]]*VLOOKUP("Max",Table_PLT_Conversion[],2,FALSE)</f>
        <v>0</v>
      </c>
      <c r="AA76" s="62" t="e">
        <f>MATCH(LOOKUP(Data_PLT[[#This Row],[UCS min (MPa)]],Table_FieldStrength[Min UCS]),Table_FieldStrength[Min UCS],0)-1</f>
        <v>#N/A</v>
      </c>
      <c r="AB76" s="62" t="e">
        <f>MATCH(LOOKUP(Data_PLT[[#This Row],[UCS avg (MPa)]],Table_FieldStrength[Min UCS]),Table_FieldStrength[Min UCS],0)-1</f>
        <v>#N/A</v>
      </c>
      <c r="AC76" s="62" t="e">
        <f>MATCH(LOOKUP(Data_PLT[[#This Row],[UCS max (MPa)]],Table_FieldStrength[Min UCS]),Table_FieldStrength[Min UCS],0)-1</f>
        <v>#N/A</v>
      </c>
      <c r="AD76" s="68" t="e">
        <f>Data_PLT[[#This Row],[Test code]]&amp;"-"&amp;Data_PLT[[#This Row],[UCS min code]]</f>
        <v>#N/A</v>
      </c>
      <c r="AE76" s="68" t="e">
        <f>Data_PLT[[#This Row],[Test code]]&amp;"-"&amp;Data_PLT[[#This Row],[UCS avg code]]</f>
        <v>#N/A</v>
      </c>
      <c r="AF76" s="67" t="e">
        <f>Data_PLT[[#This Row],[Test code]]&amp;"-"&amp;Data_PLT[[#This Row],[UCS max code]]</f>
        <v>#N/A</v>
      </c>
      <c r="AG76" s="67" t="str">
        <f>Data_PLT[[#This Row],[Failure type]]&amp;"-"&amp;Data_PLT[[#This Row],[Test type]]&amp;"-"&amp;(IF(Data_PLT[[#This Row],[Is50 (MPa)]]&lt;1,1,IF(Data_PLT[[#This Row],[Is50 (MPa)]]&lt;2,2,IF(Data_PLT[[#This Row],[Is50 (MPa)]]&lt;4,3,IF(Data_PLT[[#This Row],[Is50 (MPa)]]&lt;8,4,5)))))</f>
        <v>Intact-Diametral-1</v>
      </c>
    </row>
    <row r="77" spans="1:33" x14ac:dyDescent="0.25">
      <c r="A77" t="s">
        <v>30</v>
      </c>
      <c r="B77" s="88" t="str">
        <f>VLOOKUP(Data_PLT[[#This Row],[Hole ID]],Data_Log[],2,FALSE)</f>
        <v>CGF-02</v>
      </c>
      <c r="C77" s="63">
        <f>IF(Data_PLT[[#This Row],[Hole ID]]="","",
IF(COUNTIF($A$4:A77,Data_PLT[[#This Row],[Hole ID]])=1,1,
IF(A77=A76,C76+1,
COUNTIF($A$4:A77,Data_PLT[[#This Row],[Hole ID]]))))</f>
        <v>6</v>
      </c>
      <c r="D77" s="63" t="str">
        <f>IF(Data_PLT[[#This Row],[Hole ID]]="","",Data_PLT[[#This Row],[Hole ID]]&amp;"_"&amp;Data_PLT[[#This Row],[Sample ID]])</f>
        <v>COG-25-10_6</v>
      </c>
      <c r="E77" s="6"/>
      <c r="F77" s="6">
        <v>69.87</v>
      </c>
      <c r="G77" s="63" t="str" cm="1">
        <f t="array" ref="G77">_xlfn.XLOOKUP(1,(A77=Geotech!$A$4:$A$11100)*(Data_PLT[[#This Row],[Depth (m)]]&gt;=Geotech!$C$4:$C$11100)*(Data_PLT[[#This Row],[Depth (m)]]&lt;Geotech!$D$4:$D$11100),Geotech!$M$4:$M$11100)</f>
        <v>Basalt</v>
      </c>
      <c r="H77" s="6" t="s">
        <v>299</v>
      </c>
      <c r="I77" s="63" t="str">
        <f>VLOOKUP(Data_PLT[[#This Row],[Hole ID]],Data_Log[[Hole ID]:[Core size]],20,FALSE)</f>
        <v>HQ</v>
      </c>
      <c r="J77" s="13">
        <f>VLOOKUP(Data_PLT[[#This Row],[Core Size]],Table_CoreSize[],2,FALSE)</f>
        <v>63.5</v>
      </c>
      <c r="K77" s="19">
        <v>130</v>
      </c>
      <c r="L77" s="19" t="s">
        <v>574</v>
      </c>
      <c r="M77" s="5">
        <v>250</v>
      </c>
      <c r="N77" s="5"/>
      <c r="O77" s="6" t="s">
        <v>165</v>
      </c>
      <c r="P77" s="13" t="str">
        <f>IF(Data_PLT[[#This Row],[Failure type]]="","",IF(OR(Data_PLT[[#This Row],[Failure type]]="Invalid",Data_PLT[[#This Row],[Failure type]]="Chipped",Data_PLT[[#This Row],[Failure type]]="Penetrate",Data_PLT[[#This Row],[Failure type]]="Did not break"),"Invalid","Valid"))</f>
        <v>Invalid</v>
      </c>
      <c r="Q77" s="6"/>
      <c r="R77" s="11"/>
      <c r="S77" s="13">
        <f>IF(Data_PLT[[#This Row],[Test type]]="Diametral",Data_PLT[[#This Row],[Diameter (mm)]],IF(Data_PLT[[#This Row],[Test type]]="Axial",SQRT(4*Data_PLT[[#This Row],[Diameter (mm)]]*Data_PLT[[#This Row],[Length or width (mm)]]/PI()),"ERROR"))</f>
        <v>63.5</v>
      </c>
      <c r="T77" s="13">
        <f>(Data_PLT[[#This Row],[Load (kN)]]*1000)/Data_PLT[[#This Row],[Equiv. Diam. (mm)]]^2</f>
        <v>0</v>
      </c>
      <c r="U77" s="13">
        <f>(Data_PLT[[#This Row],[Equiv. Diam. (mm)]]/50)^0.45</f>
        <v>1.1135550054708407</v>
      </c>
      <c r="V77" s="13">
        <f>Data_PLT[[#This Row],[Is (MPa)]]*Data_PLT[[#This Row],[F]]</f>
        <v>0</v>
      </c>
      <c r="W77" s="13" t="str">
        <f>Data_PLT[[#This Row],[Failure Validity]]&amp;"-"&amp;Data_PLT[[#This Row],[Test type]]</f>
        <v>Invalid-Diametral</v>
      </c>
      <c r="X77" s="13">
        <f>Data_PLT[[#This Row],[Is50 (MPa)]]*VLOOKUP("Min",Table_PLT_Conversion[],2,FALSE)</f>
        <v>0</v>
      </c>
      <c r="Y77" s="13">
        <f>Data_PLT[[#This Row],[Is50 (MPa)]]*VLOOKUP("Avg",Table_PLT_Conversion[],2,FALSE)</f>
        <v>0</v>
      </c>
      <c r="Z77" s="13">
        <f>Data_PLT[[#This Row],[Is50 (MPa)]]*VLOOKUP("Max",Table_PLT_Conversion[],2,FALSE)</f>
        <v>0</v>
      </c>
      <c r="AA77" s="62" t="e">
        <f>MATCH(LOOKUP(Data_PLT[[#This Row],[UCS min (MPa)]],Table_FieldStrength[Min UCS]),Table_FieldStrength[Min UCS],0)-1</f>
        <v>#N/A</v>
      </c>
      <c r="AB77" s="62" t="e">
        <f>MATCH(LOOKUP(Data_PLT[[#This Row],[UCS avg (MPa)]],Table_FieldStrength[Min UCS]),Table_FieldStrength[Min UCS],0)-1</f>
        <v>#N/A</v>
      </c>
      <c r="AC77" s="62" t="e">
        <f>MATCH(LOOKUP(Data_PLT[[#This Row],[UCS max (MPa)]],Table_FieldStrength[Min UCS]),Table_FieldStrength[Min UCS],0)-1</f>
        <v>#N/A</v>
      </c>
      <c r="AD77" s="68" t="e">
        <f>Data_PLT[[#This Row],[Test code]]&amp;"-"&amp;Data_PLT[[#This Row],[UCS min code]]</f>
        <v>#N/A</v>
      </c>
      <c r="AE77" s="68" t="e">
        <f>Data_PLT[[#This Row],[Test code]]&amp;"-"&amp;Data_PLT[[#This Row],[UCS avg code]]</f>
        <v>#N/A</v>
      </c>
      <c r="AF77" s="67" t="e">
        <f>Data_PLT[[#This Row],[Test code]]&amp;"-"&amp;Data_PLT[[#This Row],[UCS max code]]</f>
        <v>#N/A</v>
      </c>
      <c r="AG77" s="67" t="str">
        <f>Data_PLT[[#This Row],[Failure type]]&amp;"-"&amp;Data_PLT[[#This Row],[Test type]]&amp;"-"&amp;(IF(Data_PLT[[#This Row],[Is50 (MPa)]]&lt;1,1,IF(Data_PLT[[#This Row],[Is50 (MPa)]]&lt;2,2,IF(Data_PLT[[#This Row],[Is50 (MPa)]]&lt;4,3,IF(Data_PLT[[#This Row],[Is50 (MPa)]]&lt;8,4,5)))))</f>
        <v>Chipped-Diametral-1</v>
      </c>
    </row>
    <row r="78" spans="1:33" x14ac:dyDescent="0.25">
      <c r="A78" t="s">
        <v>30</v>
      </c>
      <c r="B78" s="88" t="str">
        <f>VLOOKUP(Data_PLT[[#This Row],[Hole ID]],Data_Log[],2,FALSE)</f>
        <v>CGF-02</v>
      </c>
      <c r="C78" s="63">
        <f>IF(Data_PLT[[#This Row],[Hole ID]]="","",
IF(COUNTIF($A$4:A78,Data_PLT[[#This Row],[Hole ID]])=1,1,
IF(A78=A77,C77+1,
COUNTIF($A$4:A78,Data_PLT[[#This Row],[Hole ID]]))))</f>
        <v>7</v>
      </c>
      <c r="D78" s="63" t="str">
        <f>IF(Data_PLT[[#This Row],[Hole ID]]="","",Data_PLT[[#This Row],[Hole ID]]&amp;"_"&amp;Data_PLT[[#This Row],[Sample ID]])</f>
        <v>COG-25-10_7</v>
      </c>
      <c r="E78" s="6"/>
      <c r="F78" s="6">
        <v>71.099999999999994</v>
      </c>
      <c r="G78" s="63" t="str" cm="1">
        <f t="array" ref="G78">_xlfn.XLOOKUP(1,(A78=Geotech!$A$4:$A$11100)*(Data_PLT[[#This Row],[Depth (m)]]&gt;=Geotech!$C$4:$C$11100)*(Data_PLT[[#This Row],[Depth (m)]]&lt;Geotech!$D$4:$D$11100),Geotech!$M$4:$M$11100)</f>
        <v>Boulamarque granodiorite</v>
      </c>
      <c r="H78" s="6" t="s">
        <v>299</v>
      </c>
      <c r="I78" s="63" t="str">
        <f>VLOOKUP(Data_PLT[[#This Row],[Hole ID]],Data_Log[[Hole ID]:[Core size]],20,FALSE)</f>
        <v>HQ</v>
      </c>
      <c r="J78" s="13">
        <f>VLOOKUP(Data_PLT[[#This Row],[Core Size]],Table_CoreSize[],2,FALSE)</f>
        <v>63.5</v>
      </c>
      <c r="K78" s="19">
        <v>110</v>
      </c>
      <c r="L78" s="19" t="s">
        <v>574</v>
      </c>
      <c r="M78" s="5">
        <v>138</v>
      </c>
      <c r="N78" s="5"/>
      <c r="O78" s="6" t="s">
        <v>165</v>
      </c>
      <c r="P78" s="13" t="str">
        <f>IF(Data_PLT[[#This Row],[Failure type]]="","",IF(OR(Data_PLT[[#This Row],[Failure type]]="Invalid",Data_PLT[[#This Row],[Failure type]]="Chipped",Data_PLT[[#This Row],[Failure type]]="Penetrate",Data_PLT[[#This Row],[Failure type]]="Did not break"),"Invalid","Valid"))</f>
        <v>Invalid</v>
      </c>
      <c r="Q78" s="6"/>
      <c r="R78" s="11"/>
      <c r="S78" s="13">
        <f>IF(Data_PLT[[#This Row],[Test type]]="Diametral",Data_PLT[[#This Row],[Diameter (mm)]],IF(Data_PLT[[#This Row],[Test type]]="Axial",SQRT(4*Data_PLT[[#This Row],[Diameter (mm)]]*Data_PLT[[#This Row],[Length or width (mm)]]/PI()),"ERROR"))</f>
        <v>63.5</v>
      </c>
      <c r="T78" s="13">
        <f>(Data_PLT[[#This Row],[Load (kN)]]*1000)/Data_PLT[[#This Row],[Equiv. Diam. (mm)]]^2</f>
        <v>0</v>
      </c>
      <c r="U78" s="13">
        <f>(Data_PLT[[#This Row],[Equiv. Diam. (mm)]]/50)^0.45</f>
        <v>1.1135550054708407</v>
      </c>
      <c r="V78" s="13">
        <f>Data_PLT[[#This Row],[Is (MPa)]]*Data_PLT[[#This Row],[F]]</f>
        <v>0</v>
      </c>
      <c r="W78" s="13" t="str">
        <f>Data_PLT[[#This Row],[Failure Validity]]&amp;"-"&amp;Data_PLT[[#This Row],[Test type]]</f>
        <v>Invalid-Diametral</v>
      </c>
      <c r="X78" s="13">
        <f>Data_PLT[[#This Row],[Is50 (MPa)]]*VLOOKUP("Min",Table_PLT_Conversion[],2,FALSE)</f>
        <v>0</v>
      </c>
      <c r="Y78" s="13">
        <f>Data_PLT[[#This Row],[Is50 (MPa)]]*VLOOKUP("Avg",Table_PLT_Conversion[],2,FALSE)</f>
        <v>0</v>
      </c>
      <c r="Z78" s="13">
        <f>Data_PLT[[#This Row],[Is50 (MPa)]]*VLOOKUP("Max",Table_PLT_Conversion[],2,FALSE)</f>
        <v>0</v>
      </c>
      <c r="AA78" s="62" t="e">
        <f>MATCH(LOOKUP(Data_PLT[[#This Row],[UCS min (MPa)]],Table_FieldStrength[Min UCS]),Table_FieldStrength[Min UCS],0)-1</f>
        <v>#N/A</v>
      </c>
      <c r="AB78" s="62" t="e">
        <f>MATCH(LOOKUP(Data_PLT[[#This Row],[UCS avg (MPa)]],Table_FieldStrength[Min UCS]),Table_FieldStrength[Min UCS],0)-1</f>
        <v>#N/A</v>
      </c>
      <c r="AC78" s="62" t="e">
        <f>MATCH(LOOKUP(Data_PLT[[#This Row],[UCS max (MPa)]],Table_FieldStrength[Min UCS]),Table_FieldStrength[Min UCS],0)-1</f>
        <v>#N/A</v>
      </c>
      <c r="AD78" s="68" t="e">
        <f>Data_PLT[[#This Row],[Test code]]&amp;"-"&amp;Data_PLT[[#This Row],[UCS min code]]</f>
        <v>#N/A</v>
      </c>
      <c r="AE78" s="68" t="e">
        <f>Data_PLT[[#This Row],[Test code]]&amp;"-"&amp;Data_PLT[[#This Row],[UCS avg code]]</f>
        <v>#N/A</v>
      </c>
      <c r="AF78" s="67" t="e">
        <f>Data_PLT[[#This Row],[Test code]]&amp;"-"&amp;Data_PLT[[#This Row],[UCS max code]]</f>
        <v>#N/A</v>
      </c>
      <c r="AG78" s="67" t="str">
        <f>Data_PLT[[#This Row],[Failure type]]&amp;"-"&amp;Data_PLT[[#This Row],[Test type]]&amp;"-"&amp;(IF(Data_PLT[[#This Row],[Is50 (MPa)]]&lt;1,1,IF(Data_PLT[[#This Row],[Is50 (MPa)]]&lt;2,2,IF(Data_PLT[[#This Row],[Is50 (MPa)]]&lt;4,3,IF(Data_PLT[[#This Row],[Is50 (MPa)]]&lt;8,4,5)))))</f>
        <v>Chipped-Diametral-1</v>
      </c>
    </row>
    <row r="79" spans="1:33" x14ac:dyDescent="0.25">
      <c r="A79" t="s">
        <v>30</v>
      </c>
      <c r="B79" s="88" t="str">
        <f>VLOOKUP(Data_PLT[[#This Row],[Hole ID]],Data_Log[],2,FALSE)</f>
        <v>CGF-02</v>
      </c>
      <c r="C79" s="63">
        <f>IF(Data_PLT[[#This Row],[Hole ID]]="","",
IF(COUNTIF($A$4:A79,Data_PLT[[#This Row],[Hole ID]])=1,1,
IF(A79=A78,C78+1,
COUNTIF($A$4:A79,Data_PLT[[#This Row],[Hole ID]]))))</f>
        <v>8</v>
      </c>
      <c r="D79" s="63" t="str">
        <f>IF(Data_PLT[[#This Row],[Hole ID]]="","",Data_PLT[[#This Row],[Hole ID]]&amp;"_"&amp;Data_PLT[[#This Row],[Sample ID]])</f>
        <v>COG-25-10_8</v>
      </c>
      <c r="E79" s="6"/>
      <c r="F79" s="6">
        <v>71.209999999999994</v>
      </c>
      <c r="G79" s="63" t="str" cm="1">
        <f t="array" ref="G79">_xlfn.XLOOKUP(1,(A79=Geotech!$A$4:$A$11100)*(Data_PLT[[#This Row],[Depth (m)]]&gt;=Geotech!$C$4:$C$11100)*(Data_PLT[[#This Row],[Depth (m)]]&lt;Geotech!$D$4:$D$11100),Geotech!$M$4:$M$11100)</f>
        <v>Boulamarque granodiorite</v>
      </c>
      <c r="H79" s="6" t="s">
        <v>299</v>
      </c>
      <c r="I79" s="63" t="str">
        <f>VLOOKUP(Data_PLT[[#This Row],[Hole ID]],Data_Log[[Hole ID]:[Core size]],20,FALSE)</f>
        <v>HQ</v>
      </c>
      <c r="J79" s="13">
        <f>VLOOKUP(Data_PLT[[#This Row],[Core Size]],Table_CoreSize[],2,FALSE)</f>
        <v>63.5</v>
      </c>
      <c r="K79" s="19">
        <v>130</v>
      </c>
      <c r="L79" s="19" t="s">
        <v>574</v>
      </c>
      <c r="M79" s="5">
        <v>29.2</v>
      </c>
      <c r="N79" s="5"/>
      <c r="O79" s="6" t="s">
        <v>163</v>
      </c>
      <c r="P79" s="13" t="str">
        <f>IF(Data_PLT[[#This Row],[Failure type]]="","",IF(OR(Data_PLT[[#This Row],[Failure type]]="Invalid",Data_PLT[[#This Row],[Failure type]]="Chipped",Data_PLT[[#This Row],[Failure type]]="Penetrate",Data_PLT[[#This Row],[Failure type]]="Did not break"),"Invalid","Valid"))</f>
        <v>Valid</v>
      </c>
      <c r="Q79" s="6"/>
      <c r="R79" s="11"/>
      <c r="S79" s="13">
        <f>IF(Data_PLT[[#This Row],[Test type]]="Diametral",Data_PLT[[#This Row],[Diameter (mm)]],IF(Data_PLT[[#This Row],[Test type]]="Axial",SQRT(4*Data_PLT[[#This Row],[Diameter (mm)]]*Data_PLT[[#This Row],[Length or width (mm)]]/PI()),"ERROR"))</f>
        <v>63.5</v>
      </c>
      <c r="T79" s="13">
        <f>(Data_PLT[[#This Row],[Load (kN)]]*1000)/Data_PLT[[#This Row],[Equiv. Diam. (mm)]]^2</f>
        <v>0</v>
      </c>
      <c r="U79" s="13">
        <f>(Data_PLT[[#This Row],[Equiv. Diam. (mm)]]/50)^0.45</f>
        <v>1.1135550054708407</v>
      </c>
      <c r="V79" s="13">
        <f>Data_PLT[[#This Row],[Is (MPa)]]*Data_PLT[[#This Row],[F]]</f>
        <v>0</v>
      </c>
      <c r="W79" s="13" t="str">
        <f>Data_PLT[[#This Row],[Failure Validity]]&amp;"-"&amp;Data_PLT[[#This Row],[Test type]]</f>
        <v>Valid-Diametral</v>
      </c>
      <c r="X79" s="13">
        <f>Data_PLT[[#This Row],[Is50 (MPa)]]*VLOOKUP("Min",Table_PLT_Conversion[],2,FALSE)</f>
        <v>0</v>
      </c>
      <c r="Y79" s="13">
        <f>Data_PLT[[#This Row],[Is50 (MPa)]]*VLOOKUP("Avg",Table_PLT_Conversion[],2,FALSE)</f>
        <v>0</v>
      </c>
      <c r="Z79" s="13">
        <f>Data_PLT[[#This Row],[Is50 (MPa)]]*VLOOKUP("Max",Table_PLT_Conversion[],2,FALSE)</f>
        <v>0</v>
      </c>
      <c r="AA79" s="62" t="e">
        <f>MATCH(LOOKUP(Data_PLT[[#This Row],[UCS min (MPa)]],Table_FieldStrength[Min UCS]),Table_FieldStrength[Min UCS],0)-1</f>
        <v>#N/A</v>
      </c>
      <c r="AB79" s="62" t="e">
        <f>MATCH(LOOKUP(Data_PLT[[#This Row],[UCS avg (MPa)]],Table_FieldStrength[Min UCS]),Table_FieldStrength[Min UCS],0)-1</f>
        <v>#N/A</v>
      </c>
      <c r="AC79" s="62" t="e">
        <f>MATCH(LOOKUP(Data_PLT[[#This Row],[UCS max (MPa)]],Table_FieldStrength[Min UCS]),Table_FieldStrength[Min UCS],0)-1</f>
        <v>#N/A</v>
      </c>
      <c r="AD79" s="68" t="e">
        <f>Data_PLT[[#This Row],[Test code]]&amp;"-"&amp;Data_PLT[[#This Row],[UCS min code]]</f>
        <v>#N/A</v>
      </c>
      <c r="AE79" s="68" t="e">
        <f>Data_PLT[[#This Row],[Test code]]&amp;"-"&amp;Data_PLT[[#This Row],[UCS avg code]]</f>
        <v>#N/A</v>
      </c>
      <c r="AF79" s="67" t="e">
        <f>Data_PLT[[#This Row],[Test code]]&amp;"-"&amp;Data_PLT[[#This Row],[UCS max code]]</f>
        <v>#N/A</v>
      </c>
      <c r="AG79" s="67" t="str">
        <f>Data_PLT[[#This Row],[Failure type]]&amp;"-"&amp;Data_PLT[[#This Row],[Test type]]&amp;"-"&amp;(IF(Data_PLT[[#This Row],[Is50 (MPa)]]&lt;1,1,IF(Data_PLT[[#This Row],[Is50 (MPa)]]&lt;2,2,IF(Data_PLT[[#This Row],[Is50 (MPa)]]&lt;4,3,IF(Data_PLT[[#This Row],[Is50 (MPa)]]&lt;8,4,5)))))</f>
        <v>Broke along MD-Diametral-1</v>
      </c>
    </row>
    <row r="80" spans="1:33" x14ac:dyDescent="0.25">
      <c r="A80" t="s">
        <v>30</v>
      </c>
      <c r="B80" s="88" t="str">
        <f>VLOOKUP(Data_PLT[[#This Row],[Hole ID]],Data_Log[],2,FALSE)</f>
        <v>CGF-02</v>
      </c>
      <c r="C80" s="63">
        <f>IF(Data_PLT[[#This Row],[Hole ID]]="","",
IF(COUNTIF($A$4:A80,Data_PLT[[#This Row],[Hole ID]])=1,1,
IF(A80=A79,C79+1,
COUNTIF($A$4:A80,Data_PLT[[#This Row],[Hole ID]]))))</f>
        <v>9</v>
      </c>
      <c r="D80" s="63" t="str">
        <f>IF(Data_PLT[[#This Row],[Hole ID]]="","",Data_PLT[[#This Row],[Hole ID]]&amp;"_"&amp;Data_PLT[[#This Row],[Sample ID]])</f>
        <v>COG-25-10_9</v>
      </c>
      <c r="E80" s="6"/>
      <c r="F80" s="6">
        <v>72.86</v>
      </c>
      <c r="G80" s="63" t="str" cm="1">
        <f t="array" ref="G80">_xlfn.XLOOKUP(1,(A80=Geotech!$A$4:$A$11100)*(Data_PLT[[#This Row],[Depth (m)]]&gt;=Geotech!$C$4:$C$11100)*(Data_PLT[[#This Row],[Depth (m)]]&lt;Geotech!$D$4:$D$11100),Geotech!$M$4:$M$11100)</f>
        <v>Boulamarque granodiorite</v>
      </c>
      <c r="H80" s="6" t="s">
        <v>299</v>
      </c>
      <c r="I80" s="63" t="str">
        <f>VLOOKUP(Data_PLT[[#This Row],[Hole ID]],Data_Log[[Hole ID]:[Core size]],20,FALSE)</f>
        <v>HQ</v>
      </c>
      <c r="J80" s="13">
        <f>VLOOKUP(Data_PLT[[#This Row],[Core Size]],Table_CoreSize[],2,FALSE)</f>
        <v>63.5</v>
      </c>
      <c r="K80" s="19">
        <v>70</v>
      </c>
      <c r="L80" s="19" t="s">
        <v>574</v>
      </c>
      <c r="M80" s="5">
        <v>5.2</v>
      </c>
      <c r="N80" s="5"/>
      <c r="O80" s="6" t="s">
        <v>334</v>
      </c>
      <c r="P80" s="13" t="str">
        <f>IF(Data_PLT[[#This Row],[Failure type]]="","",IF(OR(Data_PLT[[#This Row],[Failure type]]="Invalid",Data_PLT[[#This Row],[Failure type]]="Chipped",Data_PLT[[#This Row],[Failure type]]="Penetrate",Data_PLT[[#This Row],[Failure type]]="Did not break"),"Invalid","Valid"))</f>
        <v>Valid</v>
      </c>
      <c r="Q80" s="6"/>
      <c r="R80" s="11"/>
      <c r="S80" s="13">
        <f>IF(Data_PLT[[#This Row],[Test type]]="Diametral",Data_PLT[[#This Row],[Diameter (mm)]],IF(Data_PLT[[#This Row],[Test type]]="Axial",SQRT(4*Data_PLT[[#This Row],[Diameter (mm)]]*Data_PLT[[#This Row],[Length or width (mm)]]/PI()),"ERROR"))</f>
        <v>63.5</v>
      </c>
      <c r="T80" s="13">
        <f>(Data_PLT[[#This Row],[Load (kN)]]*1000)/Data_PLT[[#This Row],[Equiv. Diam. (mm)]]^2</f>
        <v>0</v>
      </c>
      <c r="U80" s="13">
        <f>(Data_PLT[[#This Row],[Equiv. Diam. (mm)]]/50)^0.45</f>
        <v>1.1135550054708407</v>
      </c>
      <c r="V80" s="13">
        <f>Data_PLT[[#This Row],[Is (MPa)]]*Data_PLT[[#This Row],[F]]</f>
        <v>0</v>
      </c>
      <c r="W80" s="13" t="str">
        <f>Data_PLT[[#This Row],[Failure Validity]]&amp;"-"&amp;Data_PLT[[#This Row],[Test type]]</f>
        <v>Valid-Diametral</v>
      </c>
      <c r="X80" s="13">
        <f>Data_PLT[[#This Row],[Is50 (MPa)]]*VLOOKUP("Min",Table_PLT_Conversion[],2,FALSE)</f>
        <v>0</v>
      </c>
      <c r="Y80" s="13">
        <f>Data_PLT[[#This Row],[Is50 (MPa)]]*VLOOKUP("Avg",Table_PLT_Conversion[],2,FALSE)</f>
        <v>0</v>
      </c>
      <c r="Z80" s="13">
        <f>Data_PLT[[#This Row],[Is50 (MPa)]]*VLOOKUP("Max",Table_PLT_Conversion[],2,FALSE)</f>
        <v>0</v>
      </c>
      <c r="AA80" s="62" t="e">
        <f>MATCH(LOOKUP(Data_PLT[[#This Row],[UCS min (MPa)]],Table_FieldStrength[Min UCS]),Table_FieldStrength[Min UCS],0)-1</f>
        <v>#N/A</v>
      </c>
      <c r="AB80" s="62" t="e">
        <f>MATCH(LOOKUP(Data_PLT[[#This Row],[UCS avg (MPa)]],Table_FieldStrength[Min UCS]),Table_FieldStrength[Min UCS],0)-1</f>
        <v>#N/A</v>
      </c>
      <c r="AC80" s="62" t="e">
        <f>MATCH(LOOKUP(Data_PLT[[#This Row],[UCS max (MPa)]],Table_FieldStrength[Min UCS]),Table_FieldStrength[Min UCS],0)-1</f>
        <v>#N/A</v>
      </c>
      <c r="AD80" s="68" t="e">
        <f>Data_PLT[[#This Row],[Test code]]&amp;"-"&amp;Data_PLT[[#This Row],[UCS min code]]</f>
        <v>#N/A</v>
      </c>
      <c r="AE80" s="68" t="e">
        <f>Data_PLT[[#This Row],[Test code]]&amp;"-"&amp;Data_PLT[[#This Row],[UCS avg code]]</f>
        <v>#N/A</v>
      </c>
      <c r="AF80" s="67" t="e">
        <f>Data_PLT[[#This Row],[Test code]]&amp;"-"&amp;Data_PLT[[#This Row],[UCS max code]]</f>
        <v>#N/A</v>
      </c>
      <c r="AG80" s="67" t="str">
        <f>Data_PLT[[#This Row],[Failure type]]&amp;"-"&amp;Data_PLT[[#This Row],[Test type]]&amp;"-"&amp;(IF(Data_PLT[[#This Row],[Is50 (MPa)]]&lt;1,1,IF(Data_PLT[[#This Row],[Is50 (MPa)]]&lt;2,2,IF(Data_PLT[[#This Row],[Is50 (MPa)]]&lt;4,3,IF(Data_PLT[[#This Row],[Is50 (MPa)]]&lt;8,4,5)))))</f>
        <v>Along bedding/foliation-Diametral-1</v>
      </c>
    </row>
    <row r="81" spans="1:33" x14ac:dyDescent="0.25">
      <c r="A81" t="s">
        <v>30</v>
      </c>
      <c r="B81" s="88" t="str">
        <f>VLOOKUP(Data_PLT[[#This Row],[Hole ID]],Data_Log[],2,FALSE)</f>
        <v>CGF-02</v>
      </c>
      <c r="C81" s="63">
        <f>IF(Data_PLT[[#This Row],[Hole ID]]="","",
IF(COUNTIF($A$4:A81,Data_PLT[[#This Row],[Hole ID]])=1,1,
IF(A81=A80,C80+1,
COUNTIF($A$4:A81,Data_PLT[[#This Row],[Hole ID]]))))</f>
        <v>10</v>
      </c>
      <c r="D81" s="63" t="str">
        <f>IF(Data_PLT[[#This Row],[Hole ID]]="","",Data_PLT[[#This Row],[Hole ID]]&amp;"_"&amp;Data_PLT[[#This Row],[Sample ID]])</f>
        <v>COG-25-10_10</v>
      </c>
      <c r="E81" s="6"/>
      <c r="F81" s="6">
        <v>75.7</v>
      </c>
      <c r="G81" s="63" t="str" cm="1">
        <f t="array" ref="G81">_xlfn.XLOOKUP(1,(A81=Geotech!$A$4:$A$11100)*(Data_PLT[[#This Row],[Depth (m)]]&gt;=Geotech!$C$4:$C$11100)*(Data_PLT[[#This Row],[Depth (m)]]&lt;Geotech!$D$4:$D$11100),Geotech!$M$4:$M$11100)</f>
        <v>Boulamarque granodiorite</v>
      </c>
      <c r="H81" s="6" t="s">
        <v>299</v>
      </c>
      <c r="I81" s="63" t="str">
        <f>VLOOKUP(Data_PLT[[#This Row],[Hole ID]],Data_Log[[Hole ID]:[Core size]],20,FALSE)</f>
        <v>HQ</v>
      </c>
      <c r="J81" s="13">
        <f>VLOOKUP(Data_PLT[[#This Row],[Core Size]],Table_CoreSize[],2,FALSE)</f>
        <v>63.5</v>
      </c>
      <c r="K81" s="19">
        <v>120</v>
      </c>
      <c r="L81" s="19" t="s">
        <v>574</v>
      </c>
      <c r="M81" s="5">
        <v>330.2</v>
      </c>
      <c r="N81" s="5"/>
      <c r="O81" s="6" t="s">
        <v>334</v>
      </c>
      <c r="P81" s="13" t="str">
        <f>IF(Data_PLT[[#This Row],[Failure type]]="","",IF(OR(Data_PLT[[#This Row],[Failure type]]="Invalid",Data_PLT[[#This Row],[Failure type]]="Chipped",Data_PLT[[#This Row],[Failure type]]="Penetrate",Data_PLT[[#This Row],[Failure type]]="Did not break"),"Invalid","Valid"))</f>
        <v>Valid</v>
      </c>
      <c r="Q81" s="6"/>
      <c r="R81" s="11"/>
      <c r="S81" s="13">
        <f>IF(Data_PLT[[#This Row],[Test type]]="Diametral",Data_PLT[[#This Row],[Diameter (mm)]],IF(Data_PLT[[#This Row],[Test type]]="Axial",SQRT(4*Data_PLT[[#This Row],[Diameter (mm)]]*Data_PLT[[#This Row],[Length or width (mm)]]/PI()),"ERROR"))</f>
        <v>63.5</v>
      </c>
      <c r="T81" s="13">
        <f>(Data_PLT[[#This Row],[Load (kN)]]*1000)/Data_PLT[[#This Row],[Equiv. Diam. (mm)]]^2</f>
        <v>0</v>
      </c>
      <c r="U81" s="13">
        <f>(Data_PLT[[#This Row],[Equiv. Diam. (mm)]]/50)^0.45</f>
        <v>1.1135550054708407</v>
      </c>
      <c r="V81" s="13">
        <f>Data_PLT[[#This Row],[Is (MPa)]]*Data_PLT[[#This Row],[F]]</f>
        <v>0</v>
      </c>
      <c r="W81" s="13" t="str">
        <f>Data_PLT[[#This Row],[Failure Validity]]&amp;"-"&amp;Data_PLT[[#This Row],[Test type]]</f>
        <v>Valid-Diametral</v>
      </c>
      <c r="X81" s="13">
        <f>Data_PLT[[#This Row],[Is50 (MPa)]]*VLOOKUP("Min",Table_PLT_Conversion[],2,FALSE)</f>
        <v>0</v>
      </c>
      <c r="Y81" s="13">
        <f>Data_PLT[[#This Row],[Is50 (MPa)]]*VLOOKUP("Avg",Table_PLT_Conversion[],2,FALSE)</f>
        <v>0</v>
      </c>
      <c r="Z81" s="13">
        <f>Data_PLT[[#This Row],[Is50 (MPa)]]*VLOOKUP("Max",Table_PLT_Conversion[],2,FALSE)</f>
        <v>0</v>
      </c>
      <c r="AA81" s="62" t="e">
        <f>MATCH(LOOKUP(Data_PLT[[#This Row],[UCS min (MPa)]],Table_FieldStrength[Min UCS]),Table_FieldStrength[Min UCS],0)-1</f>
        <v>#N/A</v>
      </c>
      <c r="AB81" s="62" t="e">
        <f>MATCH(LOOKUP(Data_PLT[[#This Row],[UCS avg (MPa)]],Table_FieldStrength[Min UCS]),Table_FieldStrength[Min UCS],0)-1</f>
        <v>#N/A</v>
      </c>
      <c r="AC81" s="62" t="e">
        <f>MATCH(LOOKUP(Data_PLT[[#This Row],[UCS max (MPa)]],Table_FieldStrength[Min UCS]),Table_FieldStrength[Min UCS],0)-1</f>
        <v>#N/A</v>
      </c>
      <c r="AD81" s="68" t="e">
        <f>Data_PLT[[#This Row],[Test code]]&amp;"-"&amp;Data_PLT[[#This Row],[UCS min code]]</f>
        <v>#N/A</v>
      </c>
      <c r="AE81" s="68" t="e">
        <f>Data_PLT[[#This Row],[Test code]]&amp;"-"&amp;Data_PLT[[#This Row],[UCS avg code]]</f>
        <v>#N/A</v>
      </c>
      <c r="AF81" s="67" t="e">
        <f>Data_PLT[[#This Row],[Test code]]&amp;"-"&amp;Data_PLT[[#This Row],[UCS max code]]</f>
        <v>#N/A</v>
      </c>
      <c r="AG81" s="67" t="str">
        <f>Data_PLT[[#This Row],[Failure type]]&amp;"-"&amp;Data_PLT[[#This Row],[Test type]]&amp;"-"&amp;(IF(Data_PLT[[#This Row],[Is50 (MPa)]]&lt;1,1,IF(Data_PLT[[#This Row],[Is50 (MPa)]]&lt;2,2,IF(Data_PLT[[#This Row],[Is50 (MPa)]]&lt;4,3,IF(Data_PLT[[#This Row],[Is50 (MPa)]]&lt;8,4,5)))))</f>
        <v>Along bedding/foliation-Diametral-1</v>
      </c>
    </row>
    <row r="82" spans="1:33" x14ac:dyDescent="0.25">
      <c r="A82" t="s">
        <v>30</v>
      </c>
      <c r="B82" s="88" t="str">
        <f>VLOOKUP(Data_PLT[[#This Row],[Hole ID]],Data_Log[],2,FALSE)</f>
        <v>CGF-02</v>
      </c>
      <c r="C82" s="63">
        <f>IF(Data_PLT[[#This Row],[Hole ID]]="","",
IF(COUNTIF($A$4:A82,Data_PLT[[#This Row],[Hole ID]])=1,1,
IF(A82=A81,C81+1,
COUNTIF($A$4:A82,Data_PLT[[#This Row],[Hole ID]]))))</f>
        <v>11</v>
      </c>
      <c r="D82" s="63" t="str">
        <f>IF(Data_PLT[[#This Row],[Hole ID]]="","",Data_PLT[[#This Row],[Hole ID]]&amp;"_"&amp;Data_PLT[[#This Row],[Sample ID]])</f>
        <v>COG-25-10_11</v>
      </c>
      <c r="E82" s="6"/>
      <c r="F82" s="6">
        <v>78</v>
      </c>
      <c r="G82" s="63" t="str" cm="1">
        <f t="array" ref="G82">_xlfn.XLOOKUP(1,(A82=Geotech!$A$4:$A$11100)*(Data_PLT[[#This Row],[Depth (m)]]&gt;=Geotech!$C$4:$C$11100)*(Data_PLT[[#This Row],[Depth (m)]]&lt;Geotech!$D$4:$D$11100),Geotech!$M$4:$M$11100)</f>
        <v>Diorite</v>
      </c>
      <c r="H82" s="6" t="s">
        <v>299</v>
      </c>
      <c r="I82" s="63" t="str">
        <f>VLOOKUP(Data_PLT[[#This Row],[Hole ID]],Data_Log[[Hole ID]:[Core size]],20,FALSE)</f>
        <v>HQ</v>
      </c>
      <c r="J82" s="13">
        <f>VLOOKUP(Data_PLT[[#This Row],[Core Size]],Table_CoreSize[],2,FALSE)</f>
        <v>63.5</v>
      </c>
      <c r="K82" s="19">
        <v>150</v>
      </c>
      <c r="L82" s="19" t="s">
        <v>574</v>
      </c>
      <c r="M82" s="5">
        <v>316</v>
      </c>
      <c r="N82" s="5"/>
      <c r="O82" s="6" t="s">
        <v>165</v>
      </c>
      <c r="P82" s="13" t="str">
        <f>IF(Data_PLT[[#This Row],[Failure type]]="","",IF(OR(Data_PLT[[#This Row],[Failure type]]="Invalid",Data_PLT[[#This Row],[Failure type]]="Chipped",Data_PLT[[#This Row],[Failure type]]="Penetrate",Data_PLT[[#This Row],[Failure type]]="Did not break"),"Invalid","Valid"))</f>
        <v>Invalid</v>
      </c>
      <c r="Q82" s="6"/>
      <c r="R82" s="11"/>
      <c r="S82" s="13">
        <f>IF(Data_PLT[[#This Row],[Test type]]="Diametral",Data_PLT[[#This Row],[Diameter (mm)]],IF(Data_PLT[[#This Row],[Test type]]="Axial",SQRT(4*Data_PLT[[#This Row],[Diameter (mm)]]*Data_PLT[[#This Row],[Length or width (mm)]]/PI()),"ERROR"))</f>
        <v>63.5</v>
      </c>
      <c r="T82" s="13">
        <f>(Data_PLT[[#This Row],[Load (kN)]]*1000)/Data_PLT[[#This Row],[Equiv. Diam. (mm)]]^2</f>
        <v>0</v>
      </c>
      <c r="U82" s="13">
        <f>(Data_PLT[[#This Row],[Equiv. Diam. (mm)]]/50)^0.45</f>
        <v>1.1135550054708407</v>
      </c>
      <c r="V82" s="13">
        <f>Data_PLT[[#This Row],[Is (MPa)]]*Data_PLT[[#This Row],[F]]</f>
        <v>0</v>
      </c>
      <c r="W82" s="13" t="str">
        <f>Data_PLT[[#This Row],[Failure Validity]]&amp;"-"&amp;Data_PLT[[#This Row],[Test type]]</f>
        <v>Invalid-Diametral</v>
      </c>
      <c r="X82" s="13">
        <f>Data_PLT[[#This Row],[Is50 (MPa)]]*VLOOKUP("Min",Table_PLT_Conversion[],2,FALSE)</f>
        <v>0</v>
      </c>
      <c r="Y82" s="13">
        <f>Data_PLT[[#This Row],[Is50 (MPa)]]*VLOOKUP("Avg",Table_PLT_Conversion[],2,FALSE)</f>
        <v>0</v>
      </c>
      <c r="Z82" s="13">
        <f>Data_PLT[[#This Row],[Is50 (MPa)]]*VLOOKUP("Max",Table_PLT_Conversion[],2,FALSE)</f>
        <v>0</v>
      </c>
      <c r="AA82" s="62" t="e">
        <f>MATCH(LOOKUP(Data_PLT[[#This Row],[UCS min (MPa)]],Table_FieldStrength[Min UCS]),Table_FieldStrength[Min UCS],0)-1</f>
        <v>#N/A</v>
      </c>
      <c r="AB82" s="62" t="e">
        <f>MATCH(LOOKUP(Data_PLT[[#This Row],[UCS avg (MPa)]],Table_FieldStrength[Min UCS]),Table_FieldStrength[Min UCS],0)-1</f>
        <v>#N/A</v>
      </c>
      <c r="AC82" s="62" t="e">
        <f>MATCH(LOOKUP(Data_PLT[[#This Row],[UCS max (MPa)]],Table_FieldStrength[Min UCS]),Table_FieldStrength[Min UCS],0)-1</f>
        <v>#N/A</v>
      </c>
      <c r="AD82" s="68" t="e">
        <f>Data_PLT[[#This Row],[Test code]]&amp;"-"&amp;Data_PLT[[#This Row],[UCS min code]]</f>
        <v>#N/A</v>
      </c>
      <c r="AE82" s="68" t="e">
        <f>Data_PLT[[#This Row],[Test code]]&amp;"-"&amp;Data_PLT[[#This Row],[UCS avg code]]</f>
        <v>#N/A</v>
      </c>
      <c r="AF82" s="67" t="e">
        <f>Data_PLT[[#This Row],[Test code]]&amp;"-"&amp;Data_PLT[[#This Row],[UCS max code]]</f>
        <v>#N/A</v>
      </c>
      <c r="AG82" s="67" t="str">
        <f>Data_PLT[[#This Row],[Failure type]]&amp;"-"&amp;Data_PLT[[#This Row],[Test type]]&amp;"-"&amp;(IF(Data_PLT[[#This Row],[Is50 (MPa)]]&lt;1,1,IF(Data_PLT[[#This Row],[Is50 (MPa)]]&lt;2,2,IF(Data_PLT[[#This Row],[Is50 (MPa)]]&lt;4,3,IF(Data_PLT[[#This Row],[Is50 (MPa)]]&lt;8,4,5)))))</f>
        <v>Chipped-Diametral-1</v>
      </c>
    </row>
    <row r="83" spans="1:33" x14ac:dyDescent="0.25">
      <c r="A83" t="s">
        <v>30</v>
      </c>
      <c r="B83" s="88" t="str">
        <f>VLOOKUP(Data_PLT[[#This Row],[Hole ID]],Data_Log[],2,FALSE)</f>
        <v>CGF-02</v>
      </c>
      <c r="C83" s="63">
        <f>IF(Data_PLT[[#This Row],[Hole ID]]="","",
IF(COUNTIF($A$4:A83,Data_PLT[[#This Row],[Hole ID]])=1,1,
IF(A83=A82,C82+1,
COUNTIF($A$4:A83,Data_PLT[[#This Row],[Hole ID]]))))</f>
        <v>12</v>
      </c>
      <c r="D83" s="63" t="str">
        <f>IF(Data_PLT[[#This Row],[Hole ID]]="","",Data_PLT[[#This Row],[Hole ID]]&amp;"_"&amp;Data_PLT[[#This Row],[Sample ID]])</f>
        <v>COG-25-10_12</v>
      </c>
      <c r="E83" s="6"/>
      <c r="F83" s="6">
        <v>78.95</v>
      </c>
      <c r="G83" s="63" t="str" cm="1">
        <f t="array" ref="G83">_xlfn.XLOOKUP(1,(A83=Geotech!$A$4:$A$11100)*(Data_PLT[[#This Row],[Depth (m)]]&gt;=Geotech!$C$4:$C$11100)*(Data_PLT[[#This Row],[Depth (m)]]&lt;Geotech!$D$4:$D$11100),Geotech!$M$4:$M$11100)</f>
        <v>Diorite</v>
      </c>
      <c r="H83" s="6" t="s">
        <v>299</v>
      </c>
      <c r="I83" s="63" t="str">
        <f>VLOOKUP(Data_PLT[[#This Row],[Hole ID]],Data_Log[[Hole ID]:[Core size]],20,FALSE)</f>
        <v>HQ</v>
      </c>
      <c r="J83" s="13">
        <f>VLOOKUP(Data_PLT[[#This Row],[Core Size]],Table_CoreSize[],2,FALSE)</f>
        <v>63.5</v>
      </c>
      <c r="K83" s="19">
        <v>70</v>
      </c>
      <c r="L83" s="19" t="s">
        <v>574</v>
      </c>
      <c r="M83" s="5">
        <v>157.80000000000001</v>
      </c>
      <c r="N83" s="5"/>
      <c r="O83" s="6" t="s">
        <v>334</v>
      </c>
      <c r="P83" s="13" t="str">
        <f>IF(Data_PLT[[#This Row],[Failure type]]="","",IF(OR(Data_PLT[[#This Row],[Failure type]]="Invalid",Data_PLT[[#This Row],[Failure type]]="Chipped",Data_PLT[[#This Row],[Failure type]]="Penetrate",Data_PLT[[#This Row],[Failure type]]="Did not break"),"Invalid","Valid"))</f>
        <v>Valid</v>
      </c>
      <c r="Q83" s="6"/>
      <c r="R83" s="11"/>
      <c r="S83" s="13">
        <f>IF(Data_PLT[[#This Row],[Test type]]="Diametral",Data_PLT[[#This Row],[Diameter (mm)]],IF(Data_PLT[[#This Row],[Test type]]="Axial",SQRT(4*Data_PLT[[#This Row],[Diameter (mm)]]*Data_PLT[[#This Row],[Length or width (mm)]]/PI()),"ERROR"))</f>
        <v>63.5</v>
      </c>
      <c r="T83" s="13">
        <f>(Data_PLT[[#This Row],[Load (kN)]]*1000)/Data_PLT[[#This Row],[Equiv. Diam. (mm)]]^2</f>
        <v>0</v>
      </c>
      <c r="U83" s="13">
        <f>(Data_PLT[[#This Row],[Equiv. Diam. (mm)]]/50)^0.45</f>
        <v>1.1135550054708407</v>
      </c>
      <c r="V83" s="13">
        <f>Data_PLT[[#This Row],[Is (MPa)]]*Data_PLT[[#This Row],[F]]</f>
        <v>0</v>
      </c>
      <c r="W83" s="13" t="str">
        <f>Data_PLT[[#This Row],[Failure Validity]]&amp;"-"&amp;Data_PLT[[#This Row],[Test type]]</f>
        <v>Valid-Diametral</v>
      </c>
      <c r="X83" s="13">
        <f>Data_PLT[[#This Row],[Is50 (MPa)]]*VLOOKUP("Min",Table_PLT_Conversion[],2,FALSE)</f>
        <v>0</v>
      </c>
      <c r="Y83" s="13">
        <f>Data_PLT[[#This Row],[Is50 (MPa)]]*VLOOKUP("Avg",Table_PLT_Conversion[],2,FALSE)</f>
        <v>0</v>
      </c>
      <c r="Z83" s="13">
        <f>Data_PLT[[#This Row],[Is50 (MPa)]]*VLOOKUP("Max",Table_PLT_Conversion[],2,FALSE)</f>
        <v>0</v>
      </c>
      <c r="AA83" s="62" t="e">
        <f>MATCH(LOOKUP(Data_PLT[[#This Row],[UCS min (MPa)]],Table_FieldStrength[Min UCS]),Table_FieldStrength[Min UCS],0)-1</f>
        <v>#N/A</v>
      </c>
      <c r="AB83" s="62" t="e">
        <f>MATCH(LOOKUP(Data_PLT[[#This Row],[UCS avg (MPa)]],Table_FieldStrength[Min UCS]),Table_FieldStrength[Min UCS],0)-1</f>
        <v>#N/A</v>
      </c>
      <c r="AC83" s="62" t="e">
        <f>MATCH(LOOKUP(Data_PLT[[#This Row],[UCS max (MPa)]],Table_FieldStrength[Min UCS]),Table_FieldStrength[Min UCS],0)-1</f>
        <v>#N/A</v>
      </c>
      <c r="AD83" s="68" t="e">
        <f>Data_PLT[[#This Row],[Test code]]&amp;"-"&amp;Data_PLT[[#This Row],[UCS min code]]</f>
        <v>#N/A</v>
      </c>
      <c r="AE83" s="68" t="e">
        <f>Data_PLT[[#This Row],[Test code]]&amp;"-"&amp;Data_PLT[[#This Row],[UCS avg code]]</f>
        <v>#N/A</v>
      </c>
      <c r="AF83" s="67" t="e">
        <f>Data_PLT[[#This Row],[Test code]]&amp;"-"&amp;Data_PLT[[#This Row],[UCS max code]]</f>
        <v>#N/A</v>
      </c>
      <c r="AG83" s="67" t="str">
        <f>Data_PLT[[#This Row],[Failure type]]&amp;"-"&amp;Data_PLT[[#This Row],[Test type]]&amp;"-"&amp;(IF(Data_PLT[[#This Row],[Is50 (MPa)]]&lt;1,1,IF(Data_PLT[[#This Row],[Is50 (MPa)]]&lt;2,2,IF(Data_PLT[[#This Row],[Is50 (MPa)]]&lt;4,3,IF(Data_PLT[[#This Row],[Is50 (MPa)]]&lt;8,4,5)))))</f>
        <v>Along bedding/foliation-Diametral-1</v>
      </c>
    </row>
    <row r="84" spans="1:33" x14ac:dyDescent="0.25">
      <c r="A84" t="s">
        <v>30</v>
      </c>
      <c r="B84" s="88" t="str">
        <f>VLOOKUP(Data_PLT[[#This Row],[Hole ID]],Data_Log[],2,FALSE)</f>
        <v>CGF-02</v>
      </c>
      <c r="C84" s="63">
        <f>IF(Data_PLT[[#This Row],[Hole ID]]="","",
IF(COUNTIF($A$4:A84,Data_PLT[[#This Row],[Hole ID]])=1,1,
IF(A84=A83,C83+1,
COUNTIF($A$4:A84,Data_PLT[[#This Row],[Hole ID]]))))</f>
        <v>13</v>
      </c>
      <c r="D84" s="63" t="str">
        <f>IF(Data_PLT[[#This Row],[Hole ID]]="","",Data_PLT[[#This Row],[Hole ID]]&amp;"_"&amp;Data_PLT[[#This Row],[Sample ID]])</f>
        <v>COG-25-10_13</v>
      </c>
      <c r="E84" s="6"/>
      <c r="F84" s="6">
        <v>83.85</v>
      </c>
      <c r="G84" s="63" t="str" cm="1">
        <f t="array" ref="G84">_xlfn.XLOOKUP(1,(A84=Geotech!$A$4:$A$11100)*(Data_PLT[[#This Row],[Depth (m)]]&gt;=Geotech!$C$4:$C$11100)*(Data_PLT[[#This Row],[Depth (m)]]&lt;Geotech!$D$4:$D$11100),Geotech!$M$4:$M$11100)</f>
        <v>Diorite</v>
      </c>
      <c r="H84" s="6" t="s">
        <v>299</v>
      </c>
      <c r="I84" s="63" t="str">
        <f>VLOOKUP(Data_PLT[[#This Row],[Hole ID]],Data_Log[[Hole ID]:[Core size]],20,FALSE)</f>
        <v>HQ</v>
      </c>
      <c r="J84" s="13">
        <f>VLOOKUP(Data_PLT[[#This Row],[Core Size]],Table_CoreSize[],2,FALSE)</f>
        <v>63.5</v>
      </c>
      <c r="K84" s="19">
        <v>100</v>
      </c>
      <c r="L84" s="19" t="s">
        <v>574</v>
      </c>
      <c r="M84" s="5">
        <v>121.8</v>
      </c>
      <c r="N84" s="5"/>
      <c r="O84" s="6" t="s">
        <v>165</v>
      </c>
      <c r="P84" s="13" t="str">
        <f>IF(Data_PLT[[#This Row],[Failure type]]="","",IF(OR(Data_PLT[[#This Row],[Failure type]]="Invalid",Data_PLT[[#This Row],[Failure type]]="Chipped",Data_PLT[[#This Row],[Failure type]]="Penetrate",Data_PLT[[#This Row],[Failure type]]="Did not break"),"Invalid","Valid"))</f>
        <v>Invalid</v>
      </c>
      <c r="Q84" s="6"/>
      <c r="R84" s="11"/>
      <c r="S84" s="13">
        <f>IF(Data_PLT[[#This Row],[Test type]]="Diametral",Data_PLT[[#This Row],[Diameter (mm)]],IF(Data_PLT[[#This Row],[Test type]]="Axial",SQRT(4*Data_PLT[[#This Row],[Diameter (mm)]]*Data_PLT[[#This Row],[Length or width (mm)]]/PI()),"ERROR"))</f>
        <v>63.5</v>
      </c>
      <c r="T84" s="13">
        <f>(Data_PLT[[#This Row],[Load (kN)]]*1000)/Data_PLT[[#This Row],[Equiv. Diam. (mm)]]^2</f>
        <v>0</v>
      </c>
      <c r="U84" s="13">
        <f>(Data_PLT[[#This Row],[Equiv. Diam. (mm)]]/50)^0.45</f>
        <v>1.1135550054708407</v>
      </c>
      <c r="V84" s="13">
        <f>Data_PLT[[#This Row],[Is (MPa)]]*Data_PLT[[#This Row],[F]]</f>
        <v>0</v>
      </c>
      <c r="W84" s="13" t="str">
        <f>Data_PLT[[#This Row],[Failure Validity]]&amp;"-"&amp;Data_PLT[[#This Row],[Test type]]</f>
        <v>Invalid-Diametral</v>
      </c>
      <c r="X84" s="13">
        <f>Data_PLT[[#This Row],[Is50 (MPa)]]*VLOOKUP("Min",Table_PLT_Conversion[],2,FALSE)</f>
        <v>0</v>
      </c>
      <c r="Y84" s="13">
        <f>Data_PLT[[#This Row],[Is50 (MPa)]]*VLOOKUP("Avg",Table_PLT_Conversion[],2,FALSE)</f>
        <v>0</v>
      </c>
      <c r="Z84" s="13">
        <f>Data_PLT[[#This Row],[Is50 (MPa)]]*VLOOKUP("Max",Table_PLT_Conversion[],2,FALSE)</f>
        <v>0</v>
      </c>
      <c r="AA84" s="62" t="e">
        <f>MATCH(LOOKUP(Data_PLT[[#This Row],[UCS min (MPa)]],Table_FieldStrength[Min UCS]),Table_FieldStrength[Min UCS],0)-1</f>
        <v>#N/A</v>
      </c>
      <c r="AB84" s="62" t="e">
        <f>MATCH(LOOKUP(Data_PLT[[#This Row],[UCS avg (MPa)]],Table_FieldStrength[Min UCS]),Table_FieldStrength[Min UCS],0)-1</f>
        <v>#N/A</v>
      </c>
      <c r="AC84" s="62" t="e">
        <f>MATCH(LOOKUP(Data_PLT[[#This Row],[UCS max (MPa)]],Table_FieldStrength[Min UCS]),Table_FieldStrength[Min UCS],0)-1</f>
        <v>#N/A</v>
      </c>
      <c r="AD84" s="68" t="e">
        <f>Data_PLT[[#This Row],[Test code]]&amp;"-"&amp;Data_PLT[[#This Row],[UCS min code]]</f>
        <v>#N/A</v>
      </c>
      <c r="AE84" s="68" t="e">
        <f>Data_PLT[[#This Row],[Test code]]&amp;"-"&amp;Data_PLT[[#This Row],[UCS avg code]]</f>
        <v>#N/A</v>
      </c>
      <c r="AF84" s="67" t="e">
        <f>Data_PLT[[#This Row],[Test code]]&amp;"-"&amp;Data_PLT[[#This Row],[UCS max code]]</f>
        <v>#N/A</v>
      </c>
      <c r="AG84" s="67" t="str">
        <f>Data_PLT[[#This Row],[Failure type]]&amp;"-"&amp;Data_PLT[[#This Row],[Test type]]&amp;"-"&amp;(IF(Data_PLT[[#This Row],[Is50 (MPa)]]&lt;1,1,IF(Data_PLT[[#This Row],[Is50 (MPa)]]&lt;2,2,IF(Data_PLT[[#This Row],[Is50 (MPa)]]&lt;4,3,IF(Data_PLT[[#This Row],[Is50 (MPa)]]&lt;8,4,5)))))</f>
        <v>Chipped-Diametral-1</v>
      </c>
    </row>
    <row r="85" spans="1:33" x14ac:dyDescent="0.25">
      <c r="A85" t="s">
        <v>30</v>
      </c>
      <c r="B85" s="88" t="str">
        <f>VLOOKUP(Data_PLT[[#This Row],[Hole ID]],Data_Log[],2,FALSE)</f>
        <v>CGF-02</v>
      </c>
      <c r="C85" s="63">
        <f>IF(Data_PLT[[#This Row],[Hole ID]]="","",
IF(COUNTIF($A$4:A85,Data_PLT[[#This Row],[Hole ID]])=1,1,
IF(A85=A84,C84+1,
COUNTIF($A$4:A85,Data_PLT[[#This Row],[Hole ID]]))))</f>
        <v>14</v>
      </c>
      <c r="D85" s="63" t="str">
        <f>IF(Data_PLT[[#This Row],[Hole ID]]="","",Data_PLT[[#This Row],[Hole ID]]&amp;"_"&amp;Data_PLT[[#This Row],[Sample ID]])</f>
        <v>COG-25-10_14</v>
      </c>
      <c r="E85" s="6"/>
      <c r="F85" s="6">
        <v>82.12</v>
      </c>
      <c r="G85" s="63" t="str" cm="1">
        <f t="array" ref="G85">_xlfn.XLOOKUP(1,(A85=Geotech!$A$4:$A$11100)*(Data_PLT[[#This Row],[Depth (m)]]&gt;=Geotech!$C$4:$C$11100)*(Data_PLT[[#This Row],[Depth (m)]]&lt;Geotech!$D$4:$D$11100),Geotech!$M$4:$M$11100)</f>
        <v>Diorite</v>
      </c>
      <c r="H85" s="6" t="s">
        <v>299</v>
      </c>
      <c r="I85" s="63" t="str">
        <f>VLOOKUP(Data_PLT[[#This Row],[Hole ID]],Data_Log[[Hole ID]:[Core size]],20,FALSE)</f>
        <v>HQ</v>
      </c>
      <c r="J85" s="13">
        <f>VLOOKUP(Data_PLT[[#This Row],[Core Size]],Table_CoreSize[],2,FALSE)</f>
        <v>63.5</v>
      </c>
      <c r="K85" s="19">
        <v>90</v>
      </c>
      <c r="L85" s="19" t="s">
        <v>574</v>
      </c>
      <c r="M85" s="5">
        <v>94.6</v>
      </c>
      <c r="N85" s="5"/>
      <c r="O85" s="6" t="s">
        <v>165</v>
      </c>
      <c r="P85" s="13" t="str">
        <f>IF(Data_PLT[[#This Row],[Failure type]]="","",IF(OR(Data_PLT[[#This Row],[Failure type]]="Invalid",Data_PLT[[#This Row],[Failure type]]="Chipped",Data_PLT[[#This Row],[Failure type]]="Penetrate",Data_PLT[[#This Row],[Failure type]]="Did not break"),"Invalid","Valid"))</f>
        <v>Invalid</v>
      </c>
      <c r="Q85" s="6"/>
      <c r="R85" s="11"/>
      <c r="S85" s="13">
        <f>IF(Data_PLT[[#This Row],[Test type]]="Diametral",Data_PLT[[#This Row],[Diameter (mm)]],IF(Data_PLT[[#This Row],[Test type]]="Axial",SQRT(4*Data_PLT[[#This Row],[Diameter (mm)]]*Data_PLT[[#This Row],[Length or width (mm)]]/PI()),"ERROR"))</f>
        <v>63.5</v>
      </c>
      <c r="T85" s="13">
        <f>(Data_PLT[[#This Row],[Load (kN)]]*1000)/Data_PLT[[#This Row],[Equiv. Diam. (mm)]]^2</f>
        <v>0</v>
      </c>
      <c r="U85" s="13">
        <f>(Data_PLT[[#This Row],[Equiv. Diam. (mm)]]/50)^0.45</f>
        <v>1.1135550054708407</v>
      </c>
      <c r="V85" s="13">
        <f>Data_PLT[[#This Row],[Is (MPa)]]*Data_PLT[[#This Row],[F]]</f>
        <v>0</v>
      </c>
      <c r="W85" s="13" t="str">
        <f>Data_PLT[[#This Row],[Failure Validity]]&amp;"-"&amp;Data_PLT[[#This Row],[Test type]]</f>
        <v>Invalid-Diametral</v>
      </c>
      <c r="X85" s="13">
        <f>Data_PLT[[#This Row],[Is50 (MPa)]]*VLOOKUP("Min",Table_PLT_Conversion[],2,FALSE)</f>
        <v>0</v>
      </c>
      <c r="Y85" s="13">
        <f>Data_PLT[[#This Row],[Is50 (MPa)]]*VLOOKUP("Avg",Table_PLT_Conversion[],2,FALSE)</f>
        <v>0</v>
      </c>
      <c r="Z85" s="13">
        <f>Data_PLT[[#This Row],[Is50 (MPa)]]*VLOOKUP("Max",Table_PLT_Conversion[],2,FALSE)</f>
        <v>0</v>
      </c>
      <c r="AA85" s="62" t="e">
        <f>MATCH(LOOKUP(Data_PLT[[#This Row],[UCS min (MPa)]],Table_FieldStrength[Min UCS]),Table_FieldStrength[Min UCS],0)-1</f>
        <v>#N/A</v>
      </c>
      <c r="AB85" s="62" t="e">
        <f>MATCH(LOOKUP(Data_PLT[[#This Row],[UCS avg (MPa)]],Table_FieldStrength[Min UCS]),Table_FieldStrength[Min UCS],0)-1</f>
        <v>#N/A</v>
      </c>
      <c r="AC85" s="62" t="e">
        <f>MATCH(LOOKUP(Data_PLT[[#This Row],[UCS max (MPa)]],Table_FieldStrength[Min UCS]),Table_FieldStrength[Min UCS],0)-1</f>
        <v>#N/A</v>
      </c>
      <c r="AD85" s="68" t="e">
        <f>Data_PLT[[#This Row],[Test code]]&amp;"-"&amp;Data_PLT[[#This Row],[UCS min code]]</f>
        <v>#N/A</v>
      </c>
      <c r="AE85" s="68" t="e">
        <f>Data_PLT[[#This Row],[Test code]]&amp;"-"&amp;Data_PLT[[#This Row],[UCS avg code]]</f>
        <v>#N/A</v>
      </c>
      <c r="AF85" s="67" t="e">
        <f>Data_PLT[[#This Row],[Test code]]&amp;"-"&amp;Data_PLT[[#This Row],[UCS max code]]</f>
        <v>#N/A</v>
      </c>
      <c r="AG85" s="67" t="str">
        <f>Data_PLT[[#This Row],[Failure type]]&amp;"-"&amp;Data_PLT[[#This Row],[Test type]]&amp;"-"&amp;(IF(Data_PLT[[#This Row],[Is50 (MPa)]]&lt;1,1,IF(Data_PLT[[#This Row],[Is50 (MPa)]]&lt;2,2,IF(Data_PLT[[#This Row],[Is50 (MPa)]]&lt;4,3,IF(Data_PLT[[#This Row],[Is50 (MPa)]]&lt;8,4,5)))))</f>
        <v>Chipped-Diametral-1</v>
      </c>
    </row>
    <row r="86" spans="1:33" x14ac:dyDescent="0.25">
      <c r="A86" t="s">
        <v>30</v>
      </c>
      <c r="B86" s="88" t="str">
        <f>VLOOKUP(Data_PLT[[#This Row],[Hole ID]],Data_Log[],2,FALSE)</f>
        <v>CGF-02</v>
      </c>
      <c r="C86" s="63">
        <f>IF(Data_PLT[[#This Row],[Hole ID]]="","",
IF(COUNTIF($A$4:A86,Data_PLT[[#This Row],[Hole ID]])=1,1,
IF(A86=A85,C85+1,
COUNTIF($A$4:A86,Data_PLT[[#This Row],[Hole ID]]))))</f>
        <v>15</v>
      </c>
      <c r="D86" s="63" t="str">
        <f>IF(Data_PLT[[#This Row],[Hole ID]]="","",Data_PLT[[#This Row],[Hole ID]]&amp;"_"&amp;Data_PLT[[#This Row],[Sample ID]])</f>
        <v>COG-25-10_15</v>
      </c>
      <c r="E86" s="6"/>
      <c r="F86" s="6">
        <v>84.02</v>
      </c>
      <c r="G86" s="63" t="str" cm="1">
        <f t="array" ref="G86">_xlfn.XLOOKUP(1,(A86=Geotech!$A$4:$A$11100)*(Data_PLT[[#This Row],[Depth (m)]]&gt;=Geotech!$C$4:$C$11100)*(Data_PLT[[#This Row],[Depth (m)]]&lt;Geotech!$D$4:$D$11100),Geotech!$M$4:$M$11100)</f>
        <v>Diorite</v>
      </c>
      <c r="H86" s="6" t="s">
        <v>299</v>
      </c>
      <c r="I86" s="63" t="str">
        <f>VLOOKUP(Data_PLT[[#This Row],[Hole ID]],Data_Log[[Hole ID]:[Core size]],20,FALSE)</f>
        <v>HQ</v>
      </c>
      <c r="J86" s="13">
        <f>VLOOKUP(Data_PLT[[#This Row],[Core Size]],Table_CoreSize[],2,FALSE)</f>
        <v>63.5</v>
      </c>
      <c r="K86" s="19">
        <v>80</v>
      </c>
      <c r="L86" s="19" t="s">
        <v>574</v>
      </c>
      <c r="M86" s="5">
        <v>14</v>
      </c>
      <c r="N86" s="5"/>
      <c r="O86" s="6" t="s">
        <v>163</v>
      </c>
      <c r="P86" s="13" t="str">
        <f>IF(Data_PLT[[#This Row],[Failure type]]="","",IF(OR(Data_PLT[[#This Row],[Failure type]]="Invalid",Data_PLT[[#This Row],[Failure type]]="Chipped",Data_PLT[[#This Row],[Failure type]]="Penetrate",Data_PLT[[#This Row],[Failure type]]="Did not break"),"Invalid","Valid"))</f>
        <v>Valid</v>
      </c>
      <c r="Q86" s="6"/>
      <c r="R86" s="11"/>
      <c r="S86" s="13">
        <f>IF(Data_PLT[[#This Row],[Test type]]="Diametral",Data_PLT[[#This Row],[Diameter (mm)]],IF(Data_PLT[[#This Row],[Test type]]="Axial",SQRT(4*Data_PLT[[#This Row],[Diameter (mm)]]*Data_PLT[[#This Row],[Length or width (mm)]]/PI()),"ERROR"))</f>
        <v>63.5</v>
      </c>
      <c r="T86" s="13">
        <f>(Data_PLT[[#This Row],[Load (kN)]]*1000)/Data_PLT[[#This Row],[Equiv. Diam. (mm)]]^2</f>
        <v>0</v>
      </c>
      <c r="U86" s="13">
        <f>(Data_PLT[[#This Row],[Equiv. Diam. (mm)]]/50)^0.45</f>
        <v>1.1135550054708407</v>
      </c>
      <c r="V86" s="13">
        <f>Data_PLT[[#This Row],[Is (MPa)]]*Data_PLT[[#This Row],[F]]</f>
        <v>0</v>
      </c>
      <c r="W86" s="13" t="str">
        <f>Data_PLT[[#This Row],[Failure Validity]]&amp;"-"&amp;Data_PLT[[#This Row],[Test type]]</f>
        <v>Valid-Diametral</v>
      </c>
      <c r="X86" s="13">
        <f>Data_PLT[[#This Row],[Is50 (MPa)]]*VLOOKUP("Min",Table_PLT_Conversion[],2,FALSE)</f>
        <v>0</v>
      </c>
      <c r="Y86" s="13">
        <f>Data_PLT[[#This Row],[Is50 (MPa)]]*VLOOKUP("Avg",Table_PLT_Conversion[],2,FALSE)</f>
        <v>0</v>
      </c>
      <c r="Z86" s="13">
        <f>Data_PLT[[#This Row],[Is50 (MPa)]]*VLOOKUP("Max",Table_PLT_Conversion[],2,FALSE)</f>
        <v>0</v>
      </c>
      <c r="AA86" s="62" t="e">
        <f>MATCH(LOOKUP(Data_PLT[[#This Row],[UCS min (MPa)]],Table_FieldStrength[Min UCS]),Table_FieldStrength[Min UCS],0)-1</f>
        <v>#N/A</v>
      </c>
      <c r="AB86" s="62" t="e">
        <f>MATCH(LOOKUP(Data_PLT[[#This Row],[UCS avg (MPa)]],Table_FieldStrength[Min UCS]),Table_FieldStrength[Min UCS],0)-1</f>
        <v>#N/A</v>
      </c>
      <c r="AC86" s="62" t="e">
        <f>MATCH(LOOKUP(Data_PLT[[#This Row],[UCS max (MPa)]],Table_FieldStrength[Min UCS]),Table_FieldStrength[Min UCS],0)-1</f>
        <v>#N/A</v>
      </c>
      <c r="AD86" s="68" t="e">
        <f>Data_PLT[[#This Row],[Test code]]&amp;"-"&amp;Data_PLT[[#This Row],[UCS min code]]</f>
        <v>#N/A</v>
      </c>
      <c r="AE86" s="68" t="e">
        <f>Data_PLT[[#This Row],[Test code]]&amp;"-"&amp;Data_PLT[[#This Row],[UCS avg code]]</f>
        <v>#N/A</v>
      </c>
      <c r="AF86" s="67" t="e">
        <f>Data_PLT[[#This Row],[Test code]]&amp;"-"&amp;Data_PLT[[#This Row],[UCS max code]]</f>
        <v>#N/A</v>
      </c>
      <c r="AG86" s="67" t="str">
        <f>Data_PLT[[#This Row],[Failure type]]&amp;"-"&amp;Data_PLT[[#This Row],[Test type]]&amp;"-"&amp;(IF(Data_PLT[[#This Row],[Is50 (MPa)]]&lt;1,1,IF(Data_PLT[[#This Row],[Is50 (MPa)]]&lt;2,2,IF(Data_PLT[[#This Row],[Is50 (MPa)]]&lt;4,3,IF(Data_PLT[[#This Row],[Is50 (MPa)]]&lt;8,4,5)))))</f>
        <v>Broke along MD-Diametral-1</v>
      </c>
    </row>
    <row r="87" spans="1:33" x14ac:dyDescent="0.25">
      <c r="A87" t="s">
        <v>30</v>
      </c>
      <c r="B87" s="88" t="str">
        <f>VLOOKUP(Data_PLT[[#This Row],[Hole ID]],Data_Log[],2,FALSE)</f>
        <v>CGF-02</v>
      </c>
      <c r="C87" s="63">
        <f>IF(Data_PLT[[#This Row],[Hole ID]]="","",
IF(COUNTIF($A$4:A87,Data_PLT[[#This Row],[Hole ID]])=1,1,
IF(A87=A86,C86+1,
COUNTIF($A$4:A87,Data_PLT[[#This Row],[Hole ID]]))))</f>
        <v>16</v>
      </c>
      <c r="D87" s="63" t="str">
        <f>IF(Data_PLT[[#This Row],[Hole ID]]="","",Data_PLT[[#This Row],[Hole ID]]&amp;"_"&amp;Data_PLT[[#This Row],[Sample ID]])</f>
        <v>COG-25-10_16</v>
      </c>
      <c r="E87" s="6"/>
      <c r="F87" s="6">
        <v>87.7</v>
      </c>
      <c r="G87" s="63" t="str" cm="1">
        <f t="array" ref="G87">_xlfn.XLOOKUP(1,(A87=Geotech!$A$4:$A$11100)*(Data_PLT[[#This Row],[Depth (m)]]&gt;=Geotech!$C$4:$C$11100)*(Data_PLT[[#This Row],[Depth (m)]]&lt;Geotech!$D$4:$D$11100),Geotech!$M$4:$M$11100)</f>
        <v>Diorite</v>
      </c>
      <c r="H87" s="6" t="s">
        <v>299</v>
      </c>
      <c r="I87" s="63" t="str">
        <f>VLOOKUP(Data_PLT[[#This Row],[Hole ID]],Data_Log[[Hole ID]:[Core size]],20,FALSE)</f>
        <v>HQ</v>
      </c>
      <c r="J87" s="13">
        <f>VLOOKUP(Data_PLT[[#This Row],[Core Size]],Table_CoreSize[],2,FALSE)</f>
        <v>63.5</v>
      </c>
      <c r="K87" s="19">
        <v>90</v>
      </c>
      <c r="L87" s="19" t="s">
        <v>574</v>
      </c>
      <c r="M87" s="5">
        <v>8.4</v>
      </c>
      <c r="N87" s="5"/>
      <c r="O87" s="6" t="s">
        <v>334</v>
      </c>
      <c r="P87" s="13" t="str">
        <f>IF(Data_PLT[[#This Row],[Failure type]]="","",IF(OR(Data_PLT[[#This Row],[Failure type]]="Invalid",Data_PLT[[#This Row],[Failure type]]="Chipped",Data_PLT[[#This Row],[Failure type]]="Penetrate",Data_PLT[[#This Row],[Failure type]]="Did not break"),"Invalid","Valid"))</f>
        <v>Valid</v>
      </c>
      <c r="Q87" s="6"/>
      <c r="R87" s="11"/>
      <c r="S87" s="13">
        <f>IF(Data_PLT[[#This Row],[Test type]]="Diametral",Data_PLT[[#This Row],[Diameter (mm)]],IF(Data_PLT[[#This Row],[Test type]]="Axial",SQRT(4*Data_PLT[[#This Row],[Diameter (mm)]]*Data_PLT[[#This Row],[Length or width (mm)]]/PI()),"ERROR"))</f>
        <v>63.5</v>
      </c>
      <c r="T87" s="13">
        <f>(Data_PLT[[#This Row],[Load (kN)]]*1000)/Data_PLT[[#This Row],[Equiv. Diam. (mm)]]^2</f>
        <v>0</v>
      </c>
      <c r="U87" s="13">
        <f>(Data_PLT[[#This Row],[Equiv. Diam. (mm)]]/50)^0.45</f>
        <v>1.1135550054708407</v>
      </c>
      <c r="V87" s="13">
        <f>Data_PLT[[#This Row],[Is (MPa)]]*Data_PLT[[#This Row],[F]]</f>
        <v>0</v>
      </c>
      <c r="W87" s="13" t="str">
        <f>Data_PLT[[#This Row],[Failure Validity]]&amp;"-"&amp;Data_PLT[[#This Row],[Test type]]</f>
        <v>Valid-Diametral</v>
      </c>
      <c r="X87" s="13">
        <f>Data_PLT[[#This Row],[Is50 (MPa)]]*VLOOKUP("Min",Table_PLT_Conversion[],2,FALSE)</f>
        <v>0</v>
      </c>
      <c r="Y87" s="13">
        <f>Data_PLT[[#This Row],[Is50 (MPa)]]*VLOOKUP("Avg",Table_PLT_Conversion[],2,FALSE)</f>
        <v>0</v>
      </c>
      <c r="Z87" s="13">
        <f>Data_PLT[[#This Row],[Is50 (MPa)]]*VLOOKUP("Max",Table_PLT_Conversion[],2,FALSE)</f>
        <v>0</v>
      </c>
      <c r="AA87" s="62" t="e">
        <f>MATCH(LOOKUP(Data_PLT[[#This Row],[UCS min (MPa)]],Table_FieldStrength[Min UCS]),Table_FieldStrength[Min UCS],0)-1</f>
        <v>#N/A</v>
      </c>
      <c r="AB87" s="62" t="e">
        <f>MATCH(LOOKUP(Data_PLT[[#This Row],[UCS avg (MPa)]],Table_FieldStrength[Min UCS]),Table_FieldStrength[Min UCS],0)-1</f>
        <v>#N/A</v>
      </c>
      <c r="AC87" s="62" t="e">
        <f>MATCH(LOOKUP(Data_PLT[[#This Row],[UCS max (MPa)]],Table_FieldStrength[Min UCS]),Table_FieldStrength[Min UCS],0)-1</f>
        <v>#N/A</v>
      </c>
      <c r="AD87" s="68" t="e">
        <f>Data_PLT[[#This Row],[Test code]]&amp;"-"&amp;Data_PLT[[#This Row],[UCS min code]]</f>
        <v>#N/A</v>
      </c>
      <c r="AE87" s="68" t="e">
        <f>Data_PLT[[#This Row],[Test code]]&amp;"-"&amp;Data_PLT[[#This Row],[UCS avg code]]</f>
        <v>#N/A</v>
      </c>
      <c r="AF87" s="67" t="e">
        <f>Data_PLT[[#This Row],[Test code]]&amp;"-"&amp;Data_PLT[[#This Row],[UCS max code]]</f>
        <v>#N/A</v>
      </c>
      <c r="AG87" s="67" t="str">
        <f>Data_PLT[[#This Row],[Failure type]]&amp;"-"&amp;Data_PLT[[#This Row],[Test type]]&amp;"-"&amp;(IF(Data_PLT[[#This Row],[Is50 (MPa)]]&lt;1,1,IF(Data_PLT[[#This Row],[Is50 (MPa)]]&lt;2,2,IF(Data_PLT[[#This Row],[Is50 (MPa)]]&lt;4,3,IF(Data_PLT[[#This Row],[Is50 (MPa)]]&lt;8,4,5)))))</f>
        <v>Along bedding/foliation-Diametral-1</v>
      </c>
    </row>
    <row r="88" spans="1:33" x14ac:dyDescent="0.25">
      <c r="A88" t="s">
        <v>30</v>
      </c>
      <c r="B88" s="88" t="str">
        <f>VLOOKUP(Data_PLT[[#This Row],[Hole ID]],Data_Log[],2,FALSE)</f>
        <v>CGF-02</v>
      </c>
      <c r="C88" s="63">
        <f>IF(Data_PLT[[#This Row],[Hole ID]]="","",
IF(COUNTIF($A$4:A88,Data_PLT[[#This Row],[Hole ID]])=1,1,
IF(A88=A87,C87+1,
COUNTIF($A$4:A88,Data_PLT[[#This Row],[Hole ID]]))))</f>
        <v>17</v>
      </c>
      <c r="D88" s="63" t="str">
        <f>IF(Data_PLT[[#This Row],[Hole ID]]="","",Data_PLT[[#This Row],[Hole ID]]&amp;"_"&amp;Data_PLT[[#This Row],[Sample ID]])</f>
        <v>COG-25-10_17</v>
      </c>
      <c r="E88" s="6"/>
      <c r="F88" s="6">
        <v>92.44</v>
      </c>
      <c r="G88" s="63" t="str" cm="1">
        <f t="array" ref="G88">_xlfn.XLOOKUP(1,(A88=Geotech!$A$4:$A$11100)*(Data_PLT[[#This Row],[Depth (m)]]&gt;=Geotech!$C$4:$C$11100)*(Data_PLT[[#This Row],[Depth (m)]]&lt;Geotech!$D$4:$D$11100),Geotech!$M$4:$M$11100)</f>
        <v>Diorite</v>
      </c>
      <c r="H88" s="6" t="s">
        <v>299</v>
      </c>
      <c r="I88" s="63" t="str">
        <f>VLOOKUP(Data_PLT[[#This Row],[Hole ID]],Data_Log[[Hole ID]:[Core size]],20,FALSE)</f>
        <v>HQ</v>
      </c>
      <c r="J88" s="13">
        <f>VLOOKUP(Data_PLT[[#This Row],[Core Size]],Table_CoreSize[],2,FALSE)</f>
        <v>63.5</v>
      </c>
      <c r="K88" s="19">
        <v>150</v>
      </c>
      <c r="L88" s="19" t="s">
        <v>574</v>
      </c>
      <c r="M88" s="5">
        <v>107.8</v>
      </c>
      <c r="N88" s="5"/>
      <c r="O88" s="6" t="s">
        <v>163</v>
      </c>
      <c r="P88" s="13" t="str">
        <f>IF(Data_PLT[[#This Row],[Failure type]]="","",IF(OR(Data_PLT[[#This Row],[Failure type]]="Invalid",Data_PLT[[#This Row],[Failure type]]="Chipped",Data_PLT[[#This Row],[Failure type]]="Penetrate",Data_PLT[[#This Row],[Failure type]]="Did not break"),"Invalid","Valid"))</f>
        <v>Valid</v>
      </c>
      <c r="Q88" s="6"/>
      <c r="R88" s="11"/>
      <c r="S88" s="13">
        <f>IF(Data_PLT[[#This Row],[Test type]]="Diametral",Data_PLT[[#This Row],[Diameter (mm)]],IF(Data_PLT[[#This Row],[Test type]]="Axial",SQRT(4*Data_PLT[[#This Row],[Diameter (mm)]]*Data_PLT[[#This Row],[Length or width (mm)]]/PI()),"ERROR"))</f>
        <v>63.5</v>
      </c>
      <c r="T88" s="13">
        <f>(Data_PLT[[#This Row],[Load (kN)]]*1000)/Data_PLT[[#This Row],[Equiv. Diam. (mm)]]^2</f>
        <v>0</v>
      </c>
      <c r="U88" s="13">
        <f>(Data_PLT[[#This Row],[Equiv. Diam. (mm)]]/50)^0.45</f>
        <v>1.1135550054708407</v>
      </c>
      <c r="V88" s="13">
        <f>Data_PLT[[#This Row],[Is (MPa)]]*Data_PLT[[#This Row],[F]]</f>
        <v>0</v>
      </c>
      <c r="W88" s="13" t="str">
        <f>Data_PLT[[#This Row],[Failure Validity]]&amp;"-"&amp;Data_PLT[[#This Row],[Test type]]</f>
        <v>Valid-Diametral</v>
      </c>
      <c r="X88" s="13">
        <f>Data_PLT[[#This Row],[Is50 (MPa)]]*VLOOKUP("Min",Table_PLT_Conversion[],2,FALSE)</f>
        <v>0</v>
      </c>
      <c r="Y88" s="13">
        <f>Data_PLT[[#This Row],[Is50 (MPa)]]*VLOOKUP("Avg",Table_PLT_Conversion[],2,FALSE)</f>
        <v>0</v>
      </c>
      <c r="Z88" s="13">
        <f>Data_PLT[[#This Row],[Is50 (MPa)]]*VLOOKUP("Max",Table_PLT_Conversion[],2,FALSE)</f>
        <v>0</v>
      </c>
      <c r="AA88" s="62" t="e">
        <f>MATCH(LOOKUP(Data_PLT[[#This Row],[UCS min (MPa)]],Table_FieldStrength[Min UCS]),Table_FieldStrength[Min UCS],0)-1</f>
        <v>#N/A</v>
      </c>
      <c r="AB88" s="62" t="e">
        <f>MATCH(LOOKUP(Data_PLT[[#This Row],[UCS avg (MPa)]],Table_FieldStrength[Min UCS]),Table_FieldStrength[Min UCS],0)-1</f>
        <v>#N/A</v>
      </c>
      <c r="AC88" s="62" t="e">
        <f>MATCH(LOOKUP(Data_PLT[[#This Row],[UCS max (MPa)]],Table_FieldStrength[Min UCS]),Table_FieldStrength[Min UCS],0)-1</f>
        <v>#N/A</v>
      </c>
      <c r="AD88" s="68" t="e">
        <f>Data_PLT[[#This Row],[Test code]]&amp;"-"&amp;Data_PLT[[#This Row],[UCS min code]]</f>
        <v>#N/A</v>
      </c>
      <c r="AE88" s="68" t="e">
        <f>Data_PLT[[#This Row],[Test code]]&amp;"-"&amp;Data_PLT[[#This Row],[UCS avg code]]</f>
        <v>#N/A</v>
      </c>
      <c r="AF88" s="67" t="e">
        <f>Data_PLT[[#This Row],[Test code]]&amp;"-"&amp;Data_PLT[[#This Row],[UCS max code]]</f>
        <v>#N/A</v>
      </c>
      <c r="AG88" s="67" t="str">
        <f>Data_PLT[[#This Row],[Failure type]]&amp;"-"&amp;Data_PLT[[#This Row],[Test type]]&amp;"-"&amp;(IF(Data_PLT[[#This Row],[Is50 (MPa)]]&lt;1,1,IF(Data_PLT[[#This Row],[Is50 (MPa)]]&lt;2,2,IF(Data_PLT[[#This Row],[Is50 (MPa)]]&lt;4,3,IF(Data_PLT[[#This Row],[Is50 (MPa)]]&lt;8,4,5)))))</f>
        <v>Broke along MD-Diametral-1</v>
      </c>
    </row>
    <row r="89" spans="1:33" x14ac:dyDescent="0.25">
      <c r="A89" t="s">
        <v>30</v>
      </c>
      <c r="B89" s="88" t="str">
        <f>VLOOKUP(Data_PLT[[#This Row],[Hole ID]],Data_Log[],2,FALSE)</f>
        <v>CGF-02</v>
      </c>
      <c r="C89" s="63">
        <f>IF(Data_PLT[[#This Row],[Hole ID]]="","",
IF(COUNTIF($A$4:A89,Data_PLT[[#This Row],[Hole ID]])=1,1,
IF(A89=A88,C88+1,
COUNTIF($A$4:A89,Data_PLT[[#This Row],[Hole ID]]))))</f>
        <v>18</v>
      </c>
      <c r="D89" s="63" t="str">
        <f>IF(Data_PLT[[#This Row],[Hole ID]]="","",Data_PLT[[#This Row],[Hole ID]]&amp;"_"&amp;Data_PLT[[#This Row],[Sample ID]])</f>
        <v>COG-25-10_18</v>
      </c>
      <c r="E89" s="6"/>
      <c r="F89" s="6">
        <v>93.65</v>
      </c>
      <c r="G89" s="63" t="str" cm="1">
        <f t="array" ref="G89">_xlfn.XLOOKUP(1,(A89=Geotech!$A$4:$A$11100)*(Data_PLT[[#This Row],[Depth (m)]]&gt;=Geotech!$C$4:$C$11100)*(Data_PLT[[#This Row],[Depth (m)]]&lt;Geotech!$D$4:$D$11100),Geotech!$M$4:$M$11100)</f>
        <v>Diorite</v>
      </c>
      <c r="H89" s="6" t="s">
        <v>299</v>
      </c>
      <c r="I89" s="63" t="str">
        <f>VLOOKUP(Data_PLT[[#This Row],[Hole ID]],Data_Log[[Hole ID]:[Core size]],20,FALSE)</f>
        <v>HQ</v>
      </c>
      <c r="J89" s="13">
        <f>VLOOKUP(Data_PLT[[#This Row],[Core Size]],Table_CoreSize[],2,FALSE)</f>
        <v>63.5</v>
      </c>
      <c r="K89" s="19">
        <v>130</v>
      </c>
      <c r="L89" s="19" t="s">
        <v>574</v>
      </c>
      <c r="M89" s="5">
        <v>29.2</v>
      </c>
      <c r="N89" s="5"/>
      <c r="O89" s="6" t="s">
        <v>163</v>
      </c>
      <c r="P89" s="13" t="str">
        <f>IF(Data_PLT[[#This Row],[Failure type]]="","",IF(OR(Data_PLT[[#This Row],[Failure type]]="Invalid",Data_PLT[[#This Row],[Failure type]]="Chipped",Data_PLT[[#This Row],[Failure type]]="Penetrate",Data_PLT[[#This Row],[Failure type]]="Did not break"),"Invalid","Valid"))</f>
        <v>Valid</v>
      </c>
      <c r="Q89" s="6"/>
      <c r="R89" s="11"/>
      <c r="S89" s="13">
        <f>IF(Data_PLT[[#This Row],[Test type]]="Diametral",Data_PLT[[#This Row],[Diameter (mm)]],IF(Data_PLT[[#This Row],[Test type]]="Axial",SQRT(4*Data_PLT[[#This Row],[Diameter (mm)]]*Data_PLT[[#This Row],[Length or width (mm)]]/PI()),"ERROR"))</f>
        <v>63.5</v>
      </c>
      <c r="T89" s="13">
        <f>(Data_PLT[[#This Row],[Load (kN)]]*1000)/Data_PLT[[#This Row],[Equiv. Diam. (mm)]]^2</f>
        <v>0</v>
      </c>
      <c r="U89" s="13">
        <f>(Data_PLT[[#This Row],[Equiv. Diam. (mm)]]/50)^0.45</f>
        <v>1.1135550054708407</v>
      </c>
      <c r="V89" s="13">
        <f>Data_PLT[[#This Row],[Is (MPa)]]*Data_PLT[[#This Row],[F]]</f>
        <v>0</v>
      </c>
      <c r="W89" s="13" t="str">
        <f>Data_PLT[[#This Row],[Failure Validity]]&amp;"-"&amp;Data_PLT[[#This Row],[Test type]]</f>
        <v>Valid-Diametral</v>
      </c>
      <c r="X89" s="13">
        <f>Data_PLT[[#This Row],[Is50 (MPa)]]*VLOOKUP("Min",Table_PLT_Conversion[],2,FALSE)</f>
        <v>0</v>
      </c>
      <c r="Y89" s="13">
        <f>Data_PLT[[#This Row],[Is50 (MPa)]]*VLOOKUP("Avg",Table_PLT_Conversion[],2,FALSE)</f>
        <v>0</v>
      </c>
      <c r="Z89" s="13">
        <f>Data_PLT[[#This Row],[Is50 (MPa)]]*VLOOKUP("Max",Table_PLT_Conversion[],2,FALSE)</f>
        <v>0</v>
      </c>
      <c r="AA89" s="62" t="e">
        <f>MATCH(LOOKUP(Data_PLT[[#This Row],[UCS min (MPa)]],Table_FieldStrength[Min UCS]),Table_FieldStrength[Min UCS],0)-1</f>
        <v>#N/A</v>
      </c>
      <c r="AB89" s="62" t="e">
        <f>MATCH(LOOKUP(Data_PLT[[#This Row],[UCS avg (MPa)]],Table_FieldStrength[Min UCS]),Table_FieldStrength[Min UCS],0)-1</f>
        <v>#N/A</v>
      </c>
      <c r="AC89" s="62" t="e">
        <f>MATCH(LOOKUP(Data_PLT[[#This Row],[UCS max (MPa)]],Table_FieldStrength[Min UCS]),Table_FieldStrength[Min UCS],0)-1</f>
        <v>#N/A</v>
      </c>
      <c r="AD89" s="68" t="e">
        <f>Data_PLT[[#This Row],[Test code]]&amp;"-"&amp;Data_PLT[[#This Row],[UCS min code]]</f>
        <v>#N/A</v>
      </c>
      <c r="AE89" s="68" t="e">
        <f>Data_PLT[[#This Row],[Test code]]&amp;"-"&amp;Data_PLT[[#This Row],[UCS avg code]]</f>
        <v>#N/A</v>
      </c>
      <c r="AF89" s="67" t="e">
        <f>Data_PLT[[#This Row],[Test code]]&amp;"-"&amp;Data_PLT[[#This Row],[UCS max code]]</f>
        <v>#N/A</v>
      </c>
      <c r="AG89" s="67" t="str">
        <f>Data_PLT[[#This Row],[Failure type]]&amp;"-"&amp;Data_PLT[[#This Row],[Test type]]&amp;"-"&amp;(IF(Data_PLT[[#This Row],[Is50 (MPa)]]&lt;1,1,IF(Data_PLT[[#This Row],[Is50 (MPa)]]&lt;2,2,IF(Data_PLT[[#This Row],[Is50 (MPa)]]&lt;4,3,IF(Data_PLT[[#This Row],[Is50 (MPa)]]&lt;8,4,5)))))</f>
        <v>Broke along MD-Diametral-1</v>
      </c>
    </row>
    <row r="90" spans="1:33" x14ac:dyDescent="0.25">
      <c r="A90" t="s">
        <v>30</v>
      </c>
      <c r="B90" s="88" t="str">
        <f>VLOOKUP(Data_PLT[[#This Row],[Hole ID]],Data_Log[],2,FALSE)</f>
        <v>CGF-02</v>
      </c>
      <c r="C90" s="63">
        <f>IF(Data_PLT[[#This Row],[Hole ID]]="","",
IF(COUNTIF($A$4:A90,Data_PLT[[#This Row],[Hole ID]])=1,1,
IF(A90=A89,C89+1,
COUNTIF($A$4:A90,Data_PLT[[#This Row],[Hole ID]]))))</f>
        <v>19</v>
      </c>
      <c r="D90" s="63" t="str">
        <f>IF(Data_PLT[[#This Row],[Hole ID]]="","",Data_PLT[[#This Row],[Hole ID]]&amp;"_"&amp;Data_PLT[[#This Row],[Sample ID]])</f>
        <v>COG-25-10_19</v>
      </c>
      <c r="E90" s="6"/>
      <c r="F90" s="6">
        <v>97.68</v>
      </c>
      <c r="G90" s="63" t="str" cm="1">
        <f t="array" ref="G90">_xlfn.XLOOKUP(1,(A90=Geotech!$A$4:$A$11100)*(Data_PLT[[#This Row],[Depth (m)]]&gt;=Geotech!$C$4:$C$11100)*(Data_PLT[[#This Row],[Depth (m)]]&lt;Geotech!$D$4:$D$11100),Geotech!$M$4:$M$11100)</f>
        <v>Diorite</v>
      </c>
      <c r="H90" s="6" t="s">
        <v>299</v>
      </c>
      <c r="I90" s="63" t="str">
        <f>VLOOKUP(Data_PLT[[#This Row],[Hole ID]],Data_Log[[Hole ID]:[Core size]],20,FALSE)</f>
        <v>HQ</v>
      </c>
      <c r="J90" s="13">
        <f>VLOOKUP(Data_PLT[[#This Row],[Core Size]],Table_CoreSize[],2,FALSE)</f>
        <v>63.5</v>
      </c>
      <c r="K90" s="19">
        <v>180</v>
      </c>
      <c r="L90" s="19" t="s">
        <v>574</v>
      </c>
      <c r="M90" s="5">
        <v>203</v>
      </c>
      <c r="N90" s="5"/>
      <c r="O90" s="6" t="s">
        <v>334</v>
      </c>
      <c r="P90" s="13" t="str">
        <f>IF(Data_PLT[[#This Row],[Failure type]]="","",IF(OR(Data_PLT[[#This Row],[Failure type]]="Invalid",Data_PLT[[#This Row],[Failure type]]="Chipped",Data_PLT[[#This Row],[Failure type]]="Penetrate",Data_PLT[[#This Row],[Failure type]]="Did not break"),"Invalid","Valid"))</f>
        <v>Valid</v>
      </c>
      <c r="Q90" s="6"/>
      <c r="R90" s="11"/>
      <c r="S90" s="13">
        <f>IF(Data_PLT[[#This Row],[Test type]]="Diametral",Data_PLT[[#This Row],[Diameter (mm)]],IF(Data_PLT[[#This Row],[Test type]]="Axial",SQRT(4*Data_PLT[[#This Row],[Diameter (mm)]]*Data_PLT[[#This Row],[Length or width (mm)]]/PI()),"ERROR"))</f>
        <v>63.5</v>
      </c>
      <c r="T90" s="13">
        <f>(Data_PLT[[#This Row],[Load (kN)]]*1000)/Data_PLT[[#This Row],[Equiv. Diam. (mm)]]^2</f>
        <v>0</v>
      </c>
      <c r="U90" s="13">
        <f>(Data_PLT[[#This Row],[Equiv. Diam. (mm)]]/50)^0.45</f>
        <v>1.1135550054708407</v>
      </c>
      <c r="V90" s="13">
        <f>Data_PLT[[#This Row],[Is (MPa)]]*Data_PLT[[#This Row],[F]]</f>
        <v>0</v>
      </c>
      <c r="W90" s="13" t="str">
        <f>Data_PLT[[#This Row],[Failure Validity]]&amp;"-"&amp;Data_PLT[[#This Row],[Test type]]</f>
        <v>Valid-Diametral</v>
      </c>
      <c r="X90" s="13">
        <f>Data_PLT[[#This Row],[Is50 (MPa)]]*VLOOKUP("Min",Table_PLT_Conversion[],2,FALSE)</f>
        <v>0</v>
      </c>
      <c r="Y90" s="13">
        <f>Data_PLT[[#This Row],[Is50 (MPa)]]*VLOOKUP("Avg",Table_PLT_Conversion[],2,FALSE)</f>
        <v>0</v>
      </c>
      <c r="Z90" s="13">
        <f>Data_PLT[[#This Row],[Is50 (MPa)]]*VLOOKUP("Max",Table_PLT_Conversion[],2,FALSE)</f>
        <v>0</v>
      </c>
      <c r="AA90" s="62" t="e">
        <f>MATCH(LOOKUP(Data_PLT[[#This Row],[UCS min (MPa)]],Table_FieldStrength[Min UCS]),Table_FieldStrength[Min UCS],0)-1</f>
        <v>#N/A</v>
      </c>
      <c r="AB90" s="62" t="e">
        <f>MATCH(LOOKUP(Data_PLT[[#This Row],[UCS avg (MPa)]],Table_FieldStrength[Min UCS]),Table_FieldStrength[Min UCS],0)-1</f>
        <v>#N/A</v>
      </c>
      <c r="AC90" s="62" t="e">
        <f>MATCH(LOOKUP(Data_PLT[[#This Row],[UCS max (MPa)]],Table_FieldStrength[Min UCS]),Table_FieldStrength[Min UCS],0)-1</f>
        <v>#N/A</v>
      </c>
      <c r="AD90" s="68" t="e">
        <f>Data_PLT[[#This Row],[Test code]]&amp;"-"&amp;Data_PLT[[#This Row],[UCS min code]]</f>
        <v>#N/A</v>
      </c>
      <c r="AE90" s="68" t="e">
        <f>Data_PLT[[#This Row],[Test code]]&amp;"-"&amp;Data_PLT[[#This Row],[UCS avg code]]</f>
        <v>#N/A</v>
      </c>
      <c r="AF90" s="67" t="e">
        <f>Data_PLT[[#This Row],[Test code]]&amp;"-"&amp;Data_PLT[[#This Row],[UCS max code]]</f>
        <v>#N/A</v>
      </c>
      <c r="AG90" s="67" t="str">
        <f>Data_PLT[[#This Row],[Failure type]]&amp;"-"&amp;Data_PLT[[#This Row],[Test type]]&amp;"-"&amp;(IF(Data_PLT[[#This Row],[Is50 (MPa)]]&lt;1,1,IF(Data_PLT[[#This Row],[Is50 (MPa)]]&lt;2,2,IF(Data_PLT[[#This Row],[Is50 (MPa)]]&lt;4,3,IF(Data_PLT[[#This Row],[Is50 (MPa)]]&lt;8,4,5)))))</f>
        <v>Along bedding/foliation-Diametral-1</v>
      </c>
    </row>
    <row r="91" spans="1:33" x14ac:dyDescent="0.25">
      <c r="A91" t="s">
        <v>30</v>
      </c>
      <c r="B91" s="88" t="str">
        <f>VLOOKUP(Data_PLT[[#This Row],[Hole ID]],Data_Log[],2,FALSE)</f>
        <v>CGF-02</v>
      </c>
      <c r="C91" s="63">
        <f>IF(Data_PLT[[#This Row],[Hole ID]]="","",
IF(COUNTIF($A$4:A91,Data_PLT[[#This Row],[Hole ID]])=1,1,
IF(A91=A90,C90+1,
COUNTIF($A$4:A91,Data_PLT[[#This Row],[Hole ID]]))))</f>
        <v>20</v>
      </c>
      <c r="D91" s="63" t="str">
        <f>IF(Data_PLT[[#This Row],[Hole ID]]="","",Data_PLT[[#This Row],[Hole ID]]&amp;"_"&amp;Data_PLT[[#This Row],[Sample ID]])</f>
        <v>COG-25-10_20</v>
      </c>
      <c r="E91" s="6"/>
      <c r="F91" s="6">
        <v>100.36</v>
      </c>
      <c r="G91" s="63" t="str" cm="1">
        <f t="array" ref="G91">_xlfn.XLOOKUP(1,(A91=Geotech!$A$4:$A$11100)*(Data_PLT[[#This Row],[Depth (m)]]&gt;=Geotech!$C$4:$C$11100)*(Data_PLT[[#This Row],[Depth (m)]]&lt;Geotech!$D$4:$D$11100),Geotech!$M$4:$M$11100)</f>
        <v>Diorite</v>
      </c>
      <c r="H91" s="6" t="s">
        <v>299</v>
      </c>
      <c r="I91" s="63" t="str">
        <f>VLOOKUP(Data_PLT[[#This Row],[Hole ID]],Data_Log[[Hole ID]:[Core size]],20,FALSE)</f>
        <v>HQ</v>
      </c>
      <c r="J91" s="13">
        <f>VLOOKUP(Data_PLT[[#This Row],[Core Size]],Table_CoreSize[],2,FALSE)</f>
        <v>63.5</v>
      </c>
      <c r="K91" s="19">
        <v>110</v>
      </c>
      <c r="L91" s="19" t="s">
        <v>574</v>
      </c>
      <c r="M91" s="5">
        <v>64.599999999999994</v>
      </c>
      <c r="N91" s="5"/>
      <c r="O91" s="6" t="s">
        <v>334</v>
      </c>
      <c r="P91" s="13" t="str">
        <f>IF(Data_PLT[[#This Row],[Failure type]]="","",IF(OR(Data_PLT[[#This Row],[Failure type]]="Invalid",Data_PLT[[#This Row],[Failure type]]="Chipped",Data_PLT[[#This Row],[Failure type]]="Penetrate",Data_PLT[[#This Row],[Failure type]]="Did not break"),"Invalid","Valid"))</f>
        <v>Valid</v>
      </c>
      <c r="Q91" s="6"/>
      <c r="R91" s="11"/>
      <c r="S91" s="13">
        <f>IF(Data_PLT[[#This Row],[Test type]]="Diametral",Data_PLT[[#This Row],[Diameter (mm)]],IF(Data_PLT[[#This Row],[Test type]]="Axial",SQRT(4*Data_PLT[[#This Row],[Diameter (mm)]]*Data_PLT[[#This Row],[Length or width (mm)]]/PI()),"ERROR"))</f>
        <v>63.5</v>
      </c>
      <c r="T91" s="13">
        <f>(Data_PLT[[#This Row],[Load (kN)]]*1000)/Data_PLT[[#This Row],[Equiv. Diam. (mm)]]^2</f>
        <v>0</v>
      </c>
      <c r="U91" s="13">
        <f>(Data_PLT[[#This Row],[Equiv. Diam. (mm)]]/50)^0.45</f>
        <v>1.1135550054708407</v>
      </c>
      <c r="V91" s="13">
        <f>Data_PLT[[#This Row],[Is (MPa)]]*Data_PLT[[#This Row],[F]]</f>
        <v>0</v>
      </c>
      <c r="W91" s="13" t="str">
        <f>Data_PLT[[#This Row],[Failure Validity]]&amp;"-"&amp;Data_PLT[[#This Row],[Test type]]</f>
        <v>Valid-Diametral</v>
      </c>
      <c r="X91" s="13">
        <f>Data_PLT[[#This Row],[Is50 (MPa)]]*VLOOKUP("Min",Table_PLT_Conversion[],2,FALSE)</f>
        <v>0</v>
      </c>
      <c r="Y91" s="13">
        <f>Data_PLT[[#This Row],[Is50 (MPa)]]*VLOOKUP("Avg",Table_PLT_Conversion[],2,FALSE)</f>
        <v>0</v>
      </c>
      <c r="Z91" s="13">
        <f>Data_PLT[[#This Row],[Is50 (MPa)]]*VLOOKUP("Max",Table_PLT_Conversion[],2,FALSE)</f>
        <v>0</v>
      </c>
      <c r="AA91" s="62" t="e">
        <f>MATCH(LOOKUP(Data_PLT[[#This Row],[UCS min (MPa)]],Table_FieldStrength[Min UCS]),Table_FieldStrength[Min UCS],0)-1</f>
        <v>#N/A</v>
      </c>
      <c r="AB91" s="62" t="e">
        <f>MATCH(LOOKUP(Data_PLT[[#This Row],[UCS avg (MPa)]],Table_FieldStrength[Min UCS]),Table_FieldStrength[Min UCS],0)-1</f>
        <v>#N/A</v>
      </c>
      <c r="AC91" s="62" t="e">
        <f>MATCH(LOOKUP(Data_PLT[[#This Row],[UCS max (MPa)]],Table_FieldStrength[Min UCS]),Table_FieldStrength[Min UCS],0)-1</f>
        <v>#N/A</v>
      </c>
      <c r="AD91" s="68" t="e">
        <f>Data_PLT[[#This Row],[Test code]]&amp;"-"&amp;Data_PLT[[#This Row],[UCS min code]]</f>
        <v>#N/A</v>
      </c>
      <c r="AE91" s="68" t="e">
        <f>Data_PLT[[#This Row],[Test code]]&amp;"-"&amp;Data_PLT[[#This Row],[UCS avg code]]</f>
        <v>#N/A</v>
      </c>
      <c r="AF91" s="67" t="e">
        <f>Data_PLT[[#This Row],[Test code]]&amp;"-"&amp;Data_PLT[[#This Row],[UCS max code]]</f>
        <v>#N/A</v>
      </c>
      <c r="AG91" s="67" t="str">
        <f>Data_PLT[[#This Row],[Failure type]]&amp;"-"&amp;Data_PLT[[#This Row],[Test type]]&amp;"-"&amp;(IF(Data_PLT[[#This Row],[Is50 (MPa)]]&lt;1,1,IF(Data_PLT[[#This Row],[Is50 (MPa)]]&lt;2,2,IF(Data_PLT[[#This Row],[Is50 (MPa)]]&lt;4,3,IF(Data_PLT[[#This Row],[Is50 (MPa)]]&lt;8,4,5)))))</f>
        <v>Along bedding/foliation-Diametral-1</v>
      </c>
    </row>
    <row r="92" spans="1:33" x14ac:dyDescent="0.25">
      <c r="A92" t="s">
        <v>30</v>
      </c>
      <c r="B92" s="88" t="str">
        <f>VLOOKUP(Data_PLT[[#This Row],[Hole ID]],Data_Log[],2,FALSE)</f>
        <v>CGF-02</v>
      </c>
      <c r="C92" s="63">
        <f>IF(Data_PLT[[#This Row],[Hole ID]]="","",
IF(COUNTIF($A$4:A92,Data_PLT[[#This Row],[Hole ID]])=1,1,
IF(A92=A91,C91+1,
COUNTIF($A$4:A92,Data_PLT[[#This Row],[Hole ID]]))))</f>
        <v>21</v>
      </c>
      <c r="D92" s="63" t="str">
        <f>IF(Data_PLT[[#This Row],[Hole ID]]="","",Data_PLT[[#This Row],[Hole ID]]&amp;"_"&amp;Data_PLT[[#This Row],[Sample ID]])</f>
        <v>COG-25-10_21</v>
      </c>
      <c r="E92" s="6"/>
      <c r="F92" s="6">
        <v>103.56</v>
      </c>
      <c r="G92" s="63" t="str" cm="1">
        <f t="array" ref="G92">_xlfn.XLOOKUP(1,(A92=Geotech!$A$4:$A$11100)*(Data_PLT[[#This Row],[Depth (m)]]&gt;=Geotech!$C$4:$C$11100)*(Data_PLT[[#This Row],[Depth (m)]]&lt;Geotech!$D$4:$D$11100),Geotech!$M$4:$M$11100)</f>
        <v>Diorite</v>
      </c>
      <c r="H92" s="6" t="s">
        <v>299</v>
      </c>
      <c r="I92" s="63" t="str">
        <f>VLOOKUP(Data_PLT[[#This Row],[Hole ID]],Data_Log[[Hole ID]:[Core size]],20,FALSE)</f>
        <v>HQ</v>
      </c>
      <c r="J92" s="13">
        <f>VLOOKUP(Data_PLT[[#This Row],[Core Size]],Table_CoreSize[],2,FALSE)</f>
        <v>63.5</v>
      </c>
      <c r="K92" s="19">
        <v>165</v>
      </c>
      <c r="L92" s="19" t="s">
        <v>574</v>
      </c>
      <c r="M92" s="5">
        <v>168.6</v>
      </c>
      <c r="N92" s="5"/>
      <c r="O92" s="6" t="s">
        <v>334</v>
      </c>
      <c r="P92" s="13" t="str">
        <f>IF(Data_PLT[[#This Row],[Failure type]]="","",IF(OR(Data_PLT[[#This Row],[Failure type]]="Invalid",Data_PLT[[#This Row],[Failure type]]="Chipped",Data_PLT[[#This Row],[Failure type]]="Penetrate",Data_PLT[[#This Row],[Failure type]]="Did not break"),"Invalid","Valid"))</f>
        <v>Valid</v>
      </c>
      <c r="Q92" s="6"/>
      <c r="R92" s="11"/>
      <c r="S92" s="13">
        <f>IF(Data_PLT[[#This Row],[Test type]]="Diametral",Data_PLT[[#This Row],[Diameter (mm)]],IF(Data_PLT[[#This Row],[Test type]]="Axial",SQRT(4*Data_PLT[[#This Row],[Diameter (mm)]]*Data_PLT[[#This Row],[Length or width (mm)]]/PI()),"ERROR"))</f>
        <v>63.5</v>
      </c>
      <c r="T92" s="13">
        <f>(Data_PLT[[#This Row],[Load (kN)]]*1000)/Data_PLT[[#This Row],[Equiv. Diam. (mm)]]^2</f>
        <v>0</v>
      </c>
      <c r="U92" s="13">
        <f>(Data_PLT[[#This Row],[Equiv. Diam. (mm)]]/50)^0.45</f>
        <v>1.1135550054708407</v>
      </c>
      <c r="V92" s="13">
        <f>Data_PLT[[#This Row],[Is (MPa)]]*Data_PLT[[#This Row],[F]]</f>
        <v>0</v>
      </c>
      <c r="W92" s="13" t="str">
        <f>Data_PLT[[#This Row],[Failure Validity]]&amp;"-"&amp;Data_PLT[[#This Row],[Test type]]</f>
        <v>Valid-Diametral</v>
      </c>
      <c r="X92" s="13">
        <f>Data_PLT[[#This Row],[Is50 (MPa)]]*VLOOKUP("Min",Table_PLT_Conversion[],2,FALSE)</f>
        <v>0</v>
      </c>
      <c r="Y92" s="13">
        <f>Data_PLT[[#This Row],[Is50 (MPa)]]*VLOOKUP("Avg",Table_PLT_Conversion[],2,FALSE)</f>
        <v>0</v>
      </c>
      <c r="Z92" s="13">
        <f>Data_PLT[[#This Row],[Is50 (MPa)]]*VLOOKUP("Max",Table_PLT_Conversion[],2,FALSE)</f>
        <v>0</v>
      </c>
      <c r="AA92" s="62" t="e">
        <f>MATCH(LOOKUP(Data_PLT[[#This Row],[UCS min (MPa)]],Table_FieldStrength[Min UCS]),Table_FieldStrength[Min UCS],0)-1</f>
        <v>#N/A</v>
      </c>
      <c r="AB92" s="62" t="e">
        <f>MATCH(LOOKUP(Data_PLT[[#This Row],[UCS avg (MPa)]],Table_FieldStrength[Min UCS]),Table_FieldStrength[Min UCS],0)-1</f>
        <v>#N/A</v>
      </c>
      <c r="AC92" s="62" t="e">
        <f>MATCH(LOOKUP(Data_PLT[[#This Row],[UCS max (MPa)]],Table_FieldStrength[Min UCS]),Table_FieldStrength[Min UCS],0)-1</f>
        <v>#N/A</v>
      </c>
      <c r="AD92" s="68" t="e">
        <f>Data_PLT[[#This Row],[Test code]]&amp;"-"&amp;Data_PLT[[#This Row],[UCS min code]]</f>
        <v>#N/A</v>
      </c>
      <c r="AE92" s="68" t="e">
        <f>Data_PLT[[#This Row],[Test code]]&amp;"-"&amp;Data_PLT[[#This Row],[UCS avg code]]</f>
        <v>#N/A</v>
      </c>
      <c r="AF92" s="67" t="e">
        <f>Data_PLT[[#This Row],[Test code]]&amp;"-"&amp;Data_PLT[[#This Row],[UCS max code]]</f>
        <v>#N/A</v>
      </c>
      <c r="AG92" s="67" t="str">
        <f>Data_PLT[[#This Row],[Failure type]]&amp;"-"&amp;Data_PLT[[#This Row],[Test type]]&amp;"-"&amp;(IF(Data_PLT[[#This Row],[Is50 (MPa)]]&lt;1,1,IF(Data_PLT[[#This Row],[Is50 (MPa)]]&lt;2,2,IF(Data_PLT[[#This Row],[Is50 (MPa)]]&lt;4,3,IF(Data_PLT[[#This Row],[Is50 (MPa)]]&lt;8,4,5)))))</f>
        <v>Along bedding/foliation-Diametral-1</v>
      </c>
    </row>
    <row r="93" spans="1:33" x14ac:dyDescent="0.25">
      <c r="A93" t="s">
        <v>30</v>
      </c>
      <c r="B93" s="88" t="str">
        <f>VLOOKUP(Data_PLT[[#This Row],[Hole ID]],Data_Log[],2,FALSE)</f>
        <v>CGF-02</v>
      </c>
      <c r="C93" s="63">
        <f>IF(Data_PLT[[#This Row],[Hole ID]]="","",
IF(COUNTIF($A$4:A93,Data_PLT[[#This Row],[Hole ID]])=1,1,
IF(A93=A92,C92+1,
COUNTIF($A$4:A93,Data_PLT[[#This Row],[Hole ID]]))))</f>
        <v>22</v>
      </c>
      <c r="D93" s="63" t="str">
        <f>IF(Data_PLT[[#This Row],[Hole ID]]="","",Data_PLT[[#This Row],[Hole ID]]&amp;"_"&amp;Data_PLT[[#This Row],[Sample ID]])</f>
        <v>COG-25-10_22</v>
      </c>
      <c r="E93" s="6"/>
      <c r="F93" s="6">
        <v>103.85</v>
      </c>
      <c r="G93" s="63" t="str" cm="1">
        <f t="array" ref="G93">_xlfn.XLOOKUP(1,(A93=Geotech!$A$4:$A$11100)*(Data_PLT[[#This Row],[Depth (m)]]&gt;=Geotech!$C$4:$C$11100)*(Data_PLT[[#This Row],[Depth (m)]]&lt;Geotech!$D$4:$D$11100),Geotech!$M$4:$M$11100)</f>
        <v>Boulamarque granodiorite</v>
      </c>
      <c r="H93" s="6" t="s">
        <v>299</v>
      </c>
      <c r="I93" s="63" t="str">
        <f>VLOOKUP(Data_PLT[[#This Row],[Hole ID]],Data_Log[[Hole ID]:[Core size]],20,FALSE)</f>
        <v>HQ</v>
      </c>
      <c r="J93" s="13">
        <f>VLOOKUP(Data_PLT[[#This Row],[Core Size]],Table_CoreSize[],2,FALSE)</f>
        <v>63.5</v>
      </c>
      <c r="K93" s="19">
        <v>100</v>
      </c>
      <c r="L93" s="19" t="s">
        <v>574</v>
      </c>
      <c r="M93" s="5">
        <v>142.80000000000001</v>
      </c>
      <c r="N93" s="5"/>
      <c r="O93" s="6" t="s">
        <v>334</v>
      </c>
      <c r="P93" s="13" t="str">
        <f>IF(Data_PLT[[#This Row],[Failure type]]="","",IF(OR(Data_PLT[[#This Row],[Failure type]]="Invalid",Data_PLT[[#This Row],[Failure type]]="Chipped",Data_PLT[[#This Row],[Failure type]]="Penetrate",Data_PLT[[#This Row],[Failure type]]="Did not break"),"Invalid","Valid"))</f>
        <v>Valid</v>
      </c>
      <c r="Q93" s="6"/>
      <c r="R93" s="11"/>
      <c r="S93" s="13">
        <f>IF(Data_PLT[[#This Row],[Test type]]="Diametral",Data_PLT[[#This Row],[Diameter (mm)]],IF(Data_PLT[[#This Row],[Test type]]="Axial",SQRT(4*Data_PLT[[#This Row],[Diameter (mm)]]*Data_PLT[[#This Row],[Length or width (mm)]]/PI()),"ERROR"))</f>
        <v>63.5</v>
      </c>
      <c r="T93" s="13">
        <f>(Data_PLT[[#This Row],[Load (kN)]]*1000)/Data_PLT[[#This Row],[Equiv. Diam. (mm)]]^2</f>
        <v>0</v>
      </c>
      <c r="U93" s="13">
        <f>(Data_PLT[[#This Row],[Equiv. Diam. (mm)]]/50)^0.45</f>
        <v>1.1135550054708407</v>
      </c>
      <c r="V93" s="13">
        <f>Data_PLT[[#This Row],[Is (MPa)]]*Data_PLT[[#This Row],[F]]</f>
        <v>0</v>
      </c>
      <c r="W93" s="13" t="str">
        <f>Data_PLT[[#This Row],[Failure Validity]]&amp;"-"&amp;Data_PLT[[#This Row],[Test type]]</f>
        <v>Valid-Diametral</v>
      </c>
      <c r="X93" s="13">
        <f>Data_PLT[[#This Row],[Is50 (MPa)]]*VLOOKUP("Min",Table_PLT_Conversion[],2,FALSE)</f>
        <v>0</v>
      </c>
      <c r="Y93" s="13">
        <f>Data_PLT[[#This Row],[Is50 (MPa)]]*VLOOKUP("Avg",Table_PLT_Conversion[],2,FALSE)</f>
        <v>0</v>
      </c>
      <c r="Z93" s="13">
        <f>Data_PLT[[#This Row],[Is50 (MPa)]]*VLOOKUP("Max",Table_PLT_Conversion[],2,FALSE)</f>
        <v>0</v>
      </c>
      <c r="AA93" s="62" t="e">
        <f>MATCH(LOOKUP(Data_PLT[[#This Row],[UCS min (MPa)]],Table_FieldStrength[Min UCS]),Table_FieldStrength[Min UCS],0)-1</f>
        <v>#N/A</v>
      </c>
      <c r="AB93" s="62" t="e">
        <f>MATCH(LOOKUP(Data_PLT[[#This Row],[UCS avg (MPa)]],Table_FieldStrength[Min UCS]),Table_FieldStrength[Min UCS],0)-1</f>
        <v>#N/A</v>
      </c>
      <c r="AC93" s="62" t="e">
        <f>MATCH(LOOKUP(Data_PLT[[#This Row],[UCS max (MPa)]],Table_FieldStrength[Min UCS]),Table_FieldStrength[Min UCS],0)-1</f>
        <v>#N/A</v>
      </c>
      <c r="AD93" s="68" t="e">
        <f>Data_PLT[[#This Row],[Test code]]&amp;"-"&amp;Data_PLT[[#This Row],[UCS min code]]</f>
        <v>#N/A</v>
      </c>
      <c r="AE93" s="68" t="e">
        <f>Data_PLT[[#This Row],[Test code]]&amp;"-"&amp;Data_PLT[[#This Row],[UCS avg code]]</f>
        <v>#N/A</v>
      </c>
      <c r="AF93" s="67" t="e">
        <f>Data_PLT[[#This Row],[Test code]]&amp;"-"&amp;Data_PLT[[#This Row],[UCS max code]]</f>
        <v>#N/A</v>
      </c>
      <c r="AG93" s="67" t="str">
        <f>Data_PLT[[#This Row],[Failure type]]&amp;"-"&amp;Data_PLT[[#This Row],[Test type]]&amp;"-"&amp;(IF(Data_PLT[[#This Row],[Is50 (MPa)]]&lt;1,1,IF(Data_PLT[[#This Row],[Is50 (MPa)]]&lt;2,2,IF(Data_PLT[[#This Row],[Is50 (MPa)]]&lt;4,3,IF(Data_PLT[[#This Row],[Is50 (MPa)]]&lt;8,4,5)))))</f>
        <v>Along bedding/foliation-Diametral-1</v>
      </c>
    </row>
    <row r="94" spans="1:33" x14ac:dyDescent="0.25">
      <c r="A94" t="s">
        <v>30</v>
      </c>
      <c r="B94" s="88" t="str">
        <f>VLOOKUP(Data_PLT[[#This Row],[Hole ID]],Data_Log[],2,FALSE)</f>
        <v>CGF-02</v>
      </c>
      <c r="C94" s="63">
        <f>IF(Data_PLT[[#This Row],[Hole ID]]="","",
IF(COUNTIF($A$4:A94,Data_PLT[[#This Row],[Hole ID]])=1,1,
IF(A94=A93,C93+1,
COUNTIF($A$4:A94,Data_PLT[[#This Row],[Hole ID]]))))</f>
        <v>23</v>
      </c>
      <c r="D94" s="63" t="str">
        <f>IF(Data_PLT[[#This Row],[Hole ID]]="","",Data_PLT[[#This Row],[Hole ID]]&amp;"_"&amp;Data_PLT[[#This Row],[Sample ID]])</f>
        <v>COG-25-10_23</v>
      </c>
      <c r="E94" s="6"/>
      <c r="F94" s="6">
        <v>105.15</v>
      </c>
      <c r="G94" s="63" t="str" cm="1">
        <f t="array" ref="G94">_xlfn.XLOOKUP(1,(A94=Geotech!$A$4:$A$11100)*(Data_PLT[[#This Row],[Depth (m)]]&gt;=Geotech!$C$4:$C$11100)*(Data_PLT[[#This Row],[Depth (m)]]&lt;Geotech!$D$4:$D$11100),Geotech!$M$4:$M$11100)</f>
        <v>Boulamarque granodiorite</v>
      </c>
      <c r="H94" s="6" t="s">
        <v>299</v>
      </c>
      <c r="I94" s="63" t="str">
        <f>VLOOKUP(Data_PLT[[#This Row],[Hole ID]],Data_Log[[Hole ID]:[Core size]],20,FALSE)</f>
        <v>HQ</v>
      </c>
      <c r="J94" s="13">
        <f>VLOOKUP(Data_PLT[[#This Row],[Core Size]],Table_CoreSize[],2,FALSE)</f>
        <v>63.5</v>
      </c>
      <c r="K94" s="19">
        <v>90</v>
      </c>
      <c r="L94" s="19" t="s">
        <v>574</v>
      </c>
      <c r="M94" s="5">
        <v>124</v>
      </c>
      <c r="N94" s="5"/>
      <c r="O94" s="6" t="s">
        <v>334</v>
      </c>
      <c r="P94" s="13" t="str">
        <f>IF(Data_PLT[[#This Row],[Failure type]]="","",IF(OR(Data_PLT[[#This Row],[Failure type]]="Invalid",Data_PLT[[#This Row],[Failure type]]="Chipped",Data_PLT[[#This Row],[Failure type]]="Penetrate",Data_PLT[[#This Row],[Failure type]]="Did not break"),"Invalid","Valid"))</f>
        <v>Valid</v>
      </c>
      <c r="Q94" s="6"/>
      <c r="R94" s="11"/>
      <c r="S94" s="13">
        <f>IF(Data_PLT[[#This Row],[Test type]]="Diametral",Data_PLT[[#This Row],[Diameter (mm)]],IF(Data_PLT[[#This Row],[Test type]]="Axial",SQRT(4*Data_PLT[[#This Row],[Diameter (mm)]]*Data_PLT[[#This Row],[Length or width (mm)]]/PI()),"ERROR"))</f>
        <v>63.5</v>
      </c>
      <c r="T94" s="13">
        <f>(Data_PLT[[#This Row],[Load (kN)]]*1000)/Data_PLT[[#This Row],[Equiv. Diam. (mm)]]^2</f>
        <v>0</v>
      </c>
      <c r="U94" s="13">
        <f>(Data_PLT[[#This Row],[Equiv. Diam. (mm)]]/50)^0.45</f>
        <v>1.1135550054708407</v>
      </c>
      <c r="V94" s="13">
        <f>Data_PLT[[#This Row],[Is (MPa)]]*Data_PLT[[#This Row],[F]]</f>
        <v>0</v>
      </c>
      <c r="W94" s="13" t="str">
        <f>Data_PLT[[#This Row],[Failure Validity]]&amp;"-"&amp;Data_PLT[[#This Row],[Test type]]</f>
        <v>Valid-Diametral</v>
      </c>
      <c r="X94" s="13">
        <f>Data_PLT[[#This Row],[Is50 (MPa)]]*VLOOKUP("Min",Table_PLT_Conversion[],2,FALSE)</f>
        <v>0</v>
      </c>
      <c r="Y94" s="13">
        <f>Data_PLT[[#This Row],[Is50 (MPa)]]*VLOOKUP("Avg",Table_PLT_Conversion[],2,FALSE)</f>
        <v>0</v>
      </c>
      <c r="Z94" s="13">
        <f>Data_PLT[[#This Row],[Is50 (MPa)]]*VLOOKUP("Max",Table_PLT_Conversion[],2,FALSE)</f>
        <v>0</v>
      </c>
      <c r="AA94" s="62" t="e">
        <f>MATCH(LOOKUP(Data_PLT[[#This Row],[UCS min (MPa)]],Table_FieldStrength[Min UCS]),Table_FieldStrength[Min UCS],0)-1</f>
        <v>#N/A</v>
      </c>
      <c r="AB94" s="62" t="e">
        <f>MATCH(LOOKUP(Data_PLT[[#This Row],[UCS avg (MPa)]],Table_FieldStrength[Min UCS]),Table_FieldStrength[Min UCS],0)-1</f>
        <v>#N/A</v>
      </c>
      <c r="AC94" s="62" t="e">
        <f>MATCH(LOOKUP(Data_PLT[[#This Row],[UCS max (MPa)]],Table_FieldStrength[Min UCS]),Table_FieldStrength[Min UCS],0)-1</f>
        <v>#N/A</v>
      </c>
      <c r="AD94" s="68" t="e">
        <f>Data_PLT[[#This Row],[Test code]]&amp;"-"&amp;Data_PLT[[#This Row],[UCS min code]]</f>
        <v>#N/A</v>
      </c>
      <c r="AE94" s="68" t="e">
        <f>Data_PLT[[#This Row],[Test code]]&amp;"-"&amp;Data_PLT[[#This Row],[UCS avg code]]</f>
        <v>#N/A</v>
      </c>
      <c r="AF94" s="67" t="e">
        <f>Data_PLT[[#This Row],[Test code]]&amp;"-"&amp;Data_PLT[[#This Row],[UCS max code]]</f>
        <v>#N/A</v>
      </c>
      <c r="AG94" s="67" t="str">
        <f>Data_PLT[[#This Row],[Failure type]]&amp;"-"&amp;Data_PLT[[#This Row],[Test type]]&amp;"-"&amp;(IF(Data_PLT[[#This Row],[Is50 (MPa)]]&lt;1,1,IF(Data_PLT[[#This Row],[Is50 (MPa)]]&lt;2,2,IF(Data_PLT[[#This Row],[Is50 (MPa)]]&lt;4,3,IF(Data_PLT[[#This Row],[Is50 (MPa)]]&lt;8,4,5)))))</f>
        <v>Along bedding/foliation-Diametral-1</v>
      </c>
    </row>
    <row r="95" spans="1:33" x14ac:dyDescent="0.25">
      <c r="A95" t="s">
        <v>30</v>
      </c>
      <c r="B95" s="88" t="str">
        <f>VLOOKUP(Data_PLT[[#This Row],[Hole ID]],Data_Log[],2,FALSE)</f>
        <v>CGF-02</v>
      </c>
      <c r="C95" s="63">
        <f>IF(Data_PLT[[#This Row],[Hole ID]]="","",
IF(COUNTIF($A$4:A95,Data_PLT[[#This Row],[Hole ID]])=1,1,
IF(A95=A94,C94+1,
COUNTIF($A$4:A95,Data_PLT[[#This Row],[Hole ID]]))))</f>
        <v>24</v>
      </c>
      <c r="D95" s="63" t="str">
        <f>IF(Data_PLT[[#This Row],[Hole ID]]="","",Data_PLT[[#This Row],[Hole ID]]&amp;"_"&amp;Data_PLT[[#This Row],[Sample ID]])</f>
        <v>COG-25-10_24</v>
      </c>
      <c r="E95" s="6"/>
      <c r="F95" s="6">
        <v>108.03</v>
      </c>
      <c r="G95" s="63" t="str" cm="1">
        <f t="array" ref="G95">_xlfn.XLOOKUP(1,(A95=Geotech!$A$4:$A$11100)*(Data_PLT[[#This Row],[Depth (m)]]&gt;=Geotech!$C$4:$C$11100)*(Data_PLT[[#This Row],[Depth (m)]]&lt;Geotech!$D$4:$D$11100),Geotech!$M$4:$M$11100)</f>
        <v>Basalt</v>
      </c>
      <c r="H95" s="6" t="s">
        <v>299</v>
      </c>
      <c r="I95" s="63" t="str">
        <f>VLOOKUP(Data_PLT[[#This Row],[Hole ID]],Data_Log[[Hole ID]:[Core size]],20,FALSE)</f>
        <v>HQ</v>
      </c>
      <c r="J95" s="13">
        <f>VLOOKUP(Data_PLT[[#This Row],[Core Size]],Table_CoreSize[],2,FALSE)</f>
        <v>63.5</v>
      </c>
      <c r="K95" s="19">
        <v>120</v>
      </c>
      <c r="L95" s="19" t="s">
        <v>574</v>
      </c>
      <c r="M95" s="5">
        <v>104.6</v>
      </c>
      <c r="N95" s="5"/>
      <c r="O95" s="6" t="s">
        <v>334</v>
      </c>
      <c r="P95" s="13" t="str">
        <f>IF(Data_PLT[[#This Row],[Failure type]]="","",IF(OR(Data_PLT[[#This Row],[Failure type]]="Invalid",Data_PLT[[#This Row],[Failure type]]="Chipped",Data_PLT[[#This Row],[Failure type]]="Penetrate",Data_PLT[[#This Row],[Failure type]]="Did not break"),"Invalid","Valid"))</f>
        <v>Valid</v>
      </c>
      <c r="Q95" s="6"/>
      <c r="R95" s="11"/>
      <c r="S95" s="13">
        <f>IF(Data_PLT[[#This Row],[Test type]]="Diametral",Data_PLT[[#This Row],[Diameter (mm)]],IF(Data_PLT[[#This Row],[Test type]]="Axial",SQRT(4*Data_PLT[[#This Row],[Diameter (mm)]]*Data_PLT[[#This Row],[Length or width (mm)]]/PI()),"ERROR"))</f>
        <v>63.5</v>
      </c>
      <c r="T95" s="13">
        <f>(Data_PLT[[#This Row],[Load (kN)]]*1000)/Data_PLT[[#This Row],[Equiv. Diam. (mm)]]^2</f>
        <v>0</v>
      </c>
      <c r="U95" s="13">
        <f>(Data_PLT[[#This Row],[Equiv. Diam. (mm)]]/50)^0.45</f>
        <v>1.1135550054708407</v>
      </c>
      <c r="V95" s="13">
        <f>Data_PLT[[#This Row],[Is (MPa)]]*Data_PLT[[#This Row],[F]]</f>
        <v>0</v>
      </c>
      <c r="W95" s="13" t="str">
        <f>Data_PLT[[#This Row],[Failure Validity]]&amp;"-"&amp;Data_PLT[[#This Row],[Test type]]</f>
        <v>Valid-Diametral</v>
      </c>
      <c r="X95" s="13">
        <f>Data_PLT[[#This Row],[Is50 (MPa)]]*VLOOKUP("Min",Table_PLT_Conversion[],2,FALSE)</f>
        <v>0</v>
      </c>
      <c r="Y95" s="13">
        <f>Data_PLT[[#This Row],[Is50 (MPa)]]*VLOOKUP("Avg",Table_PLT_Conversion[],2,FALSE)</f>
        <v>0</v>
      </c>
      <c r="Z95" s="13">
        <f>Data_PLT[[#This Row],[Is50 (MPa)]]*VLOOKUP("Max",Table_PLT_Conversion[],2,FALSE)</f>
        <v>0</v>
      </c>
      <c r="AA95" s="62" t="e">
        <f>MATCH(LOOKUP(Data_PLT[[#This Row],[UCS min (MPa)]],Table_FieldStrength[Min UCS]),Table_FieldStrength[Min UCS],0)-1</f>
        <v>#N/A</v>
      </c>
      <c r="AB95" s="62" t="e">
        <f>MATCH(LOOKUP(Data_PLT[[#This Row],[UCS avg (MPa)]],Table_FieldStrength[Min UCS]),Table_FieldStrength[Min UCS],0)-1</f>
        <v>#N/A</v>
      </c>
      <c r="AC95" s="62" t="e">
        <f>MATCH(LOOKUP(Data_PLT[[#This Row],[UCS max (MPa)]],Table_FieldStrength[Min UCS]),Table_FieldStrength[Min UCS],0)-1</f>
        <v>#N/A</v>
      </c>
      <c r="AD95" s="68" t="e">
        <f>Data_PLT[[#This Row],[Test code]]&amp;"-"&amp;Data_PLT[[#This Row],[UCS min code]]</f>
        <v>#N/A</v>
      </c>
      <c r="AE95" s="68" t="e">
        <f>Data_PLT[[#This Row],[Test code]]&amp;"-"&amp;Data_PLT[[#This Row],[UCS avg code]]</f>
        <v>#N/A</v>
      </c>
      <c r="AF95" s="67" t="e">
        <f>Data_PLT[[#This Row],[Test code]]&amp;"-"&amp;Data_PLT[[#This Row],[UCS max code]]</f>
        <v>#N/A</v>
      </c>
      <c r="AG95" s="67" t="str">
        <f>Data_PLT[[#This Row],[Failure type]]&amp;"-"&amp;Data_PLT[[#This Row],[Test type]]&amp;"-"&amp;(IF(Data_PLT[[#This Row],[Is50 (MPa)]]&lt;1,1,IF(Data_PLT[[#This Row],[Is50 (MPa)]]&lt;2,2,IF(Data_PLT[[#This Row],[Is50 (MPa)]]&lt;4,3,IF(Data_PLT[[#This Row],[Is50 (MPa)]]&lt;8,4,5)))))</f>
        <v>Along bedding/foliation-Diametral-1</v>
      </c>
    </row>
    <row r="96" spans="1:33" x14ac:dyDescent="0.25">
      <c r="A96" t="s">
        <v>30</v>
      </c>
      <c r="B96" s="88" t="str">
        <f>VLOOKUP(Data_PLT[[#This Row],[Hole ID]],Data_Log[],2,FALSE)</f>
        <v>CGF-02</v>
      </c>
      <c r="C96" s="63">
        <f>IF(Data_PLT[[#This Row],[Hole ID]]="","",
IF(COUNTIF($A$4:A96,Data_PLT[[#This Row],[Hole ID]])=1,1,
IF(A96=A95,C95+1,
COUNTIF($A$4:A96,Data_PLT[[#This Row],[Hole ID]]))))</f>
        <v>25</v>
      </c>
      <c r="D96" s="63" t="str">
        <f>IF(Data_PLT[[#This Row],[Hole ID]]="","",Data_PLT[[#This Row],[Hole ID]]&amp;"_"&amp;Data_PLT[[#This Row],[Sample ID]])</f>
        <v>COG-25-10_25</v>
      </c>
      <c r="E96" s="6"/>
      <c r="F96" s="6">
        <v>113.62</v>
      </c>
      <c r="G96" s="63" t="str" cm="1">
        <f t="array" ref="G96">_xlfn.XLOOKUP(1,(A96=Geotech!$A$4:$A$11100)*(Data_PLT[[#This Row],[Depth (m)]]&gt;=Geotech!$C$4:$C$11100)*(Data_PLT[[#This Row],[Depth (m)]]&lt;Geotech!$D$4:$D$11100),Geotech!$M$4:$M$11100)</f>
        <v>Basalt</v>
      </c>
      <c r="H96" s="6" t="s">
        <v>299</v>
      </c>
      <c r="I96" s="63" t="str">
        <f>VLOOKUP(Data_PLT[[#This Row],[Hole ID]],Data_Log[[Hole ID]:[Core size]],20,FALSE)</f>
        <v>HQ</v>
      </c>
      <c r="J96" s="13">
        <f>VLOOKUP(Data_PLT[[#This Row],[Core Size]],Table_CoreSize[],2,FALSE)</f>
        <v>63.5</v>
      </c>
      <c r="K96" s="19">
        <v>130</v>
      </c>
      <c r="L96" s="19" t="s">
        <v>574</v>
      </c>
      <c r="M96" s="5">
        <v>84.4</v>
      </c>
      <c r="N96" s="5"/>
      <c r="O96" s="6" t="s">
        <v>163</v>
      </c>
      <c r="P96" s="13" t="str">
        <f>IF(Data_PLT[[#This Row],[Failure type]]="","",IF(OR(Data_PLT[[#This Row],[Failure type]]="Invalid",Data_PLT[[#This Row],[Failure type]]="Chipped",Data_PLT[[#This Row],[Failure type]]="Penetrate",Data_PLT[[#This Row],[Failure type]]="Did not break"),"Invalid","Valid"))</f>
        <v>Valid</v>
      </c>
      <c r="Q96" s="6"/>
      <c r="R96" s="11"/>
      <c r="S96" s="13">
        <f>IF(Data_PLT[[#This Row],[Test type]]="Diametral",Data_PLT[[#This Row],[Diameter (mm)]],IF(Data_PLT[[#This Row],[Test type]]="Axial",SQRT(4*Data_PLT[[#This Row],[Diameter (mm)]]*Data_PLT[[#This Row],[Length or width (mm)]]/PI()),"ERROR"))</f>
        <v>63.5</v>
      </c>
      <c r="T96" s="13">
        <f>(Data_PLT[[#This Row],[Load (kN)]]*1000)/Data_PLT[[#This Row],[Equiv. Diam. (mm)]]^2</f>
        <v>0</v>
      </c>
      <c r="U96" s="13">
        <f>(Data_PLT[[#This Row],[Equiv. Diam. (mm)]]/50)^0.45</f>
        <v>1.1135550054708407</v>
      </c>
      <c r="V96" s="13">
        <f>Data_PLT[[#This Row],[Is (MPa)]]*Data_PLT[[#This Row],[F]]</f>
        <v>0</v>
      </c>
      <c r="W96" s="13" t="str">
        <f>Data_PLT[[#This Row],[Failure Validity]]&amp;"-"&amp;Data_PLT[[#This Row],[Test type]]</f>
        <v>Valid-Diametral</v>
      </c>
      <c r="X96" s="13">
        <f>Data_PLT[[#This Row],[Is50 (MPa)]]*VLOOKUP("Min",Table_PLT_Conversion[],2,FALSE)</f>
        <v>0</v>
      </c>
      <c r="Y96" s="13">
        <f>Data_PLT[[#This Row],[Is50 (MPa)]]*VLOOKUP("Avg",Table_PLT_Conversion[],2,FALSE)</f>
        <v>0</v>
      </c>
      <c r="Z96" s="13">
        <f>Data_PLT[[#This Row],[Is50 (MPa)]]*VLOOKUP("Max",Table_PLT_Conversion[],2,FALSE)</f>
        <v>0</v>
      </c>
      <c r="AA96" s="62" t="e">
        <f>MATCH(LOOKUP(Data_PLT[[#This Row],[UCS min (MPa)]],Table_FieldStrength[Min UCS]),Table_FieldStrength[Min UCS],0)-1</f>
        <v>#N/A</v>
      </c>
      <c r="AB96" s="62" t="e">
        <f>MATCH(LOOKUP(Data_PLT[[#This Row],[UCS avg (MPa)]],Table_FieldStrength[Min UCS]),Table_FieldStrength[Min UCS],0)-1</f>
        <v>#N/A</v>
      </c>
      <c r="AC96" s="62" t="e">
        <f>MATCH(LOOKUP(Data_PLT[[#This Row],[UCS max (MPa)]],Table_FieldStrength[Min UCS]),Table_FieldStrength[Min UCS],0)-1</f>
        <v>#N/A</v>
      </c>
      <c r="AD96" s="68" t="e">
        <f>Data_PLT[[#This Row],[Test code]]&amp;"-"&amp;Data_PLT[[#This Row],[UCS min code]]</f>
        <v>#N/A</v>
      </c>
      <c r="AE96" s="68" t="e">
        <f>Data_PLT[[#This Row],[Test code]]&amp;"-"&amp;Data_PLT[[#This Row],[UCS avg code]]</f>
        <v>#N/A</v>
      </c>
      <c r="AF96" s="67" t="e">
        <f>Data_PLT[[#This Row],[Test code]]&amp;"-"&amp;Data_PLT[[#This Row],[UCS max code]]</f>
        <v>#N/A</v>
      </c>
      <c r="AG96" s="67" t="str">
        <f>Data_PLT[[#This Row],[Failure type]]&amp;"-"&amp;Data_PLT[[#This Row],[Test type]]&amp;"-"&amp;(IF(Data_PLT[[#This Row],[Is50 (MPa)]]&lt;1,1,IF(Data_PLT[[#This Row],[Is50 (MPa)]]&lt;2,2,IF(Data_PLT[[#This Row],[Is50 (MPa)]]&lt;4,3,IF(Data_PLT[[#This Row],[Is50 (MPa)]]&lt;8,4,5)))))</f>
        <v>Broke along MD-Diametral-1</v>
      </c>
    </row>
    <row r="97" spans="1:33" x14ac:dyDescent="0.25">
      <c r="A97" t="s">
        <v>30</v>
      </c>
      <c r="B97" s="88" t="str">
        <f>VLOOKUP(Data_PLT[[#This Row],[Hole ID]],Data_Log[],2,FALSE)</f>
        <v>CGF-02</v>
      </c>
      <c r="C97" s="63">
        <f>IF(Data_PLT[[#This Row],[Hole ID]]="","",
IF(COUNTIF($A$4:A97,Data_PLT[[#This Row],[Hole ID]])=1,1,
IF(A97=A96,C96+1,
COUNTIF($A$4:A97,Data_PLT[[#This Row],[Hole ID]]))))</f>
        <v>26</v>
      </c>
      <c r="D97" s="63" t="str">
        <f>IF(Data_PLT[[#This Row],[Hole ID]]="","",Data_PLT[[#This Row],[Hole ID]]&amp;"_"&amp;Data_PLT[[#This Row],[Sample ID]])</f>
        <v>COG-25-10_26</v>
      </c>
      <c r="E97" s="6"/>
      <c r="F97" s="6">
        <v>115.95</v>
      </c>
      <c r="G97" s="63" t="str" cm="1">
        <f t="array" ref="G97">_xlfn.XLOOKUP(1,(A97=Geotech!$A$4:$A$11100)*(Data_PLT[[#This Row],[Depth (m)]]&gt;=Geotech!$C$4:$C$11100)*(Data_PLT[[#This Row],[Depth (m)]]&lt;Geotech!$D$4:$D$11100),Geotech!$M$4:$M$11100)</f>
        <v>Boulamarque granodiorite</v>
      </c>
      <c r="H97" s="6" t="s">
        <v>299</v>
      </c>
      <c r="I97" s="63" t="str">
        <f>VLOOKUP(Data_PLT[[#This Row],[Hole ID]],Data_Log[[Hole ID]:[Core size]],20,FALSE)</f>
        <v>HQ</v>
      </c>
      <c r="J97" s="13">
        <f>VLOOKUP(Data_PLT[[#This Row],[Core Size]],Table_CoreSize[],2,FALSE)</f>
        <v>63.5</v>
      </c>
      <c r="K97" s="19">
        <v>190</v>
      </c>
      <c r="L97" s="19" t="s">
        <v>574</v>
      </c>
      <c r="M97" s="5">
        <v>73.599999999999994</v>
      </c>
      <c r="N97" s="5"/>
      <c r="O97" s="6" t="s">
        <v>163</v>
      </c>
      <c r="P97" s="13" t="str">
        <f>IF(Data_PLT[[#This Row],[Failure type]]="","",IF(OR(Data_PLT[[#This Row],[Failure type]]="Invalid",Data_PLT[[#This Row],[Failure type]]="Chipped",Data_PLT[[#This Row],[Failure type]]="Penetrate",Data_PLT[[#This Row],[Failure type]]="Did not break"),"Invalid","Valid"))</f>
        <v>Valid</v>
      </c>
      <c r="Q97" s="6"/>
      <c r="R97" s="11"/>
      <c r="S97" s="13">
        <f>IF(Data_PLT[[#This Row],[Test type]]="Diametral",Data_PLT[[#This Row],[Diameter (mm)]],IF(Data_PLT[[#This Row],[Test type]]="Axial",SQRT(4*Data_PLT[[#This Row],[Diameter (mm)]]*Data_PLT[[#This Row],[Length or width (mm)]]/PI()),"ERROR"))</f>
        <v>63.5</v>
      </c>
      <c r="T97" s="13">
        <f>(Data_PLT[[#This Row],[Load (kN)]]*1000)/Data_PLT[[#This Row],[Equiv. Diam. (mm)]]^2</f>
        <v>0</v>
      </c>
      <c r="U97" s="13">
        <f>(Data_PLT[[#This Row],[Equiv. Diam. (mm)]]/50)^0.45</f>
        <v>1.1135550054708407</v>
      </c>
      <c r="V97" s="13">
        <f>Data_PLT[[#This Row],[Is (MPa)]]*Data_PLT[[#This Row],[F]]</f>
        <v>0</v>
      </c>
      <c r="W97" s="13" t="str">
        <f>Data_PLT[[#This Row],[Failure Validity]]&amp;"-"&amp;Data_PLT[[#This Row],[Test type]]</f>
        <v>Valid-Diametral</v>
      </c>
      <c r="X97" s="13">
        <f>Data_PLT[[#This Row],[Is50 (MPa)]]*VLOOKUP("Min",Table_PLT_Conversion[],2,FALSE)</f>
        <v>0</v>
      </c>
      <c r="Y97" s="13">
        <f>Data_PLT[[#This Row],[Is50 (MPa)]]*VLOOKUP("Avg",Table_PLT_Conversion[],2,FALSE)</f>
        <v>0</v>
      </c>
      <c r="Z97" s="13">
        <f>Data_PLT[[#This Row],[Is50 (MPa)]]*VLOOKUP("Max",Table_PLT_Conversion[],2,FALSE)</f>
        <v>0</v>
      </c>
      <c r="AA97" s="62" t="e">
        <f>MATCH(LOOKUP(Data_PLT[[#This Row],[UCS min (MPa)]],Table_FieldStrength[Min UCS]),Table_FieldStrength[Min UCS],0)-1</f>
        <v>#N/A</v>
      </c>
      <c r="AB97" s="62" t="e">
        <f>MATCH(LOOKUP(Data_PLT[[#This Row],[UCS avg (MPa)]],Table_FieldStrength[Min UCS]),Table_FieldStrength[Min UCS],0)-1</f>
        <v>#N/A</v>
      </c>
      <c r="AC97" s="62" t="e">
        <f>MATCH(LOOKUP(Data_PLT[[#This Row],[UCS max (MPa)]],Table_FieldStrength[Min UCS]),Table_FieldStrength[Min UCS],0)-1</f>
        <v>#N/A</v>
      </c>
      <c r="AD97" s="68" t="e">
        <f>Data_PLT[[#This Row],[Test code]]&amp;"-"&amp;Data_PLT[[#This Row],[UCS min code]]</f>
        <v>#N/A</v>
      </c>
      <c r="AE97" s="68" t="e">
        <f>Data_PLT[[#This Row],[Test code]]&amp;"-"&amp;Data_PLT[[#This Row],[UCS avg code]]</f>
        <v>#N/A</v>
      </c>
      <c r="AF97" s="67" t="e">
        <f>Data_PLT[[#This Row],[Test code]]&amp;"-"&amp;Data_PLT[[#This Row],[UCS max code]]</f>
        <v>#N/A</v>
      </c>
      <c r="AG97" s="67" t="str">
        <f>Data_PLT[[#This Row],[Failure type]]&amp;"-"&amp;Data_PLT[[#This Row],[Test type]]&amp;"-"&amp;(IF(Data_PLT[[#This Row],[Is50 (MPa)]]&lt;1,1,IF(Data_PLT[[#This Row],[Is50 (MPa)]]&lt;2,2,IF(Data_PLT[[#This Row],[Is50 (MPa)]]&lt;4,3,IF(Data_PLT[[#This Row],[Is50 (MPa)]]&lt;8,4,5)))))</f>
        <v>Broke along MD-Diametral-1</v>
      </c>
    </row>
    <row r="98" spans="1:33" x14ac:dyDescent="0.25">
      <c r="A98" t="s">
        <v>30</v>
      </c>
      <c r="B98" s="88" t="str">
        <f>VLOOKUP(Data_PLT[[#This Row],[Hole ID]],Data_Log[],2,FALSE)</f>
        <v>CGF-02</v>
      </c>
      <c r="C98" s="63">
        <f>IF(Data_PLT[[#This Row],[Hole ID]]="","",
IF(COUNTIF($A$4:A98,Data_PLT[[#This Row],[Hole ID]])=1,1,
IF(A98=A97,C97+1,
COUNTIF($A$4:A98,Data_PLT[[#This Row],[Hole ID]]))))</f>
        <v>27</v>
      </c>
      <c r="D98" s="63" t="str">
        <f>IF(Data_PLT[[#This Row],[Hole ID]]="","",Data_PLT[[#This Row],[Hole ID]]&amp;"_"&amp;Data_PLT[[#This Row],[Sample ID]])</f>
        <v>COG-25-10_27</v>
      </c>
      <c r="E98" s="6"/>
      <c r="F98" s="6">
        <v>116.38</v>
      </c>
      <c r="G98" s="63" t="str" cm="1">
        <f t="array" ref="G98">_xlfn.XLOOKUP(1,(A98=Geotech!$A$4:$A$11100)*(Data_PLT[[#This Row],[Depth (m)]]&gt;=Geotech!$C$4:$C$11100)*(Data_PLT[[#This Row],[Depth (m)]]&lt;Geotech!$D$4:$D$11100),Geotech!$M$4:$M$11100)</f>
        <v>Basalt</v>
      </c>
      <c r="H98" s="6" t="s">
        <v>299</v>
      </c>
      <c r="I98" s="63" t="str">
        <f>VLOOKUP(Data_PLT[[#This Row],[Hole ID]],Data_Log[[Hole ID]:[Core size]],20,FALSE)</f>
        <v>HQ</v>
      </c>
      <c r="J98" s="13">
        <f>VLOOKUP(Data_PLT[[#This Row],[Core Size]],Table_CoreSize[],2,FALSE)</f>
        <v>63.5</v>
      </c>
      <c r="K98" s="19">
        <v>95</v>
      </c>
      <c r="L98" s="19" t="s">
        <v>574</v>
      </c>
      <c r="M98" s="5">
        <v>120.4</v>
      </c>
      <c r="N98" s="5"/>
      <c r="O98" s="6" t="s">
        <v>334</v>
      </c>
      <c r="P98" s="13" t="str">
        <f>IF(Data_PLT[[#This Row],[Failure type]]="","",IF(OR(Data_PLT[[#This Row],[Failure type]]="Invalid",Data_PLT[[#This Row],[Failure type]]="Chipped",Data_PLT[[#This Row],[Failure type]]="Penetrate",Data_PLT[[#This Row],[Failure type]]="Did not break"),"Invalid","Valid"))</f>
        <v>Valid</v>
      </c>
      <c r="Q98" s="6"/>
      <c r="R98" s="11"/>
      <c r="S98" s="13">
        <f>IF(Data_PLT[[#This Row],[Test type]]="Diametral",Data_PLT[[#This Row],[Diameter (mm)]],IF(Data_PLT[[#This Row],[Test type]]="Axial",SQRT(4*Data_PLT[[#This Row],[Diameter (mm)]]*Data_PLT[[#This Row],[Length or width (mm)]]/PI()),"ERROR"))</f>
        <v>63.5</v>
      </c>
      <c r="T98" s="13">
        <f>(Data_PLT[[#This Row],[Load (kN)]]*1000)/Data_PLT[[#This Row],[Equiv. Diam. (mm)]]^2</f>
        <v>0</v>
      </c>
      <c r="U98" s="13">
        <f>(Data_PLT[[#This Row],[Equiv. Diam. (mm)]]/50)^0.45</f>
        <v>1.1135550054708407</v>
      </c>
      <c r="V98" s="13">
        <f>Data_PLT[[#This Row],[Is (MPa)]]*Data_PLT[[#This Row],[F]]</f>
        <v>0</v>
      </c>
      <c r="W98" s="13" t="str">
        <f>Data_PLT[[#This Row],[Failure Validity]]&amp;"-"&amp;Data_PLT[[#This Row],[Test type]]</f>
        <v>Valid-Diametral</v>
      </c>
      <c r="X98" s="13">
        <f>Data_PLT[[#This Row],[Is50 (MPa)]]*VLOOKUP("Min",Table_PLT_Conversion[],2,FALSE)</f>
        <v>0</v>
      </c>
      <c r="Y98" s="13">
        <f>Data_PLT[[#This Row],[Is50 (MPa)]]*VLOOKUP("Avg",Table_PLT_Conversion[],2,FALSE)</f>
        <v>0</v>
      </c>
      <c r="Z98" s="13">
        <f>Data_PLT[[#This Row],[Is50 (MPa)]]*VLOOKUP("Max",Table_PLT_Conversion[],2,FALSE)</f>
        <v>0</v>
      </c>
      <c r="AA98" s="62" t="e">
        <f>MATCH(LOOKUP(Data_PLT[[#This Row],[UCS min (MPa)]],Table_FieldStrength[Min UCS]),Table_FieldStrength[Min UCS],0)-1</f>
        <v>#N/A</v>
      </c>
      <c r="AB98" s="62" t="e">
        <f>MATCH(LOOKUP(Data_PLT[[#This Row],[UCS avg (MPa)]],Table_FieldStrength[Min UCS]),Table_FieldStrength[Min UCS],0)-1</f>
        <v>#N/A</v>
      </c>
      <c r="AC98" s="62" t="e">
        <f>MATCH(LOOKUP(Data_PLT[[#This Row],[UCS max (MPa)]],Table_FieldStrength[Min UCS]),Table_FieldStrength[Min UCS],0)-1</f>
        <v>#N/A</v>
      </c>
      <c r="AD98" s="68" t="e">
        <f>Data_PLT[[#This Row],[Test code]]&amp;"-"&amp;Data_PLT[[#This Row],[UCS min code]]</f>
        <v>#N/A</v>
      </c>
      <c r="AE98" s="68" t="e">
        <f>Data_PLT[[#This Row],[Test code]]&amp;"-"&amp;Data_PLT[[#This Row],[UCS avg code]]</f>
        <v>#N/A</v>
      </c>
      <c r="AF98" s="67" t="e">
        <f>Data_PLT[[#This Row],[Test code]]&amp;"-"&amp;Data_PLT[[#This Row],[UCS max code]]</f>
        <v>#N/A</v>
      </c>
      <c r="AG98" s="67" t="str">
        <f>Data_PLT[[#This Row],[Failure type]]&amp;"-"&amp;Data_PLT[[#This Row],[Test type]]&amp;"-"&amp;(IF(Data_PLT[[#This Row],[Is50 (MPa)]]&lt;1,1,IF(Data_PLT[[#This Row],[Is50 (MPa)]]&lt;2,2,IF(Data_PLT[[#This Row],[Is50 (MPa)]]&lt;4,3,IF(Data_PLT[[#This Row],[Is50 (MPa)]]&lt;8,4,5)))))</f>
        <v>Along bedding/foliation-Diametral-1</v>
      </c>
    </row>
    <row r="99" spans="1:33" x14ac:dyDescent="0.25">
      <c r="A99" t="s">
        <v>30</v>
      </c>
      <c r="B99" s="88" t="str">
        <f>VLOOKUP(Data_PLT[[#This Row],[Hole ID]],Data_Log[],2,FALSE)</f>
        <v>CGF-02</v>
      </c>
      <c r="C99" s="63">
        <f>IF(Data_PLT[[#This Row],[Hole ID]]="","",
IF(COUNTIF($A$4:A99,Data_PLT[[#This Row],[Hole ID]])=1,1,
IF(A99=A98,C98+1,
COUNTIF($A$4:A99,Data_PLT[[#This Row],[Hole ID]]))))</f>
        <v>28</v>
      </c>
      <c r="D99" s="63" t="str">
        <f>IF(Data_PLT[[#This Row],[Hole ID]]="","",Data_PLT[[#This Row],[Hole ID]]&amp;"_"&amp;Data_PLT[[#This Row],[Sample ID]])</f>
        <v>COG-25-10_28</v>
      </c>
      <c r="E99" s="6"/>
      <c r="F99" s="6">
        <v>119.78</v>
      </c>
      <c r="G99" s="63" t="str" cm="1">
        <f t="array" ref="G99">_xlfn.XLOOKUP(1,(A99=Geotech!$A$4:$A$11100)*(Data_PLT[[#This Row],[Depth (m)]]&gt;=Geotech!$C$4:$C$11100)*(Data_PLT[[#This Row],[Depth (m)]]&lt;Geotech!$D$4:$D$11100),Geotech!$M$4:$M$11100)</f>
        <v>Basalt</v>
      </c>
      <c r="H99" s="6" t="s">
        <v>299</v>
      </c>
      <c r="I99" s="63" t="str">
        <f>VLOOKUP(Data_PLT[[#This Row],[Hole ID]],Data_Log[[Hole ID]:[Core size]],20,FALSE)</f>
        <v>HQ</v>
      </c>
      <c r="J99" s="13">
        <f>VLOOKUP(Data_PLT[[#This Row],[Core Size]],Table_CoreSize[],2,FALSE)</f>
        <v>63.5</v>
      </c>
      <c r="K99" s="19">
        <v>140</v>
      </c>
      <c r="L99" s="19" t="s">
        <v>574</v>
      </c>
      <c r="M99" s="5">
        <v>156.4</v>
      </c>
      <c r="N99" s="5"/>
      <c r="O99" s="6" t="s">
        <v>334</v>
      </c>
      <c r="P99" s="13" t="str">
        <f>IF(Data_PLT[[#This Row],[Failure type]]="","",IF(OR(Data_PLT[[#This Row],[Failure type]]="Invalid",Data_PLT[[#This Row],[Failure type]]="Chipped",Data_PLT[[#This Row],[Failure type]]="Penetrate",Data_PLT[[#This Row],[Failure type]]="Did not break"),"Invalid","Valid"))</f>
        <v>Valid</v>
      </c>
      <c r="Q99" s="6"/>
      <c r="R99" s="11"/>
      <c r="S99" s="13">
        <f>IF(Data_PLT[[#This Row],[Test type]]="Diametral",Data_PLT[[#This Row],[Diameter (mm)]],IF(Data_PLT[[#This Row],[Test type]]="Axial",SQRT(4*Data_PLT[[#This Row],[Diameter (mm)]]*Data_PLT[[#This Row],[Length or width (mm)]]/PI()),"ERROR"))</f>
        <v>63.5</v>
      </c>
      <c r="T99" s="13">
        <f>(Data_PLT[[#This Row],[Load (kN)]]*1000)/Data_PLT[[#This Row],[Equiv. Diam. (mm)]]^2</f>
        <v>0</v>
      </c>
      <c r="U99" s="13">
        <f>(Data_PLT[[#This Row],[Equiv. Diam. (mm)]]/50)^0.45</f>
        <v>1.1135550054708407</v>
      </c>
      <c r="V99" s="13">
        <f>Data_PLT[[#This Row],[Is (MPa)]]*Data_PLT[[#This Row],[F]]</f>
        <v>0</v>
      </c>
      <c r="W99" s="13" t="str">
        <f>Data_PLT[[#This Row],[Failure Validity]]&amp;"-"&amp;Data_PLT[[#This Row],[Test type]]</f>
        <v>Valid-Diametral</v>
      </c>
      <c r="X99" s="13">
        <f>Data_PLT[[#This Row],[Is50 (MPa)]]*VLOOKUP("Min",Table_PLT_Conversion[],2,FALSE)</f>
        <v>0</v>
      </c>
      <c r="Y99" s="13">
        <f>Data_PLT[[#This Row],[Is50 (MPa)]]*VLOOKUP("Avg",Table_PLT_Conversion[],2,FALSE)</f>
        <v>0</v>
      </c>
      <c r="Z99" s="13">
        <f>Data_PLT[[#This Row],[Is50 (MPa)]]*VLOOKUP("Max",Table_PLT_Conversion[],2,FALSE)</f>
        <v>0</v>
      </c>
      <c r="AA99" s="62" t="e">
        <f>MATCH(LOOKUP(Data_PLT[[#This Row],[UCS min (MPa)]],Table_FieldStrength[Min UCS]),Table_FieldStrength[Min UCS],0)-1</f>
        <v>#N/A</v>
      </c>
      <c r="AB99" s="62" t="e">
        <f>MATCH(LOOKUP(Data_PLT[[#This Row],[UCS avg (MPa)]],Table_FieldStrength[Min UCS]),Table_FieldStrength[Min UCS],0)-1</f>
        <v>#N/A</v>
      </c>
      <c r="AC99" s="62" t="e">
        <f>MATCH(LOOKUP(Data_PLT[[#This Row],[UCS max (MPa)]],Table_FieldStrength[Min UCS]),Table_FieldStrength[Min UCS],0)-1</f>
        <v>#N/A</v>
      </c>
      <c r="AD99" s="68" t="e">
        <f>Data_PLT[[#This Row],[Test code]]&amp;"-"&amp;Data_PLT[[#This Row],[UCS min code]]</f>
        <v>#N/A</v>
      </c>
      <c r="AE99" s="68" t="e">
        <f>Data_PLT[[#This Row],[Test code]]&amp;"-"&amp;Data_PLT[[#This Row],[UCS avg code]]</f>
        <v>#N/A</v>
      </c>
      <c r="AF99" s="67" t="e">
        <f>Data_PLT[[#This Row],[Test code]]&amp;"-"&amp;Data_PLT[[#This Row],[UCS max code]]</f>
        <v>#N/A</v>
      </c>
      <c r="AG99" s="67" t="str">
        <f>Data_PLT[[#This Row],[Failure type]]&amp;"-"&amp;Data_PLT[[#This Row],[Test type]]&amp;"-"&amp;(IF(Data_PLT[[#This Row],[Is50 (MPa)]]&lt;1,1,IF(Data_PLT[[#This Row],[Is50 (MPa)]]&lt;2,2,IF(Data_PLT[[#This Row],[Is50 (MPa)]]&lt;4,3,IF(Data_PLT[[#This Row],[Is50 (MPa)]]&lt;8,4,5)))))</f>
        <v>Along bedding/foliation-Diametral-1</v>
      </c>
    </row>
    <row r="100" spans="1:33" x14ac:dyDescent="0.25">
      <c r="A100" t="s">
        <v>30</v>
      </c>
      <c r="B100" s="88" t="str">
        <f>VLOOKUP(Data_PLT[[#This Row],[Hole ID]],Data_Log[],2,FALSE)</f>
        <v>CGF-02</v>
      </c>
      <c r="C100" s="63">
        <f>IF(Data_PLT[[#This Row],[Hole ID]]="","",
IF(COUNTIF($A$4:A100,Data_PLT[[#This Row],[Hole ID]])=1,1,
IF(A100=A99,C99+1,
COUNTIF($A$4:A100,Data_PLT[[#This Row],[Hole ID]]))))</f>
        <v>29</v>
      </c>
      <c r="D100" s="63" t="str">
        <f>IF(Data_PLT[[#This Row],[Hole ID]]="","",Data_PLT[[#This Row],[Hole ID]]&amp;"_"&amp;Data_PLT[[#This Row],[Sample ID]])</f>
        <v>COG-25-10_29</v>
      </c>
      <c r="E100" s="6"/>
      <c r="F100" s="6">
        <v>120.18</v>
      </c>
      <c r="G100" s="63" t="str" cm="1">
        <f t="array" ref="G100">_xlfn.XLOOKUP(1,(A100=Geotech!$A$4:$A$11100)*(Data_PLT[[#This Row],[Depth (m)]]&gt;=Geotech!$C$4:$C$11100)*(Data_PLT[[#This Row],[Depth (m)]]&lt;Geotech!$D$4:$D$11100),Geotech!$M$4:$M$11100)</f>
        <v>Basalt</v>
      </c>
      <c r="H100" s="6" t="s">
        <v>299</v>
      </c>
      <c r="I100" s="63" t="str">
        <f>VLOOKUP(Data_PLT[[#This Row],[Hole ID]],Data_Log[[Hole ID]:[Core size]],20,FALSE)</f>
        <v>HQ</v>
      </c>
      <c r="J100" s="13">
        <f>VLOOKUP(Data_PLT[[#This Row],[Core Size]],Table_CoreSize[],2,FALSE)</f>
        <v>63.5</v>
      </c>
      <c r="K100" s="19">
        <v>130</v>
      </c>
      <c r="L100" s="19" t="s">
        <v>574</v>
      </c>
      <c r="M100" s="5">
        <v>14.4</v>
      </c>
      <c r="N100" s="5"/>
      <c r="O100" s="6" t="s">
        <v>334</v>
      </c>
      <c r="P100" s="13" t="str">
        <f>IF(Data_PLT[[#This Row],[Failure type]]="","",IF(OR(Data_PLT[[#This Row],[Failure type]]="Invalid",Data_PLT[[#This Row],[Failure type]]="Chipped",Data_PLT[[#This Row],[Failure type]]="Penetrate",Data_PLT[[#This Row],[Failure type]]="Did not break"),"Invalid","Valid"))</f>
        <v>Valid</v>
      </c>
      <c r="Q100" s="6"/>
      <c r="R100" s="11"/>
      <c r="S100" s="13">
        <f>IF(Data_PLT[[#This Row],[Test type]]="Diametral",Data_PLT[[#This Row],[Diameter (mm)]],IF(Data_PLT[[#This Row],[Test type]]="Axial",SQRT(4*Data_PLT[[#This Row],[Diameter (mm)]]*Data_PLT[[#This Row],[Length or width (mm)]]/PI()),"ERROR"))</f>
        <v>63.5</v>
      </c>
      <c r="T100" s="13">
        <f>(Data_PLT[[#This Row],[Load (kN)]]*1000)/Data_PLT[[#This Row],[Equiv. Diam. (mm)]]^2</f>
        <v>0</v>
      </c>
      <c r="U100" s="13">
        <f>(Data_PLT[[#This Row],[Equiv. Diam. (mm)]]/50)^0.45</f>
        <v>1.1135550054708407</v>
      </c>
      <c r="V100" s="13">
        <f>Data_PLT[[#This Row],[Is (MPa)]]*Data_PLT[[#This Row],[F]]</f>
        <v>0</v>
      </c>
      <c r="W100" s="13" t="str">
        <f>Data_PLT[[#This Row],[Failure Validity]]&amp;"-"&amp;Data_PLT[[#This Row],[Test type]]</f>
        <v>Valid-Diametral</v>
      </c>
      <c r="X100" s="13">
        <f>Data_PLT[[#This Row],[Is50 (MPa)]]*VLOOKUP("Min",Table_PLT_Conversion[],2,FALSE)</f>
        <v>0</v>
      </c>
      <c r="Y100" s="13">
        <f>Data_PLT[[#This Row],[Is50 (MPa)]]*VLOOKUP("Avg",Table_PLT_Conversion[],2,FALSE)</f>
        <v>0</v>
      </c>
      <c r="Z100" s="13">
        <f>Data_PLT[[#This Row],[Is50 (MPa)]]*VLOOKUP("Max",Table_PLT_Conversion[],2,FALSE)</f>
        <v>0</v>
      </c>
      <c r="AA100" s="62" t="e">
        <f>MATCH(LOOKUP(Data_PLT[[#This Row],[UCS min (MPa)]],Table_FieldStrength[Min UCS]),Table_FieldStrength[Min UCS],0)-1</f>
        <v>#N/A</v>
      </c>
      <c r="AB100" s="62" t="e">
        <f>MATCH(LOOKUP(Data_PLT[[#This Row],[UCS avg (MPa)]],Table_FieldStrength[Min UCS]),Table_FieldStrength[Min UCS],0)-1</f>
        <v>#N/A</v>
      </c>
      <c r="AC100" s="62" t="e">
        <f>MATCH(LOOKUP(Data_PLT[[#This Row],[UCS max (MPa)]],Table_FieldStrength[Min UCS]),Table_FieldStrength[Min UCS],0)-1</f>
        <v>#N/A</v>
      </c>
      <c r="AD100" s="68" t="e">
        <f>Data_PLT[[#This Row],[Test code]]&amp;"-"&amp;Data_PLT[[#This Row],[UCS min code]]</f>
        <v>#N/A</v>
      </c>
      <c r="AE100" s="68" t="e">
        <f>Data_PLT[[#This Row],[Test code]]&amp;"-"&amp;Data_PLT[[#This Row],[UCS avg code]]</f>
        <v>#N/A</v>
      </c>
      <c r="AF100" s="67" t="e">
        <f>Data_PLT[[#This Row],[Test code]]&amp;"-"&amp;Data_PLT[[#This Row],[UCS max code]]</f>
        <v>#N/A</v>
      </c>
      <c r="AG100" s="67" t="str">
        <f>Data_PLT[[#This Row],[Failure type]]&amp;"-"&amp;Data_PLT[[#This Row],[Test type]]&amp;"-"&amp;(IF(Data_PLT[[#This Row],[Is50 (MPa)]]&lt;1,1,IF(Data_PLT[[#This Row],[Is50 (MPa)]]&lt;2,2,IF(Data_PLT[[#This Row],[Is50 (MPa)]]&lt;4,3,IF(Data_PLT[[#This Row],[Is50 (MPa)]]&lt;8,4,5)))))</f>
        <v>Along bedding/foliation-Diametral-1</v>
      </c>
    </row>
    <row r="101" spans="1:33" x14ac:dyDescent="0.25">
      <c r="A101" t="s">
        <v>30</v>
      </c>
      <c r="B101" s="88" t="str">
        <f>VLOOKUP(Data_PLT[[#This Row],[Hole ID]],Data_Log[],2,FALSE)</f>
        <v>CGF-02</v>
      </c>
      <c r="C101" s="63">
        <f>IF(Data_PLT[[#This Row],[Hole ID]]="","",
IF(COUNTIF($A$4:A101,Data_PLT[[#This Row],[Hole ID]])=1,1,
IF(A101=A100,C100+1,
COUNTIF($A$4:A101,Data_PLT[[#This Row],[Hole ID]]))))</f>
        <v>30</v>
      </c>
      <c r="D101" s="63" t="str">
        <f>IF(Data_PLT[[#This Row],[Hole ID]]="","",Data_PLT[[#This Row],[Hole ID]]&amp;"_"&amp;Data_PLT[[#This Row],[Sample ID]])</f>
        <v>COG-25-10_30</v>
      </c>
      <c r="E101" s="6"/>
      <c r="F101" s="6">
        <v>124.48</v>
      </c>
      <c r="G101" s="63" t="str" cm="1">
        <f t="array" ref="G101">_xlfn.XLOOKUP(1,(A101=Geotech!$A$4:$A$11100)*(Data_PLT[[#This Row],[Depth (m)]]&gt;=Geotech!$C$4:$C$11100)*(Data_PLT[[#This Row],[Depth (m)]]&lt;Geotech!$D$4:$D$11100),Geotech!$M$4:$M$11100)</f>
        <v>Boulamarque granodiorite</v>
      </c>
      <c r="H101" s="6" t="s">
        <v>299</v>
      </c>
      <c r="I101" s="63" t="str">
        <f>VLOOKUP(Data_PLT[[#This Row],[Hole ID]],Data_Log[[Hole ID]:[Core size]],20,FALSE)</f>
        <v>HQ</v>
      </c>
      <c r="J101" s="13">
        <f>VLOOKUP(Data_PLT[[#This Row],[Core Size]],Table_CoreSize[],2,FALSE)</f>
        <v>63.5</v>
      </c>
      <c r="K101" s="19">
        <v>80</v>
      </c>
      <c r="L101" s="19" t="s">
        <v>574</v>
      </c>
      <c r="M101" s="5">
        <v>113</v>
      </c>
      <c r="N101" s="5"/>
      <c r="O101" s="6" t="s">
        <v>163</v>
      </c>
      <c r="P101" s="13" t="str">
        <f>IF(Data_PLT[[#This Row],[Failure type]]="","",IF(OR(Data_PLT[[#This Row],[Failure type]]="Invalid",Data_PLT[[#This Row],[Failure type]]="Chipped",Data_PLT[[#This Row],[Failure type]]="Penetrate",Data_PLT[[#This Row],[Failure type]]="Did not break"),"Invalid","Valid"))</f>
        <v>Valid</v>
      </c>
      <c r="Q101" s="6"/>
      <c r="R101" s="11"/>
      <c r="S101" s="13">
        <f>IF(Data_PLT[[#This Row],[Test type]]="Diametral",Data_PLT[[#This Row],[Diameter (mm)]],IF(Data_PLT[[#This Row],[Test type]]="Axial",SQRT(4*Data_PLT[[#This Row],[Diameter (mm)]]*Data_PLT[[#This Row],[Length or width (mm)]]/PI()),"ERROR"))</f>
        <v>63.5</v>
      </c>
      <c r="T101" s="13">
        <f>(Data_PLT[[#This Row],[Load (kN)]]*1000)/Data_PLT[[#This Row],[Equiv. Diam. (mm)]]^2</f>
        <v>0</v>
      </c>
      <c r="U101" s="13">
        <f>(Data_PLT[[#This Row],[Equiv. Diam. (mm)]]/50)^0.45</f>
        <v>1.1135550054708407</v>
      </c>
      <c r="V101" s="13">
        <f>Data_PLT[[#This Row],[Is (MPa)]]*Data_PLT[[#This Row],[F]]</f>
        <v>0</v>
      </c>
      <c r="W101" s="13" t="str">
        <f>Data_PLT[[#This Row],[Failure Validity]]&amp;"-"&amp;Data_PLT[[#This Row],[Test type]]</f>
        <v>Valid-Diametral</v>
      </c>
      <c r="X101" s="13">
        <f>Data_PLT[[#This Row],[Is50 (MPa)]]*VLOOKUP("Min",Table_PLT_Conversion[],2,FALSE)</f>
        <v>0</v>
      </c>
      <c r="Y101" s="13">
        <f>Data_PLT[[#This Row],[Is50 (MPa)]]*VLOOKUP("Avg",Table_PLT_Conversion[],2,FALSE)</f>
        <v>0</v>
      </c>
      <c r="Z101" s="13">
        <f>Data_PLT[[#This Row],[Is50 (MPa)]]*VLOOKUP("Max",Table_PLT_Conversion[],2,FALSE)</f>
        <v>0</v>
      </c>
      <c r="AA101" s="62" t="e">
        <f>MATCH(LOOKUP(Data_PLT[[#This Row],[UCS min (MPa)]],Table_FieldStrength[Min UCS]),Table_FieldStrength[Min UCS],0)-1</f>
        <v>#N/A</v>
      </c>
      <c r="AB101" s="62" t="e">
        <f>MATCH(LOOKUP(Data_PLT[[#This Row],[UCS avg (MPa)]],Table_FieldStrength[Min UCS]),Table_FieldStrength[Min UCS],0)-1</f>
        <v>#N/A</v>
      </c>
      <c r="AC101" s="62" t="e">
        <f>MATCH(LOOKUP(Data_PLT[[#This Row],[UCS max (MPa)]],Table_FieldStrength[Min UCS]),Table_FieldStrength[Min UCS],0)-1</f>
        <v>#N/A</v>
      </c>
      <c r="AD101" s="68" t="e">
        <f>Data_PLT[[#This Row],[Test code]]&amp;"-"&amp;Data_PLT[[#This Row],[UCS min code]]</f>
        <v>#N/A</v>
      </c>
      <c r="AE101" s="68" t="e">
        <f>Data_PLT[[#This Row],[Test code]]&amp;"-"&amp;Data_PLT[[#This Row],[UCS avg code]]</f>
        <v>#N/A</v>
      </c>
      <c r="AF101" s="67" t="e">
        <f>Data_PLT[[#This Row],[Test code]]&amp;"-"&amp;Data_PLT[[#This Row],[UCS max code]]</f>
        <v>#N/A</v>
      </c>
      <c r="AG101" s="67" t="str">
        <f>Data_PLT[[#This Row],[Failure type]]&amp;"-"&amp;Data_PLT[[#This Row],[Test type]]&amp;"-"&amp;(IF(Data_PLT[[#This Row],[Is50 (MPa)]]&lt;1,1,IF(Data_PLT[[#This Row],[Is50 (MPa)]]&lt;2,2,IF(Data_PLT[[#This Row],[Is50 (MPa)]]&lt;4,3,IF(Data_PLT[[#This Row],[Is50 (MPa)]]&lt;8,4,5)))))</f>
        <v>Broke along MD-Diametral-1</v>
      </c>
    </row>
    <row r="102" spans="1:33" x14ac:dyDescent="0.25">
      <c r="A102" t="s">
        <v>30</v>
      </c>
      <c r="B102" s="88" t="str">
        <f>VLOOKUP(Data_PLT[[#This Row],[Hole ID]],Data_Log[],2,FALSE)</f>
        <v>CGF-02</v>
      </c>
      <c r="C102" s="63">
        <f>IF(Data_PLT[[#This Row],[Hole ID]]="","",
IF(COUNTIF($A$4:A102,Data_PLT[[#This Row],[Hole ID]])=1,1,
IF(A102=A101,C101+1,
COUNTIF($A$4:A102,Data_PLT[[#This Row],[Hole ID]]))))</f>
        <v>31</v>
      </c>
      <c r="D102" s="63" t="str">
        <f>IF(Data_PLT[[#This Row],[Hole ID]]="","",Data_PLT[[#This Row],[Hole ID]]&amp;"_"&amp;Data_PLT[[#This Row],[Sample ID]])</f>
        <v>COG-25-10_31</v>
      </c>
      <c r="E102" s="6"/>
      <c r="F102" s="6">
        <v>123.69</v>
      </c>
      <c r="G102" s="63" t="str" cm="1">
        <f t="array" ref="G102">_xlfn.XLOOKUP(1,(A102=Geotech!$A$4:$A$11100)*(Data_PLT[[#This Row],[Depth (m)]]&gt;=Geotech!$C$4:$C$11100)*(Data_PLT[[#This Row],[Depth (m)]]&lt;Geotech!$D$4:$D$11100),Geotech!$M$4:$M$11100)</f>
        <v>Basalt</v>
      </c>
      <c r="H102" s="6" t="s">
        <v>299</v>
      </c>
      <c r="I102" s="63" t="str">
        <f>VLOOKUP(Data_PLT[[#This Row],[Hole ID]],Data_Log[[Hole ID]:[Core size]],20,FALSE)</f>
        <v>HQ</v>
      </c>
      <c r="J102" s="13">
        <f>VLOOKUP(Data_PLT[[#This Row],[Core Size]],Table_CoreSize[],2,FALSE)</f>
        <v>63.5</v>
      </c>
      <c r="K102" s="19">
        <v>75</v>
      </c>
      <c r="L102" s="19" t="s">
        <v>574</v>
      </c>
      <c r="M102" s="5">
        <v>26.2</v>
      </c>
      <c r="N102" s="5"/>
      <c r="O102" s="6" t="s">
        <v>334</v>
      </c>
      <c r="P102" s="13" t="str">
        <f>IF(Data_PLT[[#This Row],[Failure type]]="","",IF(OR(Data_PLT[[#This Row],[Failure type]]="Invalid",Data_PLT[[#This Row],[Failure type]]="Chipped",Data_PLT[[#This Row],[Failure type]]="Penetrate",Data_PLT[[#This Row],[Failure type]]="Did not break"),"Invalid","Valid"))</f>
        <v>Valid</v>
      </c>
      <c r="Q102" s="6"/>
      <c r="R102" s="11"/>
      <c r="S102" s="13">
        <f>IF(Data_PLT[[#This Row],[Test type]]="Diametral",Data_PLT[[#This Row],[Diameter (mm)]],IF(Data_PLT[[#This Row],[Test type]]="Axial",SQRT(4*Data_PLT[[#This Row],[Diameter (mm)]]*Data_PLT[[#This Row],[Length or width (mm)]]/PI()),"ERROR"))</f>
        <v>63.5</v>
      </c>
      <c r="T102" s="13">
        <f>(Data_PLT[[#This Row],[Load (kN)]]*1000)/Data_PLT[[#This Row],[Equiv. Diam. (mm)]]^2</f>
        <v>0</v>
      </c>
      <c r="U102" s="13">
        <f>(Data_PLT[[#This Row],[Equiv. Diam. (mm)]]/50)^0.45</f>
        <v>1.1135550054708407</v>
      </c>
      <c r="V102" s="13">
        <f>Data_PLT[[#This Row],[Is (MPa)]]*Data_PLT[[#This Row],[F]]</f>
        <v>0</v>
      </c>
      <c r="W102" s="13" t="str">
        <f>Data_PLT[[#This Row],[Failure Validity]]&amp;"-"&amp;Data_PLT[[#This Row],[Test type]]</f>
        <v>Valid-Diametral</v>
      </c>
      <c r="X102" s="13">
        <f>Data_PLT[[#This Row],[Is50 (MPa)]]*VLOOKUP("Min",Table_PLT_Conversion[],2,FALSE)</f>
        <v>0</v>
      </c>
      <c r="Y102" s="13">
        <f>Data_PLT[[#This Row],[Is50 (MPa)]]*VLOOKUP("Avg",Table_PLT_Conversion[],2,FALSE)</f>
        <v>0</v>
      </c>
      <c r="Z102" s="13">
        <f>Data_PLT[[#This Row],[Is50 (MPa)]]*VLOOKUP("Max",Table_PLT_Conversion[],2,FALSE)</f>
        <v>0</v>
      </c>
      <c r="AA102" s="62" t="e">
        <f>MATCH(LOOKUP(Data_PLT[[#This Row],[UCS min (MPa)]],Table_FieldStrength[Min UCS]),Table_FieldStrength[Min UCS],0)-1</f>
        <v>#N/A</v>
      </c>
      <c r="AB102" s="62" t="e">
        <f>MATCH(LOOKUP(Data_PLT[[#This Row],[UCS avg (MPa)]],Table_FieldStrength[Min UCS]),Table_FieldStrength[Min UCS],0)-1</f>
        <v>#N/A</v>
      </c>
      <c r="AC102" s="62" t="e">
        <f>MATCH(LOOKUP(Data_PLT[[#This Row],[UCS max (MPa)]],Table_FieldStrength[Min UCS]),Table_FieldStrength[Min UCS],0)-1</f>
        <v>#N/A</v>
      </c>
      <c r="AD102" s="68" t="e">
        <f>Data_PLT[[#This Row],[Test code]]&amp;"-"&amp;Data_PLT[[#This Row],[UCS min code]]</f>
        <v>#N/A</v>
      </c>
      <c r="AE102" s="68" t="e">
        <f>Data_PLT[[#This Row],[Test code]]&amp;"-"&amp;Data_PLT[[#This Row],[UCS avg code]]</f>
        <v>#N/A</v>
      </c>
      <c r="AF102" s="67" t="e">
        <f>Data_PLT[[#This Row],[Test code]]&amp;"-"&amp;Data_PLT[[#This Row],[UCS max code]]</f>
        <v>#N/A</v>
      </c>
      <c r="AG102" s="67" t="str">
        <f>Data_PLT[[#This Row],[Failure type]]&amp;"-"&amp;Data_PLT[[#This Row],[Test type]]&amp;"-"&amp;(IF(Data_PLT[[#This Row],[Is50 (MPa)]]&lt;1,1,IF(Data_PLT[[#This Row],[Is50 (MPa)]]&lt;2,2,IF(Data_PLT[[#This Row],[Is50 (MPa)]]&lt;4,3,IF(Data_PLT[[#This Row],[Is50 (MPa)]]&lt;8,4,5)))))</f>
        <v>Along bedding/foliation-Diametral-1</v>
      </c>
    </row>
    <row r="103" spans="1:33" x14ac:dyDescent="0.25">
      <c r="A103" t="s">
        <v>30</v>
      </c>
      <c r="B103" s="88" t="str">
        <f>VLOOKUP(Data_PLT[[#This Row],[Hole ID]],Data_Log[],2,FALSE)</f>
        <v>CGF-02</v>
      </c>
      <c r="C103" s="63">
        <f>IF(Data_PLT[[#This Row],[Hole ID]]="","",
IF(COUNTIF($A$4:A103,Data_PLT[[#This Row],[Hole ID]])=1,1,
IF(A103=A102,C102+1,
COUNTIF($A$4:A103,Data_PLT[[#This Row],[Hole ID]]))))</f>
        <v>32</v>
      </c>
      <c r="D103" s="63" t="str">
        <f>IF(Data_PLT[[#This Row],[Hole ID]]="","",Data_PLT[[#This Row],[Hole ID]]&amp;"_"&amp;Data_PLT[[#This Row],[Sample ID]])</f>
        <v>COG-25-10_32</v>
      </c>
      <c r="E103" s="6"/>
      <c r="F103" s="6">
        <v>125.28</v>
      </c>
      <c r="G103" s="63" t="str" cm="1">
        <f t="array" ref="G103">_xlfn.XLOOKUP(1,(A103=Geotech!$A$4:$A$11100)*(Data_PLT[[#This Row],[Depth (m)]]&gt;=Geotech!$C$4:$C$11100)*(Data_PLT[[#This Row],[Depth (m)]]&lt;Geotech!$D$4:$D$11100),Geotech!$M$4:$M$11100)</f>
        <v>Basalt</v>
      </c>
      <c r="H103" s="6" t="s">
        <v>299</v>
      </c>
      <c r="I103" s="63" t="str">
        <f>VLOOKUP(Data_PLT[[#This Row],[Hole ID]],Data_Log[[Hole ID]:[Core size]],20,FALSE)</f>
        <v>HQ</v>
      </c>
      <c r="J103" s="13">
        <f>VLOOKUP(Data_PLT[[#This Row],[Core Size]],Table_CoreSize[],2,FALSE)</f>
        <v>63.5</v>
      </c>
      <c r="K103" s="19">
        <v>200</v>
      </c>
      <c r="L103" s="19" t="s">
        <v>574</v>
      </c>
      <c r="M103" s="5">
        <v>109.8</v>
      </c>
      <c r="N103" s="5"/>
      <c r="O103" s="6" t="s">
        <v>163</v>
      </c>
      <c r="P103" s="13" t="str">
        <f>IF(Data_PLT[[#This Row],[Failure type]]="","",IF(OR(Data_PLT[[#This Row],[Failure type]]="Invalid",Data_PLT[[#This Row],[Failure type]]="Chipped",Data_PLT[[#This Row],[Failure type]]="Penetrate",Data_PLT[[#This Row],[Failure type]]="Did not break"),"Invalid","Valid"))</f>
        <v>Valid</v>
      </c>
      <c r="Q103" s="6"/>
      <c r="R103" s="11"/>
      <c r="S103" s="13">
        <f>IF(Data_PLT[[#This Row],[Test type]]="Diametral",Data_PLT[[#This Row],[Diameter (mm)]],IF(Data_PLT[[#This Row],[Test type]]="Axial",SQRT(4*Data_PLT[[#This Row],[Diameter (mm)]]*Data_PLT[[#This Row],[Length or width (mm)]]/PI()),"ERROR"))</f>
        <v>63.5</v>
      </c>
      <c r="T103" s="13">
        <f>(Data_PLT[[#This Row],[Load (kN)]]*1000)/Data_PLT[[#This Row],[Equiv. Diam. (mm)]]^2</f>
        <v>0</v>
      </c>
      <c r="U103" s="13">
        <f>(Data_PLT[[#This Row],[Equiv. Diam. (mm)]]/50)^0.45</f>
        <v>1.1135550054708407</v>
      </c>
      <c r="V103" s="13">
        <f>Data_PLT[[#This Row],[Is (MPa)]]*Data_PLT[[#This Row],[F]]</f>
        <v>0</v>
      </c>
      <c r="W103" s="13" t="str">
        <f>Data_PLT[[#This Row],[Failure Validity]]&amp;"-"&amp;Data_PLT[[#This Row],[Test type]]</f>
        <v>Valid-Diametral</v>
      </c>
      <c r="X103" s="13">
        <f>Data_PLT[[#This Row],[Is50 (MPa)]]*VLOOKUP("Min",Table_PLT_Conversion[],2,FALSE)</f>
        <v>0</v>
      </c>
      <c r="Y103" s="13">
        <f>Data_PLT[[#This Row],[Is50 (MPa)]]*VLOOKUP("Avg",Table_PLT_Conversion[],2,FALSE)</f>
        <v>0</v>
      </c>
      <c r="Z103" s="13">
        <f>Data_PLT[[#This Row],[Is50 (MPa)]]*VLOOKUP("Max",Table_PLT_Conversion[],2,FALSE)</f>
        <v>0</v>
      </c>
      <c r="AA103" s="62" t="e">
        <f>MATCH(LOOKUP(Data_PLT[[#This Row],[UCS min (MPa)]],Table_FieldStrength[Min UCS]),Table_FieldStrength[Min UCS],0)-1</f>
        <v>#N/A</v>
      </c>
      <c r="AB103" s="62" t="e">
        <f>MATCH(LOOKUP(Data_PLT[[#This Row],[UCS avg (MPa)]],Table_FieldStrength[Min UCS]),Table_FieldStrength[Min UCS],0)-1</f>
        <v>#N/A</v>
      </c>
      <c r="AC103" s="62" t="e">
        <f>MATCH(LOOKUP(Data_PLT[[#This Row],[UCS max (MPa)]],Table_FieldStrength[Min UCS]),Table_FieldStrength[Min UCS],0)-1</f>
        <v>#N/A</v>
      </c>
      <c r="AD103" s="68" t="e">
        <f>Data_PLT[[#This Row],[Test code]]&amp;"-"&amp;Data_PLT[[#This Row],[UCS min code]]</f>
        <v>#N/A</v>
      </c>
      <c r="AE103" s="68" t="e">
        <f>Data_PLT[[#This Row],[Test code]]&amp;"-"&amp;Data_PLT[[#This Row],[UCS avg code]]</f>
        <v>#N/A</v>
      </c>
      <c r="AF103" s="67" t="e">
        <f>Data_PLT[[#This Row],[Test code]]&amp;"-"&amp;Data_PLT[[#This Row],[UCS max code]]</f>
        <v>#N/A</v>
      </c>
      <c r="AG103" s="67" t="str">
        <f>Data_PLT[[#This Row],[Failure type]]&amp;"-"&amp;Data_PLT[[#This Row],[Test type]]&amp;"-"&amp;(IF(Data_PLT[[#This Row],[Is50 (MPa)]]&lt;1,1,IF(Data_PLT[[#This Row],[Is50 (MPa)]]&lt;2,2,IF(Data_PLT[[#This Row],[Is50 (MPa)]]&lt;4,3,IF(Data_PLT[[#This Row],[Is50 (MPa)]]&lt;8,4,5)))))</f>
        <v>Broke along MD-Diametral-1</v>
      </c>
    </row>
    <row r="104" spans="1:33" x14ac:dyDescent="0.25">
      <c r="A104" t="s">
        <v>30</v>
      </c>
      <c r="B104" s="88" t="str">
        <f>VLOOKUP(Data_PLT[[#This Row],[Hole ID]],Data_Log[],2,FALSE)</f>
        <v>CGF-02</v>
      </c>
      <c r="C104" s="63">
        <f>IF(Data_PLT[[#This Row],[Hole ID]]="","",
IF(COUNTIF($A$4:A104,Data_PLT[[#This Row],[Hole ID]])=1,1,
IF(A104=A103,C103+1,
COUNTIF($A$4:A104,Data_PLT[[#This Row],[Hole ID]]))))</f>
        <v>33</v>
      </c>
      <c r="D104" s="63" t="str">
        <f>IF(Data_PLT[[#This Row],[Hole ID]]="","",Data_PLT[[#This Row],[Hole ID]]&amp;"_"&amp;Data_PLT[[#This Row],[Sample ID]])</f>
        <v>COG-25-10_33</v>
      </c>
      <c r="E104" s="6"/>
      <c r="F104" s="6">
        <v>126.67</v>
      </c>
      <c r="G104" s="63" t="str" cm="1">
        <f t="array" ref="G104">_xlfn.XLOOKUP(1,(A104=Geotech!$A$4:$A$11100)*(Data_PLT[[#This Row],[Depth (m)]]&gt;=Geotech!$C$4:$C$11100)*(Data_PLT[[#This Row],[Depth (m)]]&lt;Geotech!$D$4:$D$11100),Geotech!$M$4:$M$11100)</f>
        <v>Basalt</v>
      </c>
      <c r="H104" s="6" t="s">
        <v>299</v>
      </c>
      <c r="I104" s="63" t="str">
        <f>VLOOKUP(Data_PLT[[#This Row],[Hole ID]],Data_Log[[Hole ID]:[Core size]],20,FALSE)</f>
        <v>HQ</v>
      </c>
      <c r="J104" s="13">
        <f>VLOOKUP(Data_PLT[[#This Row],[Core Size]],Table_CoreSize[],2,FALSE)</f>
        <v>63.5</v>
      </c>
      <c r="K104" s="19">
        <v>120</v>
      </c>
      <c r="L104" s="19" t="s">
        <v>574</v>
      </c>
      <c r="M104" s="5">
        <v>58.2</v>
      </c>
      <c r="N104" s="5"/>
      <c r="O104" s="6" t="s">
        <v>165</v>
      </c>
      <c r="P104" s="13" t="str">
        <f>IF(Data_PLT[[#This Row],[Failure type]]="","",IF(OR(Data_PLT[[#This Row],[Failure type]]="Invalid",Data_PLT[[#This Row],[Failure type]]="Chipped",Data_PLT[[#This Row],[Failure type]]="Penetrate",Data_PLT[[#This Row],[Failure type]]="Did not break"),"Invalid","Valid"))</f>
        <v>Invalid</v>
      </c>
      <c r="Q104" s="6"/>
      <c r="R104" s="11"/>
      <c r="S104" s="13">
        <f>IF(Data_PLT[[#This Row],[Test type]]="Diametral",Data_PLT[[#This Row],[Diameter (mm)]],IF(Data_PLT[[#This Row],[Test type]]="Axial",SQRT(4*Data_PLT[[#This Row],[Diameter (mm)]]*Data_PLT[[#This Row],[Length or width (mm)]]/PI()),"ERROR"))</f>
        <v>63.5</v>
      </c>
      <c r="T104" s="13">
        <f>(Data_PLT[[#This Row],[Load (kN)]]*1000)/Data_PLT[[#This Row],[Equiv. Diam. (mm)]]^2</f>
        <v>0</v>
      </c>
      <c r="U104" s="13">
        <f>(Data_PLT[[#This Row],[Equiv. Diam. (mm)]]/50)^0.45</f>
        <v>1.1135550054708407</v>
      </c>
      <c r="V104" s="13">
        <f>Data_PLT[[#This Row],[Is (MPa)]]*Data_PLT[[#This Row],[F]]</f>
        <v>0</v>
      </c>
      <c r="W104" s="13" t="str">
        <f>Data_PLT[[#This Row],[Failure Validity]]&amp;"-"&amp;Data_PLT[[#This Row],[Test type]]</f>
        <v>Invalid-Diametral</v>
      </c>
      <c r="X104" s="13">
        <f>Data_PLT[[#This Row],[Is50 (MPa)]]*VLOOKUP("Min",Table_PLT_Conversion[],2,FALSE)</f>
        <v>0</v>
      </c>
      <c r="Y104" s="13">
        <f>Data_PLT[[#This Row],[Is50 (MPa)]]*VLOOKUP("Avg",Table_PLT_Conversion[],2,FALSE)</f>
        <v>0</v>
      </c>
      <c r="Z104" s="13">
        <f>Data_PLT[[#This Row],[Is50 (MPa)]]*VLOOKUP("Max",Table_PLT_Conversion[],2,FALSE)</f>
        <v>0</v>
      </c>
      <c r="AA104" s="62" t="e">
        <f>MATCH(LOOKUP(Data_PLT[[#This Row],[UCS min (MPa)]],Table_FieldStrength[Min UCS]),Table_FieldStrength[Min UCS],0)-1</f>
        <v>#N/A</v>
      </c>
      <c r="AB104" s="62" t="e">
        <f>MATCH(LOOKUP(Data_PLT[[#This Row],[UCS avg (MPa)]],Table_FieldStrength[Min UCS]),Table_FieldStrength[Min UCS],0)-1</f>
        <v>#N/A</v>
      </c>
      <c r="AC104" s="62" t="e">
        <f>MATCH(LOOKUP(Data_PLT[[#This Row],[UCS max (MPa)]],Table_FieldStrength[Min UCS]),Table_FieldStrength[Min UCS],0)-1</f>
        <v>#N/A</v>
      </c>
      <c r="AD104" s="68" t="e">
        <f>Data_PLT[[#This Row],[Test code]]&amp;"-"&amp;Data_PLT[[#This Row],[UCS min code]]</f>
        <v>#N/A</v>
      </c>
      <c r="AE104" s="68" t="e">
        <f>Data_PLT[[#This Row],[Test code]]&amp;"-"&amp;Data_PLT[[#This Row],[UCS avg code]]</f>
        <v>#N/A</v>
      </c>
      <c r="AF104" s="67" t="e">
        <f>Data_PLT[[#This Row],[Test code]]&amp;"-"&amp;Data_PLT[[#This Row],[UCS max code]]</f>
        <v>#N/A</v>
      </c>
      <c r="AG104" s="67" t="str">
        <f>Data_PLT[[#This Row],[Failure type]]&amp;"-"&amp;Data_PLT[[#This Row],[Test type]]&amp;"-"&amp;(IF(Data_PLT[[#This Row],[Is50 (MPa)]]&lt;1,1,IF(Data_PLT[[#This Row],[Is50 (MPa)]]&lt;2,2,IF(Data_PLT[[#This Row],[Is50 (MPa)]]&lt;4,3,IF(Data_PLT[[#This Row],[Is50 (MPa)]]&lt;8,4,5)))))</f>
        <v>Chipped-Diametral-1</v>
      </c>
    </row>
    <row r="105" spans="1:33" x14ac:dyDescent="0.25">
      <c r="A105" t="s">
        <v>30</v>
      </c>
      <c r="B105" s="88" t="str">
        <f>VLOOKUP(Data_PLT[[#This Row],[Hole ID]],Data_Log[],2,FALSE)</f>
        <v>CGF-02</v>
      </c>
      <c r="C105" s="63">
        <f>IF(Data_PLT[[#This Row],[Hole ID]]="","",
IF(COUNTIF($A$4:A105,Data_PLT[[#This Row],[Hole ID]])=1,1,
IF(A105=A104,C104+1,
COUNTIF($A$4:A105,Data_PLT[[#This Row],[Hole ID]]))))</f>
        <v>34</v>
      </c>
      <c r="D105" s="63" t="str">
        <f>IF(Data_PLT[[#This Row],[Hole ID]]="","",Data_PLT[[#This Row],[Hole ID]]&amp;"_"&amp;Data_PLT[[#This Row],[Sample ID]])</f>
        <v>COG-25-10_34</v>
      </c>
      <c r="E105" s="6"/>
      <c r="F105" s="6">
        <v>126.46</v>
      </c>
      <c r="G105" s="63" t="str" cm="1">
        <f t="array" ref="G105">_xlfn.XLOOKUP(1,(A105=Geotech!$A$4:$A$11100)*(Data_PLT[[#This Row],[Depth (m)]]&gt;=Geotech!$C$4:$C$11100)*(Data_PLT[[#This Row],[Depth (m)]]&lt;Geotech!$D$4:$D$11100),Geotech!$M$4:$M$11100)</f>
        <v>Basalt</v>
      </c>
      <c r="H105" s="6" t="s">
        <v>299</v>
      </c>
      <c r="I105" s="63" t="str">
        <f>VLOOKUP(Data_PLT[[#This Row],[Hole ID]],Data_Log[[Hole ID]:[Core size]],20,FALSE)</f>
        <v>HQ</v>
      </c>
      <c r="J105" s="13">
        <f>VLOOKUP(Data_PLT[[#This Row],[Core Size]],Table_CoreSize[],2,FALSE)</f>
        <v>63.5</v>
      </c>
      <c r="K105" s="19">
        <v>90</v>
      </c>
      <c r="L105" s="19" t="s">
        <v>574</v>
      </c>
      <c r="M105" s="5">
        <v>23.2</v>
      </c>
      <c r="N105" s="5"/>
      <c r="O105" s="6" t="s">
        <v>163</v>
      </c>
      <c r="P105" s="13" t="str">
        <f>IF(Data_PLT[[#This Row],[Failure type]]="","",IF(OR(Data_PLT[[#This Row],[Failure type]]="Invalid",Data_PLT[[#This Row],[Failure type]]="Chipped",Data_PLT[[#This Row],[Failure type]]="Penetrate",Data_PLT[[#This Row],[Failure type]]="Did not break"),"Invalid","Valid"))</f>
        <v>Valid</v>
      </c>
      <c r="Q105" s="6"/>
      <c r="R105" s="11"/>
      <c r="S105" s="13">
        <f>IF(Data_PLT[[#This Row],[Test type]]="Diametral",Data_PLT[[#This Row],[Diameter (mm)]],IF(Data_PLT[[#This Row],[Test type]]="Axial",SQRT(4*Data_PLT[[#This Row],[Diameter (mm)]]*Data_PLT[[#This Row],[Length or width (mm)]]/PI()),"ERROR"))</f>
        <v>63.5</v>
      </c>
      <c r="T105" s="13">
        <f>(Data_PLT[[#This Row],[Load (kN)]]*1000)/Data_PLT[[#This Row],[Equiv. Diam. (mm)]]^2</f>
        <v>0</v>
      </c>
      <c r="U105" s="13">
        <f>(Data_PLT[[#This Row],[Equiv. Diam. (mm)]]/50)^0.45</f>
        <v>1.1135550054708407</v>
      </c>
      <c r="V105" s="13">
        <f>Data_PLT[[#This Row],[Is (MPa)]]*Data_PLT[[#This Row],[F]]</f>
        <v>0</v>
      </c>
      <c r="W105" s="13" t="str">
        <f>Data_PLT[[#This Row],[Failure Validity]]&amp;"-"&amp;Data_PLT[[#This Row],[Test type]]</f>
        <v>Valid-Diametral</v>
      </c>
      <c r="X105" s="13">
        <f>Data_PLT[[#This Row],[Is50 (MPa)]]*VLOOKUP("Min",Table_PLT_Conversion[],2,FALSE)</f>
        <v>0</v>
      </c>
      <c r="Y105" s="13">
        <f>Data_PLT[[#This Row],[Is50 (MPa)]]*VLOOKUP("Avg",Table_PLT_Conversion[],2,FALSE)</f>
        <v>0</v>
      </c>
      <c r="Z105" s="13">
        <f>Data_PLT[[#This Row],[Is50 (MPa)]]*VLOOKUP("Max",Table_PLT_Conversion[],2,FALSE)</f>
        <v>0</v>
      </c>
      <c r="AA105" s="62" t="e">
        <f>MATCH(LOOKUP(Data_PLT[[#This Row],[UCS min (MPa)]],Table_FieldStrength[Min UCS]),Table_FieldStrength[Min UCS],0)-1</f>
        <v>#N/A</v>
      </c>
      <c r="AB105" s="62" t="e">
        <f>MATCH(LOOKUP(Data_PLT[[#This Row],[UCS avg (MPa)]],Table_FieldStrength[Min UCS]),Table_FieldStrength[Min UCS],0)-1</f>
        <v>#N/A</v>
      </c>
      <c r="AC105" s="62" t="e">
        <f>MATCH(LOOKUP(Data_PLT[[#This Row],[UCS max (MPa)]],Table_FieldStrength[Min UCS]),Table_FieldStrength[Min UCS],0)-1</f>
        <v>#N/A</v>
      </c>
      <c r="AD105" s="68" t="e">
        <f>Data_PLT[[#This Row],[Test code]]&amp;"-"&amp;Data_PLT[[#This Row],[UCS min code]]</f>
        <v>#N/A</v>
      </c>
      <c r="AE105" s="68" t="e">
        <f>Data_PLT[[#This Row],[Test code]]&amp;"-"&amp;Data_PLT[[#This Row],[UCS avg code]]</f>
        <v>#N/A</v>
      </c>
      <c r="AF105" s="67" t="e">
        <f>Data_PLT[[#This Row],[Test code]]&amp;"-"&amp;Data_PLT[[#This Row],[UCS max code]]</f>
        <v>#N/A</v>
      </c>
      <c r="AG105" s="67" t="str">
        <f>Data_PLT[[#This Row],[Failure type]]&amp;"-"&amp;Data_PLT[[#This Row],[Test type]]&amp;"-"&amp;(IF(Data_PLT[[#This Row],[Is50 (MPa)]]&lt;1,1,IF(Data_PLT[[#This Row],[Is50 (MPa)]]&lt;2,2,IF(Data_PLT[[#This Row],[Is50 (MPa)]]&lt;4,3,IF(Data_PLT[[#This Row],[Is50 (MPa)]]&lt;8,4,5)))))</f>
        <v>Broke along MD-Diametral-1</v>
      </c>
    </row>
    <row r="106" spans="1:33" x14ac:dyDescent="0.25">
      <c r="A106" t="s">
        <v>30</v>
      </c>
      <c r="B106" s="88" t="str">
        <f>VLOOKUP(Data_PLT[[#This Row],[Hole ID]],Data_Log[],2,FALSE)</f>
        <v>CGF-02</v>
      </c>
      <c r="C106" s="63">
        <f>IF(Data_PLT[[#This Row],[Hole ID]]="","",
IF(COUNTIF($A$4:A106,Data_PLT[[#This Row],[Hole ID]])=1,1,
IF(A106=A105,C105+1,
COUNTIF($A$4:A106,Data_PLT[[#This Row],[Hole ID]]))))</f>
        <v>35</v>
      </c>
      <c r="D106" s="63" t="str">
        <f>IF(Data_PLT[[#This Row],[Hole ID]]="","",Data_PLT[[#This Row],[Hole ID]]&amp;"_"&amp;Data_PLT[[#This Row],[Sample ID]])</f>
        <v>COG-25-10_35</v>
      </c>
      <c r="E106" s="6"/>
      <c r="F106" s="6">
        <v>131.13</v>
      </c>
      <c r="G106" s="63" t="str" cm="1">
        <f t="array" ref="G106">_xlfn.XLOOKUP(1,(A106=Geotech!$A$4:$A$11100)*(Data_PLT[[#This Row],[Depth (m)]]&gt;=Geotech!$C$4:$C$11100)*(Data_PLT[[#This Row],[Depth (m)]]&lt;Geotech!$D$4:$D$11100),Geotech!$M$4:$M$11100)</f>
        <v>Basalt</v>
      </c>
      <c r="H106" s="6" t="s">
        <v>299</v>
      </c>
      <c r="I106" s="63" t="str">
        <f>VLOOKUP(Data_PLT[[#This Row],[Hole ID]],Data_Log[[Hole ID]:[Core size]],20,FALSE)</f>
        <v>HQ</v>
      </c>
      <c r="J106" s="13">
        <f>VLOOKUP(Data_PLT[[#This Row],[Core Size]],Table_CoreSize[],2,FALSE)</f>
        <v>63.5</v>
      </c>
      <c r="K106" s="19">
        <v>130</v>
      </c>
      <c r="L106" s="19" t="s">
        <v>574</v>
      </c>
      <c r="M106" s="5">
        <v>69.599999999999994</v>
      </c>
      <c r="N106" s="5"/>
      <c r="O106" s="6" t="s">
        <v>163</v>
      </c>
      <c r="P106" s="13" t="str">
        <f>IF(Data_PLT[[#This Row],[Failure type]]="","",IF(OR(Data_PLT[[#This Row],[Failure type]]="Invalid",Data_PLT[[#This Row],[Failure type]]="Chipped",Data_PLT[[#This Row],[Failure type]]="Penetrate",Data_PLT[[#This Row],[Failure type]]="Did not break"),"Invalid","Valid"))</f>
        <v>Valid</v>
      </c>
      <c r="Q106" s="6"/>
      <c r="R106" s="11"/>
      <c r="S106" s="13">
        <f>IF(Data_PLT[[#This Row],[Test type]]="Diametral",Data_PLT[[#This Row],[Diameter (mm)]],IF(Data_PLT[[#This Row],[Test type]]="Axial",SQRT(4*Data_PLT[[#This Row],[Diameter (mm)]]*Data_PLT[[#This Row],[Length or width (mm)]]/PI()),"ERROR"))</f>
        <v>63.5</v>
      </c>
      <c r="T106" s="13">
        <f>(Data_PLT[[#This Row],[Load (kN)]]*1000)/Data_PLT[[#This Row],[Equiv. Diam. (mm)]]^2</f>
        <v>0</v>
      </c>
      <c r="U106" s="13">
        <f>(Data_PLT[[#This Row],[Equiv. Diam. (mm)]]/50)^0.45</f>
        <v>1.1135550054708407</v>
      </c>
      <c r="V106" s="13">
        <f>Data_PLT[[#This Row],[Is (MPa)]]*Data_PLT[[#This Row],[F]]</f>
        <v>0</v>
      </c>
      <c r="W106" s="13" t="str">
        <f>Data_PLT[[#This Row],[Failure Validity]]&amp;"-"&amp;Data_PLT[[#This Row],[Test type]]</f>
        <v>Valid-Diametral</v>
      </c>
      <c r="X106" s="13">
        <f>Data_PLT[[#This Row],[Is50 (MPa)]]*VLOOKUP("Min",Table_PLT_Conversion[],2,FALSE)</f>
        <v>0</v>
      </c>
      <c r="Y106" s="13">
        <f>Data_PLT[[#This Row],[Is50 (MPa)]]*VLOOKUP("Avg",Table_PLT_Conversion[],2,FALSE)</f>
        <v>0</v>
      </c>
      <c r="Z106" s="13">
        <f>Data_PLT[[#This Row],[Is50 (MPa)]]*VLOOKUP("Max",Table_PLT_Conversion[],2,FALSE)</f>
        <v>0</v>
      </c>
      <c r="AA106" s="62" t="e">
        <f>MATCH(LOOKUP(Data_PLT[[#This Row],[UCS min (MPa)]],Table_FieldStrength[Min UCS]),Table_FieldStrength[Min UCS],0)-1</f>
        <v>#N/A</v>
      </c>
      <c r="AB106" s="62" t="e">
        <f>MATCH(LOOKUP(Data_PLT[[#This Row],[UCS avg (MPa)]],Table_FieldStrength[Min UCS]),Table_FieldStrength[Min UCS],0)-1</f>
        <v>#N/A</v>
      </c>
      <c r="AC106" s="62" t="e">
        <f>MATCH(LOOKUP(Data_PLT[[#This Row],[UCS max (MPa)]],Table_FieldStrength[Min UCS]),Table_FieldStrength[Min UCS],0)-1</f>
        <v>#N/A</v>
      </c>
      <c r="AD106" s="68" t="e">
        <f>Data_PLT[[#This Row],[Test code]]&amp;"-"&amp;Data_PLT[[#This Row],[UCS min code]]</f>
        <v>#N/A</v>
      </c>
      <c r="AE106" s="68" t="e">
        <f>Data_PLT[[#This Row],[Test code]]&amp;"-"&amp;Data_PLT[[#This Row],[UCS avg code]]</f>
        <v>#N/A</v>
      </c>
      <c r="AF106" s="67" t="e">
        <f>Data_PLT[[#This Row],[Test code]]&amp;"-"&amp;Data_PLT[[#This Row],[UCS max code]]</f>
        <v>#N/A</v>
      </c>
      <c r="AG106" s="67" t="str">
        <f>Data_PLT[[#This Row],[Failure type]]&amp;"-"&amp;Data_PLT[[#This Row],[Test type]]&amp;"-"&amp;(IF(Data_PLT[[#This Row],[Is50 (MPa)]]&lt;1,1,IF(Data_PLT[[#This Row],[Is50 (MPa)]]&lt;2,2,IF(Data_PLT[[#This Row],[Is50 (MPa)]]&lt;4,3,IF(Data_PLT[[#This Row],[Is50 (MPa)]]&lt;8,4,5)))))</f>
        <v>Broke along MD-Diametral-1</v>
      </c>
    </row>
    <row r="107" spans="1:33" x14ac:dyDescent="0.25">
      <c r="A107" t="s">
        <v>30</v>
      </c>
      <c r="B107" s="88" t="str">
        <f>VLOOKUP(Data_PLT[[#This Row],[Hole ID]],Data_Log[],2,FALSE)</f>
        <v>CGF-02</v>
      </c>
      <c r="C107" s="63">
        <f>IF(Data_PLT[[#This Row],[Hole ID]]="","",
IF(COUNTIF($A$4:A107,Data_PLT[[#This Row],[Hole ID]])=1,1,
IF(A107=A106,C106+1,
COUNTIF($A$4:A107,Data_PLT[[#This Row],[Hole ID]]))))</f>
        <v>36</v>
      </c>
      <c r="D107" s="63" t="str">
        <f>IF(Data_PLT[[#This Row],[Hole ID]]="","",Data_PLT[[#This Row],[Hole ID]]&amp;"_"&amp;Data_PLT[[#This Row],[Sample ID]])</f>
        <v>COG-25-10_36</v>
      </c>
      <c r="E107" s="6"/>
      <c r="F107" s="6">
        <v>132.5</v>
      </c>
      <c r="G107" s="63" t="str" cm="1">
        <f t="array" ref="G107">_xlfn.XLOOKUP(1,(A107=Geotech!$A$4:$A$11100)*(Data_PLT[[#This Row],[Depth (m)]]&gt;=Geotech!$C$4:$C$11100)*(Data_PLT[[#This Row],[Depth (m)]]&lt;Geotech!$D$4:$D$11100),Geotech!$M$4:$M$11100)</f>
        <v>Basalt</v>
      </c>
      <c r="H107" s="6" t="s">
        <v>299</v>
      </c>
      <c r="I107" s="63" t="str">
        <f>VLOOKUP(Data_PLT[[#This Row],[Hole ID]],Data_Log[[Hole ID]:[Core size]],20,FALSE)</f>
        <v>HQ</v>
      </c>
      <c r="J107" s="13">
        <f>VLOOKUP(Data_PLT[[#This Row],[Core Size]],Table_CoreSize[],2,FALSE)</f>
        <v>63.5</v>
      </c>
      <c r="K107" s="19">
        <v>120</v>
      </c>
      <c r="L107" s="19" t="s">
        <v>574</v>
      </c>
      <c r="M107" s="8">
        <v>161</v>
      </c>
      <c r="N107" s="8"/>
      <c r="O107" s="7" t="s">
        <v>165</v>
      </c>
      <c r="P107" s="13" t="str">
        <f>IF(Data_PLT[[#This Row],[Failure type]]="","",IF(OR(Data_PLT[[#This Row],[Failure type]]="Invalid",Data_PLT[[#This Row],[Failure type]]="Chipped",Data_PLT[[#This Row],[Failure type]]="Penetrate",Data_PLT[[#This Row],[Failure type]]="Did not break"),"Invalid","Valid"))</f>
        <v>Invalid</v>
      </c>
      <c r="Q107" s="6"/>
      <c r="R107" s="11"/>
      <c r="S107" s="13">
        <f>IF(Data_PLT[[#This Row],[Test type]]="Diametral",Data_PLT[[#This Row],[Diameter (mm)]],IF(Data_PLT[[#This Row],[Test type]]="Axial",SQRT(4*Data_PLT[[#This Row],[Diameter (mm)]]*Data_PLT[[#This Row],[Length or width (mm)]]/PI()),"ERROR"))</f>
        <v>63.5</v>
      </c>
      <c r="T107" s="13">
        <f>(Data_PLT[[#This Row],[Load (kN)]]*1000)/Data_PLT[[#This Row],[Equiv. Diam. (mm)]]^2</f>
        <v>0</v>
      </c>
      <c r="U107" s="13">
        <f>(Data_PLT[[#This Row],[Equiv. Diam. (mm)]]/50)^0.45</f>
        <v>1.1135550054708407</v>
      </c>
      <c r="V107" s="13">
        <f>Data_PLT[[#This Row],[Is (MPa)]]*Data_PLT[[#This Row],[F]]</f>
        <v>0</v>
      </c>
      <c r="W107" s="13" t="str">
        <f>Data_PLT[[#This Row],[Failure Validity]]&amp;"-"&amp;Data_PLT[[#This Row],[Test type]]</f>
        <v>Invalid-Diametral</v>
      </c>
      <c r="X107" s="13">
        <f>Data_PLT[[#This Row],[Is50 (MPa)]]*VLOOKUP("Min",Table_PLT_Conversion[],2,FALSE)</f>
        <v>0</v>
      </c>
      <c r="Y107" s="13">
        <f>Data_PLT[[#This Row],[Is50 (MPa)]]*VLOOKUP("Avg",Table_PLT_Conversion[],2,FALSE)</f>
        <v>0</v>
      </c>
      <c r="Z107" s="13">
        <f>Data_PLT[[#This Row],[Is50 (MPa)]]*VLOOKUP("Max",Table_PLT_Conversion[],2,FALSE)</f>
        <v>0</v>
      </c>
      <c r="AA107" s="62" t="e">
        <f>MATCH(LOOKUP(Data_PLT[[#This Row],[UCS min (MPa)]],Table_FieldStrength[Min UCS]),Table_FieldStrength[Min UCS],0)-1</f>
        <v>#N/A</v>
      </c>
      <c r="AB107" s="62" t="e">
        <f>MATCH(LOOKUP(Data_PLT[[#This Row],[UCS avg (MPa)]],Table_FieldStrength[Min UCS]),Table_FieldStrength[Min UCS],0)-1</f>
        <v>#N/A</v>
      </c>
      <c r="AC107" s="62" t="e">
        <f>MATCH(LOOKUP(Data_PLT[[#This Row],[UCS max (MPa)]],Table_FieldStrength[Min UCS]),Table_FieldStrength[Min UCS],0)-1</f>
        <v>#N/A</v>
      </c>
      <c r="AD107" s="68" t="e">
        <f>Data_PLT[[#This Row],[Test code]]&amp;"-"&amp;Data_PLT[[#This Row],[UCS min code]]</f>
        <v>#N/A</v>
      </c>
      <c r="AE107" s="68" t="e">
        <f>Data_PLT[[#This Row],[Test code]]&amp;"-"&amp;Data_PLT[[#This Row],[UCS avg code]]</f>
        <v>#N/A</v>
      </c>
      <c r="AF107" s="67" t="e">
        <f>Data_PLT[[#This Row],[Test code]]&amp;"-"&amp;Data_PLT[[#This Row],[UCS max code]]</f>
        <v>#N/A</v>
      </c>
      <c r="AG107" s="67" t="str">
        <f>Data_PLT[[#This Row],[Failure type]]&amp;"-"&amp;Data_PLT[[#This Row],[Test type]]&amp;"-"&amp;(IF(Data_PLT[[#This Row],[Is50 (MPa)]]&lt;1,1,IF(Data_PLT[[#This Row],[Is50 (MPa)]]&lt;2,2,IF(Data_PLT[[#This Row],[Is50 (MPa)]]&lt;4,3,IF(Data_PLT[[#This Row],[Is50 (MPa)]]&lt;8,4,5)))))</f>
        <v>Chipped-Diametral-1</v>
      </c>
    </row>
    <row r="108" spans="1:33" x14ac:dyDescent="0.25">
      <c r="A108" t="s">
        <v>30</v>
      </c>
      <c r="B108" s="88" t="str">
        <f>VLOOKUP(Data_PLT[[#This Row],[Hole ID]],Data_Log[],2,FALSE)</f>
        <v>CGF-02</v>
      </c>
      <c r="C108" s="63">
        <f>IF(Data_PLT[[#This Row],[Hole ID]]="","",
IF(COUNTIF($A$4:A108,Data_PLT[[#This Row],[Hole ID]])=1,1,
IF(A108=A107,C107+1,
COUNTIF($A$4:A108,Data_PLT[[#This Row],[Hole ID]]))))</f>
        <v>37</v>
      </c>
      <c r="D108" s="63" t="str">
        <f>IF(Data_PLT[[#This Row],[Hole ID]]="","",Data_PLT[[#This Row],[Hole ID]]&amp;"_"&amp;Data_PLT[[#This Row],[Sample ID]])</f>
        <v>COG-25-10_37</v>
      </c>
      <c r="E108" s="6"/>
      <c r="F108" s="6">
        <v>134.88</v>
      </c>
      <c r="G108" s="63" t="str" cm="1">
        <f t="array" ref="G108">_xlfn.XLOOKUP(1,(A108=Geotech!$A$4:$A$11100)*(Data_PLT[[#This Row],[Depth (m)]]&gt;=Geotech!$C$4:$C$11100)*(Data_PLT[[#This Row],[Depth (m)]]&lt;Geotech!$D$4:$D$11100),Geotech!$M$4:$M$11100)</f>
        <v>Basalt</v>
      </c>
      <c r="H108" s="6" t="s">
        <v>299</v>
      </c>
      <c r="I108" s="63" t="str">
        <f>VLOOKUP(Data_PLT[[#This Row],[Hole ID]],Data_Log[[Hole ID]:[Core size]],20,FALSE)</f>
        <v>HQ</v>
      </c>
      <c r="J108" s="13">
        <f>VLOOKUP(Data_PLT[[#This Row],[Core Size]],Table_CoreSize[],2,FALSE)</f>
        <v>63.5</v>
      </c>
      <c r="K108" s="19">
        <v>170</v>
      </c>
      <c r="L108" s="19" t="s">
        <v>574</v>
      </c>
      <c r="M108" s="8">
        <v>185.6</v>
      </c>
      <c r="N108" s="8"/>
      <c r="O108" s="7" t="s">
        <v>300</v>
      </c>
      <c r="P108" s="13" t="str">
        <f>IF(Data_PLT[[#This Row],[Failure type]]="","",IF(OR(Data_PLT[[#This Row],[Failure type]]="Invalid",Data_PLT[[#This Row],[Failure type]]="Chipped",Data_PLT[[#This Row],[Failure type]]="Penetrate",Data_PLT[[#This Row],[Failure type]]="Did not break"),"Invalid","Valid"))</f>
        <v>Valid</v>
      </c>
      <c r="Q108" s="6"/>
      <c r="R108" s="11"/>
      <c r="S108" s="13">
        <f>IF(Data_PLT[[#This Row],[Test type]]="Diametral",Data_PLT[[#This Row],[Diameter (mm)]],IF(Data_PLT[[#This Row],[Test type]]="Axial",SQRT(4*Data_PLT[[#This Row],[Diameter (mm)]]*Data_PLT[[#This Row],[Length or width (mm)]]/PI()),"ERROR"))</f>
        <v>63.5</v>
      </c>
      <c r="T108" s="13">
        <f>(Data_PLT[[#This Row],[Load (kN)]]*1000)/Data_PLT[[#This Row],[Equiv. Diam. (mm)]]^2</f>
        <v>0</v>
      </c>
      <c r="U108" s="13">
        <f>(Data_PLT[[#This Row],[Equiv. Diam. (mm)]]/50)^0.45</f>
        <v>1.1135550054708407</v>
      </c>
      <c r="V108" s="13">
        <f>Data_PLT[[#This Row],[Is (MPa)]]*Data_PLT[[#This Row],[F]]</f>
        <v>0</v>
      </c>
      <c r="W108" s="13" t="str">
        <f>Data_PLT[[#This Row],[Failure Validity]]&amp;"-"&amp;Data_PLT[[#This Row],[Test type]]</f>
        <v>Valid-Diametral</v>
      </c>
      <c r="X108" s="13">
        <f>Data_PLT[[#This Row],[Is50 (MPa)]]*VLOOKUP("Min",Table_PLT_Conversion[],2,FALSE)</f>
        <v>0</v>
      </c>
      <c r="Y108" s="13">
        <f>Data_PLT[[#This Row],[Is50 (MPa)]]*VLOOKUP("Avg",Table_PLT_Conversion[],2,FALSE)</f>
        <v>0</v>
      </c>
      <c r="Z108" s="13">
        <f>Data_PLT[[#This Row],[Is50 (MPa)]]*VLOOKUP("Max",Table_PLT_Conversion[],2,FALSE)</f>
        <v>0</v>
      </c>
      <c r="AA108" s="62" t="e">
        <f>MATCH(LOOKUP(Data_PLT[[#This Row],[UCS min (MPa)]],Table_FieldStrength[Min UCS]),Table_FieldStrength[Min UCS],0)-1</f>
        <v>#N/A</v>
      </c>
      <c r="AB108" s="62" t="e">
        <f>MATCH(LOOKUP(Data_PLT[[#This Row],[UCS avg (MPa)]],Table_FieldStrength[Min UCS]),Table_FieldStrength[Min UCS],0)-1</f>
        <v>#N/A</v>
      </c>
      <c r="AC108" s="62" t="e">
        <f>MATCH(LOOKUP(Data_PLT[[#This Row],[UCS max (MPa)]],Table_FieldStrength[Min UCS]),Table_FieldStrength[Min UCS],0)-1</f>
        <v>#N/A</v>
      </c>
      <c r="AD108" s="68" t="e">
        <f>Data_PLT[[#This Row],[Test code]]&amp;"-"&amp;Data_PLT[[#This Row],[UCS min code]]</f>
        <v>#N/A</v>
      </c>
      <c r="AE108" s="68" t="e">
        <f>Data_PLT[[#This Row],[Test code]]&amp;"-"&amp;Data_PLT[[#This Row],[UCS avg code]]</f>
        <v>#N/A</v>
      </c>
      <c r="AF108" s="67" t="e">
        <f>Data_PLT[[#This Row],[Test code]]&amp;"-"&amp;Data_PLT[[#This Row],[UCS max code]]</f>
        <v>#N/A</v>
      </c>
      <c r="AG108" s="67" t="str">
        <f>Data_PLT[[#This Row],[Failure type]]&amp;"-"&amp;Data_PLT[[#This Row],[Test type]]&amp;"-"&amp;(IF(Data_PLT[[#This Row],[Is50 (MPa)]]&lt;1,1,IF(Data_PLT[[#This Row],[Is50 (MPa)]]&lt;2,2,IF(Data_PLT[[#This Row],[Is50 (MPa)]]&lt;4,3,IF(Data_PLT[[#This Row],[Is50 (MPa)]]&lt;8,4,5)))))</f>
        <v>Intact-Diametral-1</v>
      </c>
    </row>
    <row r="109" spans="1:33" x14ac:dyDescent="0.25">
      <c r="A109" t="s">
        <v>30</v>
      </c>
      <c r="B109" s="88" t="str">
        <f>VLOOKUP(Data_PLT[[#This Row],[Hole ID]],Data_Log[],2,FALSE)</f>
        <v>CGF-02</v>
      </c>
      <c r="C109" s="63">
        <f>IF(Data_PLT[[#This Row],[Hole ID]]="","",
IF(COUNTIF($A$4:A109,Data_PLT[[#This Row],[Hole ID]])=1,1,
IF(A109=A108,C108+1,
COUNTIF($A$4:A109,Data_PLT[[#This Row],[Hole ID]]))))</f>
        <v>38</v>
      </c>
      <c r="D109" s="63" t="str">
        <f>IF(Data_PLT[[#This Row],[Hole ID]]="","",Data_PLT[[#This Row],[Hole ID]]&amp;"_"&amp;Data_PLT[[#This Row],[Sample ID]])</f>
        <v>COG-25-10_38</v>
      </c>
      <c r="E109" s="6"/>
      <c r="F109" s="158">
        <v>137.75</v>
      </c>
      <c r="G109" s="63" t="str" cm="1">
        <f t="array" ref="G109">_xlfn.XLOOKUP(1,(A109=Geotech!$A$4:$A$11100)*(Data_PLT[[#This Row],[Depth (m)]]&gt;=Geotech!$C$4:$C$11100)*(Data_PLT[[#This Row],[Depth (m)]]&lt;Geotech!$D$4:$D$11100),Geotech!$M$4:$M$11100)</f>
        <v>Basalt</v>
      </c>
      <c r="H109" s="6" t="s">
        <v>299</v>
      </c>
      <c r="I109" s="63" t="str">
        <f>VLOOKUP(Data_PLT[[#This Row],[Hole ID]],Data_Log[[Hole ID]:[Core size]],20,FALSE)</f>
        <v>HQ</v>
      </c>
      <c r="J109" s="13">
        <f>VLOOKUP(Data_PLT[[#This Row],[Core Size]],Table_CoreSize[],2,FALSE)</f>
        <v>63.5</v>
      </c>
      <c r="K109" s="158">
        <v>110</v>
      </c>
      <c r="L109" s="19" t="s">
        <v>574</v>
      </c>
      <c r="M109" s="8">
        <v>11.8</v>
      </c>
      <c r="N109" s="157"/>
      <c r="O109" s="157" t="s">
        <v>163</v>
      </c>
      <c r="P109" s="13" t="str">
        <f>IF(Data_PLT[[#This Row],[Failure type]]="","",IF(OR(Data_PLT[[#This Row],[Failure type]]="Invalid",Data_PLT[[#This Row],[Failure type]]="Chipped",Data_PLT[[#This Row],[Failure type]]="Penetrate",Data_PLT[[#This Row],[Failure type]]="Did not break"),"Invalid","Valid"))</f>
        <v>Valid</v>
      </c>
      <c r="Q109" s="6"/>
      <c r="R109" s="11"/>
      <c r="S109" s="13">
        <f>IF(Data_PLT[[#This Row],[Test type]]="Diametral",Data_PLT[[#This Row],[Diameter (mm)]],IF(Data_PLT[[#This Row],[Test type]]="Axial",SQRT(4*Data_PLT[[#This Row],[Diameter (mm)]]*Data_PLT[[#This Row],[Length or width (mm)]]/PI()),"ERROR"))</f>
        <v>63.5</v>
      </c>
      <c r="T109" s="13">
        <f>(Data_PLT[[#This Row],[Load (kN)]]*1000)/Data_PLT[[#This Row],[Equiv. Diam. (mm)]]^2</f>
        <v>0</v>
      </c>
      <c r="U109" s="13">
        <f>(Data_PLT[[#This Row],[Equiv. Diam. (mm)]]/50)^0.45</f>
        <v>1.1135550054708407</v>
      </c>
      <c r="V109" s="13">
        <f>Data_PLT[[#This Row],[Is (MPa)]]*Data_PLT[[#This Row],[F]]</f>
        <v>0</v>
      </c>
      <c r="W109" s="13" t="str">
        <f>Data_PLT[[#This Row],[Failure Validity]]&amp;"-"&amp;Data_PLT[[#This Row],[Test type]]</f>
        <v>Valid-Diametral</v>
      </c>
      <c r="X109" s="13">
        <f>Data_PLT[[#This Row],[Is50 (MPa)]]*VLOOKUP("Min",Table_PLT_Conversion[],2,FALSE)</f>
        <v>0</v>
      </c>
      <c r="Y109" s="13">
        <f>Data_PLT[[#This Row],[Is50 (MPa)]]*VLOOKUP("Avg",Table_PLT_Conversion[],2,FALSE)</f>
        <v>0</v>
      </c>
      <c r="Z109" s="13">
        <f>Data_PLT[[#This Row],[Is50 (MPa)]]*VLOOKUP("Max",Table_PLT_Conversion[],2,FALSE)</f>
        <v>0</v>
      </c>
      <c r="AA109" s="62" t="e">
        <f>MATCH(LOOKUP(Data_PLT[[#This Row],[UCS min (MPa)]],Table_FieldStrength[Min UCS]),Table_FieldStrength[Min UCS],0)-1</f>
        <v>#N/A</v>
      </c>
      <c r="AB109" s="62" t="e">
        <f>MATCH(LOOKUP(Data_PLT[[#This Row],[UCS avg (MPa)]],Table_FieldStrength[Min UCS]),Table_FieldStrength[Min UCS],0)-1</f>
        <v>#N/A</v>
      </c>
      <c r="AC109" s="62" t="e">
        <f>MATCH(LOOKUP(Data_PLT[[#This Row],[UCS max (MPa)]],Table_FieldStrength[Min UCS]),Table_FieldStrength[Min UCS],0)-1</f>
        <v>#N/A</v>
      </c>
      <c r="AD109" s="68" t="e">
        <f>Data_PLT[[#This Row],[Test code]]&amp;"-"&amp;Data_PLT[[#This Row],[UCS min code]]</f>
        <v>#N/A</v>
      </c>
      <c r="AE109" s="68" t="e">
        <f>Data_PLT[[#This Row],[Test code]]&amp;"-"&amp;Data_PLT[[#This Row],[UCS avg code]]</f>
        <v>#N/A</v>
      </c>
      <c r="AF109" s="67" t="e">
        <f>Data_PLT[[#This Row],[Test code]]&amp;"-"&amp;Data_PLT[[#This Row],[UCS max code]]</f>
        <v>#N/A</v>
      </c>
      <c r="AG109" s="67" t="str">
        <f>Data_PLT[[#This Row],[Failure type]]&amp;"-"&amp;Data_PLT[[#This Row],[Test type]]&amp;"-"&amp;(IF(Data_PLT[[#This Row],[Is50 (MPa)]]&lt;1,1,IF(Data_PLT[[#This Row],[Is50 (MPa)]]&lt;2,2,IF(Data_PLT[[#This Row],[Is50 (MPa)]]&lt;4,3,IF(Data_PLT[[#This Row],[Is50 (MPa)]]&lt;8,4,5)))))</f>
        <v>Broke along MD-Diametral-1</v>
      </c>
    </row>
    <row r="110" spans="1:33" x14ac:dyDescent="0.25">
      <c r="A110" t="s">
        <v>30</v>
      </c>
      <c r="B110" s="88" t="str">
        <f>VLOOKUP(Data_PLT[[#This Row],[Hole ID]],Data_Log[],2,FALSE)</f>
        <v>CGF-02</v>
      </c>
      <c r="C110" s="63">
        <f>IF(Data_PLT[[#This Row],[Hole ID]]="","",
IF(COUNTIF($A$4:A110,Data_PLT[[#This Row],[Hole ID]])=1,1,
IF(A110=A109,C109+1,
COUNTIF($A$4:A110,Data_PLT[[#This Row],[Hole ID]]))))</f>
        <v>39</v>
      </c>
      <c r="D110" s="63" t="str">
        <f>IF(Data_PLT[[#This Row],[Hole ID]]="","",Data_PLT[[#This Row],[Hole ID]]&amp;"_"&amp;Data_PLT[[#This Row],[Sample ID]])</f>
        <v>COG-25-10_39</v>
      </c>
      <c r="E110" s="6"/>
      <c r="F110" s="158">
        <v>139.38</v>
      </c>
      <c r="G110" s="63" t="str" cm="1">
        <f t="array" ref="G110">_xlfn.XLOOKUP(1,(A110=Geotech!$A$4:$A$11100)*(Data_PLT[[#This Row],[Depth (m)]]&gt;=Geotech!$C$4:$C$11100)*(Data_PLT[[#This Row],[Depth (m)]]&lt;Geotech!$D$4:$D$11100),Geotech!$M$4:$M$11100)</f>
        <v>Basalt</v>
      </c>
      <c r="H110" s="6" t="s">
        <v>299</v>
      </c>
      <c r="I110" s="63" t="str">
        <f>VLOOKUP(Data_PLT[[#This Row],[Hole ID]],Data_Log[[Hole ID]:[Core size]],20,FALSE)</f>
        <v>HQ</v>
      </c>
      <c r="J110" s="13">
        <f>VLOOKUP(Data_PLT[[#This Row],[Core Size]],Table_CoreSize[],2,FALSE)</f>
        <v>63.5</v>
      </c>
      <c r="K110" s="158">
        <v>130</v>
      </c>
      <c r="L110" s="19" t="s">
        <v>574</v>
      </c>
      <c r="M110" s="8">
        <v>145.80000000000001</v>
      </c>
      <c r="N110" s="157"/>
      <c r="O110" s="157" t="s">
        <v>334</v>
      </c>
      <c r="P110" s="13" t="str">
        <f>IF(Data_PLT[[#This Row],[Failure type]]="","",IF(OR(Data_PLT[[#This Row],[Failure type]]="Invalid",Data_PLT[[#This Row],[Failure type]]="Chipped",Data_PLT[[#This Row],[Failure type]]="Penetrate",Data_PLT[[#This Row],[Failure type]]="Did not break"),"Invalid","Valid"))</f>
        <v>Valid</v>
      </c>
      <c r="Q110" s="6"/>
      <c r="R110" s="11"/>
      <c r="S110" s="13">
        <f>IF(Data_PLT[[#This Row],[Test type]]="Diametral",Data_PLT[[#This Row],[Diameter (mm)]],IF(Data_PLT[[#This Row],[Test type]]="Axial",SQRT(4*Data_PLT[[#This Row],[Diameter (mm)]]*Data_PLT[[#This Row],[Length or width (mm)]]/PI()),"ERROR"))</f>
        <v>63.5</v>
      </c>
      <c r="T110" s="13">
        <f>(Data_PLT[[#This Row],[Load (kN)]]*1000)/Data_PLT[[#This Row],[Equiv. Diam. (mm)]]^2</f>
        <v>0</v>
      </c>
      <c r="U110" s="13">
        <f>(Data_PLT[[#This Row],[Equiv. Diam. (mm)]]/50)^0.45</f>
        <v>1.1135550054708407</v>
      </c>
      <c r="V110" s="13">
        <f>Data_PLT[[#This Row],[Is (MPa)]]*Data_PLT[[#This Row],[F]]</f>
        <v>0</v>
      </c>
      <c r="W110" s="13" t="str">
        <f>Data_PLT[[#This Row],[Failure Validity]]&amp;"-"&amp;Data_PLT[[#This Row],[Test type]]</f>
        <v>Valid-Diametral</v>
      </c>
      <c r="X110" s="13">
        <f>Data_PLT[[#This Row],[Is50 (MPa)]]*VLOOKUP("Min",Table_PLT_Conversion[],2,FALSE)</f>
        <v>0</v>
      </c>
      <c r="Y110" s="13">
        <f>Data_PLT[[#This Row],[Is50 (MPa)]]*VLOOKUP("Avg",Table_PLT_Conversion[],2,FALSE)</f>
        <v>0</v>
      </c>
      <c r="Z110" s="13">
        <f>Data_PLT[[#This Row],[Is50 (MPa)]]*VLOOKUP("Max",Table_PLT_Conversion[],2,FALSE)</f>
        <v>0</v>
      </c>
      <c r="AA110" s="62" t="e">
        <f>MATCH(LOOKUP(Data_PLT[[#This Row],[UCS min (MPa)]],Table_FieldStrength[Min UCS]),Table_FieldStrength[Min UCS],0)-1</f>
        <v>#N/A</v>
      </c>
      <c r="AB110" s="62" t="e">
        <f>MATCH(LOOKUP(Data_PLT[[#This Row],[UCS avg (MPa)]],Table_FieldStrength[Min UCS]),Table_FieldStrength[Min UCS],0)-1</f>
        <v>#N/A</v>
      </c>
      <c r="AC110" s="62" t="e">
        <f>MATCH(LOOKUP(Data_PLT[[#This Row],[UCS max (MPa)]],Table_FieldStrength[Min UCS]),Table_FieldStrength[Min UCS],0)-1</f>
        <v>#N/A</v>
      </c>
      <c r="AD110" s="68" t="e">
        <f>Data_PLT[[#This Row],[Test code]]&amp;"-"&amp;Data_PLT[[#This Row],[UCS min code]]</f>
        <v>#N/A</v>
      </c>
      <c r="AE110" s="68" t="e">
        <f>Data_PLT[[#This Row],[Test code]]&amp;"-"&amp;Data_PLT[[#This Row],[UCS avg code]]</f>
        <v>#N/A</v>
      </c>
      <c r="AF110" s="67" t="e">
        <f>Data_PLT[[#This Row],[Test code]]&amp;"-"&amp;Data_PLT[[#This Row],[UCS max code]]</f>
        <v>#N/A</v>
      </c>
      <c r="AG110" s="67" t="str">
        <f>Data_PLT[[#This Row],[Failure type]]&amp;"-"&amp;Data_PLT[[#This Row],[Test type]]&amp;"-"&amp;(IF(Data_PLT[[#This Row],[Is50 (MPa)]]&lt;1,1,IF(Data_PLT[[#This Row],[Is50 (MPa)]]&lt;2,2,IF(Data_PLT[[#This Row],[Is50 (MPa)]]&lt;4,3,IF(Data_PLT[[#This Row],[Is50 (MPa)]]&lt;8,4,5)))))</f>
        <v>Along bedding/foliation-Diametral-1</v>
      </c>
    </row>
    <row r="111" spans="1:33" x14ac:dyDescent="0.25">
      <c r="A111" t="s">
        <v>30</v>
      </c>
      <c r="B111" s="88" t="str">
        <f>VLOOKUP(Data_PLT[[#This Row],[Hole ID]],Data_Log[],2,FALSE)</f>
        <v>CGF-02</v>
      </c>
      <c r="C111" s="63">
        <f>IF(Data_PLT[[#This Row],[Hole ID]]="","",
IF(COUNTIF($A$4:A111,Data_PLT[[#This Row],[Hole ID]])=1,1,
IF(A111=A110,C110+1,
COUNTIF($A$4:A111,Data_PLT[[#This Row],[Hole ID]]))))</f>
        <v>40</v>
      </c>
      <c r="D111" s="63" t="str">
        <f>IF(Data_PLT[[#This Row],[Hole ID]]="","",Data_PLT[[#This Row],[Hole ID]]&amp;"_"&amp;Data_PLT[[#This Row],[Sample ID]])</f>
        <v>COG-25-10_40</v>
      </c>
      <c r="E111" s="6"/>
      <c r="F111" s="158">
        <v>140.6</v>
      </c>
      <c r="G111" s="63" t="str" cm="1">
        <f t="array" ref="G111">_xlfn.XLOOKUP(1,(A111=Geotech!$A$4:$A$11100)*(Data_PLT[[#This Row],[Depth (m)]]&gt;=Geotech!$C$4:$C$11100)*(Data_PLT[[#This Row],[Depth (m)]]&lt;Geotech!$D$4:$D$11100),Geotech!$M$4:$M$11100)</f>
        <v>Boulamarque granodiorite</v>
      </c>
      <c r="H111" s="6" t="s">
        <v>267</v>
      </c>
      <c r="I111" s="63" t="str">
        <f>VLOOKUP(Data_PLT[[#This Row],[Hole ID]],Data_Log[[Hole ID]:[Core size]],20,FALSE)</f>
        <v>HQ</v>
      </c>
      <c r="J111" s="13">
        <f>VLOOKUP(Data_PLT[[#This Row],[Core Size]],Table_CoreSize[],2,FALSE)</f>
        <v>63.5</v>
      </c>
      <c r="K111" s="158">
        <v>50</v>
      </c>
      <c r="L111" s="19" t="s">
        <v>574</v>
      </c>
      <c r="M111" s="8">
        <v>190.6</v>
      </c>
      <c r="N111" s="157"/>
      <c r="O111" s="157" t="s">
        <v>300</v>
      </c>
      <c r="P111" s="13" t="str">
        <f>IF(Data_PLT[[#This Row],[Failure type]]="","",IF(OR(Data_PLT[[#This Row],[Failure type]]="Invalid",Data_PLT[[#This Row],[Failure type]]="Chipped",Data_PLT[[#This Row],[Failure type]]="Penetrate",Data_PLT[[#This Row],[Failure type]]="Did not break"),"Invalid","Valid"))</f>
        <v>Valid</v>
      </c>
      <c r="Q111" s="6"/>
      <c r="R111" s="11"/>
      <c r="S111" s="13">
        <f>IF(Data_PLT[[#This Row],[Test type]]="Diametral",Data_PLT[[#This Row],[Diameter (mm)]],IF(Data_PLT[[#This Row],[Test type]]="Axial",SQRT(4*Data_PLT[[#This Row],[Diameter (mm)]]*Data_PLT[[#This Row],[Length or width (mm)]]/PI()),"ERROR"))</f>
        <v>63.580937037245228</v>
      </c>
      <c r="T111" s="13">
        <f>(Data_PLT[[#This Row],[Load (kN)]]*1000)/Data_PLT[[#This Row],[Equiv. Diam. (mm)]]^2</f>
        <v>0</v>
      </c>
      <c r="U111" s="13">
        <f>(Data_PLT[[#This Row],[Equiv. Diam. (mm)]]/50)^0.45</f>
        <v>1.1141934829932261</v>
      </c>
      <c r="V111" s="13">
        <f>Data_PLT[[#This Row],[Is (MPa)]]*Data_PLT[[#This Row],[F]]</f>
        <v>0</v>
      </c>
      <c r="W111" s="13" t="str">
        <f>Data_PLT[[#This Row],[Failure Validity]]&amp;"-"&amp;Data_PLT[[#This Row],[Test type]]</f>
        <v>Valid-Axial</v>
      </c>
      <c r="X111" s="13">
        <f>Data_PLT[[#This Row],[Is50 (MPa)]]*VLOOKUP("Min",Table_PLT_Conversion[],2,FALSE)</f>
        <v>0</v>
      </c>
      <c r="Y111" s="13">
        <f>Data_PLT[[#This Row],[Is50 (MPa)]]*VLOOKUP("Avg",Table_PLT_Conversion[],2,FALSE)</f>
        <v>0</v>
      </c>
      <c r="Z111" s="13">
        <f>Data_PLT[[#This Row],[Is50 (MPa)]]*VLOOKUP("Max",Table_PLT_Conversion[],2,FALSE)</f>
        <v>0</v>
      </c>
      <c r="AA111" s="62" t="e">
        <f>MATCH(LOOKUP(Data_PLT[[#This Row],[UCS min (MPa)]],Table_FieldStrength[Min UCS]),Table_FieldStrength[Min UCS],0)-1</f>
        <v>#N/A</v>
      </c>
      <c r="AB111" s="62" t="e">
        <f>MATCH(LOOKUP(Data_PLT[[#This Row],[UCS avg (MPa)]],Table_FieldStrength[Min UCS]),Table_FieldStrength[Min UCS],0)-1</f>
        <v>#N/A</v>
      </c>
      <c r="AC111" s="62" t="e">
        <f>MATCH(LOOKUP(Data_PLT[[#This Row],[UCS max (MPa)]],Table_FieldStrength[Min UCS]),Table_FieldStrength[Min UCS],0)-1</f>
        <v>#N/A</v>
      </c>
      <c r="AD111" s="68" t="e">
        <f>Data_PLT[[#This Row],[Test code]]&amp;"-"&amp;Data_PLT[[#This Row],[UCS min code]]</f>
        <v>#N/A</v>
      </c>
      <c r="AE111" s="68" t="e">
        <f>Data_PLT[[#This Row],[Test code]]&amp;"-"&amp;Data_PLT[[#This Row],[UCS avg code]]</f>
        <v>#N/A</v>
      </c>
      <c r="AF111" s="67" t="e">
        <f>Data_PLT[[#This Row],[Test code]]&amp;"-"&amp;Data_PLT[[#This Row],[UCS max code]]</f>
        <v>#N/A</v>
      </c>
      <c r="AG111" s="67" t="str">
        <f>Data_PLT[[#This Row],[Failure type]]&amp;"-"&amp;Data_PLT[[#This Row],[Test type]]&amp;"-"&amp;(IF(Data_PLT[[#This Row],[Is50 (MPa)]]&lt;1,1,IF(Data_PLT[[#This Row],[Is50 (MPa)]]&lt;2,2,IF(Data_PLT[[#This Row],[Is50 (MPa)]]&lt;4,3,IF(Data_PLT[[#This Row],[Is50 (MPa)]]&lt;8,4,5)))))</f>
        <v>Intact-Axial-1</v>
      </c>
    </row>
    <row r="112" spans="1:33" x14ac:dyDescent="0.25">
      <c r="A112" t="s">
        <v>30</v>
      </c>
      <c r="B112" s="88" t="str">
        <f>VLOOKUP(Data_PLT[[#This Row],[Hole ID]],Data_Log[],2,FALSE)</f>
        <v>CGF-02</v>
      </c>
      <c r="C112" s="63">
        <f>IF(Data_PLT[[#This Row],[Hole ID]]="","",
IF(COUNTIF($A$4:A112,Data_PLT[[#This Row],[Hole ID]])=1,1,
IF(A112=A111,C111+1,
COUNTIF($A$4:A112,Data_PLT[[#This Row],[Hole ID]]))))</f>
        <v>41</v>
      </c>
      <c r="D112" s="63" t="str">
        <f>IF(Data_PLT[[#This Row],[Hole ID]]="","",Data_PLT[[#This Row],[Hole ID]]&amp;"_"&amp;Data_PLT[[#This Row],[Sample ID]])</f>
        <v>COG-25-10_41</v>
      </c>
      <c r="E112" s="6"/>
      <c r="F112" s="158">
        <v>140.69999999999999</v>
      </c>
      <c r="G112" s="63" t="str" cm="1">
        <f t="array" ref="G112">_xlfn.XLOOKUP(1,(A112=Geotech!$A$4:$A$11100)*(Data_PLT[[#This Row],[Depth (m)]]&gt;=Geotech!$C$4:$C$11100)*(Data_PLT[[#This Row],[Depth (m)]]&lt;Geotech!$D$4:$D$11100),Geotech!$M$4:$M$11100)</f>
        <v>Boulamarque granodiorite</v>
      </c>
      <c r="H112" s="6" t="s">
        <v>299</v>
      </c>
      <c r="I112" s="63" t="str">
        <f>VLOOKUP(Data_PLT[[#This Row],[Hole ID]],Data_Log[[Hole ID]:[Core size]],20,FALSE)</f>
        <v>HQ</v>
      </c>
      <c r="J112" s="13">
        <f>VLOOKUP(Data_PLT[[#This Row],[Core Size]],Table_CoreSize[],2,FALSE)</f>
        <v>63.5</v>
      </c>
      <c r="K112" s="158">
        <v>95</v>
      </c>
      <c r="L112" s="19" t="s">
        <v>574</v>
      </c>
      <c r="M112" s="8">
        <v>234.6</v>
      </c>
      <c r="N112" s="157"/>
      <c r="O112" s="157" t="s">
        <v>334</v>
      </c>
      <c r="P112" s="13" t="str">
        <f>IF(Data_PLT[[#This Row],[Failure type]]="","",IF(OR(Data_PLT[[#This Row],[Failure type]]="Invalid",Data_PLT[[#This Row],[Failure type]]="Chipped",Data_PLT[[#This Row],[Failure type]]="Penetrate",Data_PLT[[#This Row],[Failure type]]="Did not break"),"Invalid","Valid"))</f>
        <v>Valid</v>
      </c>
      <c r="Q112" s="6"/>
      <c r="R112" s="11"/>
      <c r="S112" s="13">
        <f>IF(Data_PLT[[#This Row],[Test type]]="Diametral",Data_PLT[[#This Row],[Diameter (mm)]],IF(Data_PLT[[#This Row],[Test type]]="Axial",SQRT(4*Data_PLT[[#This Row],[Diameter (mm)]]*Data_PLT[[#This Row],[Length or width (mm)]]/PI()),"ERROR"))</f>
        <v>63.5</v>
      </c>
      <c r="T112" s="13">
        <f>(Data_PLT[[#This Row],[Load (kN)]]*1000)/Data_PLT[[#This Row],[Equiv. Diam. (mm)]]^2</f>
        <v>0</v>
      </c>
      <c r="U112" s="13">
        <f>(Data_PLT[[#This Row],[Equiv. Diam. (mm)]]/50)^0.45</f>
        <v>1.1135550054708407</v>
      </c>
      <c r="V112" s="13">
        <f>Data_PLT[[#This Row],[Is (MPa)]]*Data_PLT[[#This Row],[F]]</f>
        <v>0</v>
      </c>
      <c r="W112" s="13" t="str">
        <f>Data_PLT[[#This Row],[Failure Validity]]&amp;"-"&amp;Data_PLT[[#This Row],[Test type]]</f>
        <v>Valid-Diametral</v>
      </c>
      <c r="X112" s="13">
        <f>Data_PLT[[#This Row],[Is50 (MPa)]]*VLOOKUP("Min",Table_PLT_Conversion[],2,FALSE)</f>
        <v>0</v>
      </c>
      <c r="Y112" s="13">
        <f>Data_PLT[[#This Row],[Is50 (MPa)]]*VLOOKUP("Avg",Table_PLT_Conversion[],2,FALSE)</f>
        <v>0</v>
      </c>
      <c r="Z112" s="13">
        <f>Data_PLT[[#This Row],[Is50 (MPa)]]*VLOOKUP("Max",Table_PLT_Conversion[],2,FALSE)</f>
        <v>0</v>
      </c>
      <c r="AA112" s="62" t="e">
        <f>MATCH(LOOKUP(Data_PLT[[#This Row],[UCS min (MPa)]],Table_FieldStrength[Min UCS]),Table_FieldStrength[Min UCS],0)-1</f>
        <v>#N/A</v>
      </c>
      <c r="AB112" s="62" t="e">
        <f>MATCH(LOOKUP(Data_PLT[[#This Row],[UCS avg (MPa)]],Table_FieldStrength[Min UCS]),Table_FieldStrength[Min UCS],0)-1</f>
        <v>#N/A</v>
      </c>
      <c r="AC112" s="62" t="e">
        <f>MATCH(LOOKUP(Data_PLT[[#This Row],[UCS max (MPa)]],Table_FieldStrength[Min UCS]),Table_FieldStrength[Min UCS],0)-1</f>
        <v>#N/A</v>
      </c>
      <c r="AD112" s="68" t="e">
        <f>Data_PLT[[#This Row],[Test code]]&amp;"-"&amp;Data_PLT[[#This Row],[UCS min code]]</f>
        <v>#N/A</v>
      </c>
      <c r="AE112" s="68" t="e">
        <f>Data_PLT[[#This Row],[Test code]]&amp;"-"&amp;Data_PLT[[#This Row],[UCS avg code]]</f>
        <v>#N/A</v>
      </c>
      <c r="AF112" s="67" t="e">
        <f>Data_PLT[[#This Row],[Test code]]&amp;"-"&amp;Data_PLT[[#This Row],[UCS max code]]</f>
        <v>#N/A</v>
      </c>
      <c r="AG112" s="67" t="str">
        <f>Data_PLT[[#This Row],[Failure type]]&amp;"-"&amp;Data_PLT[[#This Row],[Test type]]&amp;"-"&amp;(IF(Data_PLT[[#This Row],[Is50 (MPa)]]&lt;1,1,IF(Data_PLT[[#This Row],[Is50 (MPa)]]&lt;2,2,IF(Data_PLT[[#This Row],[Is50 (MPa)]]&lt;4,3,IF(Data_PLT[[#This Row],[Is50 (MPa)]]&lt;8,4,5)))))</f>
        <v>Along bedding/foliation-Diametral-1</v>
      </c>
    </row>
    <row r="113" spans="1:33" x14ac:dyDescent="0.25">
      <c r="A113" t="s">
        <v>30</v>
      </c>
      <c r="B113" s="88" t="str">
        <f>VLOOKUP(Data_PLT[[#This Row],[Hole ID]],Data_Log[],2,FALSE)</f>
        <v>CGF-02</v>
      </c>
      <c r="C113" s="63">
        <f>IF(Data_PLT[[#This Row],[Hole ID]]="","",
IF(COUNTIF($A$4:A113,Data_PLT[[#This Row],[Hole ID]])=1,1,
IF(A113=A112,C112+1,
COUNTIF($A$4:A113,Data_PLT[[#This Row],[Hole ID]]))))</f>
        <v>42</v>
      </c>
      <c r="D113" s="63" t="str">
        <f>IF(Data_PLT[[#This Row],[Hole ID]]="","",Data_PLT[[#This Row],[Hole ID]]&amp;"_"&amp;Data_PLT[[#This Row],[Sample ID]])</f>
        <v>COG-25-10_42</v>
      </c>
      <c r="E113" s="6"/>
      <c r="F113" s="158">
        <v>141.02000000000001</v>
      </c>
      <c r="G113" s="63" t="str" cm="1">
        <f t="array" ref="G113">_xlfn.XLOOKUP(1,(A113=Geotech!$A$4:$A$11100)*(Data_PLT[[#This Row],[Depth (m)]]&gt;=Geotech!$C$4:$C$11100)*(Data_PLT[[#This Row],[Depth (m)]]&lt;Geotech!$D$4:$D$11100),Geotech!$M$4:$M$11100)</f>
        <v>Boulamarque granodiorite</v>
      </c>
      <c r="H113" s="6" t="s">
        <v>299</v>
      </c>
      <c r="I113" s="63" t="str">
        <f>VLOOKUP(Data_PLT[[#This Row],[Hole ID]],Data_Log[[Hole ID]:[Core size]],20,FALSE)</f>
        <v>HQ</v>
      </c>
      <c r="J113" s="13">
        <f>VLOOKUP(Data_PLT[[#This Row],[Core Size]],Table_CoreSize[],2,FALSE)</f>
        <v>63.5</v>
      </c>
      <c r="K113" s="158">
        <v>90</v>
      </c>
      <c r="L113" s="19" t="s">
        <v>574</v>
      </c>
      <c r="M113" s="8">
        <v>194.4</v>
      </c>
      <c r="N113" s="157"/>
      <c r="O113" s="157" t="s">
        <v>300</v>
      </c>
      <c r="P113" s="13" t="str">
        <f>IF(Data_PLT[[#This Row],[Failure type]]="","",IF(OR(Data_PLT[[#This Row],[Failure type]]="Invalid",Data_PLT[[#This Row],[Failure type]]="Chipped",Data_PLT[[#This Row],[Failure type]]="Penetrate",Data_PLT[[#This Row],[Failure type]]="Did not break"),"Invalid","Valid"))</f>
        <v>Valid</v>
      </c>
      <c r="Q113" s="6"/>
      <c r="R113" s="11"/>
      <c r="S113" s="13">
        <f>IF(Data_PLT[[#This Row],[Test type]]="Diametral",Data_PLT[[#This Row],[Diameter (mm)]],IF(Data_PLT[[#This Row],[Test type]]="Axial",SQRT(4*Data_PLT[[#This Row],[Diameter (mm)]]*Data_PLT[[#This Row],[Length or width (mm)]]/PI()),"ERROR"))</f>
        <v>63.5</v>
      </c>
      <c r="T113" s="13">
        <f>(Data_PLT[[#This Row],[Load (kN)]]*1000)/Data_PLT[[#This Row],[Equiv. Diam. (mm)]]^2</f>
        <v>0</v>
      </c>
      <c r="U113" s="13">
        <f>(Data_PLT[[#This Row],[Equiv. Diam. (mm)]]/50)^0.45</f>
        <v>1.1135550054708407</v>
      </c>
      <c r="V113" s="13">
        <f>Data_PLT[[#This Row],[Is (MPa)]]*Data_PLT[[#This Row],[F]]</f>
        <v>0</v>
      </c>
      <c r="W113" s="13" t="str">
        <f>Data_PLT[[#This Row],[Failure Validity]]&amp;"-"&amp;Data_PLT[[#This Row],[Test type]]</f>
        <v>Valid-Diametral</v>
      </c>
      <c r="X113" s="13">
        <f>Data_PLT[[#This Row],[Is50 (MPa)]]*VLOOKUP("Min",Table_PLT_Conversion[],2,FALSE)</f>
        <v>0</v>
      </c>
      <c r="Y113" s="13">
        <f>Data_PLT[[#This Row],[Is50 (MPa)]]*VLOOKUP("Avg",Table_PLT_Conversion[],2,FALSE)</f>
        <v>0</v>
      </c>
      <c r="Z113" s="13">
        <f>Data_PLT[[#This Row],[Is50 (MPa)]]*VLOOKUP("Max",Table_PLT_Conversion[],2,FALSE)</f>
        <v>0</v>
      </c>
      <c r="AA113" s="62" t="e">
        <f>MATCH(LOOKUP(Data_PLT[[#This Row],[UCS min (MPa)]],Table_FieldStrength[Min UCS]),Table_FieldStrength[Min UCS],0)-1</f>
        <v>#N/A</v>
      </c>
      <c r="AB113" s="62" t="e">
        <f>MATCH(LOOKUP(Data_PLT[[#This Row],[UCS avg (MPa)]],Table_FieldStrength[Min UCS]),Table_FieldStrength[Min UCS],0)-1</f>
        <v>#N/A</v>
      </c>
      <c r="AC113" s="62" t="e">
        <f>MATCH(LOOKUP(Data_PLT[[#This Row],[UCS max (MPa)]],Table_FieldStrength[Min UCS]),Table_FieldStrength[Min UCS],0)-1</f>
        <v>#N/A</v>
      </c>
      <c r="AD113" s="68" t="e">
        <f>Data_PLT[[#This Row],[Test code]]&amp;"-"&amp;Data_PLT[[#This Row],[UCS min code]]</f>
        <v>#N/A</v>
      </c>
      <c r="AE113" s="68" t="e">
        <f>Data_PLT[[#This Row],[Test code]]&amp;"-"&amp;Data_PLT[[#This Row],[UCS avg code]]</f>
        <v>#N/A</v>
      </c>
      <c r="AF113" s="67" t="e">
        <f>Data_PLT[[#This Row],[Test code]]&amp;"-"&amp;Data_PLT[[#This Row],[UCS max code]]</f>
        <v>#N/A</v>
      </c>
      <c r="AG113" s="67" t="str">
        <f>Data_PLT[[#This Row],[Failure type]]&amp;"-"&amp;Data_PLT[[#This Row],[Test type]]&amp;"-"&amp;(IF(Data_PLT[[#This Row],[Is50 (MPa)]]&lt;1,1,IF(Data_PLT[[#This Row],[Is50 (MPa)]]&lt;2,2,IF(Data_PLT[[#This Row],[Is50 (MPa)]]&lt;4,3,IF(Data_PLT[[#This Row],[Is50 (MPa)]]&lt;8,4,5)))))</f>
        <v>Intact-Diametral-1</v>
      </c>
    </row>
    <row r="114" spans="1:33" x14ac:dyDescent="0.25">
      <c r="A114" t="s">
        <v>30</v>
      </c>
      <c r="B114" s="88" t="str">
        <f>VLOOKUP(Data_PLT[[#This Row],[Hole ID]],Data_Log[],2,FALSE)</f>
        <v>CGF-02</v>
      </c>
      <c r="C114" s="63">
        <f>IF(Data_PLT[[#This Row],[Hole ID]]="","",
IF(COUNTIF($A$4:A114,Data_PLT[[#This Row],[Hole ID]])=1,1,
IF(A114=A113,C113+1,
COUNTIF($A$4:A114,Data_PLT[[#This Row],[Hole ID]]))))</f>
        <v>43</v>
      </c>
      <c r="D114" s="63" t="str">
        <f>IF(Data_PLT[[#This Row],[Hole ID]]="","",Data_PLT[[#This Row],[Hole ID]]&amp;"_"&amp;Data_PLT[[#This Row],[Sample ID]])</f>
        <v>COG-25-10_43</v>
      </c>
      <c r="E114" s="6"/>
      <c r="F114" s="158">
        <v>143.94999999999999</v>
      </c>
      <c r="G114" s="63" t="str" cm="1">
        <f t="array" ref="G114">_xlfn.XLOOKUP(1,(A114=Geotech!$A$4:$A$11100)*(Data_PLT[[#This Row],[Depth (m)]]&gt;=Geotech!$C$4:$C$11100)*(Data_PLT[[#This Row],[Depth (m)]]&lt;Geotech!$D$4:$D$11100),Geotech!$M$4:$M$11100)</f>
        <v>Basalt</v>
      </c>
      <c r="H114" s="6" t="s">
        <v>299</v>
      </c>
      <c r="I114" s="63" t="str">
        <f>VLOOKUP(Data_PLT[[#This Row],[Hole ID]],Data_Log[[Hole ID]:[Core size]],20,FALSE)</f>
        <v>HQ</v>
      </c>
      <c r="J114" s="13">
        <f>VLOOKUP(Data_PLT[[#This Row],[Core Size]],Table_CoreSize[],2,FALSE)</f>
        <v>63.5</v>
      </c>
      <c r="K114" s="158">
        <v>90</v>
      </c>
      <c r="L114" s="19" t="s">
        <v>574</v>
      </c>
      <c r="M114" s="8">
        <v>237.8</v>
      </c>
      <c r="N114" s="157"/>
      <c r="O114" s="157" t="s">
        <v>163</v>
      </c>
      <c r="P114" s="13" t="str">
        <f>IF(Data_PLT[[#This Row],[Failure type]]="","",IF(OR(Data_PLT[[#This Row],[Failure type]]="Invalid",Data_PLT[[#This Row],[Failure type]]="Chipped",Data_PLT[[#This Row],[Failure type]]="Penetrate",Data_PLT[[#This Row],[Failure type]]="Did not break"),"Invalid","Valid"))</f>
        <v>Valid</v>
      </c>
      <c r="Q114" s="6"/>
      <c r="R114" s="11"/>
      <c r="S114" s="13">
        <f>IF(Data_PLT[[#This Row],[Test type]]="Diametral",Data_PLT[[#This Row],[Diameter (mm)]],IF(Data_PLT[[#This Row],[Test type]]="Axial",SQRT(4*Data_PLT[[#This Row],[Diameter (mm)]]*Data_PLT[[#This Row],[Length or width (mm)]]/PI()),"ERROR"))</f>
        <v>63.5</v>
      </c>
      <c r="T114" s="13">
        <f>(Data_PLT[[#This Row],[Load (kN)]]*1000)/Data_PLT[[#This Row],[Equiv. Diam. (mm)]]^2</f>
        <v>0</v>
      </c>
      <c r="U114" s="13">
        <f>(Data_PLT[[#This Row],[Equiv. Diam. (mm)]]/50)^0.45</f>
        <v>1.1135550054708407</v>
      </c>
      <c r="V114" s="13">
        <f>Data_PLT[[#This Row],[Is (MPa)]]*Data_PLT[[#This Row],[F]]</f>
        <v>0</v>
      </c>
      <c r="W114" s="13" t="str">
        <f>Data_PLT[[#This Row],[Failure Validity]]&amp;"-"&amp;Data_PLT[[#This Row],[Test type]]</f>
        <v>Valid-Diametral</v>
      </c>
      <c r="X114" s="13">
        <f>Data_PLT[[#This Row],[Is50 (MPa)]]*VLOOKUP("Min",Table_PLT_Conversion[],2,FALSE)</f>
        <v>0</v>
      </c>
      <c r="Y114" s="13">
        <f>Data_PLT[[#This Row],[Is50 (MPa)]]*VLOOKUP("Avg",Table_PLT_Conversion[],2,FALSE)</f>
        <v>0</v>
      </c>
      <c r="Z114" s="13">
        <f>Data_PLT[[#This Row],[Is50 (MPa)]]*VLOOKUP("Max",Table_PLT_Conversion[],2,FALSE)</f>
        <v>0</v>
      </c>
      <c r="AA114" s="62" t="e">
        <f>MATCH(LOOKUP(Data_PLT[[#This Row],[UCS min (MPa)]],Table_FieldStrength[Min UCS]),Table_FieldStrength[Min UCS],0)-1</f>
        <v>#N/A</v>
      </c>
      <c r="AB114" s="62" t="e">
        <f>MATCH(LOOKUP(Data_PLT[[#This Row],[UCS avg (MPa)]],Table_FieldStrength[Min UCS]),Table_FieldStrength[Min UCS],0)-1</f>
        <v>#N/A</v>
      </c>
      <c r="AC114" s="62" t="e">
        <f>MATCH(LOOKUP(Data_PLT[[#This Row],[UCS max (MPa)]],Table_FieldStrength[Min UCS]),Table_FieldStrength[Min UCS],0)-1</f>
        <v>#N/A</v>
      </c>
      <c r="AD114" s="68" t="e">
        <f>Data_PLT[[#This Row],[Test code]]&amp;"-"&amp;Data_PLT[[#This Row],[UCS min code]]</f>
        <v>#N/A</v>
      </c>
      <c r="AE114" s="68" t="e">
        <f>Data_PLT[[#This Row],[Test code]]&amp;"-"&amp;Data_PLT[[#This Row],[UCS avg code]]</f>
        <v>#N/A</v>
      </c>
      <c r="AF114" s="67" t="e">
        <f>Data_PLT[[#This Row],[Test code]]&amp;"-"&amp;Data_PLT[[#This Row],[UCS max code]]</f>
        <v>#N/A</v>
      </c>
      <c r="AG114" s="67" t="str">
        <f>Data_PLT[[#This Row],[Failure type]]&amp;"-"&amp;Data_PLT[[#This Row],[Test type]]&amp;"-"&amp;(IF(Data_PLT[[#This Row],[Is50 (MPa)]]&lt;1,1,IF(Data_PLT[[#This Row],[Is50 (MPa)]]&lt;2,2,IF(Data_PLT[[#This Row],[Is50 (MPa)]]&lt;4,3,IF(Data_PLT[[#This Row],[Is50 (MPa)]]&lt;8,4,5)))))</f>
        <v>Broke along MD-Diametral-1</v>
      </c>
    </row>
    <row r="115" spans="1:33" x14ac:dyDescent="0.25">
      <c r="A115" t="s">
        <v>30</v>
      </c>
      <c r="B115" s="88" t="str">
        <f>VLOOKUP(Data_PLT[[#This Row],[Hole ID]],Data_Log[],2,FALSE)</f>
        <v>CGF-02</v>
      </c>
      <c r="C115" s="63">
        <f>IF(Data_PLT[[#This Row],[Hole ID]]="","",
IF(COUNTIF($A$4:A115,Data_PLT[[#This Row],[Hole ID]])=1,1,
IF(A115=A114,C114+1,
COUNTIF($A$4:A115,Data_PLT[[#This Row],[Hole ID]]))))</f>
        <v>44</v>
      </c>
      <c r="D115" s="63" t="str">
        <f>IF(Data_PLT[[#This Row],[Hole ID]]="","",Data_PLT[[#This Row],[Hole ID]]&amp;"_"&amp;Data_PLT[[#This Row],[Sample ID]])</f>
        <v>COG-25-10_44</v>
      </c>
      <c r="E115" s="6"/>
      <c r="F115" s="158">
        <v>144.25</v>
      </c>
      <c r="G115" s="63" t="str" cm="1">
        <f t="array" ref="G115">_xlfn.XLOOKUP(1,(A115=Geotech!$A$4:$A$11100)*(Data_PLT[[#This Row],[Depth (m)]]&gt;=Geotech!$C$4:$C$11100)*(Data_PLT[[#This Row],[Depth (m)]]&lt;Geotech!$D$4:$D$11100),Geotech!$M$4:$M$11100)</f>
        <v>Boulamarque granodiorite</v>
      </c>
      <c r="H115" s="6" t="s">
        <v>299</v>
      </c>
      <c r="I115" s="63" t="str">
        <f>VLOOKUP(Data_PLT[[#This Row],[Hole ID]],Data_Log[[Hole ID]:[Core size]],20,FALSE)</f>
        <v>HQ</v>
      </c>
      <c r="J115" s="13">
        <f>VLOOKUP(Data_PLT[[#This Row],[Core Size]],Table_CoreSize[],2,FALSE)</f>
        <v>63.5</v>
      </c>
      <c r="K115" s="158">
        <v>120</v>
      </c>
      <c r="L115" s="19" t="s">
        <v>574</v>
      </c>
      <c r="M115" s="8">
        <v>101</v>
      </c>
      <c r="N115" s="157"/>
      <c r="O115" s="157" t="s">
        <v>163</v>
      </c>
      <c r="P115" s="13" t="str">
        <f>IF(Data_PLT[[#This Row],[Failure type]]="","",IF(OR(Data_PLT[[#This Row],[Failure type]]="Invalid",Data_PLT[[#This Row],[Failure type]]="Chipped",Data_PLT[[#This Row],[Failure type]]="Penetrate",Data_PLT[[#This Row],[Failure type]]="Did not break"),"Invalid","Valid"))</f>
        <v>Valid</v>
      </c>
      <c r="Q115" s="6"/>
      <c r="R115" s="11"/>
      <c r="S115" s="13">
        <f>IF(Data_PLT[[#This Row],[Test type]]="Diametral",Data_PLT[[#This Row],[Diameter (mm)]],IF(Data_PLT[[#This Row],[Test type]]="Axial",SQRT(4*Data_PLT[[#This Row],[Diameter (mm)]]*Data_PLT[[#This Row],[Length or width (mm)]]/PI()),"ERROR"))</f>
        <v>63.5</v>
      </c>
      <c r="T115" s="13">
        <f>(Data_PLT[[#This Row],[Load (kN)]]*1000)/Data_PLT[[#This Row],[Equiv. Diam. (mm)]]^2</f>
        <v>0</v>
      </c>
      <c r="U115" s="13">
        <f>(Data_PLT[[#This Row],[Equiv. Diam. (mm)]]/50)^0.45</f>
        <v>1.1135550054708407</v>
      </c>
      <c r="V115" s="13">
        <f>Data_PLT[[#This Row],[Is (MPa)]]*Data_PLT[[#This Row],[F]]</f>
        <v>0</v>
      </c>
      <c r="W115" s="13" t="str">
        <f>Data_PLT[[#This Row],[Failure Validity]]&amp;"-"&amp;Data_PLT[[#This Row],[Test type]]</f>
        <v>Valid-Diametral</v>
      </c>
      <c r="X115" s="13">
        <f>Data_PLT[[#This Row],[Is50 (MPa)]]*VLOOKUP("Min",Table_PLT_Conversion[],2,FALSE)</f>
        <v>0</v>
      </c>
      <c r="Y115" s="13">
        <f>Data_PLT[[#This Row],[Is50 (MPa)]]*VLOOKUP("Avg",Table_PLT_Conversion[],2,FALSE)</f>
        <v>0</v>
      </c>
      <c r="Z115" s="13">
        <f>Data_PLT[[#This Row],[Is50 (MPa)]]*VLOOKUP("Max",Table_PLT_Conversion[],2,FALSE)</f>
        <v>0</v>
      </c>
      <c r="AA115" s="62" t="e">
        <f>MATCH(LOOKUP(Data_PLT[[#This Row],[UCS min (MPa)]],Table_FieldStrength[Min UCS]),Table_FieldStrength[Min UCS],0)-1</f>
        <v>#N/A</v>
      </c>
      <c r="AB115" s="62" t="e">
        <f>MATCH(LOOKUP(Data_PLT[[#This Row],[UCS avg (MPa)]],Table_FieldStrength[Min UCS]),Table_FieldStrength[Min UCS],0)-1</f>
        <v>#N/A</v>
      </c>
      <c r="AC115" s="62" t="e">
        <f>MATCH(LOOKUP(Data_PLT[[#This Row],[UCS max (MPa)]],Table_FieldStrength[Min UCS]),Table_FieldStrength[Min UCS],0)-1</f>
        <v>#N/A</v>
      </c>
      <c r="AD115" s="68" t="e">
        <f>Data_PLT[[#This Row],[Test code]]&amp;"-"&amp;Data_PLT[[#This Row],[UCS min code]]</f>
        <v>#N/A</v>
      </c>
      <c r="AE115" s="68" t="e">
        <f>Data_PLT[[#This Row],[Test code]]&amp;"-"&amp;Data_PLT[[#This Row],[UCS avg code]]</f>
        <v>#N/A</v>
      </c>
      <c r="AF115" s="67" t="e">
        <f>Data_PLT[[#This Row],[Test code]]&amp;"-"&amp;Data_PLT[[#This Row],[UCS max code]]</f>
        <v>#N/A</v>
      </c>
      <c r="AG115" s="67" t="str">
        <f>Data_PLT[[#This Row],[Failure type]]&amp;"-"&amp;Data_PLT[[#This Row],[Test type]]&amp;"-"&amp;(IF(Data_PLT[[#This Row],[Is50 (MPa)]]&lt;1,1,IF(Data_PLT[[#This Row],[Is50 (MPa)]]&lt;2,2,IF(Data_PLT[[#This Row],[Is50 (MPa)]]&lt;4,3,IF(Data_PLT[[#This Row],[Is50 (MPa)]]&lt;8,4,5)))))</f>
        <v>Broke along MD-Diametral-1</v>
      </c>
    </row>
    <row r="116" spans="1:33" x14ac:dyDescent="0.25">
      <c r="A116" t="s">
        <v>30</v>
      </c>
      <c r="B116" s="88" t="str">
        <f>VLOOKUP(Data_PLT[[#This Row],[Hole ID]],Data_Log[],2,FALSE)</f>
        <v>CGF-02</v>
      </c>
      <c r="C116" s="63">
        <f>IF(Data_PLT[[#This Row],[Hole ID]]="","",
IF(COUNTIF($A$4:A116,Data_PLT[[#This Row],[Hole ID]])=1,1,
IF(A116=A115,C115+1,
COUNTIF($A$4:A116,Data_PLT[[#This Row],[Hole ID]]))))</f>
        <v>45</v>
      </c>
      <c r="D116" s="63" t="str">
        <f>IF(Data_PLT[[#This Row],[Hole ID]]="","",Data_PLT[[#This Row],[Hole ID]]&amp;"_"&amp;Data_PLT[[#This Row],[Sample ID]])</f>
        <v>COG-25-10_45</v>
      </c>
      <c r="E116" s="6"/>
      <c r="F116" s="158">
        <v>145</v>
      </c>
      <c r="G116" s="63" t="str" cm="1">
        <f t="array" ref="G116">_xlfn.XLOOKUP(1,(A116=Geotech!$A$4:$A$11100)*(Data_PLT[[#This Row],[Depth (m)]]&gt;=Geotech!$C$4:$C$11100)*(Data_PLT[[#This Row],[Depth (m)]]&lt;Geotech!$D$4:$D$11100),Geotech!$M$4:$M$11100)</f>
        <v>Basalt</v>
      </c>
      <c r="H116" s="6" t="s">
        <v>299</v>
      </c>
      <c r="I116" s="63" t="str">
        <f>VLOOKUP(Data_PLT[[#This Row],[Hole ID]],Data_Log[[Hole ID]:[Core size]],20,FALSE)</f>
        <v>HQ</v>
      </c>
      <c r="J116" s="13">
        <f>VLOOKUP(Data_PLT[[#This Row],[Core Size]],Table_CoreSize[],2,FALSE)</f>
        <v>63.5</v>
      </c>
      <c r="K116" s="158">
        <v>90</v>
      </c>
      <c r="L116" s="19" t="s">
        <v>574</v>
      </c>
      <c r="M116" s="8">
        <v>148.4</v>
      </c>
      <c r="N116" s="157"/>
      <c r="O116" s="157" t="s">
        <v>334</v>
      </c>
      <c r="P116" s="13" t="str">
        <f>IF(Data_PLT[[#This Row],[Failure type]]="","",IF(OR(Data_PLT[[#This Row],[Failure type]]="Invalid",Data_PLT[[#This Row],[Failure type]]="Chipped",Data_PLT[[#This Row],[Failure type]]="Penetrate",Data_PLT[[#This Row],[Failure type]]="Did not break"),"Invalid","Valid"))</f>
        <v>Valid</v>
      </c>
      <c r="Q116" s="6"/>
      <c r="R116" s="11"/>
      <c r="S116" s="13">
        <f>IF(Data_PLT[[#This Row],[Test type]]="Diametral",Data_PLT[[#This Row],[Diameter (mm)]],IF(Data_PLT[[#This Row],[Test type]]="Axial",SQRT(4*Data_PLT[[#This Row],[Diameter (mm)]]*Data_PLT[[#This Row],[Length or width (mm)]]/PI()),"ERROR"))</f>
        <v>63.5</v>
      </c>
      <c r="T116" s="13">
        <f>(Data_PLT[[#This Row],[Load (kN)]]*1000)/Data_PLT[[#This Row],[Equiv. Diam. (mm)]]^2</f>
        <v>0</v>
      </c>
      <c r="U116" s="13">
        <f>(Data_PLT[[#This Row],[Equiv. Diam. (mm)]]/50)^0.45</f>
        <v>1.1135550054708407</v>
      </c>
      <c r="V116" s="13">
        <f>Data_PLT[[#This Row],[Is (MPa)]]*Data_PLT[[#This Row],[F]]</f>
        <v>0</v>
      </c>
      <c r="W116" s="13" t="str">
        <f>Data_PLT[[#This Row],[Failure Validity]]&amp;"-"&amp;Data_PLT[[#This Row],[Test type]]</f>
        <v>Valid-Diametral</v>
      </c>
      <c r="X116" s="13">
        <f>Data_PLT[[#This Row],[Is50 (MPa)]]*VLOOKUP("Min",Table_PLT_Conversion[],2,FALSE)</f>
        <v>0</v>
      </c>
      <c r="Y116" s="13">
        <f>Data_PLT[[#This Row],[Is50 (MPa)]]*VLOOKUP("Avg",Table_PLT_Conversion[],2,FALSE)</f>
        <v>0</v>
      </c>
      <c r="Z116" s="13">
        <f>Data_PLT[[#This Row],[Is50 (MPa)]]*VLOOKUP("Max",Table_PLT_Conversion[],2,FALSE)</f>
        <v>0</v>
      </c>
      <c r="AA116" s="62" t="e">
        <f>MATCH(LOOKUP(Data_PLT[[#This Row],[UCS min (MPa)]],Table_FieldStrength[Min UCS]),Table_FieldStrength[Min UCS],0)-1</f>
        <v>#N/A</v>
      </c>
      <c r="AB116" s="62" t="e">
        <f>MATCH(LOOKUP(Data_PLT[[#This Row],[UCS avg (MPa)]],Table_FieldStrength[Min UCS]),Table_FieldStrength[Min UCS],0)-1</f>
        <v>#N/A</v>
      </c>
      <c r="AC116" s="62" t="e">
        <f>MATCH(LOOKUP(Data_PLT[[#This Row],[UCS max (MPa)]],Table_FieldStrength[Min UCS]),Table_FieldStrength[Min UCS],0)-1</f>
        <v>#N/A</v>
      </c>
      <c r="AD116" s="68" t="e">
        <f>Data_PLT[[#This Row],[Test code]]&amp;"-"&amp;Data_PLT[[#This Row],[UCS min code]]</f>
        <v>#N/A</v>
      </c>
      <c r="AE116" s="68" t="e">
        <f>Data_PLT[[#This Row],[Test code]]&amp;"-"&amp;Data_PLT[[#This Row],[UCS avg code]]</f>
        <v>#N/A</v>
      </c>
      <c r="AF116" s="67" t="e">
        <f>Data_PLT[[#This Row],[Test code]]&amp;"-"&amp;Data_PLT[[#This Row],[UCS max code]]</f>
        <v>#N/A</v>
      </c>
      <c r="AG116" s="67" t="str">
        <f>Data_PLT[[#This Row],[Failure type]]&amp;"-"&amp;Data_PLT[[#This Row],[Test type]]&amp;"-"&amp;(IF(Data_PLT[[#This Row],[Is50 (MPa)]]&lt;1,1,IF(Data_PLT[[#This Row],[Is50 (MPa)]]&lt;2,2,IF(Data_PLT[[#This Row],[Is50 (MPa)]]&lt;4,3,IF(Data_PLT[[#This Row],[Is50 (MPa)]]&lt;8,4,5)))))</f>
        <v>Along bedding/foliation-Diametral-1</v>
      </c>
    </row>
    <row r="117" spans="1:33" x14ac:dyDescent="0.25">
      <c r="B117" s="88" t="e">
        <f>VLOOKUP(Data_PLT[[#This Row],[Hole ID]],Data_Log[],2,FALSE)</f>
        <v>#N/A</v>
      </c>
      <c r="C117" s="63" t="str">
        <f>IF(Data_PLT[[#This Row],[Hole ID]]="","",
IF(COUNTIF($A$4:A117,Data_PLT[[#This Row],[Hole ID]])=1,1,
IF(A117=A116,C116+1,
COUNTIF($A$4:A117,Data_PLT[[#This Row],[Hole ID]]))))</f>
        <v/>
      </c>
      <c r="D117" s="63" t="str">
        <f>IF(Data_PLT[[#This Row],[Hole ID]]="","",Data_PLT[[#This Row],[Hole ID]]&amp;"_"&amp;Data_PLT[[#This Row],[Sample ID]])</f>
        <v/>
      </c>
      <c r="E117" s="6"/>
      <c r="F117" s="158"/>
      <c r="G117" s="63" t="e" cm="1">
        <f t="array" ref="G117">_xlfn.XLOOKUP(1,(A117=Geotech!$A$4:$A$11100)*(Data_PLT[[#This Row],[Depth (m)]]&gt;=Geotech!$C$4:$C$11100)*(Data_PLT[[#This Row],[Depth (m)]]&lt;Geotech!$D$4:$D$11100),Geotech!$M$4:$M$11100)</f>
        <v>#N/A</v>
      </c>
      <c r="H117" s="6"/>
      <c r="I117" s="63" t="e">
        <f>VLOOKUP(Data_PLT[[#This Row],[Hole ID]],Data_Log[[Hole ID]:[Core size]],20,FALSE)</f>
        <v>#N/A</v>
      </c>
      <c r="J117" s="13" t="e">
        <f>VLOOKUP(Data_PLT[[#This Row],[Core Size]],Table_CoreSize[],2,FALSE)</f>
        <v>#N/A</v>
      </c>
      <c r="K117" s="158"/>
      <c r="L117" s="19"/>
      <c r="M117" s="8"/>
      <c r="N117" s="157"/>
      <c r="O117" s="157"/>
      <c r="P117" s="13" t="str">
        <f>IF(Data_PLT[[#This Row],[Failure type]]="","",IF(OR(Data_PLT[[#This Row],[Failure type]]="Invalid",Data_PLT[[#This Row],[Failure type]]="Chipped",Data_PLT[[#This Row],[Failure type]]="Penetrate",Data_PLT[[#This Row],[Failure type]]="Did not break"),"Invalid","Valid"))</f>
        <v/>
      </c>
      <c r="Q117" s="6"/>
      <c r="R117" s="11"/>
      <c r="S117" s="13" t="str">
        <f>IF(Data_PLT[[#This Row],[Test type]]="Diametral",Data_PLT[[#This Row],[Diameter (mm)]],IF(Data_PLT[[#This Row],[Test type]]="Axial",SQRT(4*Data_PLT[[#This Row],[Diameter (mm)]]*Data_PLT[[#This Row],[Length or width (mm)]]/PI()),"ERROR"))</f>
        <v>ERROR</v>
      </c>
      <c r="T117" s="13" t="e">
        <f>(Data_PLT[[#This Row],[Load (kN)]]*1000)/Data_PLT[[#This Row],[Equiv. Diam. (mm)]]^2</f>
        <v>#VALUE!</v>
      </c>
      <c r="U117" s="13" t="e">
        <f>(Data_PLT[[#This Row],[Equiv. Diam. (mm)]]/50)^0.45</f>
        <v>#VALUE!</v>
      </c>
      <c r="V117" s="13" t="e">
        <f>Data_PLT[[#This Row],[Is (MPa)]]*Data_PLT[[#This Row],[F]]</f>
        <v>#VALUE!</v>
      </c>
      <c r="W117" s="13" t="str">
        <f>Data_PLT[[#This Row],[Failure Validity]]&amp;"-"&amp;Data_PLT[[#This Row],[Test type]]</f>
        <v>-</v>
      </c>
      <c r="X117" s="13" t="e">
        <f>Data_PLT[[#This Row],[Is50 (MPa)]]*VLOOKUP("Min",Table_PLT_Conversion[],2,FALSE)</f>
        <v>#VALUE!</v>
      </c>
      <c r="Y117" s="13" t="e">
        <f>Data_PLT[[#This Row],[Is50 (MPa)]]*VLOOKUP("Avg",Table_PLT_Conversion[],2,FALSE)</f>
        <v>#VALUE!</v>
      </c>
      <c r="Z117" s="13" t="e">
        <f>Data_PLT[[#This Row],[Is50 (MPa)]]*VLOOKUP("Max",Table_PLT_Conversion[],2,FALSE)</f>
        <v>#VALUE!</v>
      </c>
      <c r="AA117" s="62" t="e">
        <f>MATCH(LOOKUP(Data_PLT[[#This Row],[UCS min (MPa)]],Table_FieldStrength[Min UCS]),Table_FieldStrength[Min UCS],0)-1</f>
        <v>#VALUE!</v>
      </c>
      <c r="AB117" s="62" t="e">
        <f>MATCH(LOOKUP(Data_PLT[[#This Row],[UCS avg (MPa)]],Table_FieldStrength[Min UCS]),Table_FieldStrength[Min UCS],0)-1</f>
        <v>#VALUE!</v>
      </c>
      <c r="AC117" s="62" t="e">
        <f>MATCH(LOOKUP(Data_PLT[[#This Row],[UCS max (MPa)]],Table_FieldStrength[Min UCS]),Table_FieldStrength[Min UCS],0)-1</f>
        <v>#VALUE!</v>
      </c>
      <c r="AD117" s="68" t="e">
        <f>Data_PLT[[#This Row],[Test code]]&amp;"-"&amp;Data_PLT[[#This Row],[UCS min code]]</f>
        <v>#VALUE!</v>
      </c>
      <c r="AE117" s="68" t="e">
        <f>Data_PLT[[#This Row],[Test code]]&amp;"-"&amp;Data_PLT[[#This Row],[UCS avg code]]</f>
        <v>#VALUE!</v>
      </c>
      <c r="AF117" s="67" t="e">
        <f>Data_PLT[[#This Row],[Test code]]&amp;"-"&amp;Data_PLT[[#This Row],[UCS max code]]</f>
        <v>#VALUE!</v>
      </c>
      <c r="AG117" s="67" t="e">
        <f>Data_PLT[[#This Row],[Failure type]]&amp;"-"&amp;Data_PLT[[#This Row],[Test type]]&amp;"-"&amp;(IF(Data_PLT[[#This Row],[Is50 (MPa)]]&lt;1,1,IF(Data_PLT[[#This Row],[Is50 (MPa)]]&lt;2,2,IF(Data_PLT[[#This Row],[Is50 (MPa)]]&lt;4,3,IF(Data_PLT[[#This Row],[Is50 (MPa)]]&lt;8,4,5)))))</f>
        <v>#VALUE!</v>
      </c>
    </row>
    <row r="118" spans="1:33" x14ac:dyDescent="0.25">
      <c r="A118" t="s">
        <v>36</v>
      </c>
      <c r="B118" s="88" t="str">
        <f>VLOOKUP(Data_PLT[[#This Row],[Hole ID]],Data_Log[],2,FALSE)</f>
        <v>CGF-05</v>
      </c>
      <c r="C118" s="63">
        <f>IF(Data_PLT[[#This Row],[Hole ID]]="","",
IF(COUNTIF($A$4:A118,Data_PLT[[#This Row],[Hole ID]])=1,1,
IF(A118=A117,C117+1,
COUNTIF($A$4:A118,Data_PLT[[#This Row],[Hole ID]]))))</f>
        <v>1</v>
      </c>
      <c r="D118" s="63" t="str">
        <f>IF(Data_PLT[[#This Row],[Hole ID]]="","",Data_PLT[[#This Row],[Hole ID]]&amp;"_"&amp;Data_PLT[[#This Row],[Sample ID]])</f>
        <v>COG-25-12_1</v>
      </c>
      <c r="E118" s="6"/>
      <c r="F118" s="158">
        <v>42</v>
      </c>
      <c r="G118" s="63" t="str" cm="1">
        <f t="array" ref="G118">_xlfn.XLOOKUP(1,(A118=Geotech!$A$4:$A$11100)*(Data_PLT[[#This Row],[Depth (m)]]&gt;=Geotech!$C$4:$C$11100)*(Data_PLT[[#This Row],[Depth (m)]]&lt;Geotech!$D$4:$D$11100),Geotech!$M$4:$M$11100)</f>
        <v>Basalt</v>
      </c>
      <c r="H118" s="6" t="s">
        <v>299</v>
      </c>
      <c r="I118" s="63" t="str">
        <f>VLOOKUP(Data_PLT[[#This Row],[Hole ID]],Data_Log[[Hole ID]:[Core size]],20,FALSE)</f>
        <v>HQ</v>
      </c>
      <c r="J118" s="13">
        <f>VLOOKUP(Data_PLT[[#This Row],[Core Size]],Table_CoreSize[],2,FALSE)</f>
        <v>63.5</v>
      </c>
      <c r="K118" s="158">
        <v>130</v>
      </c>
      <c r="L118" s="19" t="s">
        <v>574</v>
      </c>
      <c r="M118" s="8">
        <v>31.6</v>
      </c>
      <c r="N118" s="157"/>
      <c r="O118" s="157" t="s">
        <v>334</v>
      </c>
      <c r="P118" s="13" t="str">
        <f>IF(Data_PLT[[#This Row],[Failure type]]="","",IF(OR(Data_PLT[[#This Row],[Failure type]]="Invalid",Data_PLT[[#This Row],[Failure type]]="Chipped",Data_PLT[[#This Row],[Failure type]]="Penetrate",Data_PLT[[#This Row],[Failure type]]="Did not break"),"Invalid","Valid"))</f>
        <v>Valid</v>
      </c>
      <c r="Q118" s="6"/>
      <c r="R118" s="11"/>
      <c r="S118" s="13">
        <f>IF(Data_PLT[[#This Row],[Test type]]="Diametral",Data_PLT[[#This Row],[Diameter (mm)]],IF(Data_PLT[[#This Row],[Test type]]="Axial",SQRT(4*Data_PLT[[#This Row],[Diameter (mm)]]*Data_PLT[[#This Row],[Length or width (mm)]]/PI()),"ERROR"))</f>
        <v>63.5</v>
      </c>
      <c r="T118" s="13">
        <f>(Data_PLT[[#This Row],[Load (kN)]]*1000)/Data_PLT[[#This Row],[Equiv. Diam. (mm)]]^2</f>
        <v>0</v>
      </c>
      <c r="U118" s="13">
        <f>(Data_PLT[[#This Row],[Equiv. Diam. (mm)]]/50)^0.45</f>
        <v>1.1135550054708407</v>
      </c>
      <c r="V118" s="13">
        <f>Data_PLT[[#This Row],[Is (MPa)]]*Data_PLT[[#This Row],[F]]</f>
        <v>0</v>
      </c>
      <c r="W118" s="13" t="str">
        <f>Data_PLT[[#This Row],[Failure Validity]]&amp;"-"&amp;Data_PLT[[#This Row],[Test type]]</f>
        <v>Valid-Diametral</v>
      </c>
      <c r="X118" s="13">
        <f>Data_PLT[[#This Row],[Is50 (MPa)]]*VLOOKUP("Min",Table_PLT_Conversion[],2,FALSE)</f>
        <v>0</v>
      </c>
      <c r="Y118" s="13">
        <f>Data_PLT[[#This Row],[Is50 (MPa)]]*VLOOKUP("Avg",Table_PLT_Conversion[],2,FALSE)</f>
        <v>0</v>
      </c>
      <c r="Z118" s="13">
        <f>Data_PLT[[#This Row],[Is50 (MPa)]]*VLOOKUP("Max",Table_PLT_Conversion[],2,FALSE)</f>
        <v>0</v>
      </c>
      <c r="AA118" s="62" t="e">
        <f>MATCH(LOOKUP(Data_PLT[[#This Row],[UCS min (MPa)]],Table_FieldStrength[Min UCS]),Table_FieldStrength[Min UCS],0)-1</f>
        <v>#N/A</v>
      </c>
      <c r="AB118" s="62" t="e">
        <f>MATCH(LOOKUP(Data_PLT[[#This Row],[UCS avg (MPa)]],Table_FieldStrength[Min UCS]),Table_FieldStrength[Min UCS],0)-1</f>
        <v>#N/A</v>
      </c>
      <c r="AC118" s="62" t="e">
        <f>MATCH(LOOKUP(Data_PLT[[#This Row],[UCS max (MPa)]],Table_FieldStrength[Min UCS]),Table_FieldStrength[Min UCS],0)-1</f>
        <v>#N/A</v>
      </c>
      <c r="AD118" s="68" t="e">
        <f>Data_PLT[[#This Row],[Test code]]&amp;"-"&amp;Data_PLT[[#This Row],[UCS min code]]</f>
        <v>#N/A</v>
      </c>
      <c r="AE118" s="68" t="e">
        <f>Data_PLT[[#This Row],[Test code]]&amp;"-"&amp;Data_PLT[[#This Row],[UCS avg code]]</f>
        <v>#N/A</v>
      </c>
      <c r="AF118" s="67" t="e">
        <f>Data_PLT[[#This Row],[Test code]]&amp;"-"&amp;Data_PLT[[#This Row],[UCS max code]]</f>
        <v>#N/A</v>
      </c>
      <c r="AG118" s="67" t="str">
        <f>Data_PLT[[#This Row],[Failure type]]&amp;"-"&amp;Data_PLT[[#This Row],[Test type]]&amp;"-"&amp;(IF(Data_PLT[[#This Row],[Is50 (MPa)]]&lt;1,1,IF(Data_PLT[[#This Row],[Is50 (MPa)]]&lt;2,2,IF(Data_PLT[[#This Row],[Is50 (MPa)]]&lt;4,3,IF(Data_PLT[[#This Row],[Is50 (MPa)]]&lt;8,4,5)))))</f>
        <v>Along bedding/foliation-Diametral-1</v>
      </c>
    </row>
    <row r="119" spans="1:33" x14ac:dyDescent="0.25">
      <c r="A119" t="s">
        <v>36</v>
      </c>
      <c r="B119" s="88" t="str">
        <f>VLOOKUP(Data_PLT[[#This Row],[Hole ID]],Data_Log[],2,FALSE)</f>
        <v>CGF-05</v>
      </c>
      <c r="C119" s="63">
        <f>IF(Data_PLT[[#This Row],[Hole ID]]="","",
IF(COUNTIF($A$4:A119,Data_PLT[[#This Row],[Hole ID]])=1,1,
IF(A119=A118,C118+1,
COUNTIF($A$4:A119,Data_PLT[[#This Row],[Hole ID]]))))</f>
        <v>2</v>
      </c>
      <c r="D119" s="63" t="str">
        <f>IF(Data_PLT[[#This Row],[Hole ID]]="","",Data_PLT[[#This Row],[Hole ID]]&amp;"_"&amp;Data_PLT[[#This Row],[Sample ID]])</f>
        <v>COG-25-12_2</v>
      </c>
      <c r="E119" s="6"/>
      <c r="F119" s="158">
        <v>43.65</v>
      </c>
      <c r="G119" s="63" t="str" cm="1">
        <f t="array" ref="G119">_xlfn.XLOOKUP(1,(A119=Geotech!$A$4:$A$11100)*(Data_PLT[[#This Row],[Depth (m)]]&gt;=Geotech!$C$4:$C$11100)*(Data_PLT[[#This Row],[Depth (m)]]&lt;Geotech!$D$4:$D$11100),Geotech!$M$4:$M$11100)</f>
        <v>Basalt</v>
      </c>
      <c r="H119" s="6" t="s">
        <v>299</v>
      </c>
      <c r="I119" s="63" t="str">
        <f>VLOOKUP(Data_PLT[[#This Row],[Hole ID]],Data_Log[[Hole ID]:[Core size]],20,FALSE)</f>
        <v>HQ</v>
      </c>
      <c r="J119" s="13">
        <f>VLOOKUP(Data_PLT[[#This Row],[Core Size]],Table_CoreSize[],2,FALSE)</f>
        <v>63.5</v>
      </c>
      <c r="K119" s="158">
        <v>110</v>
      </c>
      <c r="L119" s="19" t="s">
        <v>574</v>
      </c>
      <c r="M119" s="8">
        <v>1.8</v>
      </c>
      <c r="N119" s="157"/>
      <c r="O119" s="157" t="s">
        <v>334</v>
      </c>
      <c r="P119" s="13" t="str">
        <f>IF(Data_PLT[[#This Row],[Failure type]]="","",IF(OR(Data_PLT[[#This Row],[Failure type]]="Invalid",Data_PLT[[#This Row],[Failure type]]="Chipped",Data_PLT[[#This Row],[Failure type]]="Penetrate",Data_PLT[[#This Row],[Failure type]]="Did not break"),"Invalid","Valid"))</f>
        <v>Valid</v>
      </c>
      <c r="Q119" s="6"/>
      <c r="R119" s="11"/>
      <c r="S119" s="13">
        <f>IF(Data_PLT[[#This Row],[Test type]]="Diametral",Data_PLT[[#This Row],[Diameter (mm)]],IF(Data_PLT[[#This Row],[Test type]]="Axial",SQRT(4*Data_PLT[[#This Row],[Diameter (mm)]]*Data_PLT[[#This Row],[Length or width (mm)]]/PI()),"ERROR"))</f>
        <v>63.5</v>
      </c>
      <c r="T119" s="13">
        <f>(Data_PLT[[#This Row],[Load (kN)]]*1000)/Data_PLT[[#This Row],[Equiv. Diam. (mm)]]^2</f>
        <v>0</v>
      </c>
      <c r="U119" s="13">
        <f>(Data_PLT[[#This Row],[Equiv. Diam. (mm)]]/50)^0.45</f>
        <v>1.1135550054708407</v>
      </c>
      <c r="V119" s="13">
        <f>Data_PLT[[#This Row],[Is (MPa)]]*Data_PLT[[#This Row],[F]]</f>
        <v>0</v>
      </c>
      <c r="W119" s="13" t="str">
        <f>Data_PLT[[#This Row],[Failure Validity]]&amp;"-"&amp;Data_PLT[[#This Row],[Test type]]</f>
        <v>Valid-Diametral</v>
      </c>
      <c r="X119" s="13">
        <f>Data_PLT[[#This Row],[Is50 (MPa)]]*VLOOKUP("Min",Table_PLT_Conversion[],2,FALSE)</f>
        <v>0</v>
      </c>
      <c r="Y119" s="13">
        <f>Data_PLT[[#This Row],[Is50 (MPa)]]*VLOOKUP("Avg",Table_PLT_Conversion[],2,FALSE)</f>
        <v>0</v>
      </c>
      <c r="Z119" s="13">
        <f>Data_PLT[[#This Row],[Is50 (MPa)]]*VLOOKUP("Max",Table_PLT_Conversion[],2,FALSE)</f>
        <v>0</v>
      </c>
      <c r="AA119" s="62" t="e">
        <f>MATCH(LOOKUP(Data_PLT[[#This Row],[UCS min (MPa)]],Table_FieldStrength[Min UCS]),Table_FieldStrength[Min UCS],0)-1</f>
        <v>#N/A</v>
      </c>
      <c r="AB119" s="62" t="e">
        <f>MATCH(LOOKUP(Data_PLT[[#This Row],[UCS avg (MPa)]],Table_FieldStrength[Min UCS]),Table_FieldStrength[Min UCS],0)-1</f>
        <v>#N/A</v>
      </c>
      <c r="AC119" s="62" t="e">
        <f>MATCH(LOOKUP(Data_PLT[[#This Row],[UCS max (MPa)]],Table_FieldStrength[Min UCS]),Table_FieldStrength[Min UCS],0)-1</f>
        <v>#N/A</v>
      </c>
      <c r="AD119" s="68" t="e">
        <f>Data_PLT[[#This Row],[Test code]]&amp;"-"&amp;Data_PLT[[#This Row],[UCS min code]]</f>
        <v>#N/A</v>
      </c>
      <c r="AE119" s="68" t="e">
        <f>Data_PLT[[#This Row],[Test code]]&amp;"-"&amp;Data_PLT[[#This Row],[UCS avg code]]</f>
        <v>#N/A</v>
      </c>
      <c r="AF119" s="67" t="e">
        <f>Data_PLT[[#This Row],[Test code]]&amp;"-"&amp;Data_PLT[[#This Row],[UCS max code]]</f>
        <v>#N/A</v>
      </c>
      <c r="AG119" s="67" t="str">
        <f>Data_PLT[[#This Row],[Failure type]]&amp;"-"&amp;Data_PLT[[#This Row],[Test type]]&amp;"-"&amp;(IF(Data_PLT[[#This Row],[Is50 (MPa)]]&lt;1,1,IF(Data_PLT[[#This Row],[Is50 (MPa)]]&lt;2,2,IF(Data_PLT[[#This Row],[Is50 (MPa)]]&lt;4,3,IF(Data_PLT[[#This Row],[Is50 (MPa)]]&lt;8,4,5)))))</f>
        <v>Along bedding/foliation-Diametral-1</v>
      </c>
    </row>
    <row r="120" spans="1:33" x14ac:dyDescent="0.25">
      <c r="A120" t="s">
        <v>36</v>
      </c>
      <c r="B120" s="88" t="str">
        <f>VLOOKUP(Data_PLT[[#This Row],[Hole ID]],Data_Log[],2,FALSE)</f>
        <v>CGF-05</v>
      </c>
      <c r="C120" s="63">
        <f>IF(Data_PLT[[#This Row],[Hole ID]]="","",
IF(COUNTIF($A$4:A120,Data_PLT[[#This Row],[Hole ID]])=1,1,
IF(A120=A119,C119+1,
COUNTIF($A$4:A120,Data_PLT[[#This Row],[Hole ID]]))))</f>
        <v>3</v>
      </c>
      <c r="D120" s="63" t="str">
        <f>IF(Data_PLT[[#This Row],[Hole ID]]="","",Data_PLT[[#This Row],[Hole ID]]&amp;"_"&amp;Data_PLT[[#This Row],[Sample ID]])</f>
        <v>COG-25-12_3</v>
      </c>
      <c r="E120" s="6"/>
      <c r="F120" s="158">
        <v>46.79</v>
      </c>
      <c r="G120" s="63" t="str" cm="1">
        <f t="array" ref="G120">_xlfn.XLOOKUP(1,(A120=Geotech!$A$4:$A$11100)*(Data_PLT[[#This Row],[Depth (m)]]&gt;=Geotech!$C$4:$C$11100)*(Data_PLT[[#This Row],[Depth (m)]]&lt;Geotech!$D$4:$D$11100),Geotech!$M$4:$M$11100)</f>
        <v>Basalt</v>
      </c>
      <c r="H120" s="6" t="s">
        <v>299</v>
      </c>
      <c r="I120" s="63" t="str">
        <f>VLOOKUP(Data_PLT[[#This Row],[Hole ID]],Data_Log[[Hole ID]:[Core size]],20,FALSE)</f>
        <v>HQ</v>
      </c>
      <c r="J120" s="13">
        <f>VLOOKUP(Data_PLT[[#This Row],[Core Size]],Table_CoreSize[],2,FALSE)</f>
        <v>63.5</v>
      </c>
      <c r="K120" s="158">
        <v>120</v>
      </c>
      <c r="L120" s="19" t="s">
        <v>574</v>
      </c>
      <c r="M120" s="8">
        <v>37.4</v>
      </c>
      <c r="N120" s="157"/>
      <c r="O120" s="157" t="s">
        <v>334</v>
      </c>
      <c r="P120" s="13" t="str">
        <f>IF(Data_PLT[[#This Row],[Failure type]]="","",IF(OR(Data_PLT[[#This Row],[Failure type]]="Invalid",Data_PLT[[#This Row],[Failure type]]="Chipped",Data_PLT[[#This Row],[Failure type]]="Penetrate",Data_PLT[[#This Row],[Failure type]]="Did not break"),"Invalid","Valid"))</f>
        <v>Valid</v>
      </c>
      <c r="Q120" s="6"/>
      <c r="R120" s="11"/>
      <c r="S120" s="13">
        <f>IF(Data_PLT[[#This Row],[Test type]]="Diametral",Data_PLT[[#This Row],[Diameter (mm)]],IF(Data_PLT[[#This Row],[Test type]]="Axial",SQRT(4*Data_PLT[[#This Row],[Diameter (mm)]]*Data_PLT[[#This Row],[Length or width (mm)]]/PI()),"ERROR"))</f>
        <v>63.5</v>
      </c>
      <c r="T120" s="13">
        <f>(Data_PLT[[#This Row],[Load (kN)]]*1000)/Data_PLT[[#This Row],[Equiv. Diam. (mm)]]^2</f>
        <v>0</v>
      </c>
      <c r="U120" s="13">
        <f>(Data_PLT[[#This Row],[Equiv. Diam. (mm)]]/50)^0.45</f>
        <v>1.1135550054708407</v>
      </c>
      <c r="V120" s="13">
        <f>Data_PLT[[#This Row],[Is (MPa)]]*Data_PLT[[#This Row],[F]]</f>
        <v>0</v>
      </c>
      <c r="W120" s="13" t="str">
        <f>Data_PLT[[#This Row],[Failure Validity]]&amp;"-"&amp;Data_PLT[[#This Row],[Test type]]</f>
        <v>Valid-Diametral</v>
      </c>
      <c r="X120" s="13">
        <f>Data_PLT[[#This Row],[Is50 (MPa)]]*VLOOKUP("Min",Table_PLT_Conversion[],2,FALSE)</f>
        <v>0</v>
      </c>
      <c r="Y120" s="13">
        <f>Data_PLT[[#This Row],[Is50 (MPa)]]*VLOOKUP("Avg",Table_PLT_Conversion[],2,FALSE)</f>
        <v>0</v>
      </c>
      <c r="Z120" s="13">
        <f>Data_PLT[[#This Row],[Is50 (MPa)]]*VLOOKUP("Max",Table_PLT_Conversion[],2,FALSE)</f>
        <v>0</v>
      </c>
      <c r="AA120" s="62" t="e">
        <f>MATCH(LOOKUP(Data_PLT[[#This Row],[UCS min (MPa)]],Table_FieldStrength[Min UCS]),Table_FieldStrength[Min UCS],0)-1</f>
        <v>#N/A</v>
      </c>
      <c r="AB120" s="62" t="e">
        <f>MATCH(LOOKUP(Data_PLT[[#This Row],[UCS avg (MPa)]],Table_FieldStrength[Min UCS]),Table_FieldStrength[Min UCS],0)-1</f>
        <v>#N/A</v>
      </c>
      <c r="AC120" s="62" t="e">
        <f>MATCH(LOOKUP(Data_PLT[[#This Row],[UCS max (MPa)]],Table_FieldStrength[Min UCS]),Table_FieldStrength[Min UCS],0)-1</f>
        <v>#N/A</v>
      </c>
      <c r="AD120" s="68" t="e">
        <f>Data_PLT[[#This Row],[Test code]]&amp;"-"&amp;Data_PLT[[#This Row],[UCS min code]]</f>
        <v>#N/A</v>
      </c>
      <c r="AE120" s="68" t="e">
        <f>Data_PLT[[#This Row],[Test code]]&amp;"-"&amp;Data_PLT[[#This Row],[UCS avg code]]</f>
        <v>#N/A</v>
      </c>
      <c r="AF120" s="67" t="e">
        <f>Data_PLT[[#This Row],[Test code]]&amp;"-"&amp;Data_PLT[[#This Row],[UCS max code]]</f>
        <v>#N/A</v>
      </c>
      <c r="AG120" s="67" t="str">
        <f>Data_PLT[[#This Row],[Failure type]]&amp;"-"&amp;Data_PLT[[#This Row],[Test type]]&amp;"-"&amp;(IF(Data_PLT[[#This Row],[Is50 (MPa)]]&lt;1,1,IF(Data_PLT[[#This Row],[Is50 (MPa)]]&lt;2,2,IF(Data_PLT[[#This Row],[Is50 (MPa)]]&lt;4,3,IF(Data_PLT[[#This Row],[Is50 (MPa)]]&lt;8,4,5)))))</f>
        <v>Along bedding/foliation-Diametral-1</v>
      </c>
    </row>
    <row r="121" spans="1:33" x14ac:dyDescent="0.25">
      <c r="A121" t="s">
        <v>36</v>
      </c>
      <c r="B121" s="88" t="str">
        <f>VLOOKUP(Data_PLT[[#This Row],[Hole ID]],Data_Log[],2,FALSE)</f>
        <v>CGF-05</v>
      </c>
      <c r="C121" s="63">
        <f>IF(Data_PLT[[#This Row],[Hole ID]]="","",
IF(COUNTIF($A$4:A121,Data_PLT[[#This Row],[Hole ID]])=1,1,
IF(A121=A120,C120+1,
COUNTIF($A$4:A121,Data_PLT[[#This Row],[Hole ID]]))))</f>
        <v>4</v>
      </c>
      <c r="D121" s="63" t="str">
        <f>IF(Data_PLT[[#This Row],[Hole ID]]="","",Data_PLT[[#This Row],[Hole ID]]&amp;"_"&amp;Data_PLT[[#This Row],[Sample ID]])</f>
        <v>COG-25-12_4</v>
      </c>
      <c r="E121" s="6"/>
      <c r="F121" s="158">
        <v>50.05</v>
      </c>
      <c r="G121" s="63" t="str" cm="1">
        <f t="array" ref="G121">_xlfn.XLOOKUP(1,(A121=Geotech!$A$4:$A$11100)*(Data_PLT[[#This Row],[Depth (m)]]&gt;=Geotech!$C$4:$C$11100)*(Data_PLT[[#This Row],[Depth (m)]]&lt;Geotech!$D$4:$D$11100),Geotech!$M$4:$M$11100)</f>
        <v>Basalt</v>
      </c>
      <c r="H121" s="6" t="s">
        <v>299</v>
      </c>
      <c r="I121" s="63" t="str">
        <f>VLOOKUP(Data_PLT[[#This Row],[Hole ID]],Data_Log[[Hole ID]:[Core size]],20,FALSE)</f>
        <v>HQ</v>
      </c>
      <c r="J121" s="13">
        <f>VLOOKUP(Data_PLT[[#This Row],[Core Size]],Table_CoreSize[],2,FALSE)</f>
        <v>63.5</v>
      </c>
      <c r="K121" s="158">
        <v>125</v>
      </c>
      <c r="L121" s="19" t="s">
        <v>574</v>
      </c>
      <c r="M121" s="8">
        <v>99.2</v>
      </c>
      <c r="N121" s="8"/>
      <c r="O121" s="157" t="s">
        <v>334</v>
      </c>
      <c r="P121" s="13" t="str">
        <f>IF(Data_PLT[[#This Row],[Failure type]]="","",IF(OR(Data_PLT[[#This Row],[Failure type]]="Invalid",Data_PLT[[#This Row],[Failure type]]="Chipped",Data_PLT[[#This Row],[Failure type]]="Penetrate",Data_PLT[[#This Row],[Failure type]]="Did not break"),"Invalid","Valid"))</f>
        <v>Valid</v>
      </c>
      <c r="Q121" s="6"/>
      <c r="R121" s="11"/>
      <c r="S121" s="13">
        <f>IF(Data_PLT[[#This Row],[Test type]]="Diametral",Data_PLT[[#This Row],[Diameter (mm)]],IF(Data_PLT[[#This Row],[Test type]]="Axial",SQRT(4*Data_PLT[[#This Row],[Diameter (mm)]]*Data_PLT[[#This Row],[Length or width (mm)]]/PI()),"ERROR"))</f>
        <v>63.5</v>
      </c>
      <c r="T121" s="13">
        <f>(Data_PLT[[#This Row],[Load (kN)]]*1000)/Data_PLT[[#This Row],[Equiv. Diam. (mm)]]^2</f>
        <v>0</v>
      </c>
      <c r="U121" s="13">
        <f>(Data_PLT[[#This Row],[Equiv. Diam. (mm)]]/50)^0.45</f>
        <v>1.1135550054708407</v>
      </c>
      <c r="V121" s="13">
        <f>Data_PLT[[#This Row],[Is (MPa)]]*Data_PLT[[#This Row],[F]]</f>
        <v>0</v>
      </c>
      <c r="W121" s="13" t="str">
        <f>Data_PLT[[#This Row],[Failure Validity]]&amp;"-"&amp;Data_PLT[[#This Row],[Test type]]</f>
        <v>Valid-Diametral</v>
      </c>
      <c r="X121" s="13">
        <f>Data_PLT[[#This Row],[Is50 (MPa)]]*VLOOKUP("Min",Table_PLT_Conversion[],2,FALSE)</f>
        <v>0</v>
      </c>
      <c r="Y121" s="13">
        <f>Data_PLT[[#This Row],[Is50 (MPa)]]*VLOOKUP("Avg",Table_PLT_Conversion[],2,FALSE)</f>
        <v>0</v>
      </c>
      <c r="Z121" s="13">
        <f>Data_PLT[[#This Row],[Is50 (MPa)]]*VLOOKUP("Max",Table_PLT_Conversion[],2,FALSE)</f>
        <v>0</v>
      </c>
      <c r="AA121" s="62" t="e">
        <f>MATCH(LOOKUP(Data_PLT[[#This Row],[UCS min (MPa)]],Table_FieldStrength[Min UCS]),Table_FieldStrength[Min UCS],0)-1</f>
        <v>#N/A</v>
      </c>
      <c r="AB121" s="62" t="e">
        <f>MATCH(LOOKUP(Data_PLT[[#This Row],[UCS avg (MPa)]],Table_FieldStrength[Min UCS]),Table_FieldStrength[Min UCS],0)-1</f>
        <v>#N/A</v>
      </c>
      <c r="AC121" s="62" t="e">
        <f>MATCH(LOOKUP(Data_PLT[[#This Row],[UCS max (MPa)]],Table_FieldStrength[Min UCS]),Table_FieldStrength[Min UCS],0)-1</f>
        <v>#N/A</v>
      </c>
      <c r="AD121" s="68" t="e">
        <f>Data_PLT[[#This Row],[Test code]]&amp;"-"&amp;Data_PLT[[#This Row],[UCS min code]]</f>
        <v>#N/A</v>
      </c>
      <c r="AE121" s="68" t="e">
        <f>Data_PLT[[#This Row],[Test code]]&amp;"-"&amp;Data_PLT[[#This Row],[UCS avg code]]</f>
        <v>#N/A</v>
      </c>
      <c r="AF121" s="67" t="e">
        <f>Data_PLT[[#This Row],[Test code]]&amp;"-"&amp;Data_PLT[[#This Row],[UCS max code]]</f>
        <v>#N/A</v>
      </c>
      <c r="AG121" s="67" t="str">
        <f>Data_PLT[[#This Row],[Failure type]]&amp;"-"&amp;Data_PLT[[#This Row],[Test type]]&amp;"-"&amp;(IF(Data_PLT[[#This Row],[Is50 (MPa)]]&lt;1,1,IF(Data_PLT[[#This Row],[Is50 (MPa)]]&lt;2,2,IF(Data_PLT[[#This Row],[Is50 (MPa)]]&lt;4,3,IF(Data_PLT[[#This Row],[Is50 (MPa)]]&lt;8,4,5)))))</f>
        <v>Along bedding/foliation-Diametral-1</v>
      </c>
    </row>
    <row r="122" spans="1:33" x14ac:dyDescent="0.25">
      <c r="A122" t="s">
        <v>36</v>
      </c>
      <c r="B122" s="88" t="str">
        <f>VLOOKUP(Data_PLT[[#This Row],[Hole ID]],Data_Log[],2,FALSE)</f>
        <v>CGF-05</v>
      </c>
      <c r="C122" s="63">
        <f>IF(Data_PLT[[#This Row],[Hole ID]]="","",
IF(COUNTIF($A$4:A122,Data_PLT[[#This Row],[Hole ID]])=1,1,
IF(A122=A121,C121+1,
COUNTIF($A$4:A122,Data_PLT[[#This Row],[Hole ID]]))))</f>
        <v>5</v>
      </c>
      <c r="D122" s="63" t="str">
        <f>IF(Data_PLT[[#This Row],[Hole ID]]="","",Data_PLT[[#This Row],[Hole ID]]&amp;"_"&amp;Data_PLT[[#This Row],[Sample ID]])</f>
        <v>COG-25-12_5</v>
      </c>
      <c r="E122" s="6"/>
      <c r="F122" s="6">
        <v>52.37</v>
      </c>
      <c r="G122" s="63" t="str" cm="1">
        <f t="array" ref="G122">_xlfn.XLOOKUP(1,(A122=Geotech!$A$4:$A$11100)*(Data_PLT[[#This Row],[Depth (m)]]&gt;=Geotech!$C$4:$C$11100)*(Data_PLT[[#This Row],[Depth (m)]]&lt;Geotech!$D$4:$D$11100),Geotech!$M$4:$M$11100)</f>
        <v>Basalt</v>
      </c>
      <c r="H122" s="6" t="s">
        <v>299</v>
      </c>
      <c r="I122" s="63" t="str">
        <f>VLOOKUP(Data_PLT[[#This Row],[Hole ID]],Data_Log[[Hole ID]:[Core size]],20,FALSE)</f>
        <v>HQ</v>
      </c>
      <c r="J122" s="13">
        <f>VLOOKUP(Data_PLT[[#This Row],[Core Size]],Table_CoreSize[],2,FALSE)</f>
        <v>63.5</v>
      </c>
      <c r="K122" s="19">
        <v>110</v>
      </c>
      <c r="L122" s="19" t="s">
        <v>574</v>
      </c>
      <c r="M122" s="8">
        <v>44.6</v>
      </c>
      <c r="N122" s="8"/>
      <c r="O122" s="7" t="s">
        <v>334</v>
      </c>
      <c r="P122" s="13" t="str">
        <f>IF(Data_PLT[[#This Row],[Failure type]]="","",IF(OR(Data_PLT[[#This Row],[Failure type]]="Invalid",Data_PLT[[#This Row],[Failure type]]="Chipped",Data_PLT[[#This Row],[Failure type]]="Penetrate",Data_PLT[[#This Row],[Failure type]]="Did not break"),"Invalid","Valid"))</f>
        <v>Valid</v>
      </c>
      <c r="Q122" s="6"/>
      <c r="R122" s="11"/>
      <c r="S122" s="13">
        <f>IF(Data_PLT[[#This Row],[Test type]]="Diametral",Data_PLT[[#This Row],[Diameter (mm)]],IF(Data_PLT[[#This Row],[Test type]]="Axial",SQRT(4*Data_PLT[[#This Row],[Diameter (mm)]]*Data_PLT[[#This Row],[Length or width (mm)]]/PI()),"ERROR"))</f>
        <v>63.5</v>
      </c>
      <c r="T122" s="13">
        <f>(Data_PLT[[#This Row],[Load (kN)]]*1000)/Data_PLT[[#This Row],[Equiv. Diam. (mm)]]^2</f>
        <v>0</v>
      </c>
      <c r="U122" s="13">
        <f>(Data_PLT[[#This Row],[Equiv. Diam. (mm)]]/50)^0.45</f>
        <v>1.1135550054708407</v>
      </c>
      <c r="V122" s="13">
        <f>Data_PLT[[#This Row],[Is (MPa)]]*Data_PLT[[#This Row],[F]]</f>
        <v>0</v>
      </c>
      <c r="W122" s="13" t="str">
        <f>Data_PLT[[#This Row],[Failure Validity]]&amp;"-"&amp;Data_PLT[[#This Row],[Test type]]</f>
        <v>Valid-Diametral</v>
      </c>
      <c r="X122" s="13">
        <f>Data_PLT[[#This Row],[Is50 (MPa)]]*VLOOKUP("Min",Table_PLT_Conversion[],2,FALSE)</f>
        <v>0</v>
      </c>
      <c r="Y122" s="13">
        <f>Data_PLT[[#This Row],[Is50 (MPa)]]*VLOOKUP("Avg",Table_PLT_Conversion[],2,FALSE)</f>
        <v>0</v>
      </c>
      <c r="Z122" s="13">
        <f>Data_PLT[[#This Row],[Is50 (MPa)]]*VLOOKUP("Max",Table_PLT_Conversion[],2,FALSE)</f>
        <v>0</v>
      </c>
      <c r="AA122" s="62" t="e">
        <f>MATCH(LOOKUP(Data_PLT[[#This Row],[UCS min (MPa)]],Table_FieldStrength[Min UCS]),Table_FieldStrength[Min UCS],0)-1</f>
        <v>#N/A</v>
      </c>
      <c r="AB122" s="62" t="e">
        <f>MATCH(LOOKUP(Data_PLT[[#This Row],[UCS avg (MPa)]],Table_FieldStrength[Min UCS]),Table_FieldStrength[Min UCS],0)-1</f>
        <v>#N/A</v>
      </c>
      <c r="AC122" s="62" t="e">
        <f>MATCH(LOOKUP(Data_PLT[[#This Row],[UCS max (MPa)]],Table_FieldStrength[Min UCS]),Table_FieldStrength[Min UCS],0)-1</f>
        <v>#N/A</v>
      </c>
      <c r="AD122" s="68" t="e">
        <f>Data_PLT[[#This Row],[Test code]]&amp;"-"&amp;Data_PLT[[#This Row],[UCS min code]]</f>
        <v>#N/A</v>
      </c>
      <c r="AE122" s="68" t="e">
        <f>Data_PLT[[#This Row],[Test code]]&amp;"-"&amp;Data_PLT[[#This Row],[UCS avg code]]</f>
        <v>#N/A</v>
      </c>
      <c r="AF122" s="67" t="e">
        <f>Data_PLT[[#This Row],[Test code]]&amp;"-"&amp;Data_PLT[[#This Row],[UCS max code]]</f>
        <v>#N/A</v>
      </c>
      <c r="AG122" s="67" t="str">
        <f>Data_PLT[[#This Row],[Failure type]]&amp;"-"&amp;Data_PLT[[#This Row],[Test type]]&amp;"-"&amp;(IF(Data_PLT[[#This Row],[Is50 (MPa)]]&lt;1,1,IF(Data_PLT[[#This Row],[Is50 (MPa)]]&lt;2,2,IF(Data_PLT[[#This Row],[Is50 (MPa)]]&lt;4,3,IF(Data_PLT[[#This Row],[Is50 (MPa)]]&lt;8,4,5)))))</f>
        <v>Along bedding/foliation-Diametral-1</v>
      </c>
    </row>
    <row r="123" spans="1:33" x14ac:dyDescent="0.25">
      <c r="A123" t="s">
        <v>36</v>
      </c>
      <c r="B123" s="88" t="str">
        <f>VLOOKUP(Data_PLT[[#This Row],[Hole ID]],Data_Log[],2,FALSE)</f>
        <v>CGF-05</v>
      </c>
      <c r="C123" s="63">
        <f>IF(Data_PLT[[#This Row],[Hole ID]]="","",
IF(COUNTIF($A$4:A123,Data_PLT[[#This Row],[Hole ID]])=1,1,
IF(A123=A122,C122+1,
COUNTIF($A$4:A123,Data_PLT[[#This Row],[Hole ID]]))))</f>
        <v>6</v>
      </c>
      <c r="D123" s="63" t="str">
        <f>IF(Data_PLT[[#This Row],[Hole ID]]="","",Data_PLT[[#This Row],[Hole ID]]&amp;"_"&amp;Data_PLT[[#This Row],[Sample ID]])</f>
        <v>COG-25-12_6</v>
      </c>
      <c r="E123" s="6"/>
      <c r="F123" s="6">
        <v>55.21</v>
      </c>
      <c r="G123" s="63" t="str" cm="1">
        <f t="array" ref="G123">_xlfn.XLOOKUP(1,(A123=Geotech!$A$4:$A$11100)*(Data_PLT[[#This Row],[Depth (m)]]&gt;=Geotech!$C$4:$C$11100)*(Data_PLT[[#This Row],[Depth (m)]]&lt;Geotech!$D$4:$D$11100),Geotech!$M$4:$M$11100)</f>
        <v>Basalt</v>
      </c>
      <c r="H123" s="6" t="s">
        <v>299</v>
      </c>
      <c r="I123" s="63" t="str">
        <f>VLOOKUP(Data_PLT[[#This Row],[Hole ID]],Data_Log[[Hole ID]:[Core size]],20,FALSE)</f>
        <v>HQ</v>
      </c>
      <c r="J123" s="13">
        <f>VLOOKUP(Data_PLT[[#This Row],[Core Size]],Table_CoreSize[],2,FALSE)</f>
        <v>63.5</v>
      </c>
      <c r="K123" s="19">
        <v>130</v>
      </c>
      <c r="L123" s="19" t="s">
        <v>574</v>
      </c>
      <c r="M123" s="5">
        <v>100.6</v>
      </c>
      <c r="N123" s="5"/>
      <c r="O123" s="6" t="s">
        <v>334</v>
      </c>
      <c r="P123" s="13" t="str">
        <f>IF(Data_PLT[[#This Row],[Failure type]]="","",IF(OR(Data_PLT[[#This Row],[Failure type]]="Invalid",Data_PLT[[#This Row],[Failure type]]="Chipped",Data_PLT[[#This Row],[Failure type]]="Penetrate",Data_PLT[[#This Row],[Failure type]]="Did not break"),"Invalid","Valid"))</f>
        <v>Valid</v>
      </c>
      <c r="Q123" s="6"/>
      <c r="R123" s="11"/>
      <c r="S123" s="13">
        <f>IF(Data_PLT[[#This Row],[Test type]]="Diametral",Data_PLT[[#This Row],[Diameter (mm)]],IF(Data_PLT[[#This Row],[Test type]]="Axial",SQRT(4*Data_PLT[[#This Row],[Diameter (mm)]]*Data_PLT[[#This Row],[Length or width (mm)]]/PI()),"ERROR"))</f>
        <v>63.5</v>
      </c>
      <c r="T123" s="13">
        <f>(Data_PLT[[#This Row],[Load (kN)]]*1000)/Data_PLT[[#This Row],[Equiv. Diam. (mm)]]^2</f>
        <v>0</v>
      </c>
      <c r="U123" s="13">
        <f>(Data_PLT[[#This Row],[Equiv. Diam. (mm)]]/50)^0.45</f>
        <v>1.1135550054708407</v>
      </c>
      <c r="V123" s="13">
        <f>Data_PLT[[#This Row],[Is (MPa)]]*Data_PLT[[#This Row],[F]]</f>
        <v>0</v>
      </c>
      <c r="W123" s="13" t="str">
        <f>Data_PLT[[#This Row],[Failure Validity]]&amp;"-"&amp;Data_PLT[[#This Row],[Test type]]</f>
        <v>Valid-Diametral</v>
      </c>
      <c r="X123" s="13">
        <f>Data_PLT[[#This Row],[Is50 (MPa)]]*VLOOKUP("Min",Table_PLT_Conversion[],2,FALSE)</f>
        <v>0</v>
      </c>
      <c r="Y123" s="13">
        <f>Data_PLT[[#This Row],[Is50 (MPa)]]*VLOOKUP("Avg",Table_PLT_Conversion[],2,FALSE)</f>
        <v>0</v>
      </c>
      <c r="Z123" s="13">
        <f>Data_PLT[[#This Row],[Is50 (MPa)]]*VLOOKUP("Max",Table_PLT_Conversion[],2,FALSE)</f>
        <v>0</v>
      </c>
      <c r="AA123" s="62" t="e">
        <f>MATCH(LOOKUP(Data_PLT[[#This Row],[UCS min (MPa)]],Table_FieldStrength[Min UCS]),Table_FieldStrength[Min UCS],0)-1</f>
        <v>#N/A</v>
      </c>
      <c r="AB123" s="62" t="e">
        <f>MATCH(LOOKUP(Data_PLT[[#This Row],[UCS avg (MPa)]],Table_FieldStrength[Min UCS]),Table_FieldStrength[Min UCS],0)-1</f>
        <v>#N/A</v>
      </c>
      <c r="AC123" s="62" t="e">
        <f>MATCH(LOOKUP(Data_PLT[[#This Row],[UCS max (MPa)]],Table_FieldStrength[Min UCS]),Table_FieldStrength[Min UCS],0)-1</f>
        <v>#N/A</v>
      </c>
      <c r="AD123" s="68" t="e">
        <f>Data_PLT[[#This Row],[Test code]]&amp;"-"&amp;Data_PLT[[#This Row],[UCS min code]]</f>
        <v>#N/A</v>
      </c>
      <c r="AE123" s="68" t="e">
        <f>Data_PLT[[#This Row],[Test code]]&amp;"-"&amp;Data_PLT[[#This Row],[UCS avg code]]</f>
        <v>#N/A</v>
      </c>
      <c r="AF123" s="67" t="e">
        <f>Data_PLT[[#This Row],[Test code]]&amp;"-"&amp;Data_PLT[[#This Row],[UCS max code]]</f>
        <v>#N/A</v>
      </c>
      <c r="AG123" s="67" t="str">
        <f>Data_PLT[[#This Row],[Failure type]]&amp;"-"&amp;Data_PLT[[#This Row],[Test type]]&amp;"-"&amp;(IF(Data_PLT[[#This Row],[Is50 (MPa)]]&lt;1,1,IF(Data_PLT[[#This Row],[Is50 (MPa)]]&lt;2,2,IF(Data_PLT[[#This Row],[Is50 (MPa)]]&lt;4,3,IF(Data_PLT[[#This Row],[Is50 (MPa)]]&lt;8,4,5)))))</f>
        <v>Along bedding/foliation-Diametral-1</v>
      </c>
    </row>
    <row r="124" spans="1:33" x14ac:dyDescent="0.25">
      <c r="A124" t="s">
        <v>36</v>
      </c>
      <c r="B124" s="88" t="str">
        <f>VLOOKUP(Data_PLT[[#This Row],[Hole ID]],Data_Log[],2,FALSE)</f>
        <v>CGF-05</v>
      </c>
      <c r="C124" s="63">
        <f>IF(Data_PLT[[#This Row],[Hole ID]]="","",
IF(COUNTIF($A$4:A124,Data_PLT[[#This Row],[Hole ID]])=1,1,
IF(A124=A123,C123+1,
COUNTIF($A$4:A124,Data_PLT[[#This Row],[Hole ID]]))))</f>
        <v>7</v>
      </c>
      <c r="D124" s="63" t="str">
        <f>IF(Data_PLT[[#This Row],[Hole ID]]="","",Data_PLT[[#This Row],[Hole ID]]&amp;"_"&amp;Data_PLT[[#This Row],[Sample ID]])</f>
        <v>COG-25-12_7</v>
      </c>
      <c r="E124" s="6"/>
      <c r="F124" s="6">
        <v>58.2</v>
      </c>
      <c r="G124" s="63" t="str" cm="1">
        <f t="array" ref="G124">_xlfn.XLOOKUP(1,(A124=Geotech!$A$4:$A$11100)*(Data_PLT[[#This Row],[Depth (m)]]&gt;=Geotech!$C$4:$C$11100)*(Data_PLT[[#This Row],[Depth (m)]]&lt;Geotech!$D$4:$D$11100),Geotech!$M$4:$M$11100)</f>
        <v>Basalt</v>
      </c>
      <c r="H124" s="6" t="s">
        <v>299</v>
      </c>
      <c r="I124" s="63" t="str">
        <f>VLOOKUP(Data_PLT[[#This Row],[Hole ID]],Data_Log[[Hole ID]:[Core size]],20,FALSE)</f>
        <v>HQ</v>
      </c>
      <c r="J124" s="13">
        <f>VLOOKUP(Data_PLT[[#This Row],[Core Size]],Table_CoreSize[],2,FALSE)</f>
        <v>63.5</v>
      </c>
      <c r="K124" s="19">
        <v>100</v>
      </c>
      <c r="L124" s="19" t="s">
        <v>574</v>
      </c>
      <c r="M124" s="5">
        <v>99.4</v>
      </c>
      <c r="N124" s="5"/>
      <c r="O124" s="6" t="s">
        <v>334</v>
      </c>
      <c r="P124" s="13" t="str">
        <f>IF(Data_PLT[[#This Row],[Failure type]]="","",IF(OR(Data_PLT[[#This Row],[Failure type]]="Invalid",Data_PLT[[#This Row],[Failure type]]="Chipped",Data_PLT[[#This Row],[Failure type]]="Penetrate",Data_PLT[[#This Row],[Failure type]]="Did not break"),"Invalid","Valid"))</f>
        <v>Valid</v>
      </c>
      <c r="Q124" s="6"/>
      <c r="R124" s="11"/>
      <c r="S124" s="13">
        <f>IF(Data_PLT[[#This Row],[Test type]]="Diametral",Data_PLT[[#This Row],[Diameter (mm)]],IF(Data_PLT[[#This Row],[Test type]]="Axial",SQRT(4*Data_PLT[[#This Row],[Diameter (mm)]]*Data_PLT[[#This Row],[Length or width (mm)]]/PI()),"ERROR"))</f>
        <v>63.5</v>
      </c>
      <c r="T124" s="13">
        <f>(Data_PLT[[#This Row],[Load (kN)]]*1000)/Data_PLT[[#This Row],[Equiv. Diam. (mm)]]^2</f>
        <v>0</v>
      </c>
      <c r="U124" s="13">
        <f>(Data_PLT[[#This Row],[Equiv. Diam. (mm)]]/50)^0.45</f>
        <v>1.1135550054708407</v>
      </c>
      <c r="V124" s="13">
        <f>Data_PLT[[#This Row],[Is (MPa)]]*Data_PLT[[#This Row],[F]]</f>
        <v>0</v>
      </c>
      <c r="W124" s="13" t="str">
        <f>Data_PLT[[#This Row],[Failure Validity]]&amp;"-"&amp;Data_PLT[[#This Row],[Test type]]</f>
        <v>Valid-Diametral</v>
      </c>
      <c r="X124" s="13">
        <f>Data_PLT[[#This Row],[Is50 (MPa)]]*VLOOKUP("Min",Table_PLT_Conversion[],2,FALSE)</f>
        <v>0</v>
      </c>
      <c r="Y124" s="13">
        <f>Data_PLT[[#This Row],[Is50 (MPa)]]*VLOOKUP("Avg",Table_PLT_Conversion[],2,FALSE)</f>
        <v>0</v>
      </c>
      <c r="Z124" s="13">
        <f>Data_PLT[[#This Row],[Is50 (MPa)]]*VLOOKUP("Max",Table_PLT_Conversion[],2,FALSE)</f>
        <v>0</v>
      </c>
      <c r="AA124" s="62" t="e">
        <f>MATCH(LOOKUP(Data_PLT[[#This Row],[UCS min (MPa)]],Table_FieldStrength[Min UCS]),Table_FieldStrength[Min UCS],0)-1</f>
        <v>#N/A</v>
      </c>
      <c r="AB124" s="62" t="e">
        <f>MATCH(LOOKUP(Data_PLT[[#This Row],[UCS avg (MPa)]],Table_FieldStrength[Min UCS]),Table_FieldStrength[Min UCS],0)-1</f>
        <v>#N/A</v>
      </c>
      <c r="AC124" s="62" t="e">
        <f>MATCH(LOOKUP(Data_PLT[[#This Row],[UCS max (MPa)]],Table_FieldStrength[Min UCS]),Table_FieldStrength[Min UCS],0)-1</f>
        <v>#N/A</v>
      </c>
      <c r="AD124" s="68" t="e">
        <f>Data_PLT[[#This Row],[Test code]]&amp;"-"&amp;Data_PLT[[#This Row],[UCS min code]]</f>
        <v>#N/A</v>
      </c>
      <c r="AE124" s="68" t="e">
        <f>Data_PLT[[#This Row],[Test code]]&amp;"-"&amp;Data_PLT[[#This Row],[UCS avg code]]</f>
        <v>#N/A</v>
      </c>
      <c r="AF124" s="67" t="e">
        <f>Data_PLT[[#This Row],[Test code]]&amp;"-"&amp;Data_PLT[[#This Row],[UCS max code]]</f>
        <v>#N/A</v>
      </c>
      <c r="AG124" s="67" t="str">
        <f>Data_PLT[[#This Row],[Failure type]]&amp;"-"&amp;Data_PLT[[#This Row],[Test type]]&amp;"-"&amp;(IF(Data_PLT[[#This Row],[Is50 (MPa)]]&lt;1,1,IF(Data_PLT[[#This Row],[Is50 (MPa)]]&lt;2,2,IF(Data_PLT[[#This Row],[Is50 (MPa)]]&lt;4,3,IF(Data_PLT[[#This Row],[Is50 (MPa)]]&lt;8,4,5)))))</f>
        <v>Along bedding/foliation-Diametral-1</v>
      </c>
    </row>
    <row r="125" spans="1:33" x14ac:dyDescent="0.25">
      <c r="A125" t="s">
        <v>36</v>
      </c>
      <c r="B125" s="88" t="str">
        <f>VLOOKUP(Data_PLT[[#This Row],[Hole ID]],Data_Log[],2,FALSE)</f>
        <v>CGF-05</v>
      </c>
      <c r="C125" s="63">
        <f>IF(Data_PLT[[#This Row],[Hole ID]]="","",
IF(COUNTIF($A$4:A125,Data_PLT[[#This Row],[Hole ID]])=1,1,
IF(A125=A124,C124+1,
COUNTIF($A$4:A125,Data_PLT[[#This Row],[Hole ID]]))))</f>
        <v>8</v>
      </c>
      <c r="D125" s="63" t="str">
        <f>IF(Data_PLT[[#This Row],[Hole ID]]="","",Data_PLT[[#This Row],[Hole ID]]&amp;"_"&amp;Data_PLT[[#This Row],[Sample ID]])</f>
        <v>COG-25-12_8</v>
      </c>
      <c r="E125" s="6"/>
      <c r="F125" s="6">
        <v>61.54</v>
      </c>
      <c r="G125" s="63" t="str" cm="1">
        <f t="array" ref="G125">_xlfn.XLOOKUP(1,(A125=Geotech!$A$4:$A$11100)*(Data_PLT[[#This Row],[Depth (m)]]&gt;=Geotech!$C$4:$C$11100)*(Data_PLT[[#This Row],[Depth (m)]]&lt;Geotech!$D$4:$D$11100),Geotech!$M$4:$M$11100)</f>
        <v>Basalt</v>
      </c>
      <c r="H125" s="6" t="s">
        <v>299</v>
      </c>
      <c r="I125" s="63" t="str">
        <f>VLOOKUP(Data_PLT[[#This Row],[Hole ID]],Data_Log[[Hole ID]:[Core size]],20,FALSE)</f>
        <v>HQ</v>
      </c>
      <c r="J125" s="13">
        <f>VLOOKUP(Data_PLT[[#This Row],[Core Size]],Table_CoreSize[],2,FALSE)</f>
        <v>63.5</v>
      </c>
      <c r="K125" s="19">
        <v>140</v>
      </c>
      <c r="L125" s="19" t="s">
        <v>574</v>
      </c>
      <c r="M125" s="5">
        <v>77.599999999999994</v>
      </c>
      <c r="N125" s="5"/>
      <c r="O125" s="7" t="s">
        <v>334</v>
      </c>
      <c r="P125" s="13" t="str">
        <f>IF(Data_PLT[[#This Row],[Failure type]]="","",IF(OR(Data_PLT[[#This Row],[Failure type]]="Invalid",Data_PLT[[#This Row],[Failure type]]="Chipped",Data_PLT[[#This Row],[Failure type]]="Penetrate",Data_PLT[[#This Row],[Failure type]]="Did not break"),"Invalid","Valid"))</f>
        <v>Valid</v>
      </c>
      <c r="Q125" s="6"/>
      <c r="R125" s="11"/>
      <c r="S125" s="13">
        <f>IF(Data_PLT[[#This Row],[Test type]]="Diametral",Data_PLT[[#This Row],[Diameter (mm)]],IF(Data_PLT[[#This Row],[Test type]]="Axial",SQRT(4*Data_PLT[[#This Row],[Diameter (mm)]]*Data_PLT[[#This Row],[Length or width (mm)]]/PI()),"ERROR"))</f>
        <v>63.5</v>
      </c>
      <c r="T125" s="13">
        <f>(Data_PLT[[#This Row],[Load (kN)]]*1000)/Data_PLT[[#This Row],[Equiv. Diam. (mm)]]^2</f>
        <v>0</v>
      </c>
      <c r="U125" s="13">
        <f>(Data_PLT[[#This Row],[Equiv. Diam. (mm)]]/50)^0.45</f>
        <v>1.1135550054708407</v>
      </c>
      <c r="V125" s="13">
        <f>Data_PLT[[#This Row],[Is (MPa)]]*Data_PLT[[#This Row],[F]]</f>
        <v>0</v>
      </c>
      <c r="W125" s="13" t="str">
        <f>Data_PLT[[#This Row],[Failure Validity]]&amp;"-"&amp;Data_PLT[[#This Row],[Test type]]</f>
        <v>Valid-Diametral</v>
      </c>
      <c r="X125" s="13">
        <f>Data_PLT[[#This Row],[Is50 (MPa)]]*VLOOKUP("Min",Table_PLT_Conversion[],2,FALSE)</f>
        <v>0</v>
      </c>
      <c r="Y125" s="13">
        <f>Data_PLT[[#This Row],[Is50 (MPa)]]*VLOOKUP("Avg",Table_PLT_Conversion[],2,FALSE)</f>
        <v>0</v>
      </c>
      <c r="Z125" s="13">
        <f>Data_PLT[[#This Row],[Is50 (MPa)]]*VLOOKUP("Max",Table_PLT_Conversion[],2,FALSE)</f>
        <v>0</v>
      </c>
      <c r="AA125" s="62" t="e">
        <f>MATCH(LOOKUP(Data_PLT[[#This Row],[UCS min (MPa)]],Table_FieldStrength[Min UCS]),Table_FieldStrength[Min UCS],0)-1</f>
        <v>#N/A</v>
      </c>
      <c r="AB125" s="62" t="e">
        <f>MATCH(LOOKUP(Data_PLT[[#This Row],[UCS avg (MPa)]],Table_FieldStrength[Min UCS]),Table_FieldStrength[Min UCS],0)-1</f>
        <v>#N/A</v>
      </c>
      <c r="AC125" s="62" t="e">
        <f>MATCH(LOOKUP(Data_PLT[[#This Row],[UCS max (MPa)]],Table_FieldStrength[Min UCS]),Table_FieldStrength[Min UCS],0)-1</f>
        <v>#N/A</v>
      </c>
      <c r="AD125" s="68" t="e">
        <f>Data_PLT[[#This Row],[Test code]]&amp;"-"&amp;Data_PLT[[#This Row],[UCS min code]]</f>
        <v>#N/A</v>
      </c>
      <c r="AE125" s="68" t="e">
        <f>Data_PLT[[#This Row],[Test code]]&amp;"-"&amp;Data_PLT[[#This Row],[UCS avg code]]</f>
        <v>#N/A</v>
      </c>
      <c r="AF125" s="67" t="e">
        <f>Data_PLT[[#This Row],[Test code]]&amp;"-"&amp;Data_PLT[[#This Row],[UCS max code]]</f>
        <v>#N/A</v>
      </c>
      <c r="AG125" s="67" t="str">
        <f>Data_PLT[[#This Row],[Failure type]]&amp;"-"&amp;Data_PLT[[#This Row],[Test type]]&amp;"-"&amp;(IF(Data_PLT[[#This Row],[Is50 (MPa)]]&lt;1,1,IF(Data_PLT[[#This Row],[Is50 (MPa)]]&lt;2,2,IF(Data_PLT[[#This Row],[Is50 (MPa)]]&lt;4,3,IF(Data_PLT[[#This Row],[Is50 (MPa)]]&lt;8,4,5)))))</f>
        <v>Along bedding/foliation-Diametral-1</v>
      </c>
    </row>
    <row r="126" spans="1:33" x14ac:dyDescent="0.25">
      <c r="A126" t="s">
        <v>36</v>
      </c>
      <c r="B126" s="88" t="str">
        <f>VLOOKUP(Data_PLT[[#This Row],[Hole ID]],Data_Log[],2,FALSE)</f>
        <v>CGF-05</v>
      </c>
      <c r="C126" s="63">
        <f>IF(Data_PLT[[#This Row],[Hole ID]]="","",
IF(COUNTIF($A$4:A126,Data_PLT[[#This Row],[Hole ID]])=1,1,
IF(A126=A125,C125+1,
COUNTIF($A$4:A126,Data_PLT[[#This Row],[Hole ID]]))))</f>
        <v>9</v>
      </c>
      <c r="D126" s="63" t="str">
        <f>IF(Data_PLT[[#This Row],[Hole ID]]="","",Data_PLT[[#This Row],[Hole ID]]&amp;"_"&amp;Data_PLT[[#This Row],[Sample ID]])</f>
        <v>COG-25-12_9</v>
      </c>
      <c r="E126" s="6"/>
      <c r="F126" s="6">
        <v>65.25</v>
      </c>
      <c r="G126" s="63" t="str" cm="1">
        <f t="array" ref="G126">_xlfn.XLOOKUP(1,(A126=Geotech!$A$4:$A$11100)*(Data_PLT[[#This Row],[Depth (m)]]&gt;=Geotech!$C$4:$C$11100)*(Data_PLT[[#This Row],[Depth (m)]]&lt;Geotech!$D$4:$D$11100),Geotech!$M$4:$M$11100)</f>
        <v>Basalt</v>
      </c>
      <c r="H126" s="6" t="s">
        <v>299</v>
      </c>
      <c r="I126" s="63" t="str">
        <f>VLOOKUP(Data_PLT[[#This Row],[Hole ID]],Data_Log[[Hole ID]:[Core size]],20,FALSE)</f>
        <v>HQ</v>
      </c>
      <c r="J126" s="13">
        <f>VLOOKUP(Data_PLT[[#This Row],[Core Size]],Table_CoreSize[],2,FALSE)</f>
        <v>63.5</v>
      </c>
      <c r="K126" s="19">
        <v>150</v>
      </c>
      <c r="L126" s="19" t="s">
        <v>574</v>
      </c>
      <c r="M126" s="5">
        <v>268.39999999999998</v>
      </c>
      <c r="N126" s="5"/>
      <c r="O126" s="6" t="s">
        <v>334</v>
      </c>
      <c r="P126" s="13" t="str">
        <f>IF(Data_PLT[[#This Row],[Failure type]]="","",IF(OR(Data_PLT[[#This Row],[Failure type]]="Invalid",Data_PLT[[#This Row],[Failure type]]="Chipped",Data_PLT[[#This Row],[Failure type]]="Penetrate",Data_PLT[[#This Row],[Failure type]]="Did not break"),"Invalid","Valid"))</f>
        <v>Valid</v>
      </c>
      <c r="Q126" s="6"/>
      <c r="R126" s="11"/>
      <c r="S126" s="13">
        <f>IF(Data_PLT[[#This Row],[Test type]]="Diametral",Data_PLT[[#This Row],[Diameter (mm)]],IF(Data_PLT[[#This Row],[Test type]]="Axial",SQRT(4*Data_PLT[[#This Row],[Diameter (mm)]]*Data_PLT[[#This Row],[Length or width (mm)]]/PI()),"ERROR"))</f>
        <v>63.5</v>
      </c>
      <c r="T126" s="13">
        <f>(Data_PLT[[#This Row],[Load (kN)]]*1000)/Data_PLT[[#This Row],[Equiv. Diam. (mm)]]^2</f>
        <v>0</v>
      </c>
      <c r="U126" s="13">
        <f>(Data_PLT[[#This Row],[Equiv. Diam. (mm)]]/50)^0.45</f>
        <v>1.1135550054708407</v>
      </c>
      <c r="V126" s="13">
        <f>Data_PLT[[#This Row],[Is (MPa)]]*Data_PLT[[#This Row],[F]]</f>
        <v>0</v>
      </c>
      <c r="W126" s="13" t="str">
        <f>Data_PLT[[#This Row],[Failure Validity]]&amp;"-"&amp;Data_PLT[[#This Row],[Test type]]</f>
        <v>Valid-Diametral</v>
      </c>
      <c r="X126" s="13">
        <f>Data_PLT[[#This Row],[Is50 (MPa)]]*VLOOKUP("Min",Table_PLT_Conversion[],2,FALSE)</f>
        <v>0</v>
      </c>
      <c r="Y126" s="13">
        <f>Data_PLT[[#This Row],[Is50 (MPa)]]*VLOOKUP("Avg",Table_PLT_Conversion[],2,FALSE)</f>
        <v>0</v>
      </c>
      <c r="Z126" s="13">
        <f>Data_PLT[[#This Row],[Is50 (MPa)]]*VLOOKUP("Max",Table_PLT_Conversion[],2,FALSE)</f>
        <v>0</v>
      </c>
      <c r="AA126" s="62" t="e">
        <f>MATCH(LOOKUP(Data_PLT[[#This Row],[UCS min (MPa)]],Table_FieldStrength[Min UCS]),Table_FieldStrength[Min UCS],0)-1</f>
        <v>#N/A</v>
      </c>
      <c r="AB126" s="62" t="e">
        <f>MATCH(LOOKUP(Data_PLT[[#This Row],[UCS avg (MPa)]],Table_FieldStrength[Min UCS]),Table_FieldStrength[Min UCS],0)-1</f>
        <v>#N/A</v>
      </c>
      <c r="AC126" s="62" t="e">
        <f>MATCH(LOOKUP(Data_PLT[[#This Row],[UCS max (MPa)]],Table_FieldStrength[Min UCS]),Table_FieldStrength[Min UCS],0)-1</f>
        <v>#N/A</v>
      </c>
      <c r="AD126" s="68" t="e">
        <f>Data_PLT[[#This Row],[Test code]]&amp;"-"&amp;Data_PLT[[#This Row],[UCS min code]]</f>
        <v>#N/A</v>
      </c>
      <c r="AE126" s="68" t="e">
        <f>Data_PLT[[#This Row],[Test code]]&amp;"-"&amp;Data_PLT[[#This Row],[UCS avg code]]</f>
        <v>#N/A</v>
      </c>
      <c r="AF126" s="67" t="e">
        <f>Data_PLT[[#This Row],[Test code]]&amp;"-"&amp;Data_PLT[[#This Row],[UCS max code]]</f>
        <v>#N/A</v>
      </c>
      <c r="AG126" s="67" t="str">
        <f>Data_PLT[[#This Row],[Failure type]]&amp;"-"&amp;Data_PLT[[#This Row],[Test type]]&amp;"-"&amp;(IF(Data_PLT[[#This Row],[Is50 (MPa)]]&lt;1,1,IF(Data_PLT[[#This Row],[Is50 (MPa)]]&lt;2,2,IF(Data_PLT[[#This Row],[Is50 (MPa)]]&lt;4,3,IF(Data_PLT[[#This Row],[Is50 (MPa)]]&lt;8,4,5)))))</f>
        <v>Along bedding/foliation-Diametral-1</v>
      </c>
    </row>
    <row r="127" spans="1:33" x14ac:dyDescent="0.25">
      <c r="A127" t="s">
        <v>36</v>
      </c>
      <c r="B127" s="88" t="str">
        <f>VLOOKUP(Data_PLT[[#This Row],[Hole ID]],Data_Log[],2,FALSE)</f>
        <v>CGF-05</v>
      </c>
      <c r="C127" s="63">
        <f>IF(Data_PLT[[#This Row],[Hole ID]]="","",
IF(COUNTIF($A$4:A127,Data_PLT[[#This Row],[Hole ID]])=1,1,
IF(A127=A126,C126+1,
COUNTIF($A$4:A127,Data_PLT[[#This Row],[Hole ID]]))))</f>
        <v>10</v>
      </c>
      <c r="D127" s="63" t="str">
        <f>IF(Data_PLT[[#This Row],[Hole ID]]="","",Data_PLT[[#This Row],[Hole ID]]&amp;"_"&amp;Data_PLT[[#This Row],[Sample ID]])</f>
        <v>COG-25-12_10</v>
      </c>
      <c r="E127" s="6"/>
      <c r="F127" s="6">
        <v>67.33</v>
      </c>
      <c r="G127" s="63" t="str" cm="1">
        <f t="array" ref="G127">_xlfn.XLOOKUP(1,(A127=Geotech!$A$4:$A$11100)*(Data_PLT[[#This Row],[Depth (m)]]&gt;=Geotech!$C$4:$C$11100)*(Data_PLT[[#This Row],[Depth (m)]]&lt;Geotech!$D$4:$D$11100),Geotech!$M$4:$M$11100)</f>
        <v>Basalt</v>
      </c>
      <c r="H127" s="6" t="s">
        <v>299</v>
      </c>
      <c r="I127" s="63" t="str">
        <f>VLOOKUP(Data_PLT[[#This Row],[Hole ID]],Data_Log[[Hole ID]:[Core size]],20,FALSE)</f>
        <v>HQ</v>
      </c>
      <c r="J127" s="13">
        <f>VLOOKUP(Data_PLT[[#This Row],[Core Size]],Table_CoreSize[],2,FALSE)</f>
        <v>63.5</v>
      </c>
      <c r="K127" s="19">
        <v>145</v>
      </c>
      <c r="L127" s="19" t="s">
        <v>574</v>
      </c>
      <c r="M127" s="5">
        <v>135.6</v>
      </c>
      <c r="N127" s="5"/>
      <c r="O127" s="7" t="s">
        <v>163</v>
      </c>
      <c r="P127" s="13" t="str">
        <f>IF(Data_PLT[[#This Row],[Failure type]]="","",IF(OR(Data_PLT[[#This Row],[Failure type]]="Invalid",Data_PLT[[#This Row],[Failure type]]="Chipped",Data_PLT[[#This Row],[Failure type]]="Penetrate",Data_PLT[[#This Row],[Failure type]]="Did not break"),"Invalid","Valid"))</f>
        <v>Valid</v>
      </c>
      <c r="Q127" s="6"/>
      <c r="R127" s="11"/>
      <c r="S127" s="13">
        <f>IF(Data_PLT[[#This Row],[Test type]]="Diametral",Data_PLT[[#This Row],[Diameter (mm)]],IF(Data_PLT[[#This Row],[Test type]]="Axial",SQRT(4*Data_PLT[[#This Row],[Diameter (mm)]]*Data_PLT[[#This Row],[Length or width (mm)]]/PI()),"ERROR"))</f>
        <v>63.5</v>
      </c>
      <c r="T127" s="13">
        <f>(Data_PLT[[#This Row],[Load (kN)]]*1000)/Data_PLT[[#This Row],[Equiv. Diam. (mm)]]^2</f>
        <v>0</v>
      </c>
      <c r="U127" s="13">
        <f>(Data_PLT[[#This Row],[Equiv. Diam. (mm)]]/50)^0.45</f>
        <v>1.1135550054708407</v>
      </c>
      <c r="V127" s="13">
        <f>Data_PLT[[#This Row],[Is (MPa)]]*Data_PLT[[#This Row],[F]]</f>
        <v>0</v>
      </c>
      <c r="W127" s="13" t="str">
        <f>Data_PLT[[#This Row],[Failure Validity]]&amp;"-"&amp;Data_PLT[[#This Row],[Test type]]</f>
        <v>Valid-Diametral</v>
      </c>
      <c r="X127" s="13">
        <f>Data_PLT[[#This Row],[Is50 (MPa)]]*VLOOKUP("Min",Table_PLT_Conversion[],2,FALSE)</f>
        <v>0</v>
      </c>
      <c r="Y127" s="13">
        <f>Data_PLT[[#This Row],[Is50 (MPa)]]*VLOOKUP("Avg",Table_PLT_Conversion[],2,FALSE)</f>
        <v>0</v>
      </c>
      <c r="Z127" s="13">
        <f>Data_PLT[[#This Row],[Is50 (MPa)]]*VLOOKUP("Max",Table_PLT_Conversion[],2,FALSE)</f>
        <v>0</v>
      </c>
      <c r="AA127" s="62" t="e">
        <f>MATCH(LOOKUP(Data_PLT[[#This Row],[UCS min (MPa)]],Table_FieldStrength[Min UCS]),Table_FieldStrength[Min UCS],0)-1</f>
        <v>#N/A</v>
      </c>
      <c r="AB127" s="62" t="e">
        <f>MATCH(LOOKUP(Data_PLT[[#This Row],[UCS avg (MPa)]],Table_FieldStrength[Min UCS]),Table_FieldStrength[Min UCS],0)-1</f>
        <v>#N/A</v>
      </c>
      <c r="AC127" s="62" t="e">
        <f>MATCH(LOOKUP(Data_PLT[[#This Row],[UCS max (MPa)]],Table_FieldStrength[Min UCS]),Table_FieldStrength[Min UCS],0)-1</f>
        <v>#N/A</v>
      </c>
      <c r="AD127" s="68" t="e">
        <f>Data_PLT[[#This Row],[Test code]]&amp;"-"&amp;Data_PLT[[#This Row],[UCS min code]]</f>
        <v>#N/A</v>
      </c>
      <c r="AE127" s="68" t="e">
        <f>Data_PLT[[#This Row],[Test code]]&amp;"-"&amp;Data_PLT[[#This Row],[UCS avg code]]</f>
        <v>#N/A</v>
      </c>
      <c r="AF127" s="67" t="e">
        <f>Data_PLT[[#This Row],[Test code]]&amp;"-"&amp;Data_PLT[[#This Row],[UCS max code]]</f>
        <v>#N/A</v>
      </c>
      <c r="AG127" s="67" t="str">
        <f>Data_PLT[[#This Row],[Failure type]]&amp;"-"&amp;Data_PLT[[#This Row],[Test type]]&amp;"-"&amp;(IF(Data_PLT[[#This Row],[Is50 (MPa)]]&lt;1,1,IF(Data_PLT[[#This Row],[Is50 (MPa)]]&lt;2,2,IF(Data_PLT[[#This Row],[Is50 (MPa)]]&lt;4,3,IF(Data_PLT[[#This Row],[Is50 (MPa)]]&lt;8,4,5)))))</f>
        <v>Broke along MD-Diametral-1</v>
      </c>
    </row>
    <row r="128" spans="1:33" x14ac:dyDescent="0.25">
      <c r="A128" t="s">
        <v>36</v>
      </c>
      <c r="B128" s="88" t="str">
        <f>VLOOKUP(Data_PLT[[#This Row],[Hole ID]],Data_Log[],2,FALSE)</f>
        <v>CGF-05</v>
      </c>
      <c r="C128" s="63">
        <f>IF(Data_PLT[[#This Row],[Hole ID]]="","",
IF(COUNTIF($A$4:A128,Data_PLT[[#This Row],[Hole ID]])=1,1,
IF(A128=A127,C127+1,
COUNTIF($A$4:A128,Data_PLT[[#This Row],[Hole ID]]))))</f>
        <v>11</v>
      </c>
      <c r="D128" s="63" t="str">
        <f>IF(Data_PLT[[#This Row],[Hole ID]]="","",Data_PLT[[#This Row],[Hole ID]]&amp;"_"&amp;Data_PLT[[#This Row],[Sample ID]])</f>
        <v>COG-25-12_11</v>
      </c>
      <c r="E128" s="6"/>
      <c r="F128" s="6">
        <v>70.05</v>
      </c>
      <c r="G128" s="63" t="str" cm="1">
        <f t="array" ref="G128">_xlfn.XLOOKUP(1,(A128=Geotech!$A$4:$A$11100)*(Data_PLT[[#This Row],[Depth (m)]]&gt;=Geotech!$C$4:$C$11100)*(Data_PLT[[#This Row],[Depth (m)]]&lt;Geotech!$D$4:$D$11100),Geotech!$M$4:$M$11100)</f>
        <v>Basalt</v>
      </c>
      <c r="H128" s="6" t="s">
        <v>299</v>
      </c>
      <c r="I128" s="63" t="str">
        <f>VLOOKUP(Data_PLT[[#This Row],[Hole ID]],Data_Log[[Hole ID]:[Core size]],20,FALSE)</f>
        <v>HQ</v>
      </c>
      <c r="J128" s="13">
        <f>VLOOKUP(Data_PLT[[#This Row],[Core Size]],Table_CoreSize[],2,FALSE)</f>
        <v>63.5</v>
      </c>
      <c r="K128" s="19">
        <v>120</v>
      </c>
      <c r="L128" s="19" t="s">
        <v>574</v>
      </c>
      <c r="M128" s="5">
        <v>61.6</v>
      </c>
      <c r="N128" s="5"/>
      <c r="O128" s="6" t="s">
        <v>163</v>
      </c>
      <c r="P128" s="13" t="str">
        <f>IF(Data_PLT[[#This Row],[Failure type]]="","",IF(OR(Data_PLT[[#This Row],[Failure type]]="Invalid",Data_PLT[[#This Row],[Failure type]]="Chipped",Data_PLT[[#This Row],[Failure type]]="Penetrate",Data_PLT[[#This Row],[Failure type]]="Did not break"),"Invalid","Valid"))</f>
        <v>Valid</v>
      </c>
      <c r="Q128" s="6"/>
      <c r="R128" s="11"/>
      <c r="S128" s="13">
        <f>IF(Data_PLT[[#This Row],[Test type]]="Diametral",Data_PLT[[#This Row],[Diameter (mm)]],IF(Data_PLT[[#This Row],[Test type]]="Axial",SQRT(4*Data_PLT[[#This Row],[Diameter (mm)]]*Data_PLT[[#This Row],[Length or width (mm)]]/PI()),"ERROR"))</f>
        <v>63.5</v>
      </c>
      <c r="T128" s="13">
        <f>(Data_PLT[[#This Row],[Load (kN)]]*1000)/Data_PLT[[#This Row],[Equiv. Diam. (mm)]]^2</f>
        <v>0</v>
      </c>
      <c r="U128" s="13">
        <f>(Data_PLT[[#This Row],[Equiv. Diam. (mm)]]/50)^0.45</f>
        <v>1.1135550054708407</v>
      </c>
      <c r="V128" s="13">
        <f>Data_PLT[[#This Row],[Is (MPa)]]*Data_PLT[[#This Row],[F]]</f>
        <v>0</v>
      </c>
      <c r="W128" s="13" t="str">
        <f>Data_PLT[[#This Row],[Failure Validity]]&amp;"-"&amp;Data_PLT[[#This Row],[Test type]]</f>
        <v>Valid-Diametral</v>
      </c>
      <c r="X128" s="13">
        <f>Data_PLT[[#This Row],[Is50 (MPa)]]*VLOOKUP("Min",Table_PLT_Conversion[],2,FALSE)</f>
        <v>0</v>
      </c>
      <c r="Y128" s="13">
        <f>Data_PLT[[#This Row],[Is50 (MPa)]]*VLOOKUP("Avg",Table_PLT_Conversion[],2,FALSE)</f>
        <v>0</v>
      </c>
      <c r="Z128" s="13">
        <f>Data_PLT[[#This Row],[Is50 (MPa)]]*VLOOKUP("Max",Table_PLT_Conversion[],2,FALSE)</f>
        <v>0</v>
      </c>
      <c r="AA128" s="62" t="e">
        <f>MATCH(LOOKUP(Data_PLT[[#This Row],[UCS min (MPa)]],Table_FieldStrength[Min UCS]),Table_FieldStrength[Min UCS],0)-1</f>
        <v>#N/A</v>
      </c>
      <c r="AB128" s="62" t="e">
        <f>MATCH(LOOKUP(Data_PLT[[#This Row],[UCS avg (MPa)]],Table_FieldStrength[Min UCS]),Table_FieldStrength[Min UCS],0)-1</f>
        <v>#N/A</v>
      </c>
      <c r="AC128" s="62" t="e">
        <f>MATCH(LOOKUP(Data_PLT[[#This Row],[UCS max (MPa)]],Table_FieldStrength[Min UCS]),Table_FieldStrength[Min UCS],0)-1</f>
        <v>#N/A</v>
      </c>
      <c r="AD128" s="68" t="e">
        <f>Data_PLT[[#This Row],[Test code]]&amp;"-"&amp;Data_PLT[[#This Row],[UCS min code]]</f>
        <v>#N/A</v>
      </c>
      <c r="AE128" s="68" t="e">
        <f>Data_PLT[[#This Row],[Test code]]&amp;"-"&amp;Data_PLT[[#This Row],[UCS avg code]]</f>
        <v>#N/A</v>
      </c>
      <c r="AF128" s="67" t="e">
        <f>Data_PLT[[#This Row],[Test code]]&amp;"-"&amp;Data_PLT[[#This Row],[UCS max code]]</f>
        <v>#N/A</v>
      </c>
      <c r="AG128" s="67" t="str">
        <f>Data_PLT[[#This Row],[Failure type]]&amp;"-"&amp;Data_PLT[[#This Row],[Test type]]&amp;"-"&amp;(IF(Data_PLT[[#This Row],[Is50 (MPa)]]&lt;1,1,IF(Data_PLT[[#This Row],[Is50 (MPa)]]&lt;2,2,IF(Data_PLT[[#This Row],[Is50 (MPa)]]&lt;4,3,IF(Data_PLT[[#This Row],[Is50 (MPa)]]&lt;8,4,5)))))</f>
        <v>Broke along MD-Diametral-1</v>
      </c>
    </row>
    <row r="129" spans="1:33" x14ac:dyDescent="0.25">
      <c r="A129" t="s">
        <v>36</v>
      </c>
      <c r="B129" s="88" t="str">
        <f>VLOOKUP(Data_PLT[[#This Row],[Hole ID]],Data_Log[],2,FALSE)</f>
        <v>CGF-05</v>
      </c>
      <c r="C129" s="63">
        <f>IF(Data_PLT[[#This Row],[Hole ID]]="","",
IF(COUNTIF($A$4:A129,Data_PLT[[#This Row],[Hole ID]])=1,1,
IF(A129=A128,C128+1,
COUNTIF($A$4:A129,Data_PLT[[#This Row],[Hole ID]]))))</f>
        <v>12</v>
      </c>
      <c r="D129" s="63" t="str">
        <f>IF(Data_PLT[[#This Row],[Hole ID]]="","",Data_PLT[[#This Row],[Hole ID]]&amp;"_"&amp;Data_PLT[[#This Row],[Sample ID]])</f>
        <v>COG-25-12_12</v>
      </c>
      <c r="E129" s="6"/>
      <c r="F129" s="6">
        <v>70.349999999999994</v>
      </c>
      <c r="G129" s="63" t="str" cm="1">
        <f t="array" ref="G129">_xlfn.XLOOKUP(1,(A129=Geotech!$A$4:$A$11100)*(Data_PLT[[#This Row],[Depth (m)]]&gt;=Geotech!$C$4:$C$11100)*(Data_PLT[[#This Row],[Depth (m)]]&lt;Geotech!$D$4:$D$11100),Geotech!$M$4:$M$11100)</f>
        <v>Felsic Dyke MAS</v>
      </c>
      <c r="H129" s="6" t="s">
        <v>299</v>
      </c>
      <c r="I129" s="63" t="str">
        <f>VLOOKUP(Data_PLT[[#This Row],[Hole ID]],Data_Log[[Hole ID]:[Core size]],20,FALSE)</f>
        <v>HQ</v>
      </c>
      <c r="J129" s="13">
        <f>VLOOKUP(Data_PLT[[#This Row],[Core Size]],Table_CoreSize[],2,FALSE)</f>
        <v>63.5</v>
      </c>
      <c r="K129" s="19">
        <v>155</v>
      </c>
      <c r="L129" s="19" t="s">
        <v>574</v>
      </c>
      <c r="M129" s="5">
        <v>85.8</v>
      </c>
      <c r="N129" s="5"/>
      <c r="O129" s="6" t="s">
        <v>163</v>
      </c>
      <c r="P129" s="13" t="str">
        <f>IF(Data_PLT[[#This Row],[Failure type]]="","",IF(OR(Data_PLT[[#This Row],[Failure type]]="Invalid",Data_PLT[[#This Row],[Failure type]]="Chipped",Data_PLT[[#This Row],[Failure type]]="Penetrate",Data_PLT[[#This Row],[Failure type]]="Did not break"),"Invalid","Valid"))</f>
        <v>Valid</v>
      </c>
      <c r="Q129" s="6"/>
      <c r="R129" s="11"/>
      <c r="S129" s="13">
        <f>IF(Data_PLT[[#This Row],[Test type]]="Diametral",Data_PLT[[#This Row],[Diameter (mm)]],IF(Data_PLT[[#This Row],[Test type]]="Axial",SQRT(4*Data_PLT[[#This Row],[Diameter (mm)]]*Data_PLT[[#This Row],[Length or width (mm)]]/PI()),"ERROR"))</f>
        <v>63.5</v>
      </c>
      <c r="T129" s="13">
        <f>(Data_PLT[[#This Row],[Load (kN)]]*1000)/Data_PLT[[#This Row],[Equiv. Diam. (mm)]]^2</f>
        <v>0</v>
      </c>
      <c r="U129" s="13">
        <f>(Data_PLT[[#This Row],[Equiv. Diam. (mm)]]/50)^0.45</f>
        <v>1.1135550054708407</v>
      </c>
      <c r="V129" s="13">
        <f>Data_PLT[[#This Row],[Is (MPa)]]*Data_PLT[[#This Row],[F]]</f>
        <v>0</v>
      </c>
      <c r="W129" s="13" t="str">
        <f>Data_PLT[[#This Row],[Failure Validity]]&amp;"-"&amp;Data_PLT[[#This Row],[Test type]]</f>
        <v>Valid-Diametral</v>
      </c>
      <c r="X129" s="13">
        <f>Data_PLT[[#This Row],[Is50 (MPa)]]*VLOOKUP("Min",Table_PLT_Conversion[],2,FALSE)</f>
        <v>0</v>
      </c>
      <c r="Y129" s="13">
        <f>Data_PLT[[#This Row],[Is50 (MPa)]]*VLOOKUP("Avg",Table_PLT_Conversion[],2,FALSE)</f>
        <v>0</v>
      </c>
      <c r="Z129" s="13">
        <f>Data_PLT[[#This Row],[Is50 (MPa)]]*VLOOKUP("Max",Table_PLT_Conversion[],2,FALSE)</f>
        <v>0</v>
      </c>
      <c r="AA129" s="62" t="e">
        <f>MATCH(LOOKUP(Data_PLT[[#This Row],[UCS min (MPa)]],Table_FieldStrength[Min UCS]),Table_FieldStrength[Min UCS],0)-1</f>
        <v>#N/A</v>
      </c>
      <c r="AB129" s="62" t="e">
        <f>MATCH(LOOKUP(Data_PLT[[#This Row],[UCS avg (MPa)]],Table_FieldStrength[Min UCS]),Table_FieldStrength[Min UCS],0)-1</f>
        <v>#N/A</v>
      </c>
      <c r="AC129" s="62" t="e">
        <f>MATCH(LOOKUP(Data_PLT[[#This Row],[UCS max (MPa)]],Table_FieldStrength[Min UCS]),Table_FieldStrength[Min UCS],0)-1</f>
        <v>#N/A</v>
      </c>
      <c r="AD129" s="68" t="e">
        <f>Data_PLT[[#This Row],[Test code]]&amp;"-"&amp;Data_PLT[[#This Row],[UCS min code]]</f>
        <v>#N/A</v>
      </c>
      <c r="AE129" s="68" t="e">
        <f>Data_PLT[[#This Row],[Test code]]&amp;"-"&amp;Data_PLT[[#This Row],[UCS avg code]]</f>
        <v>#N/A</v>
      </c>
      <c r="AF129" s="67" t="e">
        <f>Data_PLT[[#This Row],[Test code]]&amp;"-"&amp;Data_PLT[[#This Row],[UCS max code]]</f>
        <v>#N/A</v>
      </c>
      <c r="AG129" s="67" t="str">
        <f>Data_PLT[[#This Row],[Failure type]]&amp;"-"&amp;Data_PLT[[#This Row],[Test type]]&amp;"-"&amp;(IF(Data_PLT[[#This Row],[Is50 (MPa)]]&lt;1,1,IF(Data_PLT[[#This Row],[Is50 (MPa)]]&lt;2,2,IF(Data_PLT[[#This Row],[Is50 (MPa)]]&lt;4,3,IF(Data_PLT[[#This Row],[Is50 (MPa)]]&lt;8,4,5)))))</f>
        <v>Broke along MD-Diametral-1</v>
      </c>
    </row>
    <row r="130" spans="1:33" x14ac:dyDescent="0.25">
      <c r="A130" t="s">
        <v>36</v>
      </c>
      <c r="B130" s="88" t="str">
        <f>VLOOKUP(Data_PLT[[#This Row],[Hole ID]],Data_Log[],2,FALSE)</f>
        <v>CGF-05</v>
      </c>
      <c r="C130" s="63">
        <f>IF(Data_PLT[[#This Row],[Hole ID]]="","",
IF(COUNTIF($A$4:A130,Data_PLT[[#This Row],[Hole ID]])=1,1,
IF(A130=A129,C129+1,
COUNTIF($A$4:A130,Data_PLT[[#This Row],[Hole ID]]))))</f>
        <v>13</v>
      </c>
      <c r="D130" s="63" t="str">
        <f>IF(Data_PLT[[#This Row],[Hole ID]]="","",Data_PLT[[#This Row],[Hole ID]]&amp;"_"&amp;Data_PLT[[#This Row],[Sample ID]])</f>
        <v>COG-25-12_13</v>
      </c>
      <c r="E130" s="6"/>
      <c r="F130" s="6">
        <v>71.260000000000005</v>
      </c>
      <c r="G130" s="63" t="str" cm="1">
        <f t="array" ref="G130">_xlfn.XLOOKUP(1,(A130=Geotech!$A$4:$A$11100)*(Data_PLT[[#This Row],[Depth (m)]]&gt;=Geotech!$C$4:$C$11100)*(Data_PLT[[#This Row],[Depth (m)]]&lt;Geotech!$D$4:$D$11100),Geotech!$M$4:$M$11100)</f>
        <v>Basalt</v>
      </c>
      <c r="H130" s="6" t="s">
        <v>299</v>
      </c>
      <c r="I130" s="63" t="str">
        <f>VLOOKUP(Data_PLT[[#This Row],[Hole ID]],Data_Log[[Hole ID]:[Core size]],20,FALSE)</f>
        <v>HQ</v>
      </c>
      <c r="J130" s="13">
        <f>VLOOKUP(Data_PLT[[#This Row],[Core Size]],Table_CoreSize[],2,FALSE)</f>
        <v>63.5</v>
      </c>
      <c r="K130" s="19">
        <v>120</v>
      </c>
      <c r="L130" s="19" t="s">
        <v>574</v>
      </c>
      <c r="M130" s="5">
        <v>112.4</v>
      </c>
      <c r="N130" s="5"/>
      <c r="O130" s="6" t="s">
        <v>334</v>
      </c>
      <c r="P130" s="13" t="str">
        <f>IF(Data_PLT[[#This Row],[Failure type]]="","",IF(OR(Data_PLT[[#This Row],[Failure type]]="Invalid",Data_PLT[[#This Row],[Failure type]]="Chipped",Data_PLT[[#This Row],[Failure type]]="Penetrate",Data_PLT[[#This Row],[Failure type]]="Did not break"),"Invalid","Valid"))</f>
        <v>Valid</v>
      </c>
      <c r="Q130" s="6"/>
      <c r="R130" s="11"/>
      <c r="S130" s="13">
        <f>IF(Data_PLT[[#This Row],[Test type]]="Diametral",Data_PLT[[#This Row],[Diameter (mm)]],IF(Data_PLT[[#This Row],[Test type]]="Axial",SQRT(4*Data_PLT[[#This Row],[Diameter (mm)]]*Data_PLT[[#This Row],[Length or width (mm)]]/PI()),"ERROR"))</f>
        <v>63.5</v>
      </c>
      <c r="T130" s="13">
        <f>(Data_PLT[[#This Row],[Load (kN)]]*1000)/Data_PLT[[#This Row],[Equiv. Diam. (mm)]]^2</f>
        <v>0</v>
      </c>
      <c r="U130" s="13">
        <f>(Data_PLT[[#This Row],[Equiv. Diam. (mm)]]/50)^0.45</f>
        <v>1.1135550054708407</v>
      </c>
      <c r="V130" s="13">
        <f>Data_PLT[[#This Row],[Is (MPa)]]*Data_PLT[[#This Row],[F]]</f>
        <v>0</v>
      </c>
      <c r="W130" s="13" t="str">
        <f>Data_PLT[[#This Row],[Failure Validity]]&amp;"-"&amp;Data_PLT[[#This Row],[Test type]]</f>
        <v>Valid-Diametral</v>
      </c>
      <c r="X130" s="13">
        <f>Data_PLT[[#This Row],[Is50 (MPa)]]*VLOOKUP("Min",Table_PLT_Conversion[],2,FALSE)</f>
        <v>0</v>
      </c>
      <c r="Y130" s="13">
        <f>Data_PLT[[#This Row],[Is50 (MPa)]]*VLOOKUP("Avg",Table_PLT_Conversion[],2,FALSE)</f>
        <v>0</v>
      </c>
      <c r="Z130" s="13">
        <f>Data_PLT[[#This Row],[Is50 (MPa)]]*VLOOKUP("Max",Table_PLT_Conversion[],2,FALSE)</f>
        <v>0</v>
      </c>
      <c r="AA130" s="62" t="e">
        <f>MATCH(LOOKUP(Data_PLT[[#This Row],[UCS min (MPa)]],Table_FieldStrength[Min UCS]),Table_FieldStrength[Min UCS],0)-1</f>
        <v>#N/A</v>
      </c>
      <c r="AB130" s="62" t="e">
        <f>MATCH(LOOKUP(Data_PLT[[#This Row],[UCS avg (MPa)]],Table_FieldStrength[Min UCS]),Table_FieldStrength[Min UCS],0)-1</f>
        <v>#N/A</v>
      </c>
      <c r="AC130" s="62" t="e">
        <f>MATCH(LOOKUP(Data_PLT[[#This Row],[UCS max (MPa)]],Table_FieldStrength[Min UCS]),Table_FieldStrength[Min UCS],0)-1</f>
        <v>#N/A</v>
      </c>
      <c r="AD130" s="68" t="e">
        <f>Data_PLT[[#This Row],[Test code]]&amp;"-"&amp;Data_PLT[[#This Row],[UCS min code]]</f>
        <v>#N/A</v>
      </c>
      <c r="AE130" s="68" t="e">
        <f>Data_PLT[[#This Row],[Test code]]&amp;"-"&amp;Data_PLT[[#This Row],[UCS avg code]]</f>
        <v>#N/A</v>
      </c>
      <c r="AF130" s="67" t="e">
        <f>Data_PLT[[#This Row],[Test code]]&amp;"-"&amp;Data_PLT[[#This Row],[UCS max code]]</f>
        <v>#N/A</v>
      </c>
      <c r="AG130" s="67" t="str">
        <f>Data_PLT[[#This Row],[Failure type]]&amp;"-"&amp;Data_PLT[[#This Row],[Test type]]&amp;"-"&amp;(IF(Data_PLT[[#This Row],[Is50 (MPa)]]&lt;1,1,IF(Data_PLT[[#This Row],[Is50 (MPa)]]&lt;2,2,IF(Data_PLT[[#This Row],[Is50 (MPa)]]&lt;4,3,IF(Data_PLT[[#This Row],[Is50 (MPa)]]&lt;8,4,5)))))</f>
        <v>Along bedding/foliation-Diametral-1</v>
      </c>
    </row>
    <row r="131" spans="1:33" x14ac:dyDescent="0.25">
      <c r="A131" t="s">
        <v>36</v>
      </c>
      <c r="B131" s="88" t="str">
        <f>VLOOKUP(Data_PLT[[#This Row],[Hole ID]],Data_Log[],2,FALSE)</f>
        <v>CGF-05</v>
      </c>
      <c r="C131" s="63">
        <f>IF(Data_PLT[[#This Row],[Hole ID]]="","",
IF(COUNTIF($A$4:A131,Data_PLT[[#This Row],[Hole ID]])=1,1,
IF(A131=A130,C130+1,
COUNTIF($A$4:A131,Data_PLT[[#This Row],[Hole ID]]))))</f>
        <v>14</v>
      </c>
      <c r="D131" s="63" t="str">
        <f>IF(Data_PLT[[#This Row],[Hole ID]]="","",Data_PLT[[#This Row],[Hole ID]]&amp;"_"&amp;Data_PLT[[#This Row],[Sample ID]])</f>
        <v>COG-25-12_14</v>
      </c>
      <c r="E131" s="6"/>
      <c r="F131" s="6">
        <v>73.14</v>
      </c>
      <c r="G131" s="63" t="str" cm="1">
        <f t="array" ref="G131">_xlfn.XLOOKUP(1,(A131=Geotech!$A$4:$A$11100)*(Data_PLT[[#This Row],[Depth (m)]]&gt;=Geotech!$C$4:$C$11100)*(Data_PLT[[#This Row],[Depth (m)]]&lt;Geotech!$D$4:$D$11100),Geotech!$M$4:$M$11100)</f>
        <v>Basalt</v>
      </c>
      <c r="H131" s="6" t="s">
        <v>299</v>
      </c>
      <c r="I131" s="63" t="str">
        <f>VLOOKUP(Data_PLT[[#This Row],[Hole ID]],Data_Log[[Hole ID]:[Core size]],20,FALSE)</f>
        <v>HQ</v>
      </c>
      <c r="J131" s="13">
        <f>VLOOKUP(Data_PLT[[#This Row],[Core Size]],Table_CoreSize[],2,FALSE)</f>
        <v>63.5</v>
      </c>
      <c r="K131" s="19">
        <v>160</v>
      </c>
      <c r="L131" s="19" t="s">
        <v>574</v>
      </c>
      <c r="M131" s="5">
        <v>216.2</v>
      </c>
      <c r="N131" s="5"/>
      <c r="O131" s="6" t="s">
        <v>300</v>
      </c>
      <c r="P131" s="13" t="str">
        <f>IF(Data_PLT[[#This Row],[Failure type]]="","",IF(OR(Data_PLT[[#This Row],[Failure type]]="Invalid",Data_PLT[[#This Row],[Failure type]]="Chipped",Data_PLT[[#This Row],[Failure type]]="Penetrate",Data_PLT[[#This Row],[Failure type]]="Did not break"),"Invalid","Valid"))</f>
        <v>Valid</v>
      </c>
      <c r="Q131" s="6"/>
      <c r="R131" s="11"/>
      <c r="S131" s="13">
        <f>IF(Data_PLT[[#This Row],[Test type]]="Diametral",Data_PLT[[#This Row],[Diameter (mm)]],IF(Data_PLT[[#This Row],[Test type]]="Axial",SQRT(4*Data_PLT[[#This Row],[Diameter (mm)]]*Data_PLT[[#This Row],[Length or width (mm)]]/PI()),"ERROR"))</f>
        <v>63.5</v>
      </c>
      <c r="T131" s="13">
        <f>(Data_PLT[[#This Row],[Load (kN)]]*1000)/Data_PLT[[#This Row],[Equiv. Diam. (mm)]]^2</f>
        <v>0</v>
      </c>
      <c r="U131" s="13">
        <f>(Data_PLT[[#This Row],[Equiv. Diam. (mm)]]/50)^0.45</f>
        <v>1.1135550054708407</v>
      </c>
      <c r="V131" s="13">
        <f>Data_PLT[[#This Row],[Is (MPa)]]*Data_PLT[[#This Row],[F]]</f>
        <v>0</v>
      </c>
      <c r="W131" s="13" t="str">
        <f>Data_PLT[[#This Row],[Failure Validity]]&amp;"-"&amp;Data_PLT[[#This Row],[Test type]]</f>
        <v>Valid-Diametral</v>
      </c>
      <c r="X131" s="13">
        <f>Data_PLT[[#This Row],[Is50 (MPa)]]*VLOOKUP("Min",Table_PLT_Conversion[],2,FALSE)</f>
        <v>0</v>
      </c>
      <c r="Y131" s="13">
        <f>Data_PLT[[#This Row],[Is50 (MPa)]]*VLOOKUP("Avg",Table_PLT_Conversion[],2,FALSE)</f>
        <v>0</v>
      </c>
      <c r="Z131" s="13">
        <f>Data_PLT[[#This Row],[Is50 (MPa)]]*VLOOKUP("Max",Table_PLT_Conversion[],2,FALSE)</f>
        <v>0</v>
      </c>
      <c r="AA131" s="62" t="e">
        <f>MATCH(LOOKUP(Data_PLT[[#This Row],[UCS min (MPa)]],Table_FieldStrength[Min UCS]),Table_FieldStrength[Min UCS],0)-1</f>
        <v>#N/A</v>
      </c>
      <c r="AB131" s="62" t="e">
        <f>MATCH(LOOKUP(Data_PLT[[#This Row],[UCS avg (MPa)]],Table_FieldStrength[Min UCS]),Table_FieldStrength[Min UCS],0)-1</f>
        <v>#N/A</v>
      </c>
      <c r="AC131" s="62" t="e">
        <f>MATCH(LOOKUP(Data_PLT[[#This Row],[UCS max (MPa)]],Table_FieldStrength[Min UCS]),Table_FieldStrength[Min UCS],0)-1</f>
        <v>#N/A</v>
      </c>
      <c r="AD131" s="68" t="e">
        <f>Data_PLT[[#This Row],[Test code]]&amp;"-"&amp;Data_PLT[[#This Row],[UCS min code]]</f>
        <v>#N/A</v>
      </c>
      <c r="AE131" s="68" t="e">
        <f>Data_PLT[[#This Row],[Test code]]&amp;"-"&amp;Data_PLT[[#This Row],[UCS avg code]]</f>
        <v>#N/A</v>
      </c>
      <c r="AF131" s="67" t="e">
        <f>Data_PLT[[#This Row],[Test code]]&amp;"-"&amp;Data_PLT[[#This Row],[UCS max code]]</f>
        <v>#N/A</v>
      </c>
      <c r="AG131" s="67" t="str">
        <f>Data_PLT[[#This Row],[Failure type]]&amp;"-"&amp;Data_PLT[[#This Row],[Test type]]&amp;"-"&amp;(IF(Data_PLT[[#This Row],[Is50 (MPa)]]&lt;1,1,IF(Data_PLT[[#This Row],[Is50 (MPa)]]&lt;2,2,IF(Data_PLT[[#This Row],[Is50 (MPa)]]&lt;4,3,IF(Data_PLT[[#This Row],[Is50 (MPa)]]&lt;8,4,5)))))</f>
        <v>Intact-Diametral-1</v>
      </c>
    </row>
    <row r="132" spans="1:33" x14ac:dyDescent="0.25">
      <c r="A132" t="s">
        <v>36</v>
      </c>
      <c r="B132" s="88" t="str">
        <f>VLOOKUP(Data_PLT[[#This Row],[Hole ID]],Data_Log[],2,FALSE)</f>
        <v>CGF-05</v>
      </c>
      <c r="C132" s="63">
        <f>IF(Data_PLT[[#This Row],[Hole ID]]="","",
IF(COUNTIF($A$4:A132,Data_PLT[[#This Row],[Hole ID]])=1,1,
IF(A132=A131,C131+1,
COUNTIF($A$4:A132,Data_PLT[[#This Row],[Hole ID]]))))</f>
        <v>15</v>
      </c>
      <c r="D132" s="63" t="str">
        <f>IF(Data_PLT[[#This Row],[Hole ID]]="","",Data_PLT[[#This Row],[Hole ID]]&amp;"_"&amp;Data_PLT[[#This Row],[Sample ID]])</f>
        <v>COG-25-12_15</v>
      </c>
      <c r="E132" s="6"/>
      <c r="F132" s="6">
        <v>75.37</v>
      </c>
      <c r="G132" s="63" t="str" cm="1">
        <f t="array" ref="G132">_xlfn.XLOOKUP(1,(A132=Geotech!$A$4:$A$11100)*(Data_PLT[[#This Row],[Depth (m)]]&gt;=Geotech!$C$4:$C$11100)*(Data_PLT[[#This Row],[Depth (m)]]&lt;Geotech!$D$4:$D$11100),Geotech!$M$4:$M$11100)</f>
        <v>Basalt</v>
      </c>
      <c r="H132" s="6" t="s">
        <v>299</v>
      </c>
      <c r="I132" s="63" t="str">
        <f>VLOOKUP(Data_PLT[[#This Row],[Hole ID]],Data_Log[[Hole ID]:[Core size]],20,FALSE)</f>
        <v>HQ</v>
      </c>
      <c r="J132" s="13">
        <f>VLOOKUP(Data_PLT[[#This Row],[Core Size]],Table_CoreSize[],2,FALSE)</f>
        <v>63.5</v>
      </c>
      <c r="K132" s="19">
        <v>150</v>
      </c>
      <c r="L132" s="19" t="s">
        <v>574</v>
      </c>
      <c r="M132" s="5">
        <v>128.19999999999999</v>
      </c>
      <c r="N132" s="5"/>
      <c r="O132" s="6" t="s">
        <v>334</v>
      </c>
      <c r="P132" s="13" t="str">
        <f>IF(Data_PLT[[#This Row],[Failure type]]="","",IF(OR(Data_PLT[[#This Row],[Failure type]]="Invalid",Data_PLT[[#This Row],[Failure type]]="Chipped",Data_PLT[[#This Row],[Failure type]]="Penetrate",Data_PLT[[#This Row],[Failure type]]="Did not break"),"Invalid","Valid"))</f>
        <v>Valid</v>
      </c>
      <c r="Q132" s="6"/>
      <c r="R132" s="11"/>
      <c r="S132" s="13">
        <f>IF(Data_PLT[[#This Row],[Test type]]="Diametral",Data_PLT[[#This Row],[Diameter (mm)]],IF(Data_PLT[[#This Row],[Test type]]="Axial",SQRT(4*Data_PLT[[#This Row],[Diameter (mm)]]*Data_PLT[[#This Row],[Length or width (mm)]]/PI()),"ERROR"))</f>
        <v>63.5</v>
      </c>
      <c r="T132" s="13">
        <f>(Data_PLT[[#This Row],[Load (kN)]]*1000)/Data_PLT[[#This Row],[Equiv. Diam. (mm)]]^2</f>
        <v>0</v>
      </c>
      <c r="U132" s="13">
        <f>(Data_PLT[[#This Row],[Equiv. Diam. (mm)]]/50)^0.45</f>
        <v>1.1135550054708407</v>
      </c>
      <c r="V132" s="13">
        <f>Data_PLT[[#This Row],[Is (MPa)]]*Data_PLT[[#This Row],[F]]</f>
        <v>0</v>
      </c>
      <c r="W132" s="13" t="str">
        <f>Data_PLT[[#This Row],[Failure Validity]]&amp;"-"&amp;Data_PLT[[#This Row],[Test type]]</f>
        <v>Valid-Diametral</v>
      </c>
      <c r="X132" s="13">
        <f>Data_PLT[[#This Row],[Is50 (MPa)]]*VLOOKUP("Min",Table_PLT_Conversion[],2,FALSE)</f>
        <v>0</v>
      </c>
      <c r="Y132" s="13">
        <f>Data_PLT[[#This Row],[Is50 (MPa)]]*VLOOKUP("Avg",Table_PLT_Conversion[],2,FALSE)</f>
        <v>0</v>
      </c>
      <c r="Z132" s="13">
        <f>Data_PLT[[#This Row],[Is50 (MPa)]]*VLOOKUP("Max",Table_PLT_Conversion[],2,FALSE)</f>
        <v>0</v>
      </c>
      <c r="AA132" s="62" t="e">
        <f>MATCH(LOOKUP(Data_PLT[[#This Row],[UCS min (MPa)]],Table_FieldStrength[Min UCS]),Table_FieldStrength[Min UCS],0)-1</f>
        <v>#N/A</v>
      </c>
      <c r="AB132" s="62" t="e">
        <f>MATCH(LOOKUP(Data_PLT[[#This Row],[UCS avg (MPa)]],Table_FieldStrength[Min UCS]),Table_FieldStrength[Min UCS],0)-1</f>
        <v>#N/A</v>
      </c>
      <c r="AC132" s="62" t="e">
        <f>MATCH(LOOKUP(Data_PLT[[#This Row],[UCS max (MPa)]],Table_FieldStrength[Min UCS]),Table_FieldStrength[Min UCS],0)-1</f>
        <v>#N/A</v>
      </c>
      <c r="AD132" s="68" t="e">
        <f>Data_PLT[[#This Row],[Test code]]&amp;"-"&amp;Data_PLT[[#This Row],[UCS min code]]</f>
        <v>#N/A</v>
      </c>
      <c r="AE132" s="68" t="e">
        <f>Data_PLT[[#This Row],[Test code]]&amp;"-"&amp;Data_PLT[[#This Row],[UCS avg code]]</f>
        <v>#N/A</v>
      </c>
      <c r="AF132" s="67" t="e">
        <f>Data_PLT[[#This Row],[Test code]]&amp;"-"&amp;Data_PLT[[#This Row],[UCS max code]]</f>
        <v>#N/A</v>
      </c>
      <c r="AG132" s="67" t="str">
        <f>Data_PLT[[#This Row],[Failure type]]&amp;"-"&amp;Data_PLT[[#This Row],[Test type]]&amp;"-"&amp;(IF(Data_PLT[[#This Row],[Is50 (MPa)]]&lt;1,1,IF(Data_PLT[[#This Row],[Is50 (MPa)]]&lt;2,2,IF(Data_PLT[[#This Row],[Is50 (MPa)]]&lt;4,3,IF(Data_PLT[[#This Row],[Is50 (MPa)]]&lt;8,4,5)))))</f>
        <v>Along bedding/foliation-Diametral-1</v>
      </c>
    </row>
    <row r="133" spans="1:33" x14ac:dyDescent="0.25">
      <c r="A133" t="s">
        <v>36</v>
      </c>
      <c r="B133" s="88" t="str">
        <f>VLOOKUP(Data_PLT[[#This Row],[Hole ID]],Data_Log[],2,FALSE)</f>
        <v>CGF-05</v>
      </c>
      <c r="C133" s="63">
        <f>IF(Data_PLT[[#This Row],[Hole ID]]="","",
IF(COUNTIF($A$4:A133,Data_PLT[[#This Row],[Hole ID]])=1,1,
IF(A133=A132,C132+1,
COUNTIF($A$4:A133,Data_PLT[[#This Row],[Hole ID]]))))</f>
        <v>16</v>
      </c>
      <c r="D133" s="63" t="str">
        <f>IF(Data_PLT[[#This Row],[Hole ID]]="","",Data_PLT[[#This Row],[Hole ID]]&amp;"_"&amp;Data_PLT[[#This Row],[Sample ID]])</f>
        <v>COG-25-12_16</v>
      </c>
      <c r="E133" s="6"/>
      <c r="F133" s="6">
        <v>76.13</v>
      </c>
      <c r="G133" s="63" t="str" cm="1">
        <f t="array" ref="G133">_xlfn.XLOOKUP(1,(A133=Geotech!$A$4:$A$11100)*(Data_PLT[[#This Row],[Depth (m)]]&gt;=Geotech!$C$4:$C$11100)*(Data_PLT[[#This Row],[Depth (m)]]&lt;Geotech!$D$4:$D$11100),Geotech!$M$4:$M$11100)</f>
        <v>TBP Agglomerate</v>
      </c>
      <c r="H133" s="6" t="s">
        <v>299</v>
      </c>
      <c r="I133" s="63" t="str">
        <f>VLOOKUP(Data_PLT[[#This Row],[Hole ID]],Data_Log[[Hole ID]:[Core size]],20,FALSE)</f>
        <v>HQ</v>
      </c>
      <c r="J133" s="13">
        <f>VLOOKUP(Data_PLT[[#This Row],[Core Size]],Table_CoreSize[],2,FALSE)</f>
        <v>63.5</v>
      </c>
      <c r="K133" s="19">
        <v>140</v>
      </c>
      <c r="L133" s="19" t="s">
        <v>574</v>
      </c>
      <c r="M133" s="5">
        <v>13.8</v>
      </c>
      <c r="N133" s="5"/>
      <c r="O133" s="6" t="s">
        <v>334</v>
      </c>
      <c r="P133" s="13" t="str">
        <f>IF(Data_PLT[[#This Row],[Failure type]]="","",IF(OR(Data_PLT[[#This Row],[Failure type]]="Invalid",Data_PLT[[#This Row],[Failure type]]="Chipped",Data_PLT[[#This Row],[Failure type]]="Penetrate",Data_PLT[[#This Row],[Failure type]]="Did not break"),"Invalid","Valid"))</f>
        <v>Valid</v>
      </c>
      <c r="Q133" s="6"/>
      <c r="R133" s="11"/>
      <c r="S133" s="13">
        <f>IF(Data_PLT[[#This Row],[Test type]]="Diametral",Data_PLT[[#This Row],[Diameter (mm)]],IF(Data_PLT[[#This Row],[Test type]]="Axial",SQRT(4*Data_PLT[[#This Row],[Diameter (mm)]]*Data_PLT[[#This Row],[Length or width (mm)]]/PI()),"ERROR"))</f>
        <v>63.5</v>
      </c>
      <c r="T133" s="13">
        <f>(Data_PLT[[#This Row],[Load (kN)]]*1000)/Data_PLT[[#This Row],[Equiv. Diam. (mm)]]^2</f>
        <v>0</v>
      </c>
      <c r="U133" s="13">
        <f>(Data_PLT[[#This Row],[Equiv. Diam. (mm)]]/50)^0.45</f>
        <v>1.1135550054708407</v>
      </c>
      <c r="V133" s="13">
        <f>Data_PLT[[#This Row],[Is (MPa)]]*Data_PLT[[#This Row],[F]]</f>
        <v>0</v>
      </c>
      <c r="W133" s="13" t="str">
        <f>Data_PLT[[#This Row],[Failure Validity]]&amp;"-"&amp;Data_PLT[[#This Row],[Test type]]</f>
        <v>Valid-Diametral</v>
      </c>
      <c r="X133" s="13">
        <f>Data_PLT[[#This Row],[Is50 (MPa)]]*VLOOKUP("Min",Table_PLT_Conversion[],2,FALSE)</f>
        <v>0</v>
      </c>
      <c r="Y133" s="13">
        <f>Data_PLT[[#This Row],[Is50 (MPa)]]*VLOOKUP("Avg",Table_PLT_Conversion[],2,FALSE)</f>
        <v>0</v>
      </c>
      <c r="Z133" s="13">
        <f>Data_PLT[[#This Row],[Is50 (MPa)]]*VLOOKUP("Max",Table_PLT_Conversion[],2,FALSE)</f>
        <v>0</v>
      </c>
      <c r="AA133" s="62" t="e">
        <f>MATCH(LOOKUP(Data_PLT[[#This Row],[UCS min (MPa)]],Table_FieldStrength[Min UCS]),Table_FieldStrength[Min UCS],0)-1</f>
        <v>#N/A</v>
      </c>
      <c r="AB133" s="62" t="e">
        <f>MATCH(LOOKUP(Data_PLT[[#This Row],[UCS avg (MPa)]],Table_FieldStrength[Min UCS]),Table_FieldStrength[Min UCS],0)-1</f>
        <v>#N/A</v>
      </c>
      <c r="AC133" s="62" t="e">
        <f>MATCH(LOOKUP(Data_PLT[[#This Row],[UCS max (MPa)]],Table_FieldStrength[Min UCS]),Table_FieldStrength[Min UCS],0)-1</f>
        <v>#N/A</v>
      </c>
      <c r="AD133" s="68" t="e">
        <f>Data_PLT[[#This Row],[Test code]]&amp;"-"&amp;Data_PLT[[#This Row],[UCS min code]]</f>
        <v>#N/A</v>
      </c>
      <c r="AE133" s="68" t="e">
        <f>Data_PLT[[#This Row],[Test code]]&amp;"-"&amp;Data_PLT[[#This Row],[UCS avg code]]</f>
        <v>#N/A</v>
      </c>
      <c r="AF133" s="67" t="e">
        <f>Data_PLT[[#This Row],[Test code]]&amp;"-"&amp;Data_PLT[[#This Row],[UCS max code]]</f>
        <v>#N/A</v>
      </c>
      <c r="AG133" s="67" t="str">
        <f>Data_PLT[[#This Row],[Failure type]]&amp;"-"&amp;Data_PLT[[#This Row],[Test type]]&amp;"-"&amp;(IF(Data_PLT[[#This Row],[Is50 (MPa)]]&lt;1,1,IF(Data_PLT[[#This Row],[Is50 (MPa)]]&lt;2,2,IF(Data_PLT[[#This Row],[Is50 (MPa)]]&lt;4,3,IF(Data_PLT[[#This Row],[Is50 (MPa)]]&lt;8,4,5)))))</f>
        <v>Along bedding/foliation-Diametral-1</v>
      </c>
    </row>
    <row r="134" spans="1:33" x14ac:dyDescent="0.25">
      <c r="A134" t="s">
        <v>36</v>
      </c>
      <c r="B134" s="88" t="str">
        <f>VLOOKUP(Data_PLT[[#This Row],[Hole ID]],Data_Log[],2,FALSE)</f>
        <v>CGF-05</v>
      </c>
      <c r="C134" s="63">
        <f>IF(Data_PLT[[#This Row],[Hole ID]]="","",
IF(COUNTIF($A$4:A134,Data_PLT[[#This Row],[Hole ID]])=1,1,
IF(A134=A133,C133+1,
COUNTIF($A$4:A134,Data_PLT[[#This Row],[Hole ID]]))))</f>
        <v>17</v>
      </c>
      <c r="D134" s="63" t="str">
        <f>IF(Data_PLT[[#This Row],[Hole ID]]="","",Data_PLT[[#This Row],[Hole ID]]&amp;"_"&amp;Data_PLT[[#This Row],[Sample ID]])</f>
        <v>COG-25-12_17</v>
      </c>
      <c r="E134" s="6"/>
      <c r="F134" s="6">
        <v>81.05</v>
      </c>
      <c r="G134" s="63" t="str" cm="1">
        <f t="array" ref="G134">_xlfn.XLOOKUP(1,(A134=Geotech!$A$4:$A$11100)*(Data_PLT[[#This Row],[Depth (m)]]&gt;=Geotech!$C$4:$C$11100)*(Data_PLT[[#This Row],[Depth (m)]]&lt;Geotech!$D$4:$D$11100),Geotech!$M$4:$M$11100)</f>
        <v>TBP Agglomerate</v>
      </c>
      <c r="H134" s="6" t="s">
        <v>299</v>
      </c>
      <c r="I134" s="63" t="str">
        <f>VLOOKUP(Data_PLT[[#This Row],[Hole ID]],Data_Log[[Hole ID]:[Core size]],20,FALSE)</f>
        <v>HQ</v>
      </c>
      <c r="J134" s="13">
        <f>VLOOKUP(Data_PLT[[#This Row],[Core Size]],Table_CoreSize[],2,FALSE)</f>
        <v>63.5</v>
      </c>
      <c r="K134" s="19">
        <v>85</v>
      </c>
      <c r="L134" s="19" t="s">
        <v>574</v>
      </c>
      <c r="M134" s="5">
        <v>105</v>
      </c>
      <c r="N134" s="5"/>
      <c r="O134" s="6" t="s">
        <v>165</v>
      </c>
      <c r="P134" s="13" t="str">
        <f>IF(Data_PLT[[#This Row],[Failure type]]="","",IF(OR(Data_PLT[[#This Row],[Failure type]]="Invalid",Data_PLT[[#This Row],[Failure type]]="Chipped",Data_PLT[[#This Row],[Failure type]]="Penetrate",Data_PLT[[#This Row],[Failure type]]="Did not break"),"Invalid","Valid"))</f>
        <v>Invalid</v>
      </c>
      <c r="Q134" s="6"/>
      <c r="R134" s="11"/>
      <c r="S134" s="13">
        <f>IF(Data_PLT[[#This Row],[Test type]]="Diametral",Data_PLT[[#This Row],[Diameter (mm)]],IF(Data_PLT[[#This Row],[Test type]]="Axial",SQRT(4*Data_PLT[[#This Row],[Diameter (mm)]]*Data_PLT[[#This Row],[Length or width (mm)]]/PI()),"ERROR"))</f>
        <v>63.5</v>
      </c>
      <c r="T134" s="13">
        <f>(Data_PLT[[#This Row],[Load (kN)]]*1000)/Data_PLT[[#This Row],[Equiv. Diam. (mm)]]^2</f>
        <v>0</v>
      </c>
      <c r="U134" s="13">
        <f>(Data_PLT[[#This Row],[Equiv. Diam. (mm)]]/50)^0.45</f>
        <v>1.1135550054708407</v>
      </c>
      <c r="V134" s="13">
        <f>Data_PLT[[#This Row],[Is (MPa)]]*Data_PLT[[#This Row],[F]]</f>
        <v>0</v>
      </c>
      <c r="W134" s="13" t="str">
        <f>Data_PLT[[#This Row],[Failure Validity]]&amp;"-"&amp;Data_PLT[[#This Row],[Test type]]</f>
        <v>Invalid-Diametral</v>
      </c>
      <c r="X134" s="13">
        <f>Data_PLT[[#This Row],[Is50 (MPa)]]*VLOOKUP("Min",Table_PLT_Conversion[],2,FALSE)</f>
        <v>0</v>
      </c>
      <c r="Y134" s="13">
        <f>Data_PLT[[#This Row],[Is50 (MPa)]]*VLOOKUP("Avg",Table_PLT_Conversion[],2,FALSE)</f>
        <v>0</v>
      </c>
      <c r="Z134" s="13">
        <f>Data_PLT[[#This Row],[Is50 (MPa)]]*VLOOKUP("Max",Table_PLT_Conversion[],2,FALSE)</f>
        <v>0</v>
      </c>
      <c r="AA134" s="62" t="e">
        <f>MATCH(LOOKUP(Data_PLT[[#This Row],[UCS min (MPa)]],Table_FieldStrength[Min UCS]),Table_FieldStrength[Min UCS],0)-1</f>
        <v>#N/A</v>
      </c>
      <c r="AB134" s="62" t="e">
        <f>MATCH(LOOKUP(Data_PLT[[#This Row],[UCS avg (MPa)]],Table_FieldStrength[Min UCS]),Table_FieldStrength[Min UCS],0)-1</f>
        <v>#N/A</v>
      </c>
      <c r="AC134" s="62" t="e">
        <f>MATCH(LOOKUP(Data_PLT[[#This Row],[UCS max (MPa)]],Table_FieldStrength[Min UCS]),Table_FieldStrength[Min UCS],0)-1</f>
        <v>#N/A</v>
      </c>
      <c r="AD134" s="68" t="e">
        <f>Data_PLT[[#This Row],[Test code]]&amp;"-"&amp;Data_PLT[[#This Row],[UCS min code]]</f>
        <v>#N/A</v>
      </c>
      <c r="AE134" s="68" t="e">
        <f>Data_PLT[[#This Row],[Test code]]&amp;"-"&amp;Data_PLT[[#This Row],[UCS avg code]]</f>
        <v>#N/A</v>
      </c>
      <c r="AF134" s="67" t="e">
        <f>Data_PLT[[#This Row],[Test code]]&amp;"-"&amp;Data_PLT[[#This Row],[UCS max code]]</f>
        <v>#N/A</v>
      </c>
      <c r="AG134" s="67" t="str">
        <f>Data_PLT[[#This Row],[Failure type]]&amp;"-"&amp;Data_PLT[[#This Row],[Test type]]&amp;"-"&amp;(IF(Data_PLT[[#This Row],[Is50 (MPa)]]&lt;1,1,IF(Data_PLT[[#This Row],[Is50 (MPa)]]&lt;2,2,IF(Data_PLT[[#This Row],[Is50 (MPa)]]&lt;4,3,IF(Data_PLT[[#This Row],[Is50 (MPa)]]&lt;8,4,5)))))</f>
        <v>Chipped-Diametral-1</v>
      </c>
    </row>
    <row r="135" spans="1:33" x14ac:dyDescent="0.25">
      <c r="A135" t="s">
        <v>36</v>
      </c>
      <c r="B135" s="88" t="str">
        <f>VLOOKUP(Data_PLT[[#This Row],[Hole ID]],Data_Log[],2,FALSE)</f>
        <v>CGF-05</v>
      </c>
      <c r="C135" s="63">
        <f>IF(Data_PLT[[#This Row],[Hole ID]]="","",
IF(COUNTIF($A$4:A135,Data_PLT[[#This Row],[Hole ID]])=1,1,
IF(A135=A134,C134+1,
COUNTIF($A$4:A135,Data_PLT[[#This Row],[Hole ID]]))))</f>
        <v>18</v>
      </c>
      <c r="D135" s="63" t="str">
        <f>IF(Data_PLT[[#This Row],[Hole ID]]="","",Data_PLT[[#This Row],[Hole ID]]&amp;"_"&amp;Data_PLT[[#This Row],[Sample ID]])</f>
        <v>COG-25-12_18</v>
      </c>
      <c r="E135" s="6"/>
      <c r="F135" s="6">
        <v>79.94</v>
      </c>
      <c r="G135" s="63" t="str" cm="1">
        <f t="array" ref="G135">_xlfn.XLOOKUP(1,(A135=Geotech!$A$4:$A$11100)*(Data_PLT[[#This Row],[Depth (m)]]&gt;=Geotech!$C$4:$C$11100)*(Data_PLT[[#This Row],[Depth (m)]]&lt;Geotech!$D$4:$D$11100),Geotech!$M$4:$M$11100)</f>
        <v>TBP Agglomerate</v>
      </c>
      <c r="H135" s="6" t="s">
        <v>299</v>
      </c>
      <c r="I135" s="63" t="str">
        <f>VLOOKUP(Data_PLT[[#This Row],[Hole ID]],Data_Log[[Hole ID]:[Core size]],20,FALSE)</f>
        <v>HQ</v>
      </c>
      <c r="J135" s="13">
        <f>VLOOKUP(Data_PLT[[#This Row],[Core Size]],Table_CoreSize[],2,FALSE)</f>
        <v>63.5</v>
      </c>
      <c r="K135" s="19">
        <v>130</v>
      </c>
      <c r="L135" s="19" t="s">
        <v>574</v>
      </c>
      <c r="M135" s="5">
        <v>133</v>
      </c>
      <c r="N135" s="5"/>
      <c r="O135" s="6" t="s">
        <v>163</v>
      </c>
      <c r="P135" s="13" t="str">
        <f>IF(Data_PLT[[#This Row],[Failure type]]="","",IF(OR(Data_PLT[[#This Row],[Failure type]]="Invalid",Data_PLT[[#This Row],[Failure type]]="Chipped",Data_PLT[[#This Row],[Failure type]]="Penetrate",Data_PLT[[#This Row],[Failure type]]="Did not break"),"Invalid","Valid"))</f>
        <v>Valid</v>
      </c>
      <c r="Q135" s="6"/>
      <c r="R135" s="11"/>
      <c r="S135" s="13">
        <f>IF(Data_PLT[[#This Row],[Test type]]="Diametral",Data_PLT[[#This Row],[Diameter (mm)]],IF(Data_PLT[[#This Row],[Test type]]="Axial",SQRT(4*Data_PLT[[#This Row],[Diameter (mm)]]*Data_PLT[[#This Row],[Length or width (mm)]]/PI()),"ERROR"))</f>
        <v>63.5</v>
      </c>
      <c r="T135" s="13">
        <f>(Data_PLT[[#This Row],[Load (kN)]]*1000)/Data_PLT[[#This Row],[Equiv. Diam. (mm)]]^2</f>
        <v>0</v>
      </c>
      <c r="U135" s="13">
        <f>(Data_PLT[[#This Row],[Equiv. Diam. (mm)]]/50)^0.45</f>
        <v>1.1135550054708407</v>
      </c>
      <c r="V135" s="13">
        <f>Data_PLT[[#This Row],[Is (MPa)]]*Data_PLT[[#This Row],[F]]</f>
        <v>0</v>
      </c>
      <c r="W135" s="13" t="str">
        <f>Data_PLT[[#This Row],[Failure Validity]]&amp;"-"&amp;Data_PLT[[#This Row],[Test type]]</f>
        <v>Valid-Diametral</v>
      </c>
      <c r="X135" s="13">
        <f>Data_PLT[[#This Row],[Is50 (MPa)]]*VLOOKUP("Min",Table_PLT_Conversion[],2,FALSE)</f>
        <v>0</v>
      </c>
      <c r="Y135" s="13">
        <f>Data_PLT[[#This Row],[Is50 (MPa)]]*VLOOKUP("Avg",Table_PLT_Conversion[],2,FALSE)</f>
        <v>0</v>
      </c>
      <c r="Z135" s="13">
        <f>Data_PLT[[#This Row],[Is50 (MPa)]]*VLOOKUP("Max",Table_PLT_Conversion[],2,FALSE)</f>
        <v>0</v>
      </c>
      <c r="AA135" s="62" t="e">
        <f>MATCH(LOOKUP(Data_PLT[[#This Row],[UCS min (MPa)]],Table_FieldStrength[Min UCS]),Table_FieldStrength[Min UCS],0)-1</f>
        <v>#N/A</v>
      </c>
      <c r="AB135" s="62" t="e">
        <f>MATCH(LOOKUP(Data_PLT[[#This Row],[UCS avg (MPa)]],Table_FieldStrength[Min UCS]),Table_FieldStrength[Min UCS],0)-1</f>
        <v>#N/A</v>
      </c>
      <c r="AC135" s="62" t="e">
        <f>MATCH(LOOKUP(Data_PLT[[#This Row],[UCS max (MPa)]],Table_FieldStrength[Min UCS]),Table_FieldStrength[Min UCS],0)-1</f>
        <v>#N/A</v>
      </c>
      <c r="AD135" s="68" t="e">
        <f>Data_PLT[[#This Row],[Test code]]&amp;"-"&amp;Data_PLT[[#This Row],[UCS min code]]</f>
        <v>#N/A</v>
      </c>
      <c r="AE135" s="68" t="e">
        <f>Data_PLT[[#This Row],[Test code]]&amp;"-"&amp;Data_PLT[[#This Row],[UCS avg code]]</f>
        <v>#N/A</v>
      </c>
      <c r="AF135" s="67" t="e">
        <f>Data_PLT[[#This Row],[Test code]]&amp;"-"&amp;Data_PLT[[#This Row],[UCS max code]]</f>
        <v>#N/A</v>
      </c>
      <c r="AG135" s="67" t="str">
        <f>Data_PLT[[#This Row],[Failure type]]&amp;"-"&amp;Data_PLT[[#This Row],[Test type]]&amp;"-"&amp;(IF(Data_PLT[[#This Row],[Is50 (MPa)]]&lt;1,1,IF(Data_PLT[[#This Row],[Is50 (MPa)]]&lt;2,2,IF(Data_PLT[[#This Row],[Is50 (MPa)]]&lt;4,3,IF(Data_PLT[[#This Row],[Is50 (MPa)]]&lt;8,4,5)))))</f>
        <v>Broke along MD-Diametral-1</v>
      </c>
    </row>
    <row r="136" spans="1:33" x14ac:dyDescent="0.25">
      <c r="A136" t="s">
        <v>36</v>
      </c>
      <c r="B136" s="88" t="str">
        <f>VLOOKUP(Data_PLT[[#This Row],[Hole ID]],Data_Log[],2,FALSE)</f>
        <v>CGF-05</v>
      </c>
      <c r="C136" s="63">
        <f>IF(Data_PLT[[#This Row],[Hole ID]]="","",
IF(COUNTIF($A$4:A136,Data_PLT[[#This Row],[Hole ID]])=1,1,
IF(A136=A135,C135+1,
COUNTIF($A$4:A136,Data_PLT[[#This Row],[Hole ID]]))))</f>
        <v>19</v>
      </c>
      <c r="D136" s="63" t="str">
        <f>IF(Data_PLT[[#This Row],[Hole ID]]="","",Data_PLT[[#This Row],[Hole ID]]&amp;"_"&amp;Data_PLT[[#This Row],[Sample ID]])</f>
        <v>COG-25-12_19</v>
      </c>
      <c r="E136" s="6"/>
      <c r="F136" s="6">
        <v>81.13</v>
      </c>
      <c r="G136" s="63" t="str" cm="1">
        <f t="array" ref="G136">_xlfn.XLOOKUP(1,(A136=Geotech!$A$4:$A$11100)*(Data_PLT[[#This Row],[Depth (m)]]&gt;=Geotech!$C$4:$C$11100)*(Data_PLT[[#This Row],[Depth (m)]]&lt;Geotech!$D$4:$D$11100),Geotech!$M$4:$M$11100)</f>
        <v>TBP Agglomerate</v>
      </c>
      <c r="H136" s="6" t="s">
        <v>299</v>
      </c>
      <c r="I136" s="63" t="str">
        <f>VLOOKUP(Data_PLT[[#This Row],[Hole ID]],Data_Log[[Hole ID]:[Core size]],20,FALSE)</f>
        <v>HQ</v>
      </c>
      <c r="J136" s="13">
        <f>VLOOKUP(Data_PLT[[#This Row],[Core Size]],Table_CoreSize[],2,FALSE)</f>
        <v>63.5</v>
      </c>
      <c r="K136" s="19">
        <v>100</v>
      </c>
      <c r="L136" s="19" t="s">
        <v>574</v>
      </c>
      <c r="M136" s="5">
        <v>121</v>
      </c>
      <c r="N136" s="5"/>
      <c r="O136" s="6" t="s">
        <v>163</v>
      </c>
      <c r="P136" s="13" t="str">
        <f>IF(Data_PLT[[#This Row],[Failure type]]="","",IF(OR(Data_PLT[[#This Row],[Failure type]]="Invalid",Data_PLT[[#This Row],[Failure type]]="Chipped",Data_PLT[[#This Row],[Failure type]]="Penetrate",Data_PLT[[#This Row],[Failure type]]="Did not break"),"Invalid","Valid"))</f>
        <v>Valid</v>
      </c>
      <c r="Q136" s="6"/>
      <c r="R136" s="11"/>
      <c r="S136" s="13">
        <f>IF(Data_PLT[[#This Row],[Test type]]="Diametral",Data_PLT[[#This Row],[Diameter (mm)]],IF(Data_PLT[[#This Row],[Test type]]="Axial",SQRT(4*Data_PLT[[#This Row],[Diameter (mm)]]*Data_PLT[[#This Row],[Length or width (mm)]]/PI()),"ERROR"))</f>
        <v>63.5</v>
      </c>
      <c r="T136" s="13">
        <f>(Data_PLT[[#This Row],[Load (kN)]]*1000)/Data_PLT[[#This Row],[Equiv. Diam. (mm)]]^2</f>
        <v>0</v>
      </c>
      <c r="U136" s="13">
        <f>(Data_PLT[[#This Row],[Equiv. Diam. (mm)]]/50)^0.45</f>
        <v>1.1135550054708407</v>
      </c>
      <c r="V136" s="13">
        <f>Data_PLT[[#This Row],[Is (MPa)]]*Data_PLT[[#This Row],[F]]</f>
        <v>0</v>
      </c>
      <c r="W136" s="13" t="str">
        <f>Data_PLT[[#This Row],[Failure Validity]]&amp;"-"&amp;Data_PLT[[#This Row],[Test type]]</f>
        <v>Valid-Diametral</v>
      </c>
      <c r="X136" s="13">
        <f>Data_PLT[[#This Row],[Is50 (MPa)]]*VLOOKUP("Min",Table_PLT_Conversion[],2,FALSE)</f>
        <v>0</v>
      </c>
      <c r="Y136" s="13">
        <f>Data_PLT[[#This Row],[Is50 (MPa)]]*VLOOKUP("Avg",Table_PLT_Conversion[],2,FALSE)</f>
        <v>0</v>
      </c>
      <c r="Z136" s="13">
        <f>Data_PLT[[#This Row],[Is50 (MPa)]]*VLOOKUP("Max",Table_PLT_Conversion[],2,FALSE)</f>
        <v>0</v>
      </c>
      <c r="AA136" s="62" t="e">
        <f>MATCH(LOOKUP(Data_PLT[[#This Row],[UCS min (MPa)]],Table_FieldStrength[Min UCS]),Table_FieldStrength[Min UCS],0)-1</f>
        <v>#N/A</v>
      </c>
      <c r="AB136" s="62" t="e">
        <f>MATCH(LOOKUP(Data_PLT[[#This Row],[UCS avg (MPa)]],Table_FieldStrength[Min UCS]),Table_FieldStrength[Min UCS],0)-1</f>
        <v>#N/A</v>
      </c>
      <c r="AC136" s="62" t="e">
        <f>MATCH(LOOKUP(Data_PLT[[#This Row],[UCS max (MPa)]],Table_FieldStrength[Min UCS]),Table_FieldStrength[Min UCS],0)-1</f>
        <v>#N/A</v>
      </c>
      <c r="AD136" s="68" t="e">
        <f>Data_PLT[[#This Row],[Test code]]&amp;"-"&amp;Data_PLT[[#This Row],[UCS min code]]</f>
        <v>#N/A</v>
      </c>
      <c r="AE136" s="68" t="e">
        <f>Data_PLT[[#This Row],[Test code]]&amp;"-"&amp;Data_PLT[[#This Row],[UCS avg code]]</f>
        <v>#N/A</v>
      </c>
      <c r="AF136" s="67" t="e">
        <f>Data_PLT[[#This Row],[Test code]]&amp;"-"&amp;Data_PLT[[#This Row],[UCS max code]]</f>
        <v>#N/A</v>
      </c>
      <c r="AG136" s="67" t="str">
        <f>Data_PLT[[#This Row],[Failure type]]&amp;"-"&amp;Data_PLT[[#This Row],[Test type]]&amp;"-"&amp;(IF(Data_PLT[[#This Row],[Is50 (MPa)]]&lt;1,1,IF(Data_PLT[[#This Row],[Is50 (MPa)]]&lt;2,2,IF(Data_PLT[[#This Row],[Is50 (MPa)]]&lt;4,3,IF(Data_PLT[[#This Row],[Is50 (MPa)]]&lt;8,4,5)))))</f>
        <v>Broke along MD-Diametral-1</v>
      </c>
    </row>
    <row r="137" spans="1:33" x14ac:dyDescent="0.25">
      <c r="A137" t="s">
        <v>36</v>
      </c>
      <c r="B137" s="88" t="str">
        <f>VLOOKUP(Data_PLT[[#This Row],[Hole ID]],Data_Log[],2,FALSE)</f>
        <v>CGF-05</v>
      </c>
      <c r="C137" s="63">
        <f>IF(Data_PLT[[#This Row],[Hole ID]]="","",
IF(COUNTIF($A$4:A137,Data_PLT[[#This Row],[Hole ID]])=1,1,
IF(A137=A136,C136+1,
COUNTIF($A$4:A137,Data_PLT[[#This Row],[Hole ID]]))))</f>
        <v>20</v>
      </c>
      <c r="D137" s="63" t="str">
        <f>IF(Data_PLT[[#This Row],[Hole ID]]="","",Data_PLT[[#This Row],[Hole ID]]&amp;"_"&amp;Data_PLT[[#This Row],[Sample ID]])</f>
        <v>COG-25-12_20</v>
      </c>
      <c r="E137" s="6"/>
      <c r="F137" s="6">
        <v>81.680000000000007</v>
      </c>
      <c r="G137" s="63" t="str" cm="1">
        <f t="array" ref="G137">_xlfn.XLOOKUP(1,(A137=Geotech!$A$4:$A$11100)*(Data_PLT[[#This Row],[Depth (m)]]&gt;=Geotech!$C$4:$C$11100)*(Data_PLT[[#This Row],[Depth (m)]]&lt;Geotech!$D$4:$D$11100),Geotech!$M$4:$M$11100)</f>
        <v>Felsic Dyke MAS</v>
      </c>
      <c r="H137" s="6" t="s">
        <v>299</v>
      </c>
      <c r="I137" s="63" t="str">
        <f>VLOOKUP(Data_PLT[[#This Row],[Hole ID]],Data_Log[[Hole ID]:[Core size]],20,FALSE)</f>
        <v>HQ</v>
      </c>
      <c r="J137" s="13">
        <f>VLOOKUP(Data_PLT[[#This Row],[Core Size]],Table_CoreSize[],2,FALSE)</f>
        <v>63.5</v>
      </c>
      <c r="K137" s="19">
        <v>95</v>
      </c>
      <c r="L137" s="19" t="s">
        <v>574</v>
      </c>
      <c r="M137" s="5">
        <v>179.8</v>
      </c>
      <c r="N137" s="5"/>
      <c r="O137" s="6" t="s">
        <v>165</v>
      </c>
      <c r="P137" s="13" t="str">
        <f>IF(Data_PLT[[#This Row],[Failure type]]="","",IF(OR(Data_PLT[[#This Row],[Failure type]]="Invalid",Data_PLT[[#This Row],[Failure type]]="Chipped",Data_PLT[[#This Row],[Failure type]]="Penetrate",Data_PLT[[#This Row],[Failure type]]="Did not break"),"Invalid","Valid"))</f>
        <v>Invalid</v>
      </c>
      <c r="Q137" s="6"/>
      <c r="R137" s="11"/>
      <c r="S137" s="13">
        <f>IF(Data_PLT[[#This Row],[Test type]]="Diametral",Data_PLT[[#This Row],[Diameter (mm)]],IF(Data_PLT[[#This Row],[Test type]]="Axial",SQRT(4*Data_PLT[[#This Row],[Diameter (mm)]]*Data_PLT[[#This Row],[Length or width (mm)]]/PI()),"ERROR"))</f>
        <v>63.5</v>
      </c>
      <c r="T137" s="13">
        <f>(Data_PLT[[#This Row],[Load (kN)]]*1000)/Data_PLT[[#This Row],[Equiv. Diam. (mm)]]^2</f>
        <v>0</v>
      </c>
      <c r="U137" s="13">
        <f>(Data_PLT[[#This Row],[Equiv. Diam. (mm)]]/50)^0.45</f>
        <v>1.1135550054708407</v>
      </c>
      <c r="V137" s="13">
        <f>Data_PLT[[#This Row],[Is (MPa)]]*Data_PLT[[#This Row],[F]]</f>
        <v>0</v>
      </c>
      <c r="W137" s="13" t="str">
        <f>Data_PLT[[#This Row],[Failure Validity]]&amp;"-"&amp;Data_PLT[[#This Row],[Test type]]</f>
        <v>Invalid-Diametral</v>
      </c>
      <c r="X137" s="13">
        <f>Data_PLT[[#This Row],[Is50 (MPa)]]*VLOOKUP("Min",Table_PLT_Conversion[],2,FALSE)</f>
        <v>0</v>
      </c>
      <c r="Y137" s="13">
        <f>Data_PLT[[#This Row],[Is50 (MPa)]]*VLOOKUP("Avg",Table_PLT_Conversion[],2,FALSE)</f>
        <v>0</v>
      </c>
      <c r="Z137" s="13">
        <f>Data_PLT[[#This Row],[Is50 (MPa)]]*VLOOKUP("Max",Table_PLT_Conversion[],2,FALSE)</f>
        <v>0</v>
      </c>
      <c r="AA137" s="62" t="e">
        <f>MATCH(LOOKUP(Data_PLT[[#This Row],[UCS min (MPa)]],Table_FieldStrength[Min UCS]),Table_FieldStrength[Min UCS],0)-1</f>
        <v>#N/A</v>
      </c>
      <c r="AB137" s="62" t="e">
        <f>MATCH(LOOKUP(Data_PLT[[#This Row],[UCS avg (MPa)]],Table_FieldStrength[Min UCS]),Table_FieldStrength[Min UCS],0)-1</f>
        <v>#N/A</v>
      </c>
      <c r="AC137" s="62" t="e">
        <f>MATCH(LOOKUP(Data_PLT[[#This Row],[UCS max (MPa)]],Table_FieldStrength[Min UCS]),Table_FieldStrength[Min UCS],0)-1</f>
        <v>#N/A</v>
      </c>
      <c r="AD137" s="68" t="e">
        <f>Data_PLT[[#This Row],[Test code]]&amp;"-"&amp;Data_PLT[[#This Row],[UCS min code]]</f>
        <v>#N/A</v>
      </c>
      <c r="AE137" s="68" t="e">
        <f>Data_PLT[[#This Row],[Test code]]&amp;"-"&amp;Data_PLT[[#This Row],[UCS avg code]]</f>
        <v>#N/A</v>
      </c>
      <c r="AF137" s="67" t="e">
        <f>Data_PLT[[#This Row],[Test code]]&amp;"-"&amp;Data_PLT[[#This Row],[UCS max code]]</f>
        <v>#N/A</v>
      </c>
      <c r="AG137" s="67" t="str">
        <f>Data_PLT[[#This Row],[Failure type]]&amp;"-"&amp;Data_PLT[[#This Row],[Test type]]&amp;"-"&amp;(IF(Data_PLT[[#This Row],[Is50 (MPa)]]&lt;1,1,IF(Data_PLT[[#This Row],[Is50 (MPa)]]&lt;2,2,IF(Data_PLT[[#This Row],[Is50 (MPa)]]&lt;4,3,IF(Data_PLT[[#This Row],[Is50 (MPa)]]&lt;8,4,5)))))</f>
        <v>Chipped-Diametral-1</v>
      </c>
    </row>
    <row r="138" spans="1:33" x14ac:dyDescent="0.25">
      <c r="A138" t="s">
        <v>36</v>
      </c>
      <c r="B138" s="88" t="str">
        <f>VLOOKUP(Data_PLT[[#This Row],[Hole ID]],Data_Log[],2,FALSE)</f>
        <v>CGF-05</v>
      </c>
      <c r="C138" s="63">
        <f>IF(Data_PLT[[#This Row],[Hole ID]]="","",
IF(COUNTIF($A$4:A138,Data_PLT[[#This Row],[Hole ID]])=1,1,
IF(A138=A137,C137+1,
COUNTIF($A$4:A138,Data_PLT[[#This Row],[Hole ID]]))))</f>
        <v>21</v>
      </c>
      <c r="D138" s="63" t="str">
        <f>IF(Data_PLT[[#This Row],[Hole ID]]="","",Data_PLT[[#This Row],[Hole ID]]&amp;"_"&amp;Data_PLT[[#This Row],[Sample ID]])</f>
        <v>COG-25-12_21</v>
      </c>
      <c r="E138" s="6"/>
      <c r="F138" s="6">
        <v>81.8</v>
      </c>
      <c r="G138" s="63" t="str" cm="1">
        <f t="array" ref="G138">_xlfn.XLOOKUP(1,(A138=Geotech!$A$4:$A$11100)*(Data_PLT[[#This Row],[Depth (m)]]&gt;=Geotech!$C$4:$C$11100)*(Data_PLT[[#This Row],[Depth (m)]]&lt;Geotech!$D$4:$D$11100),Geotech!$M$4:$M$11100)</f>
        <v>Felsic Dyke MAS</v>
      </c>
      <c r="H138" s="6" t="s">
        <v>299</v>
      </c>
      <c r="I138" s="63" t="str">
        <f>VLOOKUP(Data_PLT[[#This Row],[Hole ID]],Data_Log[[Hole ID]:[Core size]],20,FALSE)</f>
        <v>HQ</v>
      </c>
      <c r="J138" s="13">
        <f>VLOOKUP(Data_PLT[[#This Row],[Core Size]],Table_CoreSize[],2,FALSE)</f>
        <v>63.5</v>
      </c>
      <c r="K138" s="19">
        <v>125</v>
      </c>
      <c r="L138" s="19" t="s">
        <v>574</v>
      </c>
      <c r="M138" s="5">
        <v>155</v>
      </c>
      <c r="N138" s="5"/>
      <c r="O138" s="6" t="s">
        <v>163</v>
      </c>
      <c r="P138" s="13" t="str">
        <f>IF(Data_PLT[[#This Row],[Failure type]]="","",IF(OR(Data_PLT[[#This Row],[Failure type]]="Invalid",Data_PLT[[#This Row],[Failure type]]="Chipped",Data_PLT[[#This Row],[Failure type]]="Penetrate",Data_PLT[[#This Row],[Failure type]]="Did not break"),"Invalid","Valid"))</f>
        <v>Valid</v>
      </c>
      <c r="Q138" s="6"/>
      <c r="R138" s="11"/>
      <c r="S138" s="13">
        <f>IF(Data_PLT[[#This Row],[Test type]]="Diametral",Data_PLT[[#This Row],[Diameter (mm)]],IF(Data_PLT[[#This Row],[Test type]]="Axial",SQRT(4*Data_PLT[[#This Row],[Diameter (mm)]]*Data_PLT[[#This Row],[Length or width (mm)]]/PI()),"ERROR"))</f>
        <v>63.5</v>
      </c>
      <c r="T138" s="13">
        <f>(Data_PLT[[#This Row],[Load (kN)]]*1000)/Data_PLT[[#This Row],[Equiv. Diam. (mm)]]^2</f>
        <v>0</v>
      </c>
      <c r="U138" s="13">
        <f>(Data_PLT[[#This Row],[Equiv. Diam. (mm)]]/50)^0.45</f>
        <v>1.1135550054708407</v>
      </c>
      <c r="V138" s="13">
        <f>Data_PLT[[#This Row],[Is (MPa)]]*Data_PLT[[#This Row],[F]]</f>
        <v>0</v>
      </c>
      <c r="W138" s="13" t="str">
        <f>Data_PLT[[#This Row],[Failure Validity]]&amp;"-"&amp;Data_PLT[[#This Row],[Test type]]</f>
        <v>Valid-Diametral</v>
      </c>
      <c r="X138" s="13">
        <f>Data_PLT[[#This Row],[Is50 (MPa)]]*VLOOKUP("Min",Table_PLT_Conversion[],2,FALSE)</f>
        <v>0</v>
      </c>
      <c r="Y138" s="13">
        <f>Data_PLT[[#This Row],[Is50 (MPa)]]*VLOOKUP("Avg",Table_PLT_Conversion[],2,FALSE)</f>
        <v>0</v>
      </c>
      <c r="Z138" s="13">
        <f>Data_PLT[[#This Row],[Is50 (MPa)]]*VLOOKUP("Max",Table_PLT_Conversion[],2,FALSE)</f>
        <v>0</v>
      </c>
      <c r="AA138" s="62" t="e">
        <f>MATCH(LOOKUP(Data_PLT[[#This Row],[UCS min (MPa)]],Table_FieldStrength[Min UCS]),Table_FieldStrength[Min UCS],0)-1</f>
        <v>#N/A</v>
      </c>
      <c r="AB138" s="62" t="e">
        <f>MATCH(LOOKUP(Data_PLT[[#This Row],[UCS avg (MPa)]],Table_FieldStrength[Min UCS]),Table_FieldStrength[Min UCS],0)-1</f>
        <v>#N/A</v>
      </c>
      <c r="AC138" s="62" t="e">
        <f>MATCH(LOOKUP(Data_PLT[[#This Row],[UCS max (MPa)]],Table_FieldStrength[Min UCS]),Table_FieldStrength[Min UCS],0)-1</f>
        <v>#N/A</v>
      </c>
      <c r="AD138" s="68" t="e">
        <f>Data_PLT[[#This Row],[Test code]]&amp;"-"&amp;Data_PLT[[#This Row],[UCS min code]]</f>
        <v>#N/A</v>
      </c>
      <c r="AE138" s="68" t="e">
        <f>Data_PLT[[#This Row],[Test code]]&amp;"-"&amp;Data_PLT[[#This Row],[UCS avg code]]</f>
        <v>#N/A</v>
      </c>
      <c r="AF138" s="67" t="e">
        <f>Data_PLT[[#This Row],[Test code]]&amp;"-"&amp;Data_PLT[[#This Row],[UCS max code]]</f>
        <v>#N/A</v>
      </c>
      <c r="AG138" s="67" t="str">
        <f>Data_PLT[[#This Row],[Failure type]]&amp;"-"&amp;Data_PLT[[#This Row],[Test type]]&amp;"-"&amp;(IF(Data_PLT[[#This Row],[Is50 (MPa)]]&lt;1,1,IF(Data_PLT[[#This Row],[Is50 (MPa)]]&lt;2,2,IF(Data_PLT[[#This Row],[Is50 (MPa)]]&lt;4,3,IF(Data_PLT[[#This Row],[Is50 (MPa)]]&lt;8,4,5)))))</f>
        <v>Broke along MD-Diametral-1</v>
      </c>
    </row>
    <row r="139" spans="1:33" x14ac:dyDescent="0.25">
      <c r="A139" t="s">
        <v>36</v>
      </c>
      <c r="B139" s="88" t="str">
        <f>VLOOKUP(Data_PLT[[#This Row],[Hole ID]],Data_Log[],2,FALSE)</f>
        <v>CGF-05</v>
      </c>
      <c r="C139" s="63">
        <f>IF(Data_PLT[[#This Row],[Hole ID]]="","",
IF(COUNTIF($A$4:A139,Data_PLT[[#This Row],[Hole ID]])=1,1,
IF(A139=A138,C138+1,
COUNTIF($A$4:A139,Data_PLT[[#This Row],[Hole ID]]))))</f>
        <v>22</v>
      </c>
      <c r="D139" s="63" t="str">
        <f>IF(Data_PLT[[#This Row],[Hole ID]]="","",Data_PLT[[#This Row],[Hole ID]]&amp;"_"&amp;Data_PLT[[#This Row],[Sample ID]])</f>
        <v>COG-25-12_22</v>
      </c>
      <c r="E139" s="6"/>
      <c r="F139" s="6">
        <v>86.4</v>
      </c>
      <c r="G139" s="63" t="str" cm="1">
        <f t="array" ref="G139">_xlfn.XLOOKUP(1,(A139=Geotech!$A$4:$A$11100)*(Data_PLT[[#This Row],[Depth (m)]]&gt;=Geotech!$C$4:$C$11100)*(Data_PLT[[#This Row],[Depth (m)]]&lt;Geotech!$D$4:$D$11100),Geotech!$M$4:$M$11100)</f>
        <v>TBP Agglomerate</v>
      </c>
      <c r="H139" s="6" t="s">
        <v>299</v>
      </c>
      <c r="I139" s="63" t="str">
        <f>VLOOKUP(Data_PLT[[#This Row],[Hole ID]],Data_Log[[Hole ID]:[Core size]],20,FALSE)</f>
        <v>HQ</v>
      </c>
      <c r="J139" s="13">
        <f>VLOOKUP(Data_PLT[[#This Row],[Core Size]],Table_CoreSize[],2,FALSE)</f>
        <v>63.5</v>
      </c>
      <c r="K139" s="19">
        <v>150</v>
      </c>
      <c r="L139" s="19" t="s">
        <v>574</v>
      </c>
      <c r="M139" s="5">
        <v>99.6</v>
      </c>
      <c r="N139" s="5"/>
      <c r="O139" s="6" t="s">
        <v>163</v>
      </c>
      <c r="P139" s="13" t="str">
        <f>IF(Data_PLT[[#This Row],[Failure type]]="","",IF(OR(Data_PLT[[#This Row],[Failure type]]="Invalid",Data_PLT[[#This Row],[Failure type]]="Chipped",Data_PLT[[#This Row],[Failure type]]="Penetrate",Data_PLT[[#This Row],[Failure type]]="Did not break"),"Invalid","Valid"))</f>
        <v>Valid</v>
      </c>
      <c r="Q139" s="6"/>
      <c r="R139" s="11"/>
      <c r="S139" s="13">
        <f>IF(Data_PLT[[#This Row],[Test type]]="Diametral",Data_PLT[[#This Row],[Diameter (mm)]],IF(Data_PLT[[#This Row],[Test type]]="Axial",SQRT(4*Data_PLT[[#This Row],[Diameter (mm)]]*Data_PLT[[#This Row],[Length or width (mm)]]/PI()),"ERROR"))</f>
        <v>63.5</v>
      </c>
      <c r="T139" s="13">
        <f>(Data_PLT[[#This Row],[Load (kN)]]*1000)/Data_PLT[[#This Row],[Equiv. Diam. (mm)]]^2</f>
        <v>0</v>
      </c>
      <c r="U139" s="13">
        <f>(Data_PLT[[#This Row],[Equiv. Diam. (mm)]]/50)^0.45</f>
        <v>1.1135550054708407</v>
      </c>
      <c r="V139" s="13">
        <f>Data_PLT[[#This Row],[Is (MPa)]]*Data_PLT[[#This Row],[F]]</f>
        <v>0</v>
      </c>
      <c r="W139" s="13" t="str">
        <f>Data_PLT[[#This Row],[Failure Validity]]&amp;"-"&amp;Data_PLT[[#This Row],[Test type]]</f>
        <v>Valid-Diametral</v>
      </c>
      <c r="X139" s="13">
        <f>Data_PLT[[#This Row],[Is50 (MPa)]]*VLOOKUP("Min",Table_PLT_Conversion[],2,FALSE)</f>
        <v>0</v>
      </c>
      <c r="Y139" s="13">
        <f>Data_PLT[[#This Row],[Is50 (MPa)]]*VLOOKUP("Avg",Table_PLT_Conversion[],2,FALSE)</f>
        <v>0</v>
      </c>
      <c r="Z139" s="13">
        <f>Data_PLT[[#This Row],[Is50 (MPa)]]*VLOOKUP("Max",Table_PLT_Conversion[],2,FALSE)</f>
        <v>0</v>
      </c>
      <c r="AA139" s="62" t="e">
        <f>MATCH(LOOKUP(Data_PLT[[#This Row],[UCS min (MPa)]],Table_FieldStrength[Min UCS]),Table_FieldStrength[Min UCS],0)-1</f>
        <v>#N/A</v>
      </c>
      <c r="AB139" s="62" t="e">
        <f>MATCH(LOOKUP(Data_PLT[[#This Row],[UCS avg (MPa)]],Table_FieldStrength[Min UCS]),Table_FieldStrength[Min UCS],0)-1</f>
        <v>#N/A</v>
      </c>
      <c r="AC139" s="62" t="e">
        <f>MATCH(LOOKUP(Data_PLT[[#This Row],[UCS max (MPa)]],Table_FieldStrength[Min UCS]),Table_FieldStrength[Min UCS],0)-1</f>
        <v>#N/A</v>
      </c>
      <c r="AD139" s="68" t="e">
        <f>Data_PLT[[#This Row],[Test code]]&amp;"-"&amp;Data_PLT[[#This Row],[UCS min code]]</f>
        <v>#N/A</v>
      </c>
      <c r="AE139" s="68" t="e">
        <f>Data_PLT[[#This Row],[Test code]]&amp;"-"&amp;Data_PLT[[#This Row],[UCS avg code]]</f>
        <v>#N/A</v>
      </c>
      <c r="AF139" s="67" t="e">
        <f>Data_PLT[[#This Row],[Test code]]&amp;"-"&amp;Data_PLT[[#This Row],[UCS max code]]</f>
        <v>#N/A</v>
      </c>
      <c r="AG139" s="67" t="str">
        <f>Data_PLT[[#This Row],[Failure type]]&amp;"-"&amp;Data_PLT[[#This Row],[Test type]]&amp;"-"&amp;(IF(Data_PLT[[#This Row],[Is50 (MPa)]]&lt;1,1,IF(Data_PLT[[#This Row],[Is50 (MPa)]]&lt;2,2,IF(Data_PLT[[#This Row],[Is50 (MPa)]]&lt;4,3,IF(Data_PLT[[#This Row],[Is50 (MPa)]]&lt;8,4,5)))))</f>
        <v>Broke along MD-Diametral-1</v>
      </c>
    </row>
    <row r="140" spans="1:33" x14ac:dyDescent="0.25">
      <c r="A140" t="s">
        <v>36</v>
      </c>
      <c r="B140" s="88" t="str">
        <f>VLOOKUP(Data_PLT[[#This Row],[Hole ID]],Data_Log[],2,FALSE)</f>
        <v>CGF-05</v>
      </c>
      <c r="C140" s="63">
        <f>IF(Data_PLT[[#This Row],[Hole ID]]="","",
IF(COUNTIF($A$4:A140,Data_PLT[[#This Row],[Hole ID]])=1,1,
IF(A140=A139,C139+1,
COUNTIF($A$4:A140,Data_PLT[[#This Row],[Hole ID]]))))</f>
        <v>23</v>
      </c>
      <c r="D140" s="63" t="str">
        <f>IF(Data_PLT[[#This Row],[Hole ID]]="","",Data_PLT[[#This Row],[Hole ID]]&amp;"_"&amp;Data_PLT[[#This Row],[Sample ID]])</f>
        <v>COG-25-12_23</v>
      </c>
      <c r="E140" s="6"/>
      <c r="F140" s="6">
        <v>87.18</v>
      </c>
      <c r="G140" s="63" t="str" cm="1">
        <f t="array" ref="G140">_xlfn.XLOOKUP(1,(A140=Geotech!$A$4:$A$11100)*(Data_PLT[[#This Row],[Depth (m)]]&gt;=Geotech!$C$4:$C$11100)*(Data_PLT[[#This Row],[Depth (m)]]&lt;Geotech!$D$4:$D$11100),Geotech!$M$4:$M$11100)</f>
        <v>TBP Agglomerate</v>
      </c>
      <c r="H140" s="6" t="s">
        <v>299</v>
      </c>
      <c r="I140" s="63" t="str">
        <f>VLOOKUP(Data_PLT[[#This Row],[Hole ID]],Data_Log[[Hole ID]:[Core size]],20,FALSE)</f>
        <v>HQ</v>
      </c>
      <c r="J140" s="13">
        <f>VLOOKUP(Data_PLT[[#This Row],[Core Size]],Table_CoreSize[],2,FALSE)</f>
        <v>63.5</v>
      </c>
      <c r="K140" s="19">
        <v>55</v>
      </c>
      <c r="L140" s="19" t="s">
        <v>574</v>
      </c>
      <c r="M140" s="5">
        <v>67.8</v>
      </c>
      <c r="N140" s="5"/>
      <c r="O140" s="6" t="s">
        <v>163</v>
      </c>
      <c r="P140" s="13" t="str">
        <f>IF(Data_PLT[[#This Row],[Failure type]]="","",IF(OR(Data_PLT[[#This Row],[Failure type]]="Invalid",Data_PLT[[#This Row],[Failure type]]="Chipped",Data_PLT[[#This Row],[Failure type]]="Penetrate",Data_PLT[[#This Row],[Failure type]]="Did not break"),"Invalid","Valid"))</f>
        <v>Valid</v>
      </c>
      <c r="Q140" s="6"/>
      <c r="R140" s="11"/>
      <c r="S140" s="13">
        <f>IF(Data_PLT[[#This Row],[Test type]]="Diametral",Data_PLT[[#This Row],[Diameter (mm)]],IF(Data_PLT[[#This Row],[Test type]]="Axial",SQRT(4*Data_PLT[[#This Row],[Diameter (mm)]]*Data_PLT[[#This Row],[Length or width (mm)]]/PI()),"ERROR"))</f>
        <v>63.5</v>
      </c>
      <c r="T140" s="13">
        <f>(Data_PLT[[#This Row],[Load (kN)]]*1000)/Data_PLT[[#This Row],[Equiv. Diam. (mm)]]^2</f>
        <v>0</v>
      </c>
      <c r="U140" s="13">
        <f>(Data_PLT[[#This Row],[Equiv. Diam. (mm)]]/50)^0.45</f>
        <v>1.1135550054708407</v>
      </c>
      <c r="V140" s="13">
        <f>Data_PLT[[#This Row],[Is (MPa)]]*Data_PLT[[#This Row],[F]]</f>
        <v>0</v>
      </c>
      <c r="W140" s="13" t="str">
        <f>Data_PLT[[#This Row],[Failure Validity]]&amp;"-"&amp;Data_PLT[[#This Row],[Test type]]</f>
        <v>Valid-Diametral</v>
      </c>
      <c r="X140" s="13">
        <f>Data_PLT[[#This Row],[Is50 (MPa)]]*VLOOKUP("Min",Table_PLT_Conversion[],2,FALSE)</f>
        <v>0</v>
      </c>
      <c r="Y140" s="13">
        <f>Data_PLT[[#This Row],[Is50 (MPa)]]*VLOOKUP("Avg",Table_PLT_Conversion[],2,FALSE)</f>
        <v>0</v>
      </c>
      <c r="Z140" s="13">
        <f>Data_PLT[[#This Row],[Is50 (MPa)]]*VLOOKUP("Max",Table_PLT_Conversion[],2,FALSE)</f>
        <v>0</v>
      </c>
      <c r="AA140" s="62" t="e">
        <f>MATCH(LOOKUP(Data_PLT[[#This Row],[UCS min (MPa)]],Table_FieldStrength[Min UCS]),Table_FieldStrength[Min UCS],0)-1</f>
        <v>#N/A</v>
      </c>
      <c r="AB140" s="62" t="e">
        <f>MATCH(LOOKUP(Data_PLT[[#This Row],[UCS avg (MPa)]],Table_FieldStrength[Min UCS]),Table_FieldStrength[Min UCS],0)-1</f>
        <v>#N/A</v>
      </c>
      <c r="AC140" s="62" t="e">
        <f>MATCH(LOOKUP(Data_PLT[[#This Row],[UCS max (MPa)]],Table_FieldStrength[Min UCS]),Table_FieldStrength[Min UCS],0)-1</f>
        <v>#N/A</v>
      </c>
      <c r="AD140" s="68" t="e">
        <f>Data_PLT[[#This Row],[Test code]]&amp;"-"&amp;Data_PLT[[#This Row],[UCS min code]]</f>
        <v>#N/A</v>
      </c>
      <c r="AE140" s="68" t="e">
        <f>Data_PLT[[#This Row],[Test code]]&amp;"-"&amp;Data_PLT[[#This Row],[UCS avg code]]</f>
        <v>#N/A</v>
      </c>
      <c r="AF140" s="67" t="e">
        <f>Data_PLT[[#This Row],[Test code]]&amp;"-"&amp;Data_PLT[[#This Row],[UCS max code]]</f>
        <v>#N/A</v>
      </c>
      <c r="AG140" s="67" t="str">
        <f>Data_PLT[[#This Row],[Failure type]]&amp;"-"&amp;Data_PLT[[#This Row],[Test type]]&amp;"-"&amp;(IF(Data_PLT[[#This Row],[Is50 (MPa)]]&lt;1,1,IF(Data_PLT[[#This Row],[Is50 (MPa)]]&lt;2,2,IF(Data_PLT[[#This Row],[Is50 (MPa)]]&lt;4,3,IF(Data_PLT[[#This Row],[Is50 (MPa)]]&lt;8,4,5)))))</f>
        <v>Broke along MD-Diametral-1</v>
      </c>
    </row>
    <row r="141" spans="1:33" x14ac:dyDescent="0.25">
      <c r="A141" t="s">
        <v>36</v>
      </c>
      <c r="B141" s="88" t="str">
        <f>VLOOKUP(Data_PLT[[#This Row],[Hole ID]],Data_Log[],2,FALSE)</f>
        <v>CGF-05</v>
      </c>
      <c r="C141" s="63">
        <f>IF(Data_PLT[[#This Row],[Hole ID]]="","",
IF(COUNTIF($A$4:A141,Data_PLT[[#This Row],[Hole ID]])=1,1,
IF(A141=A140,C140+1,
COUNTIF($A$4:A141,Data_PLT[[#This Row],[Hole ID]]))))</f>
        <v>24</v>
      </c>
      <c r="D141" s="63" t="str">
        <f>IF(Data_PLT[[#This Row],[Hole ID]]="","",Data_PLT[[#This Row],[Hole ID]]&amp;"_"&amp;Data_PLT[[#This Row],[Sample ID]])</f>
        <v>COG-25-12_24</v>
      </c>
      <c r="E141" s="6"/>
      <c r="F141" s="6">
        <v>90.42</v>
      </c>
      <c r="G141" s="63" t="str" cm="1">
        <f t="array" ref="G141">_xlfn.XLOOKUP(1,(A141=Geotech!$A$4:$A$11100)*(Data_PLT[[#This Row],[Depth (m)]]&gt;=Geotech!$C$4:$C$11100)*(Data_PLT[[#This Row],[Depth (m)]]&lt;Geotech!$D$4:$D$11100),Geotech!$M$4:$M$11100)</f>
        <v>TBP Agglomerate</v>
      </c>
      <c r="H141" s="6" t="s">
        <v>299</v>
      </c>
      <c r="I141" s="63" t="str">
        <f>VLOOKUP(Data_PLT[[#This Row],[Hole ID]],Data_Log[[Hole ID]:[Core size]],20,FALSE)</f>
        <v>HQ</v>
      </c>
      <c r="J141" s="13">
        <f>VLOOKUP(Data_PLT[[#This Row],[Core Size]],Table_CoreSize[],2,FALSE)</f>
        <v>63.5</v>
      </c>
      <c r="K141" s="19">
        <v>170</v>
      </c>
      <c r="L141" s="19" t="s">
        <v>574</v>
      </c>
      <c r="M141" s="5">
        <v>93</v>
      </c>
      <c r="N141" s="5"/>
      <c r="O141" s="6" t="s">
        <v>163</v>
      </c>
      <c r="P141" s="13" t="str">
        <f>IF(Data_PLT[[#This Row],[Failure type]]="","",IF(OR(Data_PLT[[#This Row],[Failure type]]="Invalid",Data_PLT[[#This Row],[Failure type]]="Chipped",Data_PLT[[#This Row],[Failure type]]="Penetrate",Data_PLT[[#This Row],[Failure type]]="Did not break"),"Invalid","Valid"))</f>
        <v>Valid</v>
      </c>
      <c r="Q141" s="6"/>
      <c r="R141" s="11"/>
      <c r="S141" s="13">
        <f>IF(Data_PLT[[#This Row],[Test type]]="Diametral",Data_PLT[[#This Row],[Diameter (mm)]],IF(Data_PLT[[#This Row],[Test type]]="Axial",SQRT(4*Data_PLT[[#This Row],[Diameter (mm)]]*Data_PLT[[#This Row],[Length or width (mm)]]/PI()),"ERROR"))</f>
        <v>63.5</v>
      </c>
      <c r="T141" s="13">
        <f>(Data_PLT[[#This Row],[Load (kN)]]*1000)/Data_PLT[[#This Row],[Equiv. Diam. (mm)]]^2</f>
        <v>0</v>
      </c>
      <c r="U141" s="13">
        <f>(Data_PLT[[#This Row],[Equiv. Diam. (mm)]]/50)^0.45</f>
        <v>1.1135550054708407</v>
      </c>
      <c r="V141" s="13">
        <f>Data_PLT[[#This Row],[Is (MPa)]]*Data_PLT[[#This Row],[F]]</f>
        <v>0</v>
      </c>
      <c r="W141" s="13" t="str">
        <f>Data_PLT[[#This Row],[Failure Validity]]&amp;"-"&amp;Data_PLT[[#This Row],[Test type]]</f>
        <v>Valid-Diametral</v>
      </c>
      <c r="X141" s="13">
        <f>Data_PLT[[#This Row],[Is50 (MPa)]]*VLOOKUP("Min",Table_PLT_Conversion[],2,FALSE)</f>
        <v>0</v>
      </c>
      <c r="Y141" s="13">
        <f>Data_PLT[[#This Row],[Is50 (MPa)]]*VLOOKUP("Avg",Table_PLT_Conversion[],2,FALSE)</f>
        <v>0</v>
      </c>
      <c r="Z141" s="13">
        <f>Data_PLT[[#This Row],[Is50 (MPa)]]*VLOOKUP("Max",Table_PLT_Conversion[],2,FALSE)</f>
        <v>0</v>
      </c>
      <c r="AA141" s="62" t="e">
        <f>MATCH(LOOKUP(Data_PLT[[#This Row],[UCS min (MPa)]],Table_FieldStrength[Min UCS]),Table_FieldStrength[Min UCS],0)-1</f>
        <v>#N/A</v>
      </c>
      <c r="AB141" s="62" t="e">
        <f>MATCH(LOOKUP(Data_PLT[[#This Row],[UCS avg (MPa)]],Table_FieldStrength[Min UCS]),Table_FieldStrength[Min UCS],0)-1</f>
        <v>#N/A</v>
      </c>
      <c r="AC141" s="62" t="e">
        <f>MATCH(LOOKUP(Data_PLT[[#This Row],[UCS max (MPa)]],Table_FieldStrength[Min UCS]),Table_FieldStrength[Min UCS],0)-1</f>
        <v>#N/A</v>
      </c>
      <c r="AD141" s="68" t="e">
        <f>Data_PLT[[#This Row],[Test code]]&amp;"-"&amp;Data_PLT[[#This Row],[UCS min code]]</f>
        <v>#N/A</v>
      </c>
      <c r="AE141" s="68" t="e">
        <f>Data_PLT[[#This Row],[Test code]]&amp;"-"&amp;Data_PLT[[#This Row],[UCS avg code]]</f>
        <v>#N/A</v>
      </c>
      <c r="AF141" s="67" t="e">
        <f>Data_PLT[[#This Row],[Test code]]&amp;"-"&amp;Data_PLT[[#This Row],[UCS max code]]</f>
        <v>#N/A</v>
      </c>
      <c r="AG141" s="67" t="str">
        <f>Data_PLT[[#This Row],[Failure type]]&amp;"-"&amp;Data_PLT[[#This Row],[Test type]]&amp;"-"&amp;(IF(Data_PLT[[#This Row],[Is50 (MPa)]]&lt;1,1,IF(Data_PLT[[#This Row],[Is50 (MPa)]]&lt;2,2,IF(Data_PLT[[#This Row],[Is50 (MPa)]]&lt;4,3,IF(Data_PLT[[#This Row],[Is50 (MPa)]]&lt;8,4,5)))))</f>
        <v>Broke along MD-Diametral-1</v>
      </c>
    </row>
    <row r="142" spans="1:33" x14ac:dyDescent="0.25">
      <c r="A142" t="s">
        <v>36</v>
      </c>
      <c r="B142" s="88" t="str">
        <f>VLOOKUP(Data_PLT[[#This Row],[Hole ID]],Data_Log[],2,FALSE)</f>
        <v>CGF-05</v>
      </c>
      <c r="C142" s="63">
        <f>IF(Data_PLT[[#This Row],[Hole ID]]="","",
IF(COUNTIF($A$4:A142,Data_PLT[[#This Row],[Hole ID]])=1,1,
IF(A142=A141,C141+1,
COUNTIF($A$4:A142,Data_PLT[[#This Row],[Hole ID]]))))</f>
        <v>25</v>
      </c>
      <c r="D142" s="63" t="str">
        <f>IF(Data_PLT[[#This Row],[Hole ID]]="","",Data_PLT[[#This Row],[Hole ID]]&amp;"_"&amp;Data_PLT[[#This Row],[Sample ID]])</f>
        <v>COG-25-12_25</v>
      </c>
      <c r="E142" s="6"/>
      <c r="F142" s="6">
        <v>92.31</v>
      </c>
      <c r="G142" s="63" t="str" cm="1">
        <f t="array" ref="G142">_xlfn.XLOOKUP(1,(A142=Geotech!$A$4:$A$11100)*(Data_PLT[[#This Row],[Depth (m)]]&gt;=Geotech!$C$4:$C$11100)*(Data_PLT[[#This Row],[Depth (m)]]&lt;Geotech!$D$4:$D$11100),Geotech!$M$4:$M$11100)</f>
        <v>Diorite</v>
      </c>
      <c r="H142" s="6" t="s">
        <v>299</v>
      </c>
      <c r="I142" s="63" t="str">
        <f>VLOOKUP(Data_PLT[[#This Row],[Hole ID]],Data_Log[[Hole ID]:[Core size]],20,FALSE)</f>
        <v>HQ</v>
      </c>
      <c r="J142" s="13">
        <f>VLOOKUP(Data_PLT[[#This Row],[Core Size]],Table_CoreSize[],2,FALSE)</f>
        <v>63.5</v>
      </c>
      <c r="K142" s="19">
        <v>125</v>
      </c>
      <c r="L142" s="19" t="s">
        <v>574</v>
      </c>
      <c r="M142" s="5">
        <v>176.6</v>
      </c>
      <c r="N142" s="5"/>
      <c r="O142" s="6" t="s">
        <v>163</v>
      </c>
      <c r="P142" s="13" t="str">
        <f>IF(Data_PLT[[#This Row],[Failure type]]="","",IF(OR(Data_PLT[[#This Row],[Failure type]]="Invalid",Data_PLT[[#This Row],[Failure type]]="Chipped",Data_PLT[[#This Row],[Failure type]]="Penetrate",Data_PLT[[#This Row],[Failure type]]="Did not break"),"Invalid","Valid"))</f>
        <v>Valid</v>
      </c>
      <c r="Q142" s="6"/>
      <c r="R142" s="11"/>
      <c r="S142" s="13">
        <f>IF(Data_PLT[[#This Row],[Test type]]="Diametral",Data_PLT[[#This Row],[Diameter (mm)]],IF(Data_PLT[[#This Row],[Test type]]="Axial",SQRT(4*Data_PLT[[#This Row],[Diameter (mm)]]*Data_PLT[[#This Row],[Length or width (mm)]]/PI()),"ERROR"))</f>
        <v>63.5</v>
      </c>
      <c r="T142" s="13">
        <f>(Data_PLT[[#This Row],[Load (kN)]]*1000)/Data_PLT[[#This Row],[Equiv. Diam. (mm)]]^2</f>
        <v>0</v>
      </c>
      <c r="U142" s="13">
        <f>(Data_PLT[[#This Row],[Equiv. Diam. (mm)]]/50)^0.45</f>
        <v>1.1135550054708407</v>
      </c>
      <c r="V142" s="13">
        <f>Data_PLT[[#This Row],[Is (MPa)]]*Data_PLT[[#This Row],[F]]</f>
        <v>0</v>
      </c>
      <c r="W142" s="13" t="str">
        <f>Data_PLT[[#This Row],[Failure Validity]]&amp;"-"&amp;Data_PLT[[#This Row],[Test type]]</f>
        <v>Valid-Diametral</v>
      </c>
      <c r="X142" s="13">
        <f>Data_PLT[[#This Row],[Is50 (MPa)]]*VLOOKUP("Min",Table_PLT_Conversion[],2,FALSE)</f>
        <v>0</v>
      </c>
      <c r="Y142" s="13">
        <f>Data_PLT[[#This Row],[Is50 (MPa)]]*VLOOKUP("Avg",Table_PLT_Conversion[],2,FALSE)</f>
        <v>0</v>
      </c>
      <c r="Z142" s="13">
        <f>Data_PLT[[#This Row],[Is50 (MPa)]]*VLOOKUP("Max",Table_PLT_Conversion[],2,FALSE)</f>
        <v>0</v>
      </c>
      <c r="AA142" s="62" t="e">
        <f>MATCH(LOOKUP(Data_PLT[[#This Row],[UCS min (MPa)]],Table_FieldStrength[Min UCS]),Table_FieldStrength[Min UCS],0)-1</f>
        <v>#N/A</v>
      </c>
      <c r="AB142" s="62" t="e">
        <f>MATCH(LOOKUP(Data_PLT[[#This Row],[UCS avg (MPa)]],Table_FieldStrength[Min UCS]),Table_FieldStrength[Min UCS],0)-1</f>
        <v>#N/A</v>
      </c>
      <c r="AC142" s="62" t="e">
        <f>MATCH(LOOKUP(Data_PLT[[#This Row],[UCS max (MPa)]],Table_FieldStrength[Min UCS]),Table_FieldStrength[Min UCS],0)-1</f>
        <v>#N/A</v>
      </c>
      <c r="AD142" s="68" t="e">
        <f>Data_PLT[[#This Row],[Test code]]&amp;"-"&amp;Data_PLT[[#This Row],[UCS min code]]</f>
        <v>#N/A</v>
      </c>
      <c r="AE142" s="68" t="e">
        <f>Data_PLT[[#This Row],[Test code]]&amp;"-"&amp;Data_PLT[[#This Row],[UCS avg code]]</f>
        <v>#N/A</v>
      </c>
      <c r="AF142" s="67" t="e">
        <f>Data_PLT[[#This Row],[Test code]]&amp;"-"&amp;Data_PLT[[#This Row],[UCS max code]]</f>
        <v>#N/A</v>
      </c>
      <c r="AG142" s="67" t="str">
        <f>Data_PLT[[#This Row],[Failure type]]&amp;"-"&amp;Data_PLT[[#This Row],[Test type]]&amp;"-"&amp;(IF(Data_PLT[[#This Row],[Is50 (MPa)]]&lt;1,1,IF(Data_PLT[[#This Row],[Is50 (MPa)]]&lt;2,2,IF(Data_PLT[[#This Row],[Is50 (MPa)]]&lt;4,3,IF(Data_PLT[[#This Row],[Is50 (MPa)]]&lt;8,4,5)))))</f>
        <v>Broke along MD-Diametral-1</v>
      </c>
    </row>
    <row r="143" spans="1:33" x14ac:dyDescent="0.25">
      <c r="A143" t="s">
        <v>36</v>
      </c>
      <c r="B143" s="88" t="str">
        <f>VLOOKUP(Data_PLT[[#This Row],[Hole ID]],Data_Log[],2,FALSE)</f>
        <v>CGF-05</v>
      </c>
      <c r="C143" s="63">
        <f>IF(Data_PLT[[#This Row],[Hole ID]]="","",
IF(COUNTIF($A$4:A143,Data_PLT[[#This Row],[Hole ID]])=1,1,
IF(A143=A142,C142+1,
COUNTIF($A$4:A143,Data_PLT[[#This Row],[Hole ID]]))))</f>
        <v>26</v>
      </c>
      <c r="D143" s="63" t="str">
        <f>IF(Data_PLT[[#This Row],[Hole ID]]="","",Data_PLT[[#This Row],[Hole ID]]&amp;"_"&amp;Data_PLT[[#This Row],[Sample ID]])</f>
        <v>COG-25-12_26</v>
      </c>
      <c r="E143" s="6"/>
      <c r="F143" s="6">
        <v>93.34</v>
      </c>
      <c r="G143" s="63" t="str" cm="1">
        <f t="array" ref="G143">_xlfn.XLOOKUP(1,(A143=Geotech!$A$4:$A$11100)*(Data_PLT[[#This Row],[Depth (m)]]&gt;=Geotech!$C$4:$C$11100)*(Data_PLT[[#This Row],[Depth (m)]]&lt;Geotech!$D$4:$D$11100),Geotech!$M$4:$M$11100)</f>
        <v>Diorite</v>
      </c>
      <c r="H143" s="6" t="s">
        <v>299</v>
      </c>
      <c r="I143" s="63" t="str">
        <f>VLOOKUP(Data_PLT[[#This Row],[Hole ID]],Data_Log[[Hole ID]:[Core size]],20,FALSE)</f>
        <v>HQ</v>
      </c>
      <c r="J143" s="13">
        <f>VLOOKUP(Data_PLT[[#This Row],[Core Size]],Table_CoreSize[],2,FALSE)</f>
        <v>63.5</v>
      </c>
      <c r="K143" s="19">
        <v>175</v>
      </c>
      <c r="L143" s="19" t="s">
        <v>574</v>
      </c>
      <c r="M143" s="5">
        <v>266.8</v>
      </c>
      <c r="N143" s="5"/>
      <c r="O143" s="6" t="s">
        <v>163</v>
      </c>
      <c r="P143" s="13" t="str">
        <f>IF(Data_PLT[[#This Row],[Failure type]]="","",IF(OR(Data_PLT[[#This Row],[Failure type]]="Invalid",Data_PLT[[#This Row],[Failure type]]="Chipped",Data_PLT[[#This Row],[Failure type]]="Penetrate",Data_PLT[[#This Row],[Failure type]]="Did not break"),"Invalid","Valid"))</f>
        <v>Valid</v>
      </c>
      <c r="Q143" s="6"/>
      <c r="R143" s="11"/>
      <c r="S143" s="13">
        <f>IF(Data_PLT[[#This Row],[Test type]]="Diametral",Data_PLT[[#This Row],[Diameter (mm)]],IF(Data_PLT[[#This Row],[Test type]]="Axial",SQRT(4*Data_PLT[[#This Row],[Diameter (mm)]]*Data_PLT[[#This Row],[Length or width (mm)]]/PI()),"ERROR"))</f>
        <v>63.5</v>
      </c>
      <c r="T143" s="13">
        <f>(Data_PLT[[#This Row],[Load (kN)]]*1000)/Data_PLT[[#This Row],[Equiv. Diam. (mm)]]^2</f>
        <v>0</v>
      </c>
      <c r="U143" s="13">
        <f>(Data_PLT[[#This Row],[Equiv. Diam. (mm)]]/50)^0.45</f>
        <v>1.1135550054708407</v>
      </c>
      <c r="V143" s="13">
        <f>Data_PLT[[#This Row],[Is (MPa)]]*Data_PLT[[#This Row],[F]]</f>
        <v>0</v>
      </c>
      <c r="W143" s="13" t="str">
        <f>Data_PLT[[#This Row],[Failure Validity]]&amp;"-"&amp;Data_PLT[[#This Row],[Test type]]</f>
        <v>Valid-Diametral</v>
      </c>
      <c r="X143" s="13">
        <f>Data_PLT[[#This Row],[Is50 (MPa)]]*VLOOKUP("Min",Table_PLT_Conversion[],2,FALSE)</f>
        <v>0</v>
      </c>
      <c r="Y143" s="13">
        <f>Data_PLT[[#This Row],[Is50 (MPa)]]*VLOOKUP("Avg",Table_PLT_Conversion[],2,FALSE)</f>
        <v>0</v>
      </c>
      <c r="Z143" s="13">
        <f>Data_PLT[[#This Row],[Is50 (MPa)]]*VLOOKUP("Max",Table_PLT_Conversion[],2,FALSE)</f>
        <v>0</v>
      </c>
      <c r="AA143" s="62" t="e">
        <f>MATCH(LOOKUP(Data_PLT[[#This Row],[UCS min (MPa)]],Table_FieldStrength[Min UCS]),Table_FieldStrength[Min UCS],0)-1</f>
        <v>#N/A</v>
      </c>
      <c r="AB143" s="62" t="e">
        <f>MATCH(LOOKUP(Data_PLT[[#This Row],[UCS avg (MPa)]],Table_FieldStrength[Min UCS]),Table_FieldStrength[Min UCS],0)-1</f>
        <v>#N/A</v>
      </c>
      <c r="AC143" s="62" t="e">
        <f>MATCH(LOOKUP(Data_PLT[[#This Row],[UCS max (MPa)]],Table_FieldStrength[Min UCS]),Table_FieldStrength[Min UCS],0)-1</f>
        <v>#N/A</v>
      </c>
      <c r="AD143" s="68" t="e">
        <f>Data_PLT[[#This Row],[Test code]]&amp;"-"&amp;Data_PLT[[#This Row],[UCS min code]]</f>
        <v>#N/A</v>
      </c>
      <c r="AE143" s="68" t="e">
        <f>Data_PLT[[#This Row],[Test code]]&amp;"-"&amp;Data_PLT[[#This Row],[UCS avg code]]</f>
        <v>#N/A</v>
      </c>
      <c r="AF143" s="67" t="e">
        <f>Data_PLT[[#This Row],[Test code]]&amp;"-"&amp;Data_PLT[[#This Row],[UCS max code]]</f>
        <v>#N/A</v>
      </c>
      <c r="AG143" s="67" t="str">
        <f>Data_PLT[[#This Row],[Failure type]]&amp;"-"&amp;Data_PLT[[#This Row],[Test type]]&amp;"-"&amp;(IF(Data_PLT[[#This Row],[Is50 (MPa)]]&lt;1,1,IF(Data_PLT[[#This Row],[Is50 (MPa)]]&lt;2,2,IF(Data_PLT[[#This Row],[Is50 (MPa)]]&lt;4,3,IF(Data_PLT[[#This Row],[Is50 (MPa)]]&lt;8,4,5)))))</f>
        <v>Broke along MD-Diametral-1</v>
      </c>
    </row>
    <row r="144" spans="1:33" x14ac:dyDescent="0.25">
      <c r="A144" t="s">
        <v>36</v>
      </c>
      <c r="B144" s="88" t="str">
        <f>VLOOKUP(Data_PLT[[#This Row],[Hole ID]],Data_Log[],2,FALSE)</f>
        <v>CGF-05</v>
      </c>
      <c r="C144" s="63">
        <f>IF(Data_PLT[[#This Row],[Hole ID]]="","",
IF(COUNTIF($A$4:A144,Data_PLT[[#This Row],[Hole ID]])=1,1,
IF(A144=A143,C143+1,
COUNTIF($A$4:A144,Data_PLT[[#This Row],[Hole ID]]))))</f>
        <v>27</v>
      </c>
      <c r="D144" s="63" t="str">
        <f>IF(Data_PLT[[#This Row],[Hole ID]]="","",Data_PLT[[#This Row],[Hole ID]]&amp;"_"&amp;Data_PLT[[#This Row],[Sample ID]])</f>
        <v>COG-25-12_27</v>
      </c>
      <c r="E144" s="6"/>
      <c r="F144" s="6">
        <v>96.92</v>
      </c>
      <c r="G144" s="63" t="str" cm="1">
        <f t="array" ref="G144">_xlfn.XLOOKUP(1,(A144=Geotech!$A$4:$A$11100)*(Data_PLT[[#This Row],[Depth (m)]]&gt;=Geotech!$C$4:$C$11100)*(Data_PLT[[#This Row],[Depth (m)]]&lt;Geotech!$D$4:$D$11100),Geotech!$M$4:$M$11100)</f>
        <v>Diorite</v>
      </c>
      <c r="H144" s="6" t="s">
        <v>299</v>
      </c>
      <c r="I144" s="63" t="str">
        <f>VLOOKUP(Data_PLT[[#This Row],[Hole ID]],Data_Log[[Hole ID]:[Core size]],20,FALSE)</f>
        <v>HQ</v>
      </c>
      <c r="J144" s="13">
        <f>VLOOKUP(Data_PLT[[#This Row],[Core Size]],Table_CoreSize[],2,FALSE)</f>
        <v>63.5</v>
      </c>
      <c r="K144" s="19">
        <v>55</v>
      </c>
      <c r="L144" s="19" t="s">
        <v>574</v>
      </c>
      <c r="M144" s="5">
        <v>166.6</v>
      </c>
      <c r="N144" s="5"/>
      <c r="O144" s="6" t="s">
        <v>163</v>
      </c>
      <c r="P144" s="13" t="str">
        <f>IF(Data_PLT[[#This Row],[Failure type]]="","",IF(OR(Data_PLT[[#This Row],[Failure type]]="Invalid",Data_PLT[[#This Row],[Failure type]]="Chipped",Data_PLT[[#This Row],[Failure type]]="Penetrate",Data_PLT[[#This Row],[Failure type]]="Did not break"),"Invalid","Valid"))</f>
        <v>Valid</v>
      </c>
      <c r="Q144" s="6"/>
      <c r="R144" s="11"/>
      <c r="S144" s="13">
        <f>IF(Data_PLT[[#This Row],[Test type]]="Diametral",Data_PLT[[#This Row],[Diameter (mm)]],IF(Data_PLT[[#This Row],[Test type]]="Axial",SQRT(4*Data_PLT[[#This Row],[Diameter (mm)]]*Data_PLT[[#This Row],[Length or width (mm)]]/PI()),"ERROR"))</f>
        <v>63.5</v>
      </c>
      <c r="T144" s="13">
        <f>(Data_PLT[[#This Row],[Load (kN)]]*1000)/Data_PLT[[#This Row],[Equiv. Diam. (mm)]]^2</f>
        <v>0</v>
      </c>
      <c r="U144" s="13">
        <f>(Data_PLT[[#This Row],[Equiv. Diam. (mm)]]/50)^0.45</f>
        <v>1.1135550054708407</v>
      </c>
      <c r="V144" s="13">
        <f>Data_PLT[[#This Row],[Is (MPa)]]*Data_PLT[[#This Row],[F]]</f>
        <v>0</v>
      </c>
      <c r="W144" s="13" t="str">
        <f>Data_PLT[[#This Row],[Failure Validity]]&amp;"-"&amp;Data_PLT[[#This Row],[Test type]]</f>
        <v>Valid-Diametral</v>
      </c>
      <c r="X144" s="13">
        <f>Data_PLT[[#This Row],[Is50 (MPa)]]*VLOOKUP("Min",Table_PLT_Conversion[],2,FALSE)</f>
        <v>0</v>
      </c>
      <c r="Y144" s="13">
        <f>Data_PLT[[#This Row],[Is50 (MPa)]]*VLOOKUP("Avg",Table_PLT_Conversion[],2,FALSE)</f>
        <v>0</v>
      </c>
      <c r="Z144" s="13">
        <f>Data_PLT[[#This Row],[Is50 (MPa)]]*VLOOKUP("Max",Table_PLT_Conversion[],2,FALSE)</f>
        <v>0</v>
      </c>
      <c r="AA144" s="62" t="e">
        <f>MATCH(LOOKUP(Data_PLT[[#This Row],[UCS min (MPa)]],Table_FieldStrength[Min UCS]),Table_FieldStrength[Min UCS],0)-1</f>
        <v>#N/A</v>
      </c>
      <c r="AB144" s="62" t="e">
        <f>MATCH(LOOKUP(Data_PLT[[#This Row],[UCS avg (MPa)]],Table_FieldStrength[Min UCS]),Table_FieldStrength[Min UCS],0)-1</f>
        <v>#N/A</v>
      </c>
      <c r="AC144" s="62" t="e">
        <f>MATCH(LOOKUP(Data_PLT[[#This Row],[UCS max (MPa)]],Table_FieldStrength[Min UCS]),Table_FieldStrength[Min UCS],0)-1</f>
        <v>#N/A</v>
      </c>
      <c r="AD144" s="68" t="e">
        <f>Data_PLT[[#This Row],[Test code]]&amp;"-"&amp;Data_PLT[[#This Row],[UCS min code]]</f>
        <v>#N/A</v>
      </c>
      <c r="AE144" s="68" t="e">
        <f>Data_PLT[[#This Row],[Test code]]&amp;"-"&amp;Data_PLT[[#This Row],[UCS avg code]]</f>
        <v>#N/A</v>
      </c>
      <c r="AF144" s="67" t="e">
        <f>Data_PLT[[#This Row],[Test code]]&amp;"-"&amp;Data_PLT[[#This Row],[UCS max code]]</f>
        <v>#N/A</v>
      </c>
      <c r="AG144" s="67" t="str">
        <f>Data_PLT[[#This Row],[Failure type]]&amp;"-"&amp;Data_PLT[[#This Row],[Test type]]&amp;"-"&amp;(IF(Data_PLT[[#This Row],[Is50 (MPa)]]&lt;1,1,IF(Data_PLT[[#This Row],[Is50 (MPa)]]&lt;2,2,IF(Data_PLT[[#This Row],[Is50 (MPa)]]&lt;4,3,IF(Data_PLT[[#This Row],[Is50 (MPa)]]&lt;8,4,5)))))</f>
        <v>Broke along MD-Diametral-1</v>
      </c>
    </row>
    <row r="145" spans="1:33" x14ac:dyDescent="0.25">
      <c r="A145" t="s">
        <v>36</v>
      </c>
      <c r="B145" s="88" t="str">
        <f>VLOOKUP(Data_PLT[[#This Row],[Hole ID]],Data_Log[],2,FALSE)</f>
        <v>CGF-05</v>
      </c>
      <c r="C145" s="63">
        <f>IF(Data_PLT[[#This Row],[Hole ID]]="","",
IF(COUNTIF($A$4:A145,Data_PLT[[#This Row],[Hole ID]])=1,1,
IF(A145=A144,C144+1,
COUNTIF($A$4:A145,Data_PLT[[#This Row],[Hole ID]]))))</f>
        <v>28</v>
      </c>
      <c r="D145" s="63" t="str">
        <f>IF(Data_PLT[[#This Row],[Hole ID]]="","",Data_PLT[[#This Row],[Hole ID]]&amp;"_"&amp;Data_PLT[[#This Row],[Sample ID]])</f>
        <v>COG-25-12_28</v>
      </c>
      <c r="E145" s="6"/>
      <c r="F145" s="6">
        <v>97.98</v>
      </c>
      <c r="G145" s="63" t="str" cm="1">
        <f t="array" ref="G145">_xlfn.XLOOKUP(1,(A145=Geotech!$A$4:$A$11100)*(Data_PLT[[#This Row],[Depth (m)]]&gt;=Geotech!$C$4:$C$11100)*(Data_PLT[[#This Row],[Depth (m)]]&lt;Geotech!$D$4:$D$11100),Geotech!$M$4:$M$11100)</f>
        <v>TBP Agglomerate</v>
      </c>
      <c r="H145" s="6" t="s">
        <v>299</v>
      </c>
      <c r="I145" s="63" t="str">
        <f>VLOOKUP(Data_PLT[[#This Row],[Hole ID]],Data_Log[[Hole ID]:[Core size]],20,FALSE)</f>
        <v>HQ</v>
      </c>
      <c r="J145" s="13">
        <f>VLOOKUP(Data_PLT[[#This Row],[Core Size]],Table_CoreSize[],2,FALSE)</f>
        <v>63.5</v>
      </c>
      <c r="K145" s="19">
        <v>100</v>
      </c>
      <c r="L145" s="19" t="s">
        <v>574</v>
      </c>
      <c r="M145" s="5">
        <v>133.80000000000001</v>
      </c>
      <c r="N145" s="5"/>
      <c r="O145" s="6" t="s">
        <v>300</v>
      </c>
      <c r="P145" s="13" t="str">
        <f>IF(Data_PLT[[#This Row],[Failure type]]="","",IF(OR(Data_PLT[[#This Row],[Failure type]]="Invalid",Data_PLT[[#This Row],[Failure type]]="Chipped",Data_PLT[[#This Row],[Failure type]]="Penetrate",Data_PLT[[#This Row],[Failure type]]="Did not break"),"Invalid","Valid"))</f>
        <v>Valid</v>
      </c>
      <c r="Q145" s="6"/>
      <c r="R145" s="11"/>
      <c r="S145" s="13">
        <f>IF(Data_PLT[[#This Row],[Test type]]="Diametral",Data_PLT[[#This Row],[Diameter (mm)]],IF(Data_PLT[[#This Row],[Test type]]="Axial",SQRT(4*Data_PLT[[#This Row],[Diameter (mm)]]*Data_PLT[[#This Row],[Length or width (mm)]]/PI()),"ERROR"))</f>
        <v>63.5</v>
      </c>
      <c r="T145" s="13">
        <f>(Data_PLT[[#This Row],[Load (kN)]]*1000)/Data_PLT[[#This Row],[Equiv. Diam. (mm)]]^2</f>
        <v>0</v>
      </c>
      <c r="U145" s="13">
        <f>(Data_PLT[[#This Row],[Equiv. Diam. (mm)]]/50)^0.45</f>
        <v>1.1135550054708407</v>
      </c>
      <c r="V145" s="13">
        <f>Data_PLT[[#This Row],[Is (MPa)]]*Data_PLT[[#This Row],[F]]</f>
        <v>0</v>
      </c>
      <c r="W145" s="13" t="str">
        <f>Data_PLT[[#This Row],[Failure Validity]]&amp;"-"&amp;Data_PLT[[#This Row],[Test type]]</f>
        <v>Valid-Diametral</v>
      </c>
      <c r="X145" s="13">
        <f>Data_PLT[[#This Row],[Is50 (MPa)]]*VLOOKUP("Min",Table_PLT_Conversion[],2,FALSE)</f>
        <v>0</v>
      </c>
      <c r="Y145" s="13">
        <f>Data_PLT[[#This Row],[Is50 (MPa)]]*VLOOKUP("Avg",Table_PLT_Conversion[],2,FALSE)</f>
        <v>0</v>
      </c>
      <c r="Z145" s="13">
        <f>Data_PLT[[#This Row],[Is50 (MPa)]]*VLOOKUP("Max",Table_PLT_Conversion[],2,FALSE)</f>
        <v>0</v>
      </c>
      <c r="AA145" s="62" t="e">
        <f>MATCH(LOOKUP(Data_PLT[[#This Row],[UCS min (MPa)]],Table_FieldStrength[Min UCS]),Table_FieldStrength[Min UCS],0)-1</f>
        <v>#N/A</v>
      </c>
      <c r="AB145" s="62" t="e">
        <f>MATCH(LOOKUP(Data_PLT[[#This Row],[UCS avg (MPa)]],Table_FieldStrength[Min UCS]),Table_FieldStrength[Min UCS],0)-1</f>
        <v>#N/A</v>
      </c>
      <c r="AC145" s="62" t="e">
        <f>MATCH(LOOKUP(Data_PLT[[#This Row],[UCS max (MPa)]],Table_FieldStrength[Min UCS]),Table_FieldStrength[Min UCS],0)-1</f>
        <v>#N/A</v>
      </c>
      <c r="AD145" s="68" t="e">
        <f>Data_PLT[[#This Row],[Test code]]&amp;"-"&amp;Data_PLT[[#This Row],[UCS min code]]</f>
        <v>#N/A</v>
      </c>
      <c r="AE145" s="68" t="e">
        <f>Data_PLT[[#This Row],[Test code]]&amp;"-"&amp;Data_PLT[[#This Row],[UCS avg code]]</f>
        <v>#N/A</v>
      </c>
      <c r="AF145" s="67" t="e">
        <f>Data_PLT[[#This Row],[Test code]]&amp;"-"&amp;Data_PLT[[#This Row],[UCS max code]]</f>
        <v>#N/A</v>
      </c>
      <c r="AG145" s="67" t="str">
        <f>Data_PLT[[#This Row],[Failure type]]&amp;"-"&amp;Data_PLT[[#This Row],[Test type]]&amp;"-"&amp;(IF(Data_PLT[[#This Row],[Is50 (MPa)]]&lt;1,1,IF(Data_PLT[[#This Row],[Is50 (MPa)]]&lt;2,2,IF(Data_PLT[[#This Row],[Is50 (MPa)]]&lt;4,3,IF(Data_PLT[[#This Row],[Is50 (MPa)]]&lt;8,4,5)))))</f>
        <v>Intact-Diametral-1</v>
      </c>
    </row>
    <row r="146" spans="1:33" x14ac:dyDescent="0.25">
      <c r="A146" t="s">
        <v>36</v>
      </c>
      <c r="B146" s="88" t="str">
        <f>VLOOKUP(Data_PLT[[#This Row],[Hole ID]],Data_Log[],2,FALSE)</f>
        <v>CGF-05</v>
      </c>
      <c r="C146" s="63">
        <f>IF(Data_PLT[[#This Row],[Hole ID]]="","",
IF(COUNTIF($A$4:A146,Data_PLT[[#This Row],[Hole ID]])=1,1,
IF(A146=A145,C145+1,
COUNTIF($A$4:A146,Data_PLT[[#This Row],[Hole ID]]))))</f>
        <v>29</v>
      </c>
      <c r="D146" s="63" t="str">
        <f>IF(Data_PLT[[#This Row],[Hole ID]]="","",Data_PLT[[#This Row],[Hole ID]]&amp;"_"&amp;Data_PLT[[#This Row],[Sample ID]])</f>
        <v>COG-25-12_29</v>
      </c>
      <c r="E146" s="6"/>
      <c r="F146" s="6">
        <v>99.07</v>
      </c>
      <c r="G146" s="63" t="str" cm="1">
        <f t="array" ref="G146">_xlfn.XLOOKUP(1,(A146=Geotech!$A$4:$A$11100)*(Data_PLT[[#This Row],[Depth (m)]]&gt;=Geotech!$C$4:$C$11100)*(Data_PLT[[#This Row],[Depth (m)]]&lt;Geotech!$D$4:$D$11100),Geotech!$M$4:$M$11100)</f>
        <v>TBP Agglomerate</v>
      </c>
      <c r="H146" s="6" t="s">
        <v>299</v>
      </c>
      <c r="I146" s="63" t="str">
        <f>VLOOKUP(Data_PLT[[#This Row],[Hole ID]],Data_Log[[Hole ID]:[Core size]],20,FALSE)</f>
        <v>HQ</v>
      </c>
      <c r="J146" s="13">
        <f>VLOOKUP(Data_PLT[[#This Row],[Core Size]],Table_CoreSize[],2,FALSE)</f>
        <v>63.5</v>
      </c>
      <c r="K146" s="19">
        <v>90</v>
      </c>
      <c r="L146" s="19" t="s">
        <v>574</v>
      </c>
      <c r="M146" s="5">
        <v>154.4</v>
      </c>
      <c r="N146" s="5"/>
      <c r="O146" s="6" t="s">
        <v>163</v>
      </c>
      <c r="P146" s="13" t="str">
        <f>IF(Data_PLT[[#This Row],[Failure type]]="","",IF(OR(Data_PLT[[#This Row],[Failure type]]="Invalid",Data_PLT[[#This Row],[Failure type]]="Chipped",Data_PLT[[#This Row],[Failure type]]="Penetrate",Data_PLT[[#This Row],[Failure type]]="Did not break"),"Invalid","Valid"))</f>
        <v>Valid</v>
      </c>
      <c r="Q146" s="6"/>
      <c r="R146" s="11"/>
      <c r="S146" s="13">
        <f>IF(Data_PLT[[#This Row],[Test type]]="Diametral",Data_PLT[[#This Row],[Diameter (mm)]],IF(Data_PLT[[#This Row],[Test type]]="Axial",SQRT(4*Data_PLT[[#This Row],[Diameter (mm)]]*Data_PLT[[#This Row],[Length or width (mm)]]/PI()),"ERROR"))</f>
        <v>63.5</v>
      </c>
      <c r="T146" s="13">
        <f>(Data_PLT[[#This Row],[Load (kN)]]*1000)/Data_PLT[[#This Row],[Equiv. Diam. (mm)]]^2</f>
        <v>0</v>
      </c>
      <c r="U146" s="13">
        <f>(Data_PLT[[#This Row],[Equiv. Diam. (mm)]]/50)^0.45</f>
        <v>1.1135550054708407</v>
      </c>
      <c r="V146" s="13">
        <f>Data_PLT[[#This Row],[Is (MPa)]]*Data_PLT[[#This Row],[F]]</f>
        <v>0</v>
      </c>
      <c r="W146" s="13" t="str">
        <f>Data_PLT[[#This Row],[Failure Validity]]&amp;"-"&amp;Data_PLT[[#This Row],[Test type]]</f>
        <v>Valid-Diametral</v>
      </c>
      <c r="X146" s="13">
        <f>Data_PLT[[#This Row],[Is50 (MPa)]]*VLOOKUP("Min",Table_PLT_Conversion[],2,FALSE)</f>
        <v>0</v>
      </c>
      <c r="Y146" s="13">
        <f>Data_PLT[[#This Row],[Is50 (MPa)]]*VLOOKUP("Avg",Table_PLT_Conversion[],2,FALSE)</f>
        <v>0</v>
      </c>
      <c r="Z146" s="13">
        <f>Data_PLT[[#This Row],[Is50 (MPa)]]*VLOOKUP("Max",Table_PLT_Conversion[],2,FALSE)</f>
        <v>0</v>
      </c>
      <c r="AA146" s="62" t="e">
        <f>MATCH(LOOKUP(Data_PLT[[#This Row],[UCS min (MPa)]],Table_FieldStrength[Min UCS]),Table_FieldStrength[Min UCS],0)-1</f>
        <v>#N/A</v>
      </c>
      <c r="AB146" s="62" t="e">
        <f>MATCH(LOOKUP(Data_PLT[[#This Row],[UCS avg (MPa)]],Table_FieldStrength[Min UCS]),Table_FieldStrength[Min UCS],0)-1</f>
        <v>#N/A</v>
      </c>
      <c r="AC146" s="62" t="e">
        <f>MATCH(LOOKUP(Data_PLT[[#This Row],[UCS max (MPa)]],Table_FieldStrength[Min UCS]),Table_FieldStrength[Min UCS],0)-1</f>
        <v>#N/A</v>
      </c>
      <c r="AD146" s="68" t="e">
        <f>Data_PLT[[#This Row],[Test code]]&amp;"-"&amp;Data_PLT[[#This Row],[UCS min code]]</f>
        <v>#N/A</v>
      </c>
      <c r="AE146" s="68" t="e">
        <f>Data_PLT[[#This Row],[Test code]]&amp;"-"&amp;Data_PLT[[#This Row],[UCS avg code]]</f>
        <v>#N/A</v>
      </c>
      <c r="AF146" s="67" t="e">
        <f>Data_PLT[[#This Row],[Test code]]&amp;"-"&amp;Data_PLT[[#This Row],[UCS max code]]</f>
        <v>#N/A</v>
      </c>
      <c r="AG146" s="67" t="str">
        <f>Data_PLT[[#This Row],[Failure type]]&amp;"-"&amp;Data_PLT[[#This Row],[Test type]]&amp;"-"&amp;(IF(Data_PLT[[#This Row],[Is50 (MPa)]]&lt;1,1,IF(Data_PLT[[#This Row],[Is50 (MPa)]]&lt;2,2,IF(Data_PLT[[#This Row],[Is50 (MPa)]]&lt;4,3,IF(Data_PLT[[#This Row],[Is50 (MPa)]]&lt;8,4,5)))))</f>
        <v>Broke along MD-Diametral-1</v>
      </c>
    </row>
    <row r="147" spans="1:33" x14ac:dyDescent="0.25">
      <c r="A147" t="s">
        <v>36</v>
      </c>
      <c r="B147" s="88" t="str">
        <f>VLOOKUP(Data_PLT[[#This Row],[Hole ID]],Data_Log[],2,FALSE)</f>
        <v>CGF-05</v>
      </c>
      <c r="C147" s="63">
        <f>IF(Data_PLT[[#This Row],[Hole ID]]="","",
IF(COUNTIF($A$4:A147,Data_PLT[[#This Row],[Hole ID]])=1,1,
IF(A147=A146,C146+1,
COUNTIF($A$4:A147,Data_PLT[[#This Row],[Hole ID]]))))</f>
        <v>30</v>
      </c>
      <c r="D147" s="63" t="str">
        <f>IF(Data_PLT[[#This Row],[Hole ID]]="","",Data_PLT[[#This Row],[Hole ID]]&amp;"_"&amp;Data_PLT[[#This Row],[Sample ID]])</f>
        <v>COG-25-12_30</v>
      </c>
      <c r="E147" s="6"/>
      <c r="F147" s="6">
        <v>103.17</v>
      </c>
      <c r="G147" s="63" t="str" cm="1">
        <f t="array" ref="G147">_xlfn.XLOOKUP(1,(A147=Geotech!$A$4:$A$11100)*(Data_PLT[[#This Row],[Depth (m)]]&gt;=Geotech!$C$4:$C$11100)*(Data_PLT[[#This Row],[Depth (m)]]&lt;Geotech!$D$4:$D$11100),Geotech!$M$4:$M$11100)</f>
        <v>TBP Agglomerate</v>
      </c>
      <c r="H147" s="6" t="s">
        <v>299</v>
      </c>
      <c r="I147" s="63" t="str">
        <f>VLOOKUP(Data_PLT[[#This Row],[Hole ID]],Data_Log[[Hole ID]:[Core size]],20,FALSE)</f>
        <v>HQ</v>
      </c>
      <c r="J147" s="13">
        <f>VLOOKUP(Data_PLT[[#This Row],[Core Size]],Table_CoreSize[],2,FALSE)</f>
        <v>63.5</v>
      </c>
      <c r="K147" s="19">
        <v>80</v>
      </c>
      <c r="L147" s="19" t="s">
        <v>574</v>
      </c>
      <c r="M147" s="5">
        <v>167.8</v>
      </c>
      <c r="N147" s="5"/>
      <c r="O147" s="6" t="s">
        <v>163</v>
      </c>
      <c r="P147" s="13" t="str">
        <f>IF(Data_PLT[[#This Row],[Failure type]]="","",IF(OR(Data_PLT[[#This Row],[Failure type]]="Invalid",Data_PLT[[#This Row],[Failure type]]="Chipped",Data_PLT[[#This Row],[Failure type]]="Penetrate",Data_PLT[[#This Row],[Failure type]]="Did not break"),"Invalid","Valid"))</f>
        <v>Valid</v>
      </c>
      <c r="Q147" s="6"/>
      <c r="R147" s="11"/>
      <c r="S147" s="13">
        <f>IF(Data_PLT[[#This Row],[Test type]]="Diametral",Data_PLT[[#This Row],[Diameter (mm)]],IF(Data_PLT[[#This Row],[Test type]]="Axial",SQRT(4*Data_PLT[[#This Row],[Diameter (mm)]]*Data_PLT[[#This Row],[Length or width (mm)]]/PI()),"ERROR"))</f>
        <v>63.5</v>
      </c>
      <c r="T147" s="13">
        <f>(Data_PLT[[#This Row],[Load (kN)]]*1000)/Data_PLT[[#This Row],[Equiv. Diam. (mm)]]^2</f>
        <v>0</v>
      </c>
      <c r="U147" s="13">
        <f>(Data_PLT[[#This Row],[Equiv. Diam. (mm)]]/50)^0.45</f>
        <v>1.1135550054708407</v>
      </c>
      <c r="V147" s="13">
        <f>Data_PLT[[#This Row],[Is (MPa)]]*Data_PLT[[#This Row],[F]]</f>
        <v>0</v>
      </c>
      <c r="W147" s="13" t="str">
        <f>Data_PLT[[#This Row],[Failure Validity]]&amp;"-"&amp;Data_PLT[[#This Row],[Test type]]</f>
        <v>Valid-Diametral</v>
      </c>
      <c r="X147" s="13">
        <f>Data_PLT[[#This Row],[Is50 (MPa)]]*VLOOKUP("Min",Table_PLT_Conversion[],2,FALSE)</f>
        <v>0</v>
      </c>
      <c r="Y147" s="13">
        <f>Data_PLT[[#This Row],[Is50 (MPa)]]*VLOOKUP("Avg",Table_PLT_Conversion[],2,FALSE)</f>
        <v>0</v>
      </c>
      <c r="Z147" s="13">
        <f>Data_PLT[[#This Row],[Is50 (MPa)]]*VLOOKUP("Max",Table_PLT_Conversion[],2,FALSE)</f>
        <v>0</v>
      </c>
      <c r="AA147" s="62" t="e">
        <f>MATCH(LOOKUP(Data_PLT[[#This Row],[UCS min (MPa)]],Table_FieldStrength[Min UCS]),Table_FieldStrength[Min UCS],0)-1</f>
        <v>#N/A</v>
      </c>
      <c r="AB147" s="62" t="e">
        <f>MATCH(LOOKUP(Data_PLT[[#This Row],[UCS avg (MPa)]],Table_FieldStrength[Min UCS]),Table_FieldStrength[Min UCS],0)-1</f>
        <v>#N/A</v>
      </c>
      <c r="AC147" s="62" t="e">
        <f>MATCH(LOOKUP(Data_PLT[[#This Row],[UCS max (MPa)]],Table_FieldStrength[Min UCS]),Table_FieldStrength[Min UCS],0)-1</f>
        <v>#N/A</v>
      </c>
      <c r="AD147" s="68" t="e">
        <f>Data_PLT[[#This Row],[Test code]]&amp;"-"&amp;Data_PLT[[#This Row],[UCS min code]]</f>
        <v>#N/A</v>
      </c>
      <c r="AE147" s="68" t="e">
        <f>Data_PLT[[#This Row],[Test code]]&amp;"-"&amp;Data_PLT[[#This Row],[UCS avg code]]</f>
        <v>#N/A</v>
      </c>
      <c r="AF147" s="67" t="e">
        <f>Data_PLT[[#This Row],[Test code]]&amp;"-"&amp;Data_PLT[[#This Row],[UCS max code]]</f>
        <v>#N/A</v>
      </c>
      <c r="AG147" s="67" t="str">
        <f>Data_PLT[[#This Row],[Failure type]]&amp;"-"&amp;Data_PLT[[#This Row],[Test type]]&amp;"-"&amp;(IF(Data_PLT[[#This Row],[Is50 (MPa)]]&lt;1,1,IF(Data_PLT[[#This Row],[Is50 (MPa)]]&lt;2,2,IF(Data_PLT[[#This Row],[Is50 (MPa)]]&lt;4,3,IF(Data_PLT[[#This Row],[Is50 (MPa)]]&lt;8,4,5)))))</f>
        <v>Broke along MD-Diametral-1</v>
      </c>
    </row>
    <row r="148" spans="1:33" x14ac:dyDescent="0.25">
      <c r="A148" t="s">
        <v>36</v>
      </c>
      <c r="B148" s="88" t="str">
        <f>VLOOKUP(Data_PLT[[#This Row],[Hole ID]],Data_Log[],2,FALSE)</f>
        <v>CGF-05</v>
      </c>
      <c r="C148" s="63">
        <f>IF(Data_PLT[[#This Row],[Hole ID]]="","",
IF(COUNTIF($A$4:A148,Data_PLT[[#This Row],[Hole ID]])=1,1,
IF(A148=A147,C147+1,
COUNTIF($A$4:A148,Data_PLT[[#This Row],[Hole ID]]))))</f>
        <v>31</v>
      </c>
      <c r="D148" s="63" t="str">
        <f>IF(Data_PLT[[#This Row],[Hole ID]]="","",Data_PLT[[#This Row],[Hole ID]]&amp;"_"&amp;Data_PLT[[#This Row],[Sample ID]])</f>
        <v>COG-25-12_31</v>
      </c>
      <c r="E148" s="6"/>
      <c r="F148" s="6">
        <v>106.45</v>
      </c>
      <c r="G148" s="63" t="str" cm="1">
        <f t="array" ref="G148">_xlfn.XLOOKUP(1,(A148=Geotech!$A$4:$A$11100)*(Data_PLT[[#This Row],[Depth (m)]]&gt;=Geotech!$C$4:$C$11100)*(Data_PLT[[#This Row],[Depth (m)]]&lt;Geotech!$D$4:$D$11100),Geotech!$M$4:$M$11100)</f>
        <v>TBP Agglomerate</v>
      </c>
      <c r="H148" s="6" t="s">
        <v>299</v>
      </c>
      <c r="I148" s="63" t="str">
        <f>VLOOKUP(Data_PLT[[#This Row],[Hole ID]],Data_Log[[Hole ID]:[Core size]],20,FALSE)</f>
        <v>HQ</v>
      </c>
      <c r="J148" s="13">
        <f>VLOOKUP(Data_PLT[[#This Row],[Core Size]],Table_CoreSize[],2,FALSE)</f>
        <v>63.5</v>
      </c>
      <c r="K148" s="19">
        <v>130</v>
      </c>
      <c r="L148" s="19" t="s">
        <v>574</v>
      </c>
      <c r="M148" s="5">
        <v>238.4</v>
      </c>
      <c r="N148" s="5"/>
      <c r="O148" s="6" t="s">
        <v>300</v>
      </c>
      <c r="P148" s="13" t="str">
        <f>IF(Data_PLT[[#This Row],[Failure type]]="","",IF(OR(Data_PLT[[#This Row],[Failure type]]="Invalid",Data_PLT[[#This Row],[Failure type]]="Chipped",Data_PLT[[#This Row],[Failure type]]="Penetrate",Data_PLT[[#This Row],[Failure type]]="Did not break"),"Invalid","Valid"))</f>
        <v>Valid</v>
      </c>
      <c r="Q148" s="6"/>
      <c r="R148" s="11"/>
      <c r="S148" s="13">
        <f>IF(Data_PLT[[#This Row],[Test type]]="Diametral",Data_PLT[[#This Row],[Diameter (mm)]],IF(Data_PLT[[#This Row],[Test type]]="Axial",SQRT(4*Data_PLT[[#This Row],[Diameter (mm)]]*Data_PLT[[#This Row],[Length or width (mm)]]/PI()),"ERROR"))</f>
        <v>63.5</v>
      </c>
      <c r="T148" s="13">
        <f>(Data_PLT[[#This Row],[Load (kN)]]*1000)/Data_PLT[[#This Row],[Equiv. Diam. (mm)]]^2</f>
        <v>0</v>
      </c>
      <c r="U148" s="13">
        <f>(Data_PLT[[#This Row],[Equiv. Diam. (mm)]]/50)^0.45</f>
        <v>1.1135550054708407</v>
      </c>
      <c r="V148" s="13">
        <f>Data_PLT[[#This Row],[Is (MPa)]]*Data_PLT[[#This Row],[F]]</f>
        <v>0</v>
      </c>
      <c r="W148" s="13" t="str">
        <f>Data_PLT[[#This Row],[Failure Validity]]&amp;"-"&amp;Data_PLT[[#This Row],[Test type]]</f>
        <v>Valid-Diametral</v>
      </c>
      <c r="X148" s="13">
        <f>Data_PLT[[#This Row],[Is50 (MPa)]]*VLOOKUP("Min",Table_PLT_Conversion[],2,FALSE)</f>
        <v>0</v>
      </c>
      <c r="Y148" s="13">
        <f>Data_PLT[[#This Row],[Is50 (MPa)]]*VLOOKUP("Avg",Table_PLT_Conversion[],2,FALSE)</f>
        <v>0</v>
      </c>
      <c r="Z148" s="13">
        <f>Data_PLT[[#This Row],[Is50 (MPa)]]*VLOOKUP("Max",Table_PLT_Conversion[],2,FALSE)</f>
        <v>0</v>
      </c>
      <c r="AA148" s="62" t="e">
        <f>MATCH(LOOKUP(Data_PLT[[#This Row],[UCS min (MPa)]],Table_FieldStrength[Min UCS]),Table_FieldStrength[Min UCS],0)-1</f>
        <v>#N/A</v>
      </c>
      <c r="AB148" s="62" t="e">
        <f>MATCH(LOOKUP(Data_PLT[[#This Row],[UCS avg (MPa)]],Table_FieldStrength[Min UCS]),Table_FieldStrength[Min UCS],0)-1</f>
        <v>#N/A</v>
      </c>
      <c r="AC148" s="62" t="e">
        <f>MATCH(LOOKUP(Data_PLT[[#This Row],[UCS max (MPa)]],Table_FieldStrength[Min UCS]),Table_FieldStrength[Min UCS],0)-1</f>
        <v>#N/A</v>
      </c>
      <c r="AD148" s="68" t="e">
        <f>Data_PLT[[#This Row],[Test code]]&amp;"-"&amp;Data_PLT[[#This Row],[UCS min code]]</f>
        <v>#N/A</v>
      </c>
      <c r="AE148" s="68" t="e">
        <f>Data_PLT[[#This Row],[Test code]]&amp;"-"&amp;Data_PLT[[#This Row],[UCS avg code]]</f>
        <v>#N/A</v>
      </c>
      <c r="AF148" s="67" t="e">
        <f>Data_PLT[[#This Row],[Test code]]&amp;"-"&amp;Data_PLT[[#This Row],[UCS max code]]</f>
        <v>#N/A</v>
      </c>
      <c r="AG148" s="67" t="str">
        <f>Data_PLT[[#This Row],[Failure type]]&amp;"-"&amp;Data_PLT[[#This Row],[Test type]]&amp;"-"&amp;(IF(Data_PLT[[#This Row],[Is50 (MPa)]]&lt;1,1,IF(Data_PLT[[#This Row],[Is50 (MPa)]]&lt;2,2,IF(Data_PLT[[#This Row],[Is50 (MPa)]]&lt;4,3,IF(Data_PLT[[#This Row],[Is50 (MPa)]]&lt;8,4,5)))))</f>
        <v>Intact-Diametral-1</v>
      </c>
    </row>
    <row r="149" spans="1:33" x14ac:dyDescent="0.25">
      <c r="A149" t="s">
        <v>36</v>
      </c>
      <c r="B149" s="88" t="str">
        <f>VLOOKUP(Data_PLT[[#This Row],[Hole ID]],Data_Log[],2,FALSE)</f>
        <v>CGF-05</v>
      </c>
      <c r="C149" s="63">
        <f>IF(Data_PLT[[#This Row],[Hole ID]]="","",
IF(COUNTIF($A$4:A149,Data_PLT[[#This Row],[Hole ID]])=1,1,
IF(A149=A148,C148+1,
COUNTIF($A$4:A149,Data_PLT[[#This Row],[Hole ID]]))))</f>
        <v>32</v>
      </c>
      <c r="D149" s="63" t="str">
        <f>IF(Data_PLT[[#This Row],[Hole ID]]="","",Data_PLT[[#This Row],[Hole ID]]&amp;"_"&amp;Data_PLT[[#This Row],[Sample ID]])</f>
        <v>COG-25-12_32</v>
      </c>
      <c r="E149" s="6"/>
      <c r="F149" s="6">
        <v>109.04</v>
      </c>
      <c r="G149" s="63" t="str" cm="1">
        <f t="array" ref="G149">_xlfn.XLOOKUP(1,(A149=Geotech!$A$4:$A$11100)*(Data_PLT[[#This Row],[Depth (m)]]&gt;=Geotech!$C$4:$C$11100)*(Data_PLT[[#This Row],[Depth (m)]]&lt;Geotech!$D$4:$D$11100),Geotech!$M$4:$M$11100)</f>
        <v>TBP Agglomerate</v>
      </c>
      <c r="H149" s="6" t="s">
        <v>299</v>
      </c>
      <c r="I149" s="63" t="str">
        <f>VLOOKUP(Data_PLT[[#This Row],[Hole ID]],Data_Log[[Hole ID]:[Core size]],20,FALSE)</f>
        <v>HQ</v>
      </c>
      <c r="J149" s="13">
        <f>VLOOKUP(Data_PLT[[#This Row],[Core Size]],Table_CoreSize[],2,FALSE)</f>
        <v>63.5</v>
      </c>
      <c r="K149" s="19">
        <v>140</v>
      </c>
      <c r="L149" s="19" t="s">
        <v>574</v>
      </c>
      <c r="M149" s="5">
        <v>74.400000000000006</v>
      </c>
      <c r="N149" s="5"/>
      <c r="O149" s="6" t="s">
        <v>163</v>
      </c>
      <c r="P149" s="13" t="str">
        <f>IF(Data_PLT[[#This Row],[Failure type]]="","",IF(OR(Data_PLT[[#This Row],[Failure type]]="Invalid",Data_PLT[[#This Row],[Failure type]]="Chipped",Data_PLT[[#This Row],[Failure type]]="Penetrate",Data_PLT[[#This Row],[Failure type]]="Did not break"),"Invalid","Valid"))</f>
        <v>Valid</v>
      </c>
      <c r="Q149" s="6"/>
      <c r="R149" s="11"/>
      <c r="S149" s="13">
        <f>IF(Data_PLT[[#This Row],[Test type]]="Diametral",Data_PLT[[#This Row],[Diameter (mm)]],IF(Data_PLT[[#This Row],[Test type]]="Axial",SQRT(4*Data_PLT[[#This Row],[Diameter (mm)]]*Data_PLT[[#This Row],[Length or width (mm)]]/PI()),"ERROR"))</f>
        <v>63.5</v>
      </c>
      <c r="T149" s="13">
        <f>(Data_PLT[[#This Row],[Load (kN)]]*1000)/Data_PLT[[#This Row],[Equiv. Diam. (mm)]]^2</f>
        <v>0</v>
      </c>
      <c r="U149" s="13">
        <f>(Data_PLT[[#This Row],[Equiv. Diam. (mm)]]/50)^0.45</f>
        <v>1.1135550054708407</v>
      </c>
      <c r="V149" s="13">
        <f>Data_PLT[[#This Row],[Is (MPa)]]*Data_PLT[[#This Row],[F]]</f>
        <v>0</v>
      </c>
      <c r="W149" s="13" t="str">
        <f>Data_PLT[[#This Row],[Failure Validity]]&amp;"-"&amp;Data_PLT[[#This Row],[Test type]]</f>
        <v>Valid-Diametral</v>
      </c>
      <c r="X149" s="13">
        <f>Data_PLT[[#This Row],[Is50 (MPa)]]*VLOOKUP("Min",Table_PLT_Conversion[],2,FALSE)</f>
        <v>0</v>
      </c>
      <c r="Y149" s="13">
        <f>Data_PLT[[#This Row],[Is50 (MPa)]]*VLOOKUP("Avg",Table_PLT_Conversion[],2,FALSE)</f>
        <v>0</v>
      </c>
      <c r="Z149" s="13">
        <f>Data_PLT[[#This Row],[Is50 (MPa)]]*VLOOKUP("Max",Table_PLT_Conversion[],2,FALSE)</f>
        <v>0</v>
      </c>
      <c r="AA149" s="62" t="e">
        <f>MATCH(LOOKUP(Data_PLT[[#This Row],[UCS min (MPa)]],Table_FieldStrength[Min UCS]),Table_FieldStrength[Min UCS],0)-1</f>
        <v>#N/A</v>
      </c>
      <c r="AB149" s="62" t="e">
        <f>MATCH(LOOKUP(Data_PLT[[#This Row],[UCS avg (MPa)]],Table_FieldStrength[Min UCS]),Table_FieldStrength[Min UCS],0)-1</f>
        <v>#N/A</v>
      </c>
      <c r="AC149" s="62" t="e">
        <f>MATCH(LOOKUP(Data_PLT[[#This Row],[UCS max (MPa)]],Table_FieldStrength[Min UCS]),Table_FieldStrength[Min UCS],0)-1</f>
        <v>#N/A</v>
      </c>
      <c r="AD149" s="68" t="e">
        <f>Data_PLT[[#This Row],[Test code]]&amp;"-"&amp;Data_PLT[[#This Row],[UCS min code]]</f>
        <v>#N/A</v>
      </c>
      <c r="AE149" s="68" t="e">
        <f>Data_PLT[[#This Row],[Test code]]&amp;"-"&amp;Data_PLT[[#This Row],[UCS avg code]]</f>
        <v>#N/A</v>
      </c>
      <c r="AF149" s="67" t="e">
        <f>Data_PLT[[#This Row],[Test code]]&amp;"-"&amp;Data_PLT[[#This Row],[UCS max code]]</f>
        <v>#N/A</v>
      </c>
      <c r="AG149" s="67" t="str">
        <f>Data_PLT[[#This Row],[Failure type]]&amp;"-"&amp;Data_PLT[[#This Row],[Test type]]&amp;"-"&amp;(IF(Data_PLT[[#This Row],[Is50 (MPa)]]&lt;1,1,IF(Data_PLT[[#This Row],[Is50 (MPa)]]&lt;2,2,IF(Data_PLT[[#This Row],[Is50 (MPa)]]&lt;4,3,IF(Data_PLT[[#This Row],[Is50 (MPa)]]&lt;8,4,5)))))</f>
        <v>Broke along MD-Diametral-1</v>
      </c>
    </row>
    <row r="150" spans="1:33" x14ac:dyDescent="0.25">
      <c r="A150" t="s">
        <v>36</v>
      </c>
      <c r="B150" s="88" t="str">
        <f>VLOOKUP(Data_PLT[[#This Row],[Hole ID]],Data_Log[],2,FALSE)</f>
        <v>CGF-05</v>
      </c>
      <c r="C150" s="63">
        <f>IF(Data_PLT[[#This Row],[Hole ID]]="","",
IF(COUNTIF($A$4:A150,Data_PLT[[#This Row],[Hole ID]])=1,1,
IF(A150=A149,C149+1,
COUNTIF($A$4:A150,Data_PLT[[#This Row],[Hole ID]]))))</f>
        <v>33</v>
      </c>
      <c r="D150" s="63" t="str">
        <f>IF(Data_PLT[[#This Row],[Hole ID]]="","",Data_PLT[[#This Row],[Hole ID]]&amp;"_"&amp;Data_PLT[[#This Row],[Sample ID]])</f>
        <v>COG-25-12_33</v>
      </c>
      <c r="E150" s="6"/>
      <c r="F150" s="6">
        <v>111.1</v>
      </c>
      <c r="G150" s="63" t="str" cm="1">
        <f t="array" ref="G150">_xlfn.XLOOKUP(1,(A150=Geotech!$A$4:$A$11100)*(Data_PLT[[#This Row],[Depth (m)]]&gt;=Geotech!$C$4:$C$11100)*(Data_PLT[[#This Row],[Depth (m)]]&lt;Geotech!$D$4:$D$11100),Geotech!$M$4:$M$11100)</f>
        <v>TBP Agglomerate</v>
      </c>
      <c r="H150" s="6" t="s">
        <v>299</v>
      </c>
      <c r="I150" s="63" t="str">
        <f>VLOOKUP(Data_PLT[[#This Row],[Hole ID]],Data_Log[[Hole ID]:[Core size]],20,FALSE)</f>
        <v>HQ</v>
      </c>
      <c r="J150" s="13">
        <f>VLOOKUP(Data_PLT[[#This Row],[Core Size]],Table_CoreSize[],2,FALSE)</f>
        <v>63.5</v>
      </c>
      <c r="K150" s="19">
        <v>120</v>
      </c>
      <c r="L150" s="19" t="s">
        <v>574</v>
      </c>
      <c r="M150" s="5">
        <v>111.4</v>
      </c>
      <c r="N150" s="5"/>
      <c r="O150" s="6" t="s">
        <v>163</v>
      </c>
      <c r="P150" s="13" t="str">
        <f>IF(Data_PLT[[#This Row],[Failure type]]="","",IF(OR(Data_PLT[[#This Row],[Failure type]]="Invalid",Data_PLT[[#This Row],[Failure type]]="Chipped",Data_PLT[[#This Row],[Failure type]]="Penetrate",Data_PLT[[#This Row],[Failure type]]="Did not break"),"Invalid","Valid"))</f>
        <v>Valid</v>
      </c>
      <c r="Q150" s="6"/>
      <c r="R150" s="11"/>
      <c r="S150" s="13">
        <f>IF(Data_PLT[[#This Row],[Test type]]="Diametral",Data_PLT[[#This Row],[Diameter (mm)]],IF(Data_PLT[[#This Row],[Test type]]="Axial",SQRT(4*Data_PLT[[#This Row],[Diameter (mm)]]*Data_PLT[[#This Row],[Length or width (mm)]]/PI()),"ERROR"))</f>
        <v>63.5</v>
      </c>
      <c r="T150" s="13">
        <f>(Data_PLT[[#This Row],[Load (kN)]]*1000)/Data_PLT[[#This Row],[Equiv. Diam. (mm)]]^2</f>
        <v>0</v>
      </c>
      <c r="U150" s="13">
        <f>(Data_PLT[[#This Row],[Equiv. Diam. (mm)]]/50)^0.45</f>
        <v>1.1135550054708407</v>
      </c>
      <c r="V150" s="13">
        <f>Data_PLT[[#This Row],[Is (MPa)]]*Data_PLT[[#This Row],[F]]</f>
        <v>0</v>
      </c>
      <c r="W150" s="13" t="str">
        <f>Data_PLT[[#This Row],[Failure Validity]]&amp;"-"&amp;Data_PLT[[#This Row],[Test type]]</f>
        <v>Valid-Diametral</v>
      </c>
      <c r="X150" s="13">
        <f>Data_PLT[[#This Row],[Is50 (MPa)]]*VLOOKUP("Min",Table_PLT_Conversion[],2,FALSE)</f>
        <v>0</v>
      </c>
      <c r="Y150" s="13">
        <f>Data_PLT[[#This Row],[Is50 (MPa)]]*VLOOKUP("Avg",Table_PLT_Conversion[],2,FALSE)</f>
        <v>0</v>
      </c>
      <c r="Z150" s="13">
        <f>Data_PLT[[#This Row],[Is50 (MPa)]]*VLOOKUP("Max",Table_PLT_Conversion[],2,FALSE)</f>
        <v>0</v>
      </c>
      <c r="AA150" s="62" t="e">
        <f>MATCH(LOOKUP(Data_PLT[[#This Row],[UCS min (MPa)]],Table_FieldStrength[Min UCS]),Table_FieldStrength[Min UCS],0)-1</f>
        <v>#N/A</v>
      </c>
      <c r="AB150" s="62" t="e">
        <f>MATCH(LOOKUP(Data_PLT[[#This Row],[UCS avg (MPa)]],Table_FieldStrength[Min UCS]),Table_FieldStrength[Min UCS],0)-1</f>
        <v>#N/A</v>
      </c>
      <c r="AC150" s="62" t="e">
        <f>MATCH(LOOKUP(Data_PLT[[#This Row],[UCS max (MPa)]],Table_FieldStrength[Min UCS]),Table_FieldStrength[Min UCS],0)-1</f>
        <v>#N/A</v>
      </c>
      <c r="AD150" s="68" t="e">
        <f>Data_PLT[[#This Row],[Test code]]&amp;"-"&amp;Data_PLT[[#This Row],[UCS min code]]</f>
        <v>#N/A</v>
      </c>
      <c r="AE150" s="68" t="e">
        <f>Data_PLT[[#This Row],[Test code]]&amp;"-"&amp;Data_PLT[[#This Row],[UCS avg code]]</f>
        <v>#N/A</v>
      </c>
      <c r="AF150" s="67" t="e">
        <f>Data_PLT[[#This Row],[Test code]]&amp;"-"&amp;Data_PLT[[#This Row],[UCS max code]]</f>
        <v>#N/A</v>
      </c>
      <c r="AG150" s="67" t="str">
        <f>Data_PLT[[#This Row],[Failure type]]&amp;"-"&amp;Data_PLT[[#This Row],[Test type]]&amp;"-"&amp;(IF(Data_PLT[[#This Row],[Is50 (MPa)]]&lt;1,1,IF(Data_PLT[[#This Row],[Is50 (MPa)]]&lt;2,2,IF(Data_PLT[[#This Row],[Is50 (MPa)]]&lt;4,3,IF(Data_PLT[[#This Row],[Is50 (MPa)]]&lt;8,4,5)))))</f>
        <v>Broke along MD-Diametral-1</v>
      </c>
    </row>
    <row r="151" spans="1:33" x14ac:dyDescent="0.25">
      <c r="A151" t="s">
        <v>36</v>
      </c>
      <c r="B151" s="88" t="str">
        <f>VLOOKUP(Data_PLT[[#This Row],[Hole ID]],Data_Log[],2,FALSE)</f>
        <v>CGF-05</v>
      </c>
      <c r="C151" s="63">
        <f>IF(Data_PLT[[#This Row],[Hole ID]]="","",
IF(COUNTIF($A$4:A151,Data_PLT[[#This Row],[Hole ID]])=1,1,
IF(A151=A150,C150+1,
COUNTIF($A$4:A151,Data_PLT[[#This Row],[Hole ID]]))))</f>
        <v>34</v>
      </c>
      <c r="D151" s="63" t="str">
        <f>IF(Data_PLT[[#This Row],[Hole ID]]="","",Data_PLT[[#This Row],[Hole ID]]&amp;"_"&amp;Data_PLT[[#This Row],[Sample ID]])</f>
        <v>COG-25-12_34</v>
      </c>
      <c r="E151" s="6"/>
      <c r="F151" s="6">
        <v>116.95</v>
      </c>
      <c r="G151" s="63" t="str" cm="1">
        <f t="array" ref="G151">_xlfn.XLOOKUP(1,(A151=Geotech!$A$4:$A$11100)*(Data_PLT[[#This Row],[Depth (m)]]&gt;=Geotech!$C$4:$C$11100)*(Data_PLT[[#This Row],[Depth (m)]]&lt;Geotech!$D$4:$D$11100),Geotech!$M$4:$M$11100)</f>
        <v>TBP Agglomerate</v>
      </c>
      <c r="H151" s="6" t="s">
        <v>299</v>
      </c>
      <c r="I151" s="63" t="str">
        <f>VLOOKUP(Data_PLT[[#This Row],[Hole ID]],Data_Log[[Hole ID]:[Core size]],20,FALSE)</f>
        <v>HQ</v>
      </c>
      <c r="J151" s="13">
        <f>VLOOKUP(Data_PLT[[#This Row],[Core Size]],Table_CoreSize[],2,FALSE)</f>
        <v>63.5</v>
      </c>
      <c r="K151" s="19">
        <v>130</v>
      </c>
      <c r="L151" s="19" t="s">
        <v>574</v>
      </c>
      <c r="M151" s="5">
        <v>135</v>
      </c>
      <c r="N151" s="5"/>
      <c r="O151" s="6" t="s">
        <v>163</v>
      </c>
      <c r="P151" s="13" t="str">
        <f>IF(Data_PLT[[#This Row],[Failure type]]="","",IF(OR(Data_PLT[[#This Row],[Failure type]]="Invalid",Data_PLT[[#This Row],[Failure type]]="Chipped",Data_PLT[[#This Row],[Failure type]]="Penetrate",Data_PLT[[#This Row],[Failure type]]="Did not break"),"Invalid","Valid"))</f>
        <v>Valid</v>
      </c>
      <c r="Q151" s="6"/>
      <c r="R151" s="11"/>
      <c r="S151" s="13">
        <f>IF(Data_PLT[[#This Row],[Test type]]="Diametral",Data_PLT[[#This Row],[Diameter (mm)]],IF(Data_PLT[[#This Row],[Test type]]="Axial",SQRT(4*Data_PLT[[#This Row],[Diameter (mm)]]*Data_PLT[[#This Row],[Length or width (mm)]]/PI()),"ERROR"))</f>
        <v>63.5</v>
      </c>
      <c r="T151" s="13">
        <f>(Data_PLT[[#This Row],[Load (kN)]]*1000)/Data_PLT[[#This Row],[Equiv. Diam. (mm)]]^2</f>
        <v>0</v>
      </c>
      <c r="U151" s="13">
        <f>(Data_PLT[[#This Row],[Equiv. Diam. (mm)]]/50)^0.45</f>
        <v>1.1135550054708407</v>
      </c>
      <c r="V151" s="13">
        <f>Data_PLT[[#This Row],[Is (MPa)]]*Data_PLT[[#This Row],[F]]</f>
        <v>0</v>
      </c>
      <c r="W151" s="13" t="str">
        <f>Data_PLT[[#This Row],[Failure Validity]]&amp;"-"&amp;Data_PLT[[#This Row],[Test type]]</f>
        <v>Valid-Diametral</v>
      </c>
      <c r="X151" s="13">
        <f>Data_PLT[[#This Row],[Is50 (MPa)]]*VLOOKUP("Min",Table_PLT_Conversion[],2,FALSE)</f>
        <v>0</v>
      </c>
      <c r="Y151" s="13">
        <f>Data_PLT[[#This Row],[Is50 (MPa)]]*VLOOKUP("Avg",Table_PLT_Conversion[],2,FALSE)</f>
        <v>0</v>
      </c>
      <c r="Z151" s="13">
        <f>Data_PLT[[#This Row],[Is50 (MPa)]]*VLOOKUP("Max",Table_PLT_Conversion[],2,FALSE)</f>
        <v>0</v>
      </c>
      <c r="AA151" s="62" t="e">
        <f>MATCH(LOOKUP(Data_PLT[[#This Row],[UCS min (MPa)]],Table_FieldStrength[Min UCS]),Table_FieldStrength[Min UCS],0)-1</f>
        <v>#N/A</v>
      </c>
      <c r="AB151" s="62" t="e">
        <f>MATCH(LOOKUP(Data_PLT[[#This Row],[UCS avg (MPa)]],Table_FieldStrength[Min UCS]),Table_FieldStrength[Min UCS],0)-1</f>
        <v>#N/A</v>
      </c>
      <c r="AC151" s="62" t="e">
        <f>MATCH(LOOKUP(Data_PLT[[#This Row],[UCS max (MPa)]],Table_FieldStrength[Min UCS]),Table_FieldStrength[Min UCS],0)-1</f>
        <v>#N/A</v>
      </c>
      <c r="AD151" s="68" t="e">
        <f>Data_PLT[[#This Row],[Test code]]&amp;"-"&amp;Data_PLT[[#This Row],[UCS min code]]</f>
        <v>#N/A</v>
      </c>
      <c r="AE151" s="68" t="e">
        <f>Data_PLT[[#This Row],[Test code]]&amp;"-"&amp;Data_PLT[[#This Row],[UCS avg code]]</f>
        <v>#N/A</v>
      </c>
      <c r="AF151" s="67" t="e">
        <f>Data_PLT[[#This Row],[Test code]]&amp;"-"&amp;Data_PLT[[#This Row],[UCS max code]]</f>
        <v>#N/A</v>
      </c>
      <c r="AG151" s="67" t="str">
        <f>Data_PLT[[#This Row],[Failure type]]&amp;"-"&amp;Data_PLT[[#This Row],[Test type]]&amp;"-"&amp;(IF(Data_PLT[[#This Row],[Is50 (MPa)]]&lt;1,1,IF(Data_PLT[[#This Row],[Is50 (MPa)]]&lt;2,2,IF(Data_PLT[[#This Row],[Is50 (MPa)]]&lt;4,3,IF(Data_PLT[[#This Row],[Is50 (MPa)]]&lt;8,4,5)))))</f>
        <v>Broke along MD-Diametral-1</v>
      </c>
    </row>
    <row r="152" spans="1:33" x14ac:dyDescent="0.25">
      <c r="B152" s="88" t="e">
        <f>VLOOKUP(Data_PLT[[#This Row],[Hole ID]],Data_Log[],2,FALSE)</f>
        <v>#N/A</v>
      </c>
      <c r="C152" s="63" t="str">
        <f>IF(Data_PLT[[#This Row],[Hole ID]]="","",
IF(COUNTIF($A$4:A152,Data_PLT[[#This Row],[Hole ID]])=1,1,
IF(A152=A151,C151+1,
COUNTIF($A$4:A152,Data_PLT[[#This Row],[Hole ID]]))))</f>
        <v/>
      </c>
      <c r="D152" s="63" t="str">
        <f>IF(Data_PLT[[#This Row],[Hole ID]]="","",Data_PLT[[#This Row],[Hole ID]]&amp;"_"&amp;Data_PLT[[#This Row],[Sample ID]])</f>
        <v/>
      </c>
      <c r="E152" s="6"/>
      <c r="F152" s="6"/>
      <c r="G152" s="63" t="e" cm="1">
        <f t="array" ref="G152">_xlfn.XLOOKUP(1,(A152=Geotech!$A$4:$A$11100)*(Data_PLT[[#This Row],[Depth (m)]]&gt;=Geotech!$C$4:$C$11100)*(Data_PLT[[#This Row],[Depth (m)]]&lt;Geotech!$D$4:$D$11100),Geotech!$M$4:$M$11100)</f>
        <v>#N/A</v>
      </c>
      <c r="H152" s="6"/>
      <c r="I152" s="63" t="e">
        <f>VLOOKUP(Data_PLT[[#This Row],[Hole ID]],Data_Log[[Hole ID]:[Core size]],20,FALSE)</f>
        <v>#N/A</v>
      </c>
      <c r="J152" s="13" t="e">
        <f>VLOOKUP(Data_PLT[[#This Row],[Core Size]],Table_CoreSize[],2,FALSE)</f>
        <v>#N/A</v>
      </c>
      <c r="K152" s="19"/>
      <c r="L152" s="19"/>
      <c r="M152" s="5"/>
      <c r="N152" s="5"/>
      <c r="O152" s="6"/>
      <c r="P152" s="13" t="str">
        <f>IF(Data_PLT[[#This Row],[Failure type]]="","",IF(OR(Data_PLT[[#This Row],[Failure type]]="Invalid",Data_PLT[[#This Row],[Failure type]]="Chipped",Data_PLT[[#This Row],[Failure type]]="Penetrate",Data_PLT[[#This Row],[Failure type]]="Did not break"),"Invalid","Valid"))</f>
        <v/>
      </c>
      <c r="Q152" s="6"/>
      <c r="R152" s="11"/>
      <c r="S152" s="13" t="str">
        <f>IF(Data_PLT[[#This Row],[Test type]]="Diametral",Data_PLT[[#This Row],[Diameter (mm)]],IF(Data_PLT[[#This Row],[Test type]]="Axial",SQRT(4*Data_PLT[[#This Row],[Diameter (mm)]]*Data_PLT[[#This Row],[Length or width (mm)]]/PI()),"ERROR"))</f>
        <v>ERROR</v>
      </c>
      <c r="T152" s="13" t="e">
        <f>(Data_PLT[[#This Row],[Load (kN)]]*1000)/Data_PLT[[#This Row],[Equiv. Diam. (mm)]]^2</f>
        <v>#VALUE!</v>
      </c>
      <c r="U152" s="13" t="e">
        <f>(Data_PLT[[#This Row],[Equiv. Diam. (mm)]]/50)^0.45</f>
        <v>#VALUE!</v>
      </c>
      <c r="V152" s="13" t="e">
        <f>Data_PLT[[#This Row],[Is (MPa)]]*Data_PLT[[#This Row],[F]]</f>
        <v>#VALUE!</v>
      </c>
      <c r="W152" s="13" t="str">
        <f>Data_PLT[[#This Row],[Failure Validity]]&amp;"-"&amp;Data_PLT[[#This Row],[Test type]]</f>
        <v>-</v>
      </c>
      <c r="X152" s="13" t="e">
        <f>Data_PLT[[#This Row],[Is50 (MPa)]]*VLOOKUP("Min",Table_PLT_Conversion[],2,FALSE)</f>
        <v>#VALUE!</v>
      </c>
      <c r="Y152" s="13" t="e">
        <f>Data_PLT[[#This Row],[Is50 (MPa)]]*VLOOKUP("Avg",Table_PLT_Conversion[],2,FALSE)</f>
        <v>#VALUE!</v>
      </c>
      <c r="Z152" s="13" t="e">
        <f>Data_PLT[[#This Row],[Is50 (MPa)]]*VLOOKUP("Max",Table_PLT_Conversion[],2,FALSE)</f>
        <v>#VALUE!</v>
      </c>
      <c r="AA152" s="62" t="e">
        <f>MATCH(LOOKUP(Data_PLT[[#This Row],[UCS min (MPa)]],Table_FieldStrength[Min UCS]),Table_FieldStrength[Min UCS],0)-1</f>
        <v>#VALUE!</v>
      </c>
      <c r="AB152" s="62" t="e">
        <f>MATCH(LOOKUP(Data_PLT[[#This Row],[UCS avg (MPa)]],Table_FieldStrength[Min UCS]),Table_FieldStrength[Min UCS],0)-1</f>
        <v>#VALUE!</v>
      </c>
      <c r="AC152" s="62" t="e">
        <f>MATCH(LOOKUP(Data_PLT[[#This Row],[UCS max (MPa)]],Table_FieldStrength[Min UCS]),Table_FieldStrength[Min UCS],0)-1</f>
        <v>#VALUE!</v>
      </c>
      <c r="AD152" s="68" t="e">
        <f>Data_PLT[[#This Row],[Test code]]&amp;"-"&amp;Data_PLT[[#This Row],[UCS min code]]</f>
        <v>#VALUE!</v>
      </c>
      <c r="AE152" s="68" t="e">
        <f>Data_PLT[[#This Row],[Test code]]&amp;"-"&amp;Data_PLT[[#This Row],[UCS avg code]]</f>
        <v>#VALUE!</v>
      </c>
      <c r="AF152" s="67" t="e">
        <f>Data_PLT[[#This Row],[Test code]]&amp;"-"&amp;Data_PLT[[#This Row],[UCS max code]]</f>
        <v>#VALUE!</v>
      </c>
      <c r="AG152" s="67" t="e">
        <f>Data_PLT[[#This Row],[Failure type]]&amp;"-"&amp;Data_PLT[[#This Row],[Test type]]&amp;"-"&amp;(IF(Data_PLT[[#This Row],[Is50 (MPa)]]&lt;1,1,IF(Data_PLT[[#This Row],[Is50 (MPa)]]&lt;2,2,IF(Data_PLT[[#This Row],[Is50 (MPa)]]&lt;4,3,IF(Data_PLT[[#This Row],[Is50 (MPa)]]&lt;8,4,5)))))</f>
        <v>#VALUE!</v>
      </c>
    </row>
    <row r="153" spans="1:33" x14ac:dyDescent="0.25">
      <c r="A153" t="s">
        <v>34</v>
      </c>
      <c r="B153" s="88" t="str">
        <f>VLOOKUP(Data_PLT[[#This Row],[Hole ID]],Data_Log[],2,FALSE)</f>
        <v>CGF-04</v>
      </c>
      <c r="C153" s="63">
        <f>IF(Data_PLT[[#This Row],[Hole ID]]="","",
IF(COUNTIF($A$4:A153,Data_PLT[[#This Row],[Hole ID]])=1,1,
IF(A153=A152,C152+1,
COUNTIF($A$4:A153,Data_PLT[[#This Row],[Hole ID]]))))</f>
        <v>1</v>
      </c>
      <c r="D153" s="63" t="str">
        <f>IF(Data_PLT[[#This Row],[Hole ID]]="","",Data_PLT[[#This Row],[Hole ID]]&amp;"_"&amp;Data_PLT[[#This Row],[Sample ID]])</f>
        <v>COG-25-09_1</v>
      </c>
      <c r="E153" s="6"/>
      <c r="F153" s="6">
        <v>22.52</v>
      </c>
      <c r="G153" s="63" t="str" cm="1">
        <f t="array" ref="G153">_xlfn.XLOOKUP(1,(A153=Geotech!$A$4:$A$11100)*(Data_PLT[[#This Row],[Depth (m)]]&gt;=Geotech!$C$4:$C$11100)*(Data_PLT[[#This Row],[Depth (m)]]&lt;Geotech!$D$4:$D$11100),Geotech!$M$4:$M$11100)</f>
        <v>Boulamarque granodiorite</v>
      </c>
      <c r="H153" s="6" t="s">
        <v>267</v>
      </c>
      <c r="I153" s="63" t="str">
        <f>VLOOKUP(Data_PLT[[#This Row],[Hole ID]],Data_Log[[Hole ID]:[Core size]],20,FALSE)</f>
        <v>HQ</v>
      </c>
      <c r="J153" s="13">
        <f>VLOOKUP(Data_PLT[[#This Row],[Core Size]],Table_CoreSize[],2,FALSE)</f>
        <v>63.5</v>
      </c>
      <c r="K153" s="19">
        <v>55</v>
      </c>
      <c r="L153" s="19" t="s">
        <v>574</v>
      </c>
      <c r="M153" s="5">
        <v>284.39999999999998</v>
      </c>
      <c r="N153" s="5"/>
      <c r="O153" s="6" t="s">
        <v>165</v>
      </c>
      <c r="P153" s="13" t="str">
        <f>IF(Data_PLT[[#This Row],[Failure type]]="","",IF(OR(Data_PLT[[#This Row],[Failure type]]="Invalid",Data_PLT[[#This Row],[Failure type]]="Chipped",Data_PLT[[#This Row],[Failure type]]="Penetrate",Data_PLT[[#This Row],[Failure type]]="Did not break"),"Invalid","Valid"))</f>
        <v>Invalid</v>
      </c>
      <c r="Q153" s="6"/>
      <c r="R153" s="11"/>
      <c r="S153" s="13">
        <f>IF(Data_PLT[[#This Row],[Test type]]="Diametral",Data_PLT[[#This Row],[Diameter (mm)]],IF(Data_PLT[[#This Row],[Test type]]="Axial",SQRT(4*Data_PLT[[#This Row],[Diameter (mm)]]*Data_PLT[[#This Row],[Length or width (mm)]]/PI()),"ERROR"))</f>
        <v>66.684249339612094</v>
      </c>
      <c r="T153" s="13">
        <f>(Data_PLT[[#This Row],[Load (kN)]]*1000)/Data_PLT[[#This Row],[Equiv. Diam. (mm)]]^2</f>
        <v>0</v>
      </c>
      <c r="U153" s="13">
        <f>(Data_PLT[[#This Row],[Equiv. Diam. (mm)]]/50)^0.45</f>
        <v>1.1383451671018507</v>
      </c>
      <c r="V153" s="13">
        <f>Data_PLT[[#This Row],[Is (MPa)]]*Data_PLT[[#This Row],[F]]</f>
        <v>0</v>
      </c>
      <c r="W153" s="13" t="str">
        <f>Data_PLT[[#This Row],[Failure Validity]]&amp;"-"&amp;Data_PLT[[#This Row],[Test type]]</f>
        <v>Invalid-Axial</v>
      </c>
      <c r="X153" s="13">
        <f>Data_PLT[[#This Row],[Is50 (MPa)]]*VLOOKUP("Min",Table_PLT_Conversion[],2,FALSE)</f>
        <v>0</v>
      </c>
      <c r="Y153" s="13">
        <f>Data_PLT[[#This Row],[Is50 (MPa)]]*VLOOKUP("Avg",Table_PLT_Conversion[],2,FALSE)</f>
        <v>0</v>
      </c>
      <c r="Z153" s="13">
        <f>Data_PLT[[#This Row],[Is50 (MPa)]]*VLOOKUP("Max",Table_PLT_Conversion[],2,FALSE)</f>
        <v>0</v>
      </c>
      <c r="AA153" s="62" t="e">
        <f>MATCH(LOOKUP(Data_PLT[[#This Row],[UCS min (MPa)]],Table_FieldStrength[Min UCS]),Table_FieldStrength[Min UCS],0)-1</f>
        <v>#N/A</v>
      </c>
      <c r="AB153" s="62" t="e">
        <f>MATCH(LOOKUP(Data_PLT[[#This Row],[UCS avg (MPa)]],Table_FieldStrength[Min UCS]),Table_FieldStrength[Min UCS],0)-1</f>
        <v>#N/A</v>
      </c>
      <c r="AC153" s="62" t="e">
        <f>MATCH(LOOKUP(Data_PLT[[#This Row],[UCS max (MPa)]],Table_FieldStrength[Min UCS]),Table_FieldStrength[Min UCS],0)-1</f>
        <v>#N/A</v>
      </c>
      <c r="AD153" s="68" t="e">
        <f>Data_PLT[[#This Row],[Test code]]&amp;"-"&amp;Data_PLT[[#This Row],[UCS min code]]</f>
        <v>#N/A</v>
      </c>
      <c r="AE153" s="68" t="e">
        <f>Data_PLT[[#This Row],[Test code]]&amp;"-"&amp;Data_PLT[[#This Row],[UCS avg code]]</f>
        <v>#N/A</v>
      </c>
      <c r="AF153" s="67" t="e">
        <f>Data_PLT[[#This Row],[Test code]]&amp;"-"&amp;Data_PLT[[#This Row],[UCS max code]]</f>
        <v>#N/A</v>
      </c>
      <c r="AG153" s="67" t="str">
        <f>Data_PLT[[#This Row],[Failure type]]&amp;"-"&amp;Data_PLT[[#This Row],[Test type]]&amp;"-"&amp;(IF(Data_PLT[[#This Row],[Is50 (MPa)]]&lt;1,1,IF(Data_PLT[[#This Row],[Is50 (MPa)]]&lt;2,2,IF(Data_PLT[[#This Row],[Is50 (MPa)]]&lt;4,3,IF(Data_PLT[[#This Row],[Is50 (MPa)]]&lt;8,4,5)))))</f>
        <v>Chipped-Axial-1</v>
      </c>
    </row>
    <row r="154" spans="1:33" x14ac:dyDescent="0.25">
      <c r="A154" t="s">
        <v>34</v>
      </c>
      <c r="B154" s="88" t="str">
        <f>VLOOKUP(Data_PLT[[#This Row],[Hole ID]],Data_Log[],2,FALSE)</f>
        <v>CGF-04</v>
      </c>
      <c r="C154" s="63">
        <f>IF(Data_PLT[[#This Row],[Hole ID]]="","",
IF(COUNTIF($A$4:A154,Data_PLT[[#This Row],[Hole ID]])=1,1,
IF(A154=A153,C153+1,
COUNTIF($A$4:A154,Data_PLT[[#This Row],[Hole ID]]))))</f>
        <v>2</v>
      </c>
      <c r="D154" s="63" t="str">
        <f>IF(Data_PLT[[#This Row],[Hole ID]]="","",Data_PLT[[#This Row],[Hole ID]]&amp;"_"&amp;Data_PLT[[#This Row],[Sample ID]])</f>
        <v>COG-25-09_2</v>
      </c>
      <c r="E154" s="6"/>
      <c r="F154" s="6">
        <v>23.28</v>
      </c>
      <c r="G154" s="63" t="str" cm="1">
        <f t="array" ref="G154">_xlfn.XLOOKUP(1,(A154=Geotech!$A$4:$A$11100)*(Data_PLT[[#This Row],[Depth (m)]]&gt;=Geotech!$C$4:$C$11100)*(Data_PLT[[#This Row],[Depth (m)]]&lt;Geotech!$D$4:$D$11100),Geotech!$M$4:$M$11100)</f>
        <v>Boulamarque granodiorite</v>
      </c>
      <c r="H154" s="6" t="s">
        <v>299</v>
      </c>
      <c r="I154" s="63" t="str">
        <f>VLOOKUP(Data_PLT[[#This Row],[Hole ID]],Data_Log[[Hole ID]:[Core size]],20,FALSE)</f>
        <v>HQ</v>
      </c>
      <c r="J154" s="13">
        <f>VLOOKUP(Data_PLT[[#This Row],[Core Size]],Table_CoreSize[],2,FALSE)</f>
        <v>63.5</v>
      </c>
      <c r="K154" s="19">
        <v>120</v>
      </c>
      <c r="L154" s="19" t="s">
        <v>574</v>
      </c>
      <c r="M154" s="5">
        <v>40.6</v>
      </c>
      <c r="N154" s="5"/>
      <c r="O154" s="6" t="s">
        <v>334</v>
      </c>
      <c r="P154" s="13" t="str">
        <f>IF(Data_PLT[[#This Row],[Failure type]]="","",IF(OR(Data_PLT[[#This Row],[Failure type]]="Invalid",Data_PLT[[#This Row],[Failure type]]="Chipped",Data_PLT[[#This Row],[Failure type]]="Penetrate",Data_PLT[[#This Row],[Failure type]]="Did not break"),"Invalid","Valid"))</f>
        <v>Valid</v>
      </c>
      <c r="Q154" s="6"/>
      <c r="R154" s="11"/>
      <c r="S154" s="13">
        <f>IF(Data_PLT[[#This Row],[Test type]]="Diametral",Data_PLT[[#This Row],[Diameter (mm)]],IF(Data_PLT[[#This Row],[Test type]]="Axial",SQRT(4*Data_PLT[[#This Row],[Diameter (mm)]]*Data_PLT[[#This Row],[Length or width (mm)]]/PI()),"ERROR"))</f>
        <v>63.5</v>
      </c>
      <c r="T154" s="13">
        <f>(Data_PLT[[#This Row],[Load (kN)]]*1000)/Data_PLT[[#This Row],[Equiv. Diam. (mm)]]^2</f>
        <v>0</v>
      </c>
      <c r="U154" s="13">
        <f>(Data_PLT[[#This Row],[Equiv. Diam. (mm)]]/50)^0.45</f>
        <v>1.1135550054708407</v>
      </c>
      <c r="V154" s="13">
        <f>Data_PLT[[#This Row],[Is (MPa)]]*Data_PLT[[#This Row],[F]]</f>
        <v>0</v>
      </c>
      <c r="W154" s="13" t="str">
        <f>Data_PLT[[#This Row],[Failure Validity]]&amp;"-"&amp;Data_PLT[[#This Row],[Test type]]</f>
        <v>Valid-Diametral</v>
      </c>
      <c r="X154" s="13">
        <f>Data_PLT[[#This Row],[Is50 (MPa)]]*VLOOKUP("Min",Table_PLT_Conversion[],2,FALSE)</f>
        <v>0</v>
      </c>
      <c r="Y154" s="13">
        <f>Data_PLT[[#This Row],[Is50 (MPa)]]*VLOOKUP("Avg",Table_PLT_Conversion[],2,FALSE)</f>
        <v>0</v>
      </c>
      <c r="Z154" s="13">
        <f>Data_PLT[[#This Row],[Is50 (MPa)]]*VLOOKUP("Max",Table_PLT_Conversion[],2,FALSE)</f>
        <v>0</v>
      </c>
      <c r="AA154" s="62" t="e">
        <f>MATCH(LOOKUP(Data_PLT[[#This Row],[UCS min (MPa)]],Table_FieldStrength[Min UCS]),Table_FieldStrength[Min UCS],0)-1</f>
        <v>#N/A</v>
      </c>
      <c r="AB154" s="62" t="e">
        <f>MATCH(LOOKUP(Data_PLT[[#This Row],[UCS avg (MPa)]],Table_FieldStrength[Min UCS]),Table_FieldStrength[Min UCS],0)-1</f>
        <v>#N/A</v>
      </c>
      <c r="AC154" s="62" t="e">
        <f>MATCH(LOOKUP(Data_PLT[[#This Row],[UCS max (MPa)]],Table_FieldStrength[Min UCS]),Table_FieldStrength[Min UCS],0)-1</f>
        <v>#N/A</v>
      </c>
      <c r="AD154" s="68" t="e">
        <f>Data_PLT[[#This Row],[Test code]]&amp;"-"&amp;Data_PLT[[#This Row],[UCS min code]]</f>
        <v>#N/A</v>
      </c>
      <c r="AE154" s="68" t="e">
        <f>Data_PLT[[#This Row],[Test code]]&amp;"-"&amp;Data_PLT[[#This Row],[UCS avg code]]</f>
        <v>#N/A</v>
      </c>
      <c r="AF154" s="67" t="e">
        <f>Data_PLT[[#This Row],[Test code]]&amp;"-"&amp;Data_PLT[[#This Row],[UCS max code]]</f>
        <v>#N/A</v>
      </c>
      <c r="AG154" s="67" t="str">
        <f>Data_PLT[[#This Row],[Failure type]]&amp;"-"&amp;Data_PLT[[#This Row],[Test type]]&amp;"-"&amp;(IF(Data_PLT[[#This Row],[Is50 (MPa)]]&lt;1,1,IF(Data_PLT[[#This Row],[Is50 (MPa)]]&lt;2,2,IF(Data_PLT[[#This Row],[Is50 (MPa)]]&lt;4,3,IF(Data_PLT[[#This Row],[Is50 (MPa)]]&lt;8,4,5)))))</f>
        <v>Along bedding/foliation-Diametral-1</v>
      </c>
    </row>
    <row r="155" spans="1:33" x14ac:dyDescent="0.25">
      <c r="A155" t="s">
        <v>34</v>
      </c>
      <c r="B155" s="88" t="str">
        <f>VLOOKUP(Data_PLT[[#This Row],[Hole ID]],Data_Log[],2,FALSE)</f>
        <v>CGF-04</v>
      </c>
      <c r="C155" s="63">
        <f>IF(Data_PLT[[#This Row],[Hole ID]]="","",
IF(COUNTIF($A$4:A155,Data_PLT[[#This Row],[Hole ID]])=1,1,
IF(A155=A154,C154+1,
COUNTIF($A$4:A155,Data_PLT[[#This Row],[Hole ID]]))))</f>
        <v>3</v>
      </c>
      <c r="D155" s="63" t="str">
        <f>IF(Data_PLT[[#This Row],[Hole ID]]="","",Data_PLT[[#This Row],[Hole ID]]&amp;"_"&amp;Data_PLT[[#This Row],[Sample ID]])</f>
        <v>COG-25-09_3</v>
      </c>
      <c r="E155" s="6"/>
      <c r="F155" s="6">
        <v>25.11</v>
      </c>
      <c r="G155" s="63" t="str" cm="1">
        <f t="array" ref="G155">_xlfn.XLOOKUP(1,(A155=Geotech!$A$4:$A$11100)*(Data_PLT[[#This Row],[Depth (m)]]&gt;=Geotech!$C$4:$C$11100)*(Data_PLT[[#This Row],[Depth (m)]]&lt;Geotech!$D$4:$D$11100),Geotech!$M$4:$M$11100)</f>
        <v>Boulamarque granodiorite</v>
      </c>
      <c r="H155" s="6" t="s">
        <v>299</v>
      </c>
      <c r="I155" s="63" t="str">
        <f>VLOOKUP(Data_PLT[[#This Row],[Hole ID]],Data_Log[[Hole ID]:[Core size]],20,FALSE)</f>
        <v>HQ</v>
      </c>
      <c r="J155" s="13">
        <f>VLOOKUP(Data_PLT[[#This Row],[Core Size]],Table_CoreSize[],2,FALSE)</f>
        <v>63.5</v>
      </c>
      <c r="K155" s="19">
        <v>110</v>
      </c>
      <c r="L155" s="19" t="s">
        <v>574</v>
      </c>
      <c r="M155" s="5">
        <v>276.39999999999998</v>
      </c>
      <c r="N155" s="5"/>
      <c r="O155" s="6" t="s">
        <v>334</v>
      </c>
      <c r="P155" s="13" t="str">
        <f>IF(Data_PLT[[#This Row],[Failure type]]="","",IF(OR(Data_PLT[[#This Row],[Failure type]]="Invalid",Data_PLT[[#This Row],[Failure type]]="Chipped",Data_PLT[[#This Row],[Failure type]]="Penetrate",Data_PLT[[#This Row],[Failure type]]="Did not break"),"Invalid","Valid"))</f>
        <v>Valid</v>
      </c>
      <c r="Q155" s="6"/>
      <c r="R155" s="11"/>
      <c r="S155" s="13">
        <f>IF(Data_PLT[[#This Row],[Test type]]="Diametral",Data_PLT[[#This Row],[Diameter (mm)]],IF(Data_PLT[[#This Row],[Test type]]="Axial",SQRT(4*Data_PLT[[#This Row],[Diameter (mm)]]*Data_PLT[[#This Row],[Length or width (mm)]]/PI()),"ERROR"))</f>
        <v>63.5</v>
      </c>
      <c r="T155" s="13">
        <f>(Data_PLT[[#This Row],[Load (kN)]]*1000)/Data_PLT[[#This Row],[Equiv. Diam. (mm)]]^2</f>
        <v>0</v>
      </c>
      <c r="U155" s="13">
        <f>(Data_PLT[[#This Row],[Equiv. Diam. (mm)]]/50)^0.45</f>
        <v>1.1135550054708407</v>
      </c>
      <c r="V155" s="13">
        <f>Data_PLT[[#This Row],[Is (MPa)]]*Data_PLT[[#This Row],[F]]</f>
        <v>0</v>
      </c>
      <c r="W155" s="13" t="str">
        <f>Data_PLT[[#This Row],[Failure Validity]]&amp;"-"&amp;Data_PLT[[#This Row],[Test type]]</f>
        <v>Valid-Diametral</v>
      </c>
      <c r="X155" s="13">
        <f>Data_PLT[[#This Row],[Is50 (MPa)]]*VLOOKUP("Min",Table_PLT_Conversion[],2,FALSE)</f>
        <v>0</v>
      </c>
      <c r="Y155" s="13">
        <f>Data_PLT[[#This Row],[Is50 (MPa)]]*VLOOKUP("Avg",Table_PLT_Conversion[],2,FALSE)</f>
        <v>0</v>
      </c>
      <c r="Z155" s="13">
        <f>Data_PLT[[#This Row],[Is50 (MPa)]]*VLOOKUP("Max",Table_PLT_Conversion[],2,FALSE)</f>
        <v>0</v>
      </c>
      <c r="AA155" s="62" t="e">
        <f>MATCH(LOOKUP(Data_PLT[[#This Row],[UCS min (MPa)]],Table_FieldStrength[Min UCS]),Table_FieldStrength[Min UCS],0)-1</f>
        <v>#N/A</v>
      </c>
      <c r="AB155" s="62" t="e">
        <f>MATCH(LOOKUP(Data_PLT[[#This Row],[UCS avg (MPa)]],Table_FieldStrength[Min UCS]),Table_FieldStrength[Min UCS],0)-1</f>
        <v>#N/A</v>
      </c>
      <c r="AC155" s="62" t="e">
        <f>MATCH(LOOKUP(Data_PLT[[#This Row],[UCS max (MPa)]],Table_FieldStrength[Min UCS]),Table_FieldStrength[Min UCS],0)-1</f>
        <v>#N/A</v>
      </c>
      <c r="AD155" s="68" t="e">
        <f>Data_PLT[[#This Row],[Test code]]&amp;"-"&amp;Data_PLT[[#This Row],[UCS min code]]</f>
        <v>#N/A</v>
      </c>
      <c r="AE155" s="68" t="e">
        <f>Data_PLT[[#This Row],[Test code]]&amp;"-"&amp;Data_PLT[[#This Row],[UCS avg code]]</f>
        <v>#N/A</v>
      </c>
      <c r="AF155" s="67" t="e">
        <f>Data_PLT[[#This Row],[Test code]]&amp;"-"&amp;Data_PLT[[#This Row],[UCS max code]]</f>
        <v>#N/A</v>
      </c>
      <c r="AG155" s="67" t="str">
        <f>Data_PLT[[#This Row],[Failure type]]&amp;"-"&amp;Data_PLT[[#This Row],[Test type]]&amp;"-"&amp;(IF(Data_PLT[[#This Row],[Is50 (MPa)]]&lt;1,1,IF(Data_PLT[[#This Row],[Is50 (MPa)]]&lt;2,2,IF(Data_PLT[[#This Row],[Is50 (MPa)]]&lt;4,3,IF(Data_PLT[[#This Row],[Is50 (MPa)]]&lt;8,4,5)))))</f>
        <v>Along bedding/foliation-Diametral-1</v>
      </c>
    </row>
    <row r="156" spans="1:33" x14ac:dyDescent="0.25">
      <c r="A156" t="s">
        <v>34</v>
      </c>
      <c r="B156" s="88" t="str">
        <f>VLOOKUP(Data_PLT[[#This Row],[Hole ID]],Data_Log[],2,FALSE)</f>
        <v>CGF-04</v>
      </c>
      <c r="C156" s="63">
        <f>IF(Data_PLT[[#This Row],[Hole ID]]="","",
IF(COUNTIF($A$4:A156,Data_PLT[[#This Row],[Hole ID]])=1,1,
IF(A156=A155,C155+1,
COUNTIF($A$4:A156,Data_PLT[[#This Row],[Hole ID]]))))</f>
        <v>4</v>
      </c>
      <c r="D156" s="63" t="str">
        <f>IF(Data_PLT[[#This Row],[Hole ID]]="","",Data_PLT[[#This Row],[Hole ID]]&amp;"_"&amp;Data_PLT[[#This Row],[Sample ID]])</f>
        <v>COG-25-09_4</v>
      </c>
      <c r="E156" s="6"/>
      <c r="F156" s="6">
        <v>28.95</v>
      </c>
      <c r="G156" s="63" t="str" cm="1">
        <f t="array" ref="G156">_xlfn.XLOOKUP(1,(A156=Geotech!$A$4:$A$11100)*(Data_PLT[[#This Row],[Depth (m)]]&gt;=Geotech!$C$4:$C$11100)*(Data_PLT[[#This Row],[Depth (m)]]&lt;Geotech!$D$4:$D$11100),Geotech!$M$4:$M$11100)</f>
        <v>Boulamarque granodiorite</v>
      </c>
      <c r="H156" s="6" t="s">
        <v>299</v>
      </c>
      <c r="I156" s="63" t="str">
        <f>VLOOKUP(Data_PLT[[#This Row],[Hole ID]],Data_Log[[Hole ID]:[Core size]],20,FALSE)</f>
        <v>HQ</v>
      </c>
      <c r="J156" s="13">
        <f>VLOOKUP(Data_PLT[[#This Row],[Core Size]],Table_CoreSize[],2,FALSE)</f>
        <v>63.5</v>
      </c>
      <c r="K156" s="19">
        <v>90</v>
      </c>
      <c r="L156" s="19" t="s">
        <v>574</v>
      </c>
      <c r="M156" s="5">
        <v>9.8000000000000007</v>
      </c>
      <c r="N156" s="5"/>
      <c r="O156" s="6" t="s">
        <v>334</v>
      </c>
      <c r="P156" s="13" t="str">
        <f>IF(Data_PLT[[#This Row],[Failure type]]="","",IF(OR(Data_PLT[[#This Row],[Failure type]]="Invalid",Data_PLT[[#This Row],[Failure type]]="Chipped",Data_PLT[[#This Row],[Failure type]]="Penetrate",Data_PLT[[#This Row],[Failure type]]="Did not break"),"Invalid","Valid"))</f>
        <v>Valid</v>
      </c>
      <c r="Q156" s="6"/>
      <c r="R156" s="11"/>
      <c r="S156" s="13">
        <f>IF(Data_PLT[[#This Row],[Test type]]="Diametral",Data_PLT[[#This Row],[Diameter (mm)]],IF(Data_PLT[[#This Row],[Test type]]="Axial",SQRT(4*Data_PLT[[#This Row],[Diameter (mm)]]*Data_PLT[[#This Row],[Length or width (mm)]]/PI()),"ERROR"))</f>
        <v>63.5</v>
      </c>
      <c r="T156" s="13">
        <f>(Data_PLT[[#This Row],[Load (kN)]]*1000)/Data_PLT[[#This Row],[Equiv. Diam. (mm)]]^2</f>
        <v>0</v>
      </c>
      <c r="U156" s="13">
        <f>(Data_PLT[[#This Row],[Equiv. Diam. (mm)]]/50)^0.45</f>
        <v>1.1135550054708407</v>
      </c>
      <c r="V156" s="13">
        <f>Data_PLT[[#This Row],[Is (MPa)]]*Data_PLT[[#This Row],[F]]</f>
        <v>0</v>
      </c>
      <c r="W156" s="13" t="str">
        <f>Data_PLT[[#This Row],[Failure Validity]]&amp;"-"&amp;Data_PLT[[#This Row],[Test type]]</f>
        <v>Valid-Diametral</v>
      </c>
      <c r="X156" s="13">
        <f>Data_PLT[[#This Row],[Is50 (MPa)]]*VLOOKUP("Min",Table_PLT_Conversion[],2,FALSE)</f>
        <v>0</v>
      </c>
      <c r="Y156" s="13">
        <f>Data_PLT[[#This Row],[Is50 (MPa)]]*VLOOKUP("Avg",Table_PLT_Conversion[],2,FALSE)</f>
        <v>0</v>
      </c>
      <c r="Z156" s="13">
        <f>Data_PLT[[#This Row],[Is50 (MPa)]]*VLOOKUP("Max",Table_PLT_Conversion[],2,FALSE)</f>
        <v>0</v>
      </c>
      <c r="AA156" s="62" t="e">
        <f>MATCH(LOOKUP(Data_PLT[[#This Row],[UCS min (MPa)]],Table_FieldStrength[Min UCS]),Table_FieldStrength[Min UCS],0)-1</f>
        <v>#N/A</v>
      </c>
      <c r="AB156" s="62" t="e">
        <f>MATCH(LOOKUP(Data_PLT[[#This Row],[UCS avg (MPa)]],Table_FieldStrength[Min UCS]),Table_FieldStrength[Min UCS],0)-1</f>
        <v>#N/A</v>
      </c>
      <c r="AC156" s="62" t="e">
        <f>MATCH(LOOKUP(Data_PLT[[#This Row],[UCS max (MPa)]],Table_FieldStrength[Min UCS]),Table_FieldStrength[Min UCS],0)-1</f>
        <v>#N/A</v>
      </c>
      <c r="AD156" s="68" t="e">
        <f>Data_PLT[[#This Row],[Test code]]&amp;"-"&amp;Data_PLT[[#This Row],[UCS min code]]</f>
        <v>#N/A</v>
      </c>
      <c r="AE156" s="68" t="e">
        <f>Data_PLT[[#This Row],[Test code]]&amp;"-"&amp;Data_PLT[[#This Row],[UCS avg code]]</f>
        <v>#N/A</v>
      </c>
      <c r="AF156" s="67" t="e">
        <f>Data_PLT[[#This Row],[Test code]]&amp;"-"&amp;Data_PLT[[#This Row],[UCS max code]]</f>
        <v>#N/A</v>
      </c>
      <c r="AG156" s="67" t="str">
        <f>Data_PLT[[#This Row],[Failure type]]&amp;"-"&amp;Data_PLT[[#This Row],[Test type]]&amp;"-"&amp;(IF(Data_PLT[[#This Row],[Is50 (MPa)]]&lt;1,1,IF(Data_PLT[[#This Row],[Is50 (MPa)]]&lt;2,2,IF(Data_PLT[[#This Row],[Is50 (MPa)]]&lt;4,3,IF(Data_PLT[[#This Row],[Is50 (MPa)]]&lt;8,4,5)))))</f>
        <v>Along bedding/foliation-Diametral-1</v>
      </c>
    </row>
    <row r="157" spans="1:33" x14ac:dyDescent="0.25">
      <c r="A157" t="s">
        <v>34</v>
      </c>
      <c r="B157" s="88" t="str">
        <f>VLOOKUP(Data_PLT[[#This Row],[Hole ID]],Data_Log[],2,FALSE)</f>
        <v>CGF-04</v>
      </c>
      <c r="C157" s="63">
        <f>IF(Data_PLT[[#This Row],[Hole ID]]="","",
IF(COUNTIF($A$4:A157,Data_PLT[[#This Row],[Hole ID]])=1,1,
IF(A157=A156,C156+1,
COUNTIF($A$4:A157,Data_PLT[[#This Row],[Hole ID]]))))</f>
        <v>5</v>
      </c>
      <c r="D157" s="63" t="str">
        <f>IF(Data_PLT[[#This Row],[Hole ID]]="","",Data_PLT[[#This Row],[Hole ID]]&amp;"_"&amp;Data_PLT[[#This Row],[Sample ID]])</f>
        <v>COG-25-09_5</v>
      </c>
      <c r="E157" s="6"/>
      <c r="F157" s="6">
        <v>29.14</v>
      </c>
      <c r="G157" s="63" t="str" cm="1">
        <f t="array" ref="G157">_xlfn.XLOOKUP(1,(A157=Geotech!$A$4:$A$11100)*(Data_PLT[[#This Row],[Depth (m)]]&gt;=Geotech!$C$4:$C$11100)*(Data_PLT[[#This Row],[Depth (m)]]&lt;Geotech!$D$4:$D$11100),Geotech!$M$4:$M$11100)</f>
        <v>Boulamarque granodiorite</v>
      </c>
      <c r="H157" s="6" t="s">
        <v>267</v>
      </c>
      <c r="I157" s="63" t="str">
        <f>VLOOKUP(Data_PLT[[#This Row],[Hole ID]],Data_Log[[Hole ID]:[Core size]],20,FALSE)</f>
        <v>HQ</v>
      </c>
      <c r="J157" s="13">
        <f>VLOOKUP(Data_PLT[[#This Row],[Core Size]],Table_CoreSize[],2,FALSE)</f>
        <v>63.5</v>
      </c>
      <c r="K157" s="19">
        <v>50</v>
      </c>
      <c r="L157" s="19" t="s">
        <v>574</v>
      </c>
      <c r="M157" s="5">
        <v>217.8</v>
      </c>
      <c r="N157" s="5"/>
      <c r="O157" s="6" t="s">
        <v>165</v>
      </c>
      <c r="P157" s="13" t="str">
        <f>IF(Data_PLT[[#This Row],[Failure type]]="","",IF(OR(Data_PLT[[#This Row],[Failure type]]="Invalid",Data_PLT[[#This Row],[Failure type]]="Chipped",Data_PLT[[#This Row],[Failure type]]="Penetrate",Data_PLT[[#This Row],[Failure type]]="Did not break"),"Invalid","Valid"))</f>
        <v>Invalid</v>
      </c>
      <c r="Q157" s="6"/>
      <c r="R157" s="11"/>
      <c r="S157" s="13">
        <f>IF(Data_PLT[[#This Row],[Test type]]="Diametral",Data_PLT[[#This Row],[Diameter (mm)]],IF(Data_PLT[[#This Row],[Test type]]="Axial",SQRT(4*Data_PLT[[#This Row],[Diameter (mm)]]*Data_PLT[[#This Row],[Length or width (mm)]]/PI()),"ERROR"))</f>
        <v>63.580937037245228</v>
      </c>
      <c r="T157" s="13">
        <f>(Data_PLT[[#This Row],[Load (kN)]]*1000)/Data_PLT[[#This Row],[Equiv. Diam. (mm)]]^2</f>
        <v>0</v>
      </c>
      <c r="U157" s="13">
        <f>(Data_PLT[[#This Row],[Equiv. Diam. (mm)]]/50)^0.45</f>
        <v>1.1141934829932261</v>
      </c>
      <c r="V157" s="13">
        <f>Data_PLT[[#This Row],[Is (MPa)]]*Data_PLT[[#This Row],[F]]</f>
        <v>0</v>
      </c>
      <c r="W157" s="13" t="str">
        <f>Data_PLT[[#This Row],[Failure Validity]]&amp;"-"&amp;Data_PLT[[#This Row],[Test type]]</f>
        <v>Invalid-Axial</v>
      </c>
      <c r="X157" s="13">
        <f>Data_PLT[[#This Row],[Is50 (MPa)]]*VLOOKUP("Min",Table_PLT_Conversion[],2,FALSE)</f>
        <v>0</v>
      </c>
      <c r="Y157" s="13">
        <f>Data_PLT[[#This Row],[Is50 (MPa)]]*VLOOKUP("Avg",Table_PLT_Conversion[],2,FALSE)</f>
        <v>0</v>
      </c>
      <c r="Z157" s="13">
        <f>Data_PLT[[#This Row],[Is50 (MPa)]]*VLOOKUP("Max",Table_PLT_Conversion[],2,FALSE)</f>
        <v>0</v>
      </c>
      <c r="AA157" s="62" t="e">
        <f>MATCH(LOOKUP(Data_PLT[[#This Row],[UCS min (MPa)]],Table_FieldStrength[Min UCS]),Table_FieldStrength[Min UCS],0)-1</f>
        <v>#N/A</v>
      </c>
      <c r="AB157" s="62" t="e">
        <f>MATCH(LOOKUP(Data_PLT[[#This Row],[UCS avg (MPa)]],Table_FieldStrength[Min UCS]),Table_FieldStrength[Min UCS],0)-1</f>
        <v>#N/A</v>
      </c>
      <c r="AC157" s="62" t="e">
        <f>MATCH(LOOKUP(Data_PLT[[#This Row],[UCS max (MPa)]],Table_FieldStrength[Min UCS]),Table_FieldStrength[Min UCS],0)-1</f>
        <v>#N/A</v>
      </c>
      <c r="AD157" s="68" t="e">
        <f>Data_PLT[[#This Row],[Test code]]&amp;"-"&amp;Data_PLT[[#This Row],[UCS min code]]</f>
        <v>#N/A</v>
      </c>
      <c r="AE157" s="68" t="e">
        <f>Data_PLT[[#This Row],[Test code]]&amp;"-"&amp;Data_PLT[[#This Row],[UCS avg code]]</f>
        <v>#N/A</v>
      </c>
      <c r="AF157" s="67" t="e">
        <f>Data_PLT[[#This Row],[Test code]]&amp;"-"&amp;Data_PLT[[#This Row],[UCS max code]]</f>
        <v>#N/A</v>
      </c>
      <c r="AG157" s="67" t="str">
        <f>Data_PLT[[#This Row],[Failure type]]&amp;"-"&amp;Data_PLT[[#This Row],[Test type]]&amp;"-"&amp;(IF(Data_PLT[[#This Row],[Is50 (MPa)]]&lt;1,1,IF(Data_PLT[[#This Row],[Is50 (MPa)]]&lt;2,2,IF(Data_PLT[[#This Row],[Is50 (MPa)]]&lt;4,3,IF(Data_PLT[[#This Row],[Is50 (MPa)]]&lt;8,4,5)))))</f>
        <v>Chipped-Axial-1</v>
      </c>
    </row>
    <row r="158" spans="1:33" x14ac:dyDescent="0.25">
      <c r="A158" t="s">
        <v>34</v>
      </c>
      <c r="B158" s="88" t="str">
        <f>VLOOKUP(Data_PLT[[#This Row],[Hole ID]],Data_Log[],2,FALSE)</f>
        <v>CGF-04</v>
      </c>
      <c r="C158" s="63">
        <f>IF(Data_PLT[[#This Row],[Hole ID]]="","",
IF(COUNTIF($A$4:A158,Data_PLT[[#This Row],[Hole ID]])=1,1,
IF(A158=A157,C157+1,
COUNTIF($A$4:A158,Data_PLT[[#This Row],[Hole ID]]))))</f>
        <v>6</v>
      </c>
      <c r="D158" s="63" t="str">
        <f>IF(Data_PLT[[#This Row],[Hole ID]]="","",Data_PLT[[#This Row],[Hole ID]]&amp;"_"&amp;Data_PLT[[#This Row],[Sample ID]])</f>
        <v>COG-25-09_6</v>
      </c>
      <c r="E158" s="6"/>
      <c r="F158" s="6">
        <v>31.65</v>
      </c>
      <c r="G158" s="63" t="str" cm="1">
        <f t="array" ref="G158">_xlfn.XLOOKUP(1,(A158=Geotech!$A$4:$A$11100)*(Data_PLT[[#This Row],[Depth (m)]]&gt;=Geotech!$C$4:$C$11100)*(Data_PLT[[#This Row],[Depth (m)]]&lt;Geotech!$D$4:$D$11100),Geotech!$M$4:$M$11100)</f>
        <v>Boulamarque granodiorite</v>
      </c>
      <c r="H158" s="6" t="s">
        <v>299</v>
      </c>
      <c r="I158" s="63" t="str">
        <f>VLOOKUP(Data_PLT[[#This Row],[Hole ID]],Data_Log[[Hole ID]:[Core size]],20,FALSE)</f>
        <v>HQ</v>
      </c>
      <c r="J158" s="13">
        <f>VLOOKUP(Data_PLT[[#This Row],[Core Size]],Table_CoreSize[],2,FALSE)</f>
        <v>63.5</v>
      </c>
      <c r="K158" s="19">
        <v>125</v>
      </c>
      <c r="L158" s="19" t="s">
        <v>574</v>
      </c>
      <c r="M158" s="5">
        <v>157.6</v>
      </c>
      <c r="N158" s="5"/>
      <c r="O158" s="6" t="s">
        <v>334</v>
      </c>
      <c r="P158" s="13" t="str">
        <f>IF(Data_PLT[[#This Row],[Failure type]]="","",IF(OR(Data_PLT[[#This Row],[Failure type]]="Invalid",Data_PLT[[#This Row],[Failure type]]="Chipped",Data_PLT[[#This Row],[Failure type]]="Penetrate",Data_PLT[[#This Row],[Failure type]]="Did not break"),"Invalid","Valid"))</f>
        <v>Valid</v>
      </c>
      <c r="Q158" s="6"/>
      <c r="R158" s="11"/>
      <c r="S158" s="13">
        <f>IF(Data_PLT[[#This Row],[Test type]]="Diametral",Data_PLT[[#This Row],[Diameter (mm)]],IF(Data_PLT[[#This Row],[Test type]]="Axial",SQRT(4*Data_PLT[[#This Row],[Diameter (mm)]]*Data_PLT[[#This Row],[Length or width (mm)]]/PI()),"ERROR"))</f>
        <v>63.5</v>
      </c>
      <c r="T158" s="13">
        <f>(Data_PLT[[#This Row],[Load (kN)]]*1000)/Data_PLT[[#This Row],[Equiv. Diam. (mm)]]^2</f>
        <v>0</v>
      </c>
      <c r="U158" s="13">
        <f>(Data_PLT[[#This Row],[Equiv. Diam. (mm)]]/50)^0.45</f>
        <v>1.1135550054708407</v>
      </c>
      <c r="V158" s="13">
        <f>Data_PLT[[#This Row],[Is (MPa)]]*Data_PLT[[#This Row],[F]]</f>
        <v>0</v>
      </c>
      <c r="W158" s="13" t="str">
        <f>Data_PLT[[#This Row],[Failure Validity]]&amp;"-"&amp;Data_PLT[[#This Row],[Test type]]</f>
        <v>Valid-Diametral</v>
      </c>
      <c r="X158" s="13">
        <f>Data_PLT[[#This Row],[Is50 (MPa)]]*VLOOKUP("Min",Table_PLT_Conversion[],2,FALSE)</f>
        <v>0</v>
      </c>
      <c r="Y158" s="13">
        <f>Data_PLT[[#This Row],[Is50 (MPa)]]*VLOOKUP("Avg",Table_PLT_Conversion[],2,FALSE)</f>
        <v>0</v>
      </c>
      <c r="Z158" s="13">
        <f>Data_PLT[[#This Row],[Is50 (MPa)]]*VLOOKUP("Max",Table_PLT_Conversion[],2,FALSE)</f>
        <v>0</v>
      </c>
      <c r="AA158" s="62" t="e">
        <f>MATCH(LOOKUP(Data_PLT[[#This Row],[UCS min (MPa)]],Table_FieldStrength[Min UCS]),Table_FieldStrength[Min UCS],0)-1</f>
        <v>#N/A</v>
      </c>
      <c r="AB158" s="62" t="e">
        <f>MATCH(LOOKUP(Data_PLT[[#This Row],[UCS avg (MPa)]],Table_FieldStrength[Min UCS]),Table_FieldStrength[Min UCS],0)-1</f>
        <v>#N/A</v>
      </c>
      <c r="AC158" s="62" t="e">
        <f>MATCH(LOOKUP(Data_PLT[[#This Row],[UCS max (MPa)]],Table_FieldStrength[Min UCS]),Table_FieldStrength[Min UCS],0)-1</f>
        <v>#N/A</v>
      </c>
      <c r="AD158" s="68" t="e">
        <f>Data_PLT[[#This Row],[Test code]]&amp;"-"&amp;Data_PLT[[#This Row],[UCS min code]]</f>
        <v>#N/A</v>
      </c>
      <c r="AE158" s="68" t="e">
        <f>Data_PLT[[#This Row],[Test code]]&amp;"-"&amp;Data_PLT[[#This Row],[UCS avg code]]</f>
        <v>#N/A</v>
      </c>
      <c r="AF158" s="67" t="e">
        <f>Data_PLT[[#This Row],[Test code]]&amp;"-"&amp;Data_PLT[[#This Row],[UCS max code]]</f>
        <v>#N/A</v>
      </c>
      <c r="AG158" s="67" t="str">
        <f>Data_PLT[[#This Row],[Failure type]]&amp;"-"&amp;Data_PLT[[#This Row],[Test type]]&amp;"-"&amp;(IF(Data_PLT[[#This Row],[Is50 (MPa)]]&lt;1,1,IF(Data_PLT[[#This Row],[Is50 (MPa)]]&lt;2,2,IF(Data_PLT[[#This Row],[Is50 (MPa)]]&lt;4,3,IF(Data_PLT[[#This Row],[Is50 (MPa)]]&lt;8,4,5)))))</f>
        <v>Along bedding/foliation-Diametral-1</v>
      </c>
    </row>
    <row r="159" spans="1:33" x14ac:dyDescent="0.25">
      <c r="A159" t="s">
        <v>34</v>
      </c>
      <c r="B159" s="88" t="str">
        <f>VLOOKUP(Data_PLT[[#This Row],[Hole ID]],Data_Log[],2,FALSE)</f>
        <v>CGF-04</v>
      </c>
      <c r="C159" s="63">
        <f>IF(Data_PLT[[#This Row],[Hole ID]]="","",
IF(COUNTIF($A$4:A159,Data_PLT[[#This Row],[Hole ID]])=1,1,
IF(A159=A158,C158+1,
COUNTIF($A$4:A159,Data_PLT[[#This Row],[Hole ID]]))))</f>
        <v>7</v>
      </c>
      <c r="D159" s="63" t="str">
        <f>IF(Data_PLT[[#This Row],[Hole ID]]="","",Data_PLT[[#This Row],[Hole ID]]&amp;"_"&amp;Data_PLT[[#This Row],[Sample ID]])</f>
        <v>COG-25-09_7</v>
      </c>
      <c r="E159" s="6"/>
      <c r="F159" s="6">
        <v>31.65</v>
      </c>
      <c r="G159" s="63" t="str" cm="1">
        <f t="array" ref="G159">_xlfn.XLOOKUP(1,(A159=Geotech!$A$4:$A$11100)*(Data_PLT[[#This Row],[Depth (m)]]&gt;=Geotech!$C$4:$C$11100)*(Data_PLT[[#This Row],[Depth (m)]]&lt;Geotech!$D$4:$D$11100),Geotech!$M$4:$M$11100)</f>
        <v>Boulamarque granodiorite</v>
      </c>
      <c r="H159" s="6" t="s">
        <v>267</v>
      </c>
      <c r="I159" s="63" t="str">
        <f>VLOOKUP(Data_PLT[[#This Row],[Hole ID]],Data_Log[[Hole ID]:[Core size]],20,FALSE)</f>
        <v>HQ</v>
      </c>
      <c r="J159" s="13">
        <f>VLOOKUP(Data_PLT[[#This Row],[Core Size]],Table_CoreSize[],2,FALSE)</f>
        <v>63.5</v>
      </c>
      <c r="K159" s="19">
        <v>45</v>
      </c>
      <c r="L159" s="19" t="s">
        <v>574</v>
      </c>
      <c r="M159" s="5">
        <v>217</v>
      </c>
      <c r="N159" s="5"/>
      <c r="O159" s="6" t="s">
        <v>363</v>
      </c>
      <c r="P159" s="13" t="str">
        <f>IF(Data_PLT[[#This Row],[Failure type]]="","",IF(OR(Data_PLT[[#This Row],[Failure type]]="Invalid",Data_PLT[[#This Row],[Failure type]]="Chipped",Data_PLT[[#This Row],[Failure type]]="Penetrate",Data_PLT[[#This Row],[Failure type]]="Did not break"),"Invalid","Valid"))</f>
        <v>Valid</v>
      </c>
      <c r="Q159" s="6"/>
      <c r="R159" s="11"/>
      <c r="S159" s="13">
        <f>IF(Data_PLT[[#This Row],[Test type]]="Diametral",Data_PLT[[#This Row],[Diameter (mm)]],IF(Data_PLT[[#This Row],[Test type]]="Axial",SQRT(4*Data_PLT[[#This Row],[Diameter (mm)]]*Data_PLT[[#This Row],[Length or width (mm)]]/PI()),"ERROR"))</f>
        <v>60.318173041635866</v>
      </c>
      <c r="T159" s="13">
        <f>(Data_PLT[[#This Row],[Load (kN)]]*1000)/Data_PLT[[#This Row],[Equiv. Diam. (mm)]]^2</f>
        <v>0</v>
      </c>
      <c r="U159" s="13">
        <f>(Data_PLT[[#This Row],[Equiv. Diam. (mm)]]/50)^0.45</f>
        <v>1.0880909008495443</v>
      </c>
      <c r="V159" s="13">
        <f>Data_PLT[[#This Row],[Is (MPa)]]*Data_PLT[[#This Row],[F]]</f>
        <v>0</v>
      </c>
      <c r="W159" s="13" t="str">
        <f>Data_PLT[[#This Row],[Failure Validity]]&amp;"-"&amp;Data_PLT[[#This Row],[Test type]]</f>
        <v>Valid-Axial</v>
      </c>
      <c r="X159" s="13">
        <f>Data_PLT[[#This Row],[Is50 (MPa)]]*VLOOKUP("Min",Table_PLT_Conversion[],2,FALSE)</f>
        <v>0</v>
      </c>
      <c r="Y159" s="13">
        <f>Data_PLT[[#This Row],[Is50 (MPa)]]*VLOOKUP("Avg",Table_PLT_Conversion[],2,FALSE)</f>
        <v>0</v>
      </c>
      <c r="Z159" s="13">
        <f>Data_PLT[[#This Row],[Is50 (MPa)]]*VLOOKUP("Max",Table_PLT_Conversion[],2,FALSE)</f>
        <v>0</v>
      </c>
      <c r="AA159" s="62" t="e">
        <f>MATCH(LOOKUP(Data_PLT[[#This Row],[UCS min (MPa)]],Table_FieldStrength[Min UCS]),Table_FieldStrength[Min UCS],0)-1</f>
        <v>#N/A</v>
      </c>
      <c r="AB159" s="62" t="e">
        <f>MATCH(LOOKUP(Data_PLT[[#This Row],[UCS avg (MPa)]],Table_FieldStrength[Min UCS]),Table_FieldStrength[Min UCS],0)-1</f>
        <v>#N/A</v>
      </c>
      <c r="AC159" s="62" t="e">
        <f>MATCH(LOOKUP(Data_PLT[[#This Row],[UCS max (MPa)]],Table_FieldStrength[Min UCS]),Table_FieldStrength[Min UCS],0)-1</f>
        <v>#N/A</v>
      </c>
      <c r="AD159" s="68" t="e">
        <f>Data_PLT[[#This Row],[Test code]]&amp;"-"&amp;Data_PLT[[#This Row],[UCS min code]]</f>
        <v>#N/A</v>
      </c>
      <c r="AE159" s="68" t="e">
        <f>Data_PLT[[#This Row],[Test code]]&amp;"-"&amp;Data_PLT[[#This Row],[UCS avg code]]</f>
        <v>#N/A</v>
      </c>
      <c r="AF159" s="67" t="e">
        <f>Data_PLT[[#This Row],[Test code]]&amp;"-"&amp;Data_PLT[[#This Row],[UCS max code]]</f>
        <v>#N/A</v>
      </c>
      <c r="AG159" s="67" t="str">
        <f>Data_PLT[[#This Row],[Failure type]]&amp;"-"&amp;Data_PLT[[#This Row],[Test type]]&amp;"-"&amp;(IF(Data_PLT[[#This Row],[Is50 (MPa)]]&lt;1,1,IF(Data_PLT[[#This Row],[Is50 (MPa)]]&lt;2,2,IF(Data_PLT[[#This Row],[Is50 (MPa)]]&lt;4,3,IF(Data_PLT[[#This Row],[Is50 (MPa)]]&lt;8,4,5)))))</f>
        <v>Perp. bedding-Axial-1</v>
      </c>
    </row>
    <row r="160" spans="1:33" x14ac:dyDescent="0.25">
      <c r="A160" t="s">
        <v>34</v>
      </c>
      <c r="B160" s="88" t="str">
        <f>VLOOKUP(Data_PLT[[#This Row],[Hole ID]],Data_Log[],2,FALSE)</f>
        <v>CGF-04</v>
      </c>
      <c r="C160" s="63">
        <f>IF(Data_PLT[[#This Row],[Hole ID]]="","",
IF(COUNTIF($A$4:A160,Data_PLT[[#This Row],[Hole ID]])=1,1,
IF(A160=A159,C159+1,
COUNTIF($A$4:A160,Data_PLT[[#This Row],[Hole ID]]))))</f>
        <v>8</v>
      </c>
      <c r="D160" s="63" t="str">
        <f>IF(Data_PLT[[#This Row],[Hole ID]]="","",Data_PLT[[#This Row],[Hole ID]]&amp;"_"&amp;Data_PLT[[#This Row],[Sample ID]])</f>
        <v>COG-25-09_8</v>
      </c>
      <c r="E160" s="6"/>
      <c r="F160" s="6">
        <v>31.65</v>
      </c>
      <c r="G160" s="63" t="str" cm="1">
        <f t="array" ref="G160">_xlfn.XLOOKUP(1,(A160=Geotech!$A$4:$A$11100)*(Data_PLT[[#This Row],[Depth (m)]]&gt;=Geotech!$C$4:$C$11100)*(Data_PLT[[#This Row],[Depth (m)]]&lt;Geotech!$D$4:$D$11100),Geotech!$M$4:$M$11100)</f>
        <v>Boulamarque granodiorite</v>
      </c>
      <c r="H160" s="6" t="s">
        <v>267</v>
      </c>
      <c r="I160" s="63" t="str">
        <f>VLOOKUP(Data_PLT[[#This Row],[Hole ID]],Data_Log[[Hole ID]:[Core size]],20,FALSE)</f>
        <v>HQ</v>
      </c>
      <c r="J160" s="13">
        <f>VLOOKUP(Data_PLT[[#This Row],[Core Size]],Table_CoreSize[],2,FALSE)</f>
        <v>63.5</v>
      </c>
      <c r="K160" s="19">
        <v>20</v>
      </c>
      <c r="L160" s="19" t="s">
        <v>574</v>
      </c>
      <c r="M160" s="5">
        <v>227.2</v>
      </c>
      <c r="N160" s="5"/>
      <c r="O160" s="6" t="s">
        <v>363</v>
      </c>
      <c r="P160" s="13" t="str">
        <f>IF(Data_PLT[[#This Row],[Failure type]]="","",IF(OR(Data_PLT[[#This Row],[Failure type]]="Invalid",Data_PLT[[#This Row],[Failure type]]="Chipped",Data_PLT[[#This Row],[Failure type]]="Penetrate",Data_PLT[[#This Row],[Failure type]]="Did not break"),"Invalid","Valid"))</f>
        <v>Valid</v>
      </c>
      <c r="Q160" s="6"/>
      <c r="R160" s="11"/>
      <c r="S160" s="13">
        <f>IF(Data_PLT[[#This Row],[Test type]]="Diametral",Data_PLT[[#This Row],[Diameter (mm)]],IF(Data_PLT[[#This Row],[Test type]]="Axial",SQRT(4*Data_PLT[[#This Row],[Diameter (mm)]]*Data_PLT[[#This Row],[Length or width (mm)]]/PI()),"ERROR"))</f>
        <v>40.212115361090575</v>
      </c>
      <c r="T160" s="13">
        <f>(Data_PLT[[#This Row],[Load (kN)]]*1000)/Data_PLT[[#This Row],[Equiv. Diam. (mm)]]^2</f>
        <v>0</v>
      </c>
      <c r="U160" s="13">
        <f>(Data_PLT[[#This Row],[Equiv. Diam. (mm)]]/50)^0.45</f>
        <v>0.90661752959363306</v>
      </c>
      <c r="V160" s="13">
        <f>Data_PLT[[#This Row],[Is (MPa)]]*Data_PLT[[#This Row],[F]]</f>
        <v>0</v>
      </c>
      <c r="W160" s="13" t="str">
        <f>Data_PLT[[#This Row],[Failure Validity]]&amp;"-"&amp;Data_PLT[[#This Row],[Test type]]</f>
        <v>Valid-Axial</v>
      </c>
      <c r="X160" s="13">
        <f>Data_PLT[[#This Row],[Is50 (MPa)]]*VLOOKUP("Min",Table_PLT_Conversion[],2,FALSE)</f>
        <v>0</v>
      </c>
      <c r="Y160" s="13">
        <f>Data_PLT[[#This Row],[Is50 (MPa)]]*VLOOKUP("Avg",Table_PLT_Conversion[],2,FALSE)</f>
        <v>0</v>
      </c>
      <c r="Z160" s="13">
        <f>Data_PLT[[#This Row],[Is50 (MPa)]]*VLOOKUP("Max",Table_PLT_Conversion[],2,FALSE)</f>
        <v>0</v>
      </c>
      <c r="AA160" s="62" t="e">
        <f>MATCH(LOOKUP(Data_PLT[[#This Row],[UCS min (MPa)]],Table_FieldStrength[Min UCS]),Table_FieldStrength[Min UCS],0)-1</f>
        <v>#N/A</v>
      </c>
      <c r="AB160" s="62" t="e">
        <f>MATCH(LOOKUP(Data_PLT[[#This Row],[UCS avg (MPa)]],Table_FieldStrength[Min UCS]),Table_FieldStrength[Min UCS],0)-1</f>
        <v>#N/A</v>
      </c>
      <c r="AC160" s="62" t="e">
        <f>MATCH(LOOKUP(Data_PLT[[#This Row],[UCS max (MPa)]],Table_FieldStrength[Min UCS]),Table_FieldStrength[Min UCS],0)-1</f>
        <v>#N/A</v>
      </c>
      <c r="AD160" s="68" t="e">
        <f>Data_PLT[[#This Row],[Test code]]&amp;"-"&amp;Data_PLT[[#This Row],[UCS min code]]</f>
        <v>#N/A</v>
      </c>
      <c r="AE160" s="68" t="e">
        <f>Data_PLT[[#This Row],[Test code]]&amp;"-"&amp;Data_PLT[[#This Row],[UCS avg code]]</f>
        <v>#N/A</v>
      </c>
      <c r="AF160" s="67" t="e">
        <f>Data_PLT[[#This Row],[Test code]]&amp;"-"&amp;Data_PLT[[#This Row],[UCS max code]]</f>
        <v>#N/A</v>
      </c>
      <c r="AG160" s="67" t="str">
        <f>Data_PLT[[#This Row],[Failure type]]&amp;"-"&amp;Data_PLT[[#This Row],[Test type]]&amp;"-"&amp;(IF(Data_PLT[[#This Row],[Is50 (MPa)]]&lt;1,1,IF(Data_PLT[[#This Row],[Is50 (MPa)]]&lt;2,2,IF(Data_PLT[[#This Row],[Is50 (MPa)]]&lt;4,3,IF(Data_PLT[[#This Row],[Is50 (MPa)]]&lt;8,4,5)))))</f>
        <v>Perp. bedding-Axial-1</v>
      </c>
    </row>
    <row r="161" spans="1:33" x14ac:dyDescent="0.25">
      <c r="A161" t="s">
        <v>34</v>
      </c>
      <c r="B161" s="88" t="str">
        <f>VLOOKUP(Data_PLT[[#This Row],[Hole ID]],Data_Log[],2,FALSE)</f>
        <v>CGF-04</v>
      </c>
      <c r="C161" s="63">
        <f>IF(Data_PLT[[#This Row],[Hole ID]]="","",
IF(COUNTIF($A$4:A161,Data_PLT[[#This Row],[Hole ID]])=1,1,
IF(A161=A160,C160+1,
COUNTIF($A$4:A161,Data_PLT[[#This Row],[Hole ID]]))))</f>
        <v>9</v>
      </c>
      <c r="D161" s="63" t="str">
        <f>IF(Data_PLT[[#This Row],[Hole ID]]="","",Data_PLT[[#This Row],[Hole ID]]&amp;"_"&amp;Data_PLT[[#This Row],[Sample ID]])</f>
        <v>COG-25-09_9</v>
      </c>
      <c r="E161" s="6"/>
      <c r="F161" s="6">
        <v>33.950000000000003</v>
      </c>
      <c r="G161" s="63" t="str" cm="1">
        <f t="array" ref="G161">_xlfn.XLOOKUP(1,(A161=Geotech!$A$4:$A$11100)*(Data_PLT[[#This Row],[Depth (m)]]&gt;=Geotech!$C$4:$C$11100)*(Data_PLT[[#This Row],[Depth (m)]]&lt;Geotech!$D$4:$D$11100),Geotech!$M$4:$M$11100)</f>
        <v>Basalt</v>
      </c>
      <c r="H161" s="6" t="s">
        <v>299</v>
      </c>
      <c r="I161" s="63" t="str">
        <f>VLOOKUP(Data_PLT[[#This Row],[Hole ID]],Data_Log[[Hole ID]:[Core size]],20,FALSE)</f>
        <v>HQ</v>
      </c>
      <c r="J161" s="13">
        <f>VLOOKUP(Data_PLT[[#This Row],[Core Size]],Table_CoreSize[],2,FALSE)</f>
        <v>63.5</v>
      </c>
      <c r="K161" s="19">
        <v>110</v>
      </c>
      <c r="L161" s="19" t="s">
        <v>574</v>
      </c>
      <c r="M161" s="5">
        <v>29.2</v>
      </c>
      <c r="N161" s="5"/>
      <c r="O161" s="6" t="s">
        <v>334</v>
      </c>
      <c r="P161" s="13" t="str">
        <f>IF(Data_PLT[[#This Row],[Failure type]]="","",IF(OR(Data_PLT[[#This Row],[Failure type]]="Invalid",Data_PLT[[#This Row],[Failure type]]="Chipped",Data_PLT[[#This Row],[Failure type]]="Penetrate",Data_PLT[[#This Row],[Failure type]]="Did not break"),"Invalid","Valid"))</f>
        <v>Valid</v>
      </c>
      <c r="Q161" s="6"/>
      <c r="R161" s="11"/>
      <c r="S161" s="13">
        <f>IF(Data_PLT[[#This Row],[Test type]]="Diametral",Data_PLT[[#This Row],[Diameter (mm)]],IF(Data_PLT[[#This Row],[Test type]]="Axial",SQRT(4*Data_PLT[[#This Row],[Diameter (mm)]]*Data_PLT[[#This Row],[Length or width (mm)]]/PI()),"ERROR"))</f>
        <v>63.5</v>
      </c>
      <c r="T161" s="13">
        <f>(Data_PLT[[#This Row],[Load (kN)]]*1000)/Data_PLT[[#This Row],[Equiv. Diam. (mm)]]^2</f>
        <v>0</v>
      </c>
      <c r="U161" s="13">
        <f>(Data_PLT[[#This Row],[Equiv. Diam. (mm)]]/50)^0.45</f>
        <v>1.1135550054708407</v>
      </c>
      <c r="V161" s="13">
        <f>Data_PLT[[#This Row],[Is (MPa)]]*Data_PLT[[#This Row],[F]]</f>
        <v>0</v>
      </c>
      <c r="W161" s="13" t="str">
        <f>Data_PLT[[#This Row],[Failure Validity]]&amp;"-"&amp;Data_PLT[[#This Row],[Test type]]</f>
        <v>Valid-Diametral</v>
      </c>
      <c r="X161" s="13">
        <f>Data_PLT[[#This Row],[Is50 (MPa)]]*VLOOKUP("Min",Table_PLT_Conversion[],2,FALSE)</f>
        <v>0</v>
      </c>
      <c r="Y161" s="13">
        <f>Data_PLT[[#This Row],[Is50 (MPa)]]*VLOOKUP("Avg",Table_PLT_Conversion[],2,FALSE)</f>
        <v>0</v>
      </c>
      <c r="Z161" s="13">
        <f>Data_PLT[[#This Row],[Is50 (MPa)]]*VLOOKUP("Max",Table_PLT_Conversion[],2,FALSE)</f>
        <v>0</v>
      </c>
      <c r="AA161" s="62" t="e">
        <f>MATCH(LOOKUP(Data_PLT[[#This Row],[UCS min (MPa)]],Table_FieldStrength[Min UCS]),Table_FieldStrength[Min UCS],0)-1</f>
        <v>#N/A</v>
      </c>
      <c r="AB161" s="62" t="e">
        <f>MATCH(LOOKUP(Data_PLT[[#This Row],[UCS avg (MPa)]],Table_FieldStrength[Min UCS]),Table_FieldStrength[Min UCS],0)-1</f>
        <v>#N/A</v>
      </c>
      <c r="AC161" s="62" t="e">
        <f>MATCH(LOOKUP(Data_PLT[[#This Row],[UCS max (MPa)]],Table_FieldStrength[Min UCS]),Table_FieldStrength[Min UCS],0)-1</f>
        <v>#N/A</v>
      </c>
      <c r="AD161" s="68" t="e">
        <f>Data_PLT[[#This Row],[Test code]]&amp;"-"&amp;Data_PLT[[#This Row],[UCS min code]]</f>
        <v>#N/A</v>
      </c>
      <c r="AE161" s="68" t="e">
        <f>Data_PLT[[#This Row],[Test code]]&amp;"-"&amp;Data_PLT[[#This Row],[UCS avg code]]</f>
        <v>#N/A</v>
      </c>
      <c r="AF161" s="67" t="e">
        <f>Data_PLT[[#This Row],[Test code]]&amp;"-"&amp;Data_PLT[[#This Row],[UCS max code]]</f>
        <v>#N/A</v>
      </c>
      <c r="AG161" s="67" t="str">
        <f>Data_PLT[[#This Row],[Failure type]]&amp;"-"&amp;Data_PLT[[#This Row],[Test type]]&amp;"-"&amp;(IF(Data_PLT[[#This Row],[Is50 (MPa)]]&lt;1,1,IF(Data_PLT[[#This Row],[Is50 (MPa)]]&lt;2,2,IF(Data_PLT[[#This Row],[Is50 (MPa)]]&lt;4,3,IF(Data_PLT[[#This Row],[Is50 (MPa)]]&lt;8,4,5)))))</f>
        <v>Along bedding/foliation-Diametral-1</v>
      </c>
    </row>
    <row r="162" spans="1:33" x14ac:dyDescent="0.25">
      <c r="A162" t="s">
        <v>34</v>
      </c>
      <c r="B162" s="88" t="str">
        <f>VLOOKUP(Data_PLT[[#This Row],[Hole ID]],Data_Log[],2,FALSE)</f>
        <v>CGF-04</v>
      </c>
      <c r="C162" s="63">
        <f>IF(Data_PLT[[#This Row],[Hole ID]]="","",
IF(COUNTIF($A$4:A162,Data_PLT[[#This Row],[Hole ID]])=1,1,
IF(A162=A161,C161+1,
COUNTIF($A$4:A162,Data_PLT[[#This Row],[Hole ID]]))))</f>
        <v>10</v>
      </c>
      <c r="D162" s="63" t="str">
        <f>IF(Data_PLT[[#This Row],[Hole ID]]="","",Data_PLT[[#This Row],[Hole ID]]&amp;"_"&amp;Data_PLT[[#This Row],[Sample ID]])</f>
        <v>COG-25-09_10</v>
      </c>
      <c r="E162" s="6"/>
      <c r="F162" s="6">
        <v>37.520000000000003</v>
      </c>
      <c r="G162" s="63" t="str" cm="1">
        <f t="array" ref="G162">_xlfn.XLOOKUP(1,(A162=Geotech!$A$4:$A$11100)*(Data_PLT[[#This Row],[Depth (m)]]&gt;=Geotech!$C$4:$C$11100)*(Data_PLT[[#This Row],[Depth (m)]]&lt;Geotech!$D$4:$D$11100),Geotech!$M$4:$M$11100)</f>
        <v>Basalt</v>
      </c>
      <c r="H162" s="6" t="s">
        <v>299</v>
      </c>
      <c r="I162" s="63" t="str">
        <f>VLOOKUP(Data_PLT[[#This Row],[Hole ID]],Data_Log[[Hole ID]:[Core size]],20,FALSE)</f>
        <v>HQ</v>
      </c>
      <c r="J162" s="13">
        <f>VLOOKUP(Data_PLT[[#This Row],[Core Size]],Table_CoreSize[],2,FALSE)</f>
        <v>63.5</v>
      </c>
      <c r="K162" s="19">
        <v>55</v>
      </c>
      <c r="L162" s="19" t="s">
        <v>574</v>
      </c>
      <c r="M162" s="5">
        <v>151.80000000000001</v>
      </c>
      <c r="N162" s="5"/>
      <c r="O162" s="6" t="s">
        <v>165</v>
      </c>
      <c r="P162" s="13" t="str">
        <f>IF(Data_PLT[[#This Row],[Failure type]]="","",IF(OR(Data_PLT[[#This Row],[Failure type]]="Invalid",Data_PLT[[#This Row],[Failure type]]="Chipped",Data_PLT[[#This Row],[Failure type]]="Penetrate",Data_PLT[[#This Row],[Failure type]]="Did not break"),"Invalid","Valid"))</f>
        <v>Invalid</v>
      </c>
      <c r="Q162" s="6"/>
      <c r="R162" s="11"/>
      <c r="S162" s="13">
        <f>IF(Data_PLT[[#This Row],[Test type]]="Diametral",Data_PLT[[#This Row],[Diameter (mm)]],IF(Data_PLT[[#This Row],[Test type]]="Axial",SQRT(4*Data_PLT[[#This Row],[Diameter (mm)]]*Data_PLT[[#This Row],[Length or width (mm)]]/PI()),"ERROR"))</f>
        <v>63.5</v>
      </c>
      <c r="T162" s="13">
        <f>(Data_PLT[[#This Row],[Load (kN)]]*1000)/Data_PLT[[#This Row],[Equiv. Diam. (mm)]]^2</f>
        <v>0</v>
      </c>
      <c r="U162" s="13">
        <f>(Data_PLT[[#This Row],[Equiv. Diam. (mm)]]/50)^0.45</f>
        <v>1.1135550054708407</v>
      </c>
      <c r="V162" s="13">
        <f>Data_PLT[[#This Row],[Is (MPa)]]*Data_PLT[[#This Row],[F]]</f>
        <v>0</v>
      </c>
      <c r="W162" s="13" t="str">
        <f>Data_PLT[[#This Row],[Failure Validity]]&amp;"-"&amp;Data_PLT[[#This Row],[Test type]]</f>
        <v>Invalid-Diametral</v>
      </c>
      <c r="X162" s="13">
        <f>Data_PLT[[#This Row],[Is50 (MPa)]]*VLOOKUP("Min",Table_PLT_Conversion[],2,FALSE)</f>
        <v>0</v>
      </c>
      <c r="Y162" s="13">
        <f>Data_PLT[[#This Row],[Is50 (MPa)]]*VLOOKUP("Avg",Table_PLT_Conversion[],2,FALSE)</f>
        <v>0</v>
      </c>
      <c r="Z162" s="13">
        <f>Data_PLT[[#This Row],[Is50 (MPa)]]*VLOOKUP("Max",Table_PLT_Conversion[],2,FALSE)</f>
        <v>0</v>
      </c>
      <c r="AA162" s="62" t="e">
        <f>MATCH(LOOKUP(Data_PLT[[#This Row],[UCS min (MPa)]],Table_FieldStrength[Min UCS]),Table_FieldStrength[Min UCS],0)-1</f>
        <v>#N/A</v>
      </c>
      <c r="AB162" s="62" t="e">
        <f>MATCH(LOOKUP(Data_PLT[[#This Row],[UCS avg (MPa)]],Table_FieldStrength[Min UCS]),Table_FieldStrength[Min UCS],0)-1</f>
        <v>#N/A</v>
      </c>
      <c r="AC162" s="62" t="e">
        <f>MATCH(LOOKUP(Data_PLT[[#This Row],[UCS max (MPa)]],Table_FieldStrength[Min UCS]),Table_FieldStrength[Min UCS],0)-1</f>
        <v>#N/A</v>
      </c>
      <c r="AD162" s="68" t="e">
        <f>Data_PLT[[#This Row],[Test code]]&amp;"-"&amp;Data_PLT[[#This Row],[UCS min code]]</f>
        <v>#N/A</v>
      </c>
      <c r="AE162" s="68" t="e">
        <f>Data_PLT[[#This Row],[Test code]]&amp;"-"&amp;Data_PLT[[#This Row],[UCS avg code]]</f>
        <v>#N/A</v>
      </c>
      <c r="AF162" s="67" t="e">
        <f>Data_PLT[[#This Row],[Test code]]&amp;"-"&amp;Data_PLT[[#This Row],[UCS max code]]</f>
        <v>#N/A</v>
      </c>
      <c r="AG162" s="67" t="str">
        <f>Data_PLT[[#This Row],[Failure type]]&amp;"-"&amp;Data_PLT[[#This Row],[Test type]]&amp;"-"&amp;(IF(Data_PLT[[#This Row],[Is50 (MPa)]]&lt;1,1,IF(Data_PLT[[#This Row],[Is50 (MPa)]]&lt;2,2,IF(Data_PLT[[#This Row],[Is50 (MPa)]]&lt;4,3,IF(Data_PLT[[#This Row],[Is50 (MPa)]]&lt;8,4,5)))))</f>
        <v>Chipped-Diametral-1</v>
      </c>
    </row>
    <row r="163" spans="1:33" x14ac:dyDescent="0.25">
      <c r="A163" t="s">
        <v>34</v>
      </c>
      <c r="B163" s="88" t="str">
        <f>VLOOKUP(Data_PLT[[#This Row],[Hole ID]],Data_Log[],2,FALSE)</f>
        <v>CGF-04</v>
      </c>
      <c r="C163" s="63">
        <f>IF(Data_PLT[[#This Row],[Hole ID]]="","",
IF(COUNTIF($A$4:A163,Data_PLT[[#This Row],[Hole ID]])=1,1,
IF(A163=A162,C162+1,
COUNTIF($A$4:A163,Data_PLT[[#This Row],[Hole ID]]))))</f>
        <v>11</v>
      </c>
      <c r="D163" s="63" t="str">
        <f>IF(Data_PLT[[#This Row],[Hole ID]]="","",Data_PLT[[#This Row],[Hole ID]]&amp;"_"&amp;Data_PLT[[#This Row],[Sample ID]])</f>
        <v>COG-25-09_11</v>
      </c>
      <c r="E163" s="6"/>
      <c r="F163" s="6">
        <v>38.869999999999997</v>
      </c>
      <c r="G163" s="63" t="str" cm="1">
        <f t="array" ref="G163">_xlfn.XLOOKUP(1,(A163=Geotech!$A$4:$A$11100)*(Data_PLT[[#This Row],[Depth (m)]]&gt;=Geotech!$C$4:$C$11100)*(Data_PLT[[#This Row],[Depth (m)]]&lt;Geotech!$D$4:$D$11100),Geotech!$M$4:$M$11100)</f>
        <v>Basalt</v>
      </c>
      <c r="H163" s="6" t="s">
        <v>299</v>
      </c>
      <c r="I163" s="63" t="str">
        <f>VLOOKUP(Data_PLT[[#This Row],[Hole ID]],Data_Log[[Hole ID]:[Core size]],20,FALSE)</f>
        <v>HQ</v>
      </c>
      <c r="J163" s="13">
        <f>VLOOKUP(Data_PLT[[#This Row],[Core Size]],Table_CoreSize[],2,FALSE)</f>
        <v>63.5</v>
      </c>
      <c r="K163" s="19">
        <v>170</v>
      </c>
      <c r="L163" s="19" t="s">
        <v>574</v>
      </c>
      <c r="M163" s="5">
        <v>92.2</v>
      </c>
      <c r="N163" s="5"/>
      <c r="O163" s="6" t="s">
        <v>334</v>
      </c>
      <c r="P163" s="13" t="str">
        <f>IF(Data_PLT[[#This Row],[Failure type]]="","",IF(OR(Data_PLT[[#This Row],[Failure type]]="Invalid",Data_PLT[[#This Row],[Failure type]]="Chipped",Data_PLT[[#This Row],[Failure type]]="Penetrate",Data_PLT[[#This Row],[Failure type]]="Did not break"),"Invalid","Valid"))</f>
        <v>Valid</v>
      </c>
      <c r="Q163" s="6"/>
      <c r="R163" s="11"/>
      <c r="S163" s="13">
        <f>IF(Data_PLT[[#This Row],[Test type]]="Diametral",Data_PLT[[#This Row],[Diameter (mm)]],IF(Data_PLT[[#This Row],[Test type]]="Axial",SQRT(4*Data_PLT[[#This Row],[Diameter (mm)]]*Data_PLT[[#This Row],[Length or width (mm)]]/PI()),"ERROR"))</f>
        <v>63.5</v>
      </c>
      <c r="T163" s="13">
        <f>(Data_PLT[[#This Row],[Load (kN)]]*1000)/Data_PLT[[#This Row],[Equiv. Diam. (mm)]]^2</f>
        <v>0</v>
      </c>
      <c r="U163" s="13">
        <f>(Data_PLT[[#This Row],[Equiv. Diam. (mm)]]/50)^0.45</f>
        <v>1.1135550054708407</v>
      </c>
      <c r="V163" s="13">
        <f>Data_PLT[[#This Row],[Is (MPa)]]*Data_PLT[[#This Row],[F]]</f>
        <v>0</v>
      </c>
      <c r="W163" s="13" t="str">
        <f>Data_PLT[[#This Row],[Failure Validity]]&amp;"-"&amp;Data_PLT[[#This Row],[Test type]]</f>
        <v>Valid-Diametral</v>
      </c>
      <c r="X163" s="13">
        <f>Data_PLT[[#This Row],[Is50 (MPa)]]*VLOOKUP("Min",Table_PLT_Conversion[],2,FALSE)</f>
        <v>0</v>
      </c>
      <c r="Y163" s="13">
        <f>Data_PLT[[#This Row],[Is50 (MPa)]]*VLOOKUP("Avg",Table_PLT_Conversion[],2,FALSE)</f>
        <v>0</v>
      </c>
      <c r="Z163" s="13">
        <f>Data_PLT[[#This Row],[Is50 (MPa)]]*VLOOKUP("Max",Table_PLT_Conversion[],2,FALSE)</f>
        <v>0</v>
      </c>
      <c r="AA163" s="62" t="e">
        <f>MATCH(LOOKUP(Data_PLT[[#This Row],[UCS min (MPa)]],Table_FieldStrength[Min UCS]),Table_FieldStrength[Min UCS],0)-1</f>
        <v>#N/A</v>
      </c>
      <c r="AB163" s="62" t="e">
        <f>MATCH(LOOKUP(Data_PLT[[#This Row],[UCS avg (MPa)]],Table_FieldStrength[Min UCS]),Table_FieldStrength[Min UCS],0)-1</f>
        <v>#N/A</v>
      </c>
      <c r="AC163" s="62" t="e">
        <f>MATCH(LOOKUP(Data_PLT[[#This Row],[UCS max (MPa)]],Table_FieldStrength[Min UCS]),Table_FieldStrength[Min UCS],0)-1</f>
        <v>#N/A</v>
      </c>
      <c r="AD163" s="68" t="e">
        <f>Data_PLT[[#This Row],[Test code]]&amp;"-"&amp;Data_PLT[[#This Row],[UCS min code]]</f>
        <v>#N/A</v>
      </c>
      <c r="AE163" s="68" t="e">
        <f>Data_PLT[[#This Row],[Test code]]&amp;"-"&amp;Data_PLT[[#This Row],[UCS avg code]]</f>
        <v>#N/A</v>
      </c>
      <c r="AF163" s="67" t="e">
        <f>Data_PLT[[#This Row],[Test code]]&amp;"-"&amp;Data_PLT[[#This Row],[UCS max code]]</f>
        <v>#N/A</v>
      </c>
      <c r="AG163" s="67" t="str">
        <f>Data_PLT[[#This Row],[Failure type]]&amp;"-"&amp;Data_PLT[[#This Row],[Test type]]&amp;"-"&amp;(IF(Data_PLT[[#This Row],[Is50 (MPa)]]&lt;1,1,IF(Data_PLT[[#This Row],[Is50 (MPa)]]&lt;2,2,IF(Data_PLT[[#This Row],[Is50 (MPa)]]&lt;4,3,IF(Data_PLT[[#This Row],[Is50 (MPa)]]&lt;8,4,5)))))</f>
        <v>Along bedding/foliation-Diametral-1</v>
      </c>
    </row>
    <row r="164" spans="1:33" x14ac:dyDescent="0.25">
      <c r="A164" t="s">
        <v>34</v>
      </c>
      <c r="B164" s="88" t="str">
        <f>VLOOKUP(Data_PLT[[#This Row],[Hole ID]],Data_Log[],2,FALSE)</f>
        <v>CGF-04</v>
      </c>
      <c r="C164" s="63">
        <f>IF(Data_PLT[[#This Row],[Hole ID]]="","",
IF(COUNTIF($A$4:A164,Data_PLT[[#This Row],[Hole ID]])=1,1,
IF(A164=A163,C163+1,
COUNTIF($A$4:A164,Data_PLT[[#This Row],[Hole ID]]))))</f>
        <v>12</v>
      </c>
      <c r="D164" s="63" t="str">
        <f>IF(Data_PLT[[#This Row],[Hole ID]]="","",Data_PLT[[#This Row],[Hole ID]]&amp;"_"&amp;Data_PLT[[#This Row],[Sample ID]])</f>
        <v>COG-25-09_12</v>
      </c>
      <c r="E164" s="6"/>
      <c r="F164" s="6">
        <v>41.64</v>
      </c>
      <c r="G164" s="63" t="str" cm="1">
        <f t="array" ref="G164">_xlfn.XLOOKUP(1,(A164=Geotech!$A$4:$A$11100)*(Data_PLT[[#This Row],[Depth (m)]]&gt;=Geotech!$C$4:$C$11100)*(Data_PLT[[#This Row],[Depth (m)]]&lt;Geotech!$D$4:$D$11100),Geotech!$M$4:$M$11100)</f>
        <v>Diorite</v>
      </c>
      <c r="H164" s="6" t="s">
        <v>267</v>
      </c>
      <c r="I164" s="63" t="str">
        <f>VLOOKUP(Data_PLT[[#This Row],[Hole ID]],Data_Log[[Hole ID]:[Core size]],20,FALSE)</f>
        <v>HQ</v>
      </c>
      <c r="J164" s="13">
        <f>VLOOKUP(Data_PLT[[#This Row],[Core Size]],Table_CoreSize[],2,FALSE)</f>
        <v>63.5</v>
      </c>
      <c r="K164" s="19">
        <v>50</v>
      </c>
      <c r="L164" s="19" t="s">
        <v>574</v>
      </c>
      <c r="M164" s="5">
        <v>285.39999999999998</v>
      </c>
      <c r="N164" s="5"/>
      <c r="O164" s="6" t="s">
        <v>428</v>
      </c>
      <c r="P164" s="13" t="str">
        <f>IF(Data_PLT[[#This Row],[Failure type]]="","",IF(OR(Data_PLT[[#This Row],[Failure type]]="Invalid",Data_PLT[[#This Row],[Failure type]]="Chipped",Data_PLT[[#This Row],[Failure type]]="Penetrate",Data_PLT[[#This Row],[Failure type]]="Did not break"),"Invalid","Valid"))</f>
        <v>Invalid</v>
      </c>
      <c r="Q164" s="6"/>
      <c r="R164" s="11"/>
      <c r="S164" s="13">
        <f>IF(Data_PLT[[#This Row],[Test type]]="Diametral",Data_PLT[[#This Row],[Diameter (mm)]],IF(Data_PLT[[#This Row],[Test type]]="Axial",SQRT(4*Data_PLT[[#This Row],[Diameter (mm)]]*Data_PLT[[#This Row],[Length or width (mm)]]/PI()),"ERROR"))</f>
        <v>63.580937037245228</v>
      </c>
      <c r="T164" s="13">
        <f>(Data_PLT[[#This Row],[Load (kN)]]*1000)/Data_PLT[[#This Row],[Equiv. Diam. (mm)]]^2</f>
        <v>0</v>
      </c>
      <c r="U164" s="13">
        <f>(Data_PLT[[#This Row],[Equiv. Diam. (mm)]]/50)^0.45</f>
        <v>1.1141934829932261</v>
      </c>
      <c r="V164" s="13">
        <f>Data_PLT[[#This Row],[Is (MPa)]]*Data_PLT[[#This Row],[F]]</f>
        <v>0</v>
      </c>
      <c r="W164" s="13" t="str">
        <f>Data_PLT[[#This Row],[Failure Validity]]&amp;"-"&amp;Data_PLT[[#This Row],[Test type]]</f>
        <v>Invalid-Axial</v>
      </c>
      <c r="X164" s="13">
        <f>Data_PLT[[#This Row],[Is50 (MPa)]]*VLOOKUP("Min",Table_PLT_Conversion[],2,FALSE)</f>
        <v>0</v>
      </c>
      <c r="Y164" s="13">
        <f>Data_PLT[[#This Row],[Is50 (MPa)]]*VLOOKUP("Avg",Table_PLT_Conversion[],2,FALSE)</f>
        <v>0</v>
      </c>
      <c r="Z164" s="13">
        <f>Data_PLT[[#This Row],[Is50 (MPa)]]*VLOOKUP("Max",Table_PLT_Conversion[],2,FALSE)</f>
        <v>0</v>
      </c>
      <c r="AA164" s="62" t="e">
        <f>MATCH(LOOKUP(Data_PLT[[#This Row],[UCS min (MPa)]],Table_FieldStrength[Min UCS]),Table_FieldStrength[Min UCS],0)-1</f>
        <v>#N/A</v>
      </c>
      <c r="AB164" s="62" t="e">
        <f>MATCH(LOOKUP(Data_PLT[[#This Row],[UCS avg (MPa)]],Table_FieldStrength[Min UCS]),Table_FieldStrength[Min UCS],0)-1</f>
        <v>#N/A</v>
      </c>
      <c r="AC164" s="62" t="e">
        <f>MATCH(LOOKUP(Data_PLT[[#This Row],[UCS max (MPa)]],Table_FieldStrength[Min UCS]),Table_FieldStrength[Min UCS],0)-1</f>
        <v>#N/A</v>
      </c>
      <c r="AD164" s="68" t="e">
        <f>Data_PLT[[#This Row],[Test code]]&amp;"-"&amp;Data_PLT[[#This Row],[UCS min code]]</f>
        <v>#N/A</v>
      </c>
      <c r="AE164" s="68" t="e">
        <f>Data_PLT[[#This Row],[Test code]]&amp;"-"&amp;Data_PLT[[#This Row],[UCS avg code]]</f>
        <v>#N/A</v>
      </c>
      <c r="AF164" s="67" t="e">
        <f>Data_PLT[[#This Row],[Test code]]&amp;"-"&amp;Data_PLT[[#This Row],[UCS max code]]</f>
        <v>#N/A</v>
      </c>
      <c r="AG164" s="67" t="str">
        <f>Data_PLT[[#This Row],[Failure type]]&amp;"-"&amp;Data_PLT[[#This Row],[Test type]]&amp;"-"&amp;(IF(Data_PLT[[#This Row],[Is50 (MPa)]]&lt;1,1,IF(Data_PLT[[#This Row],[Is50 (MPa)]]&lt;2,2,IF(Data_PLT[[#This Row],[Is50 (MPa)]]&lt;4,3,IF(Data_PLT[[#This Row],[Is50 (MPa)]]&lt;8,4,5)))))</f>
        <v>Did not break-Axial-1</v>
      </c>
    </row>
    <row r="165" spans="1:33" x14ac:dyDescent="0.25">
      <c r="A165" t="s">
        <v>34</v>
      </c>
      <c r="B165" s="88" t="str">
        <f>VLOOKUP(Data_PLT[[#This Row],[Hole ID]],Data_Log[],2,FALSE)</f>
        <v>CGF-04</v>
      </c>
      <c r="C165" s="63">
        <f>IF(Data_PLT[[#This Row],[Hole ID]]="","",
IF(COUNTIF($A$4:A165,Data_PLT[[#This Row],[Hole ID]])=1,1,
IF(A165=A164,C164+1,
COUNTIF($A$4:A165,Data_PLT[[#This Row],[Hole ID]]))))</f>
        <v>13</v>
      </c>
      <c r="D165" s="63" t="str">
        <f>IF(Data_PLT[[#This Row],[Hole ID]]="","",Data_PLT[[#This Row],[Hole ID]]&amp;"_"&amp;Data_PLT[[#This Row],[Sample ID]])</f>
        <v>COG-25-09_13</v>
      </c>
      <c r="E165" s="6"/>
      <c r="F165" s="6">
        <v>41.73</v>
      </c>
      <c r="G165" s="63" t="str" cm="1">
        <f t="array" ref="G165">_xlfn.XLOOKUP(1,(A165=Geotech!$A$4:$A$11100)*(Data_PLT[[#This Row],[Depth (m)]]&gt;=Geotech!$C$4:$C$11100)*(Data_PLT[[#This Row],[Depth (m)]]&lt;Geotech!$D$4:$D$11100),Geotech!$M$4:$M$11100)</f>
        <v>Diorite</v>
      </c>
      <c r="H165" s="6" t="s">
        <v>299</v>
      </c>
      <c r="I165" s="63" t="str">
        <f>VLOOKUP(Data_PLT[[#This Row],[Hole ID]],Data_Log[[Hole ID]:[Core size]],20,FALSE)</f>
        <v>HQ</v>
      </c>
      <c r="J165" s="13">
        <f>VLOOKUP(Data_PLT[[#This Row],[Core Size]],Table_CoreSize[],2,FALSE)</f>
        <v>63.5</v>
      </c>
      <c r="K165" s="19">
        <v>105</v>
      </c>
      <c r="L165" s="19" t="s">
        <v>574</v>
      </c>
      <c r="M165" s="5">
        <v>141.6</v>
      </c>
      <c r="N165" s="5"/>
      <c r="O165" s="6" t="s">
        <v>165</v>
      </c>
      <c r="P165" s="13" t="str">
        <f>IF(Data_PLT[[#This Row],[Failure type]]="","",IF(OR(Data_PLT[[#This Row],[Failure type]]="Invalid",Data_PLT[[#This Row],[Failure type]]="Chipped",Data_PLT[[#This Row],[Failure type]]="Penetrate",Data_PLT[[#This Row],[Failure type]]="Did not break"),"Invalid","Valid"))</f>
        <v>Invalid</v>
      </c>
      <c r="Q165" s="6"/>
      <c r="R165" s="11"/>
      <c r="S165" s="13">
        <f>IF(Data_PLT[[#This Row],[Test type]]="Diametral",Data_PLT[[#This Row],[Diameter (mm)]],IF(Data_PLT[[#This Row],[Test type]]="Axial",SQRT(4*Data_PLT[[#This Row],[Diameter (mm)]]*Data_PLT[[#This Row],[Length or width (mm)]]/PI()),"ERROR"))</f>
        <v>63.5</v>
      </c>
      <c r="T165" s="13">
        <f>(Data_PLT[[#This Row],[Load (kN)]]*1000)/Data_PLT[[#This Row],[Equiv. Diam. (mm)]]^2</f>
        <v>0</v>
      </c>
      <c r="U165" s="13">
        <f>(Data_PLT[[#This Row],[Equiv. Diam. (mm)]]/50)^0.45</f>
        <v>1.1135550054708407</v>
      </c>
      <c r="V165" s="13">
        <f>Data_PLT[[#This Row],[Is (MPa)]]*Data_PLT[[#This Row],[F]]</f>
        <v>0</v>
      </c>
      <c r="W165" s="13" t="str">
        <f>Data_PLT[[#This Row],[Failure Validity]]&amp;"-"&amp;Data_PLT[[#This Row],[Test type]]</f>
        <v>Invalid-Diametral</v>
      </c>
      <c r="X165" s="13">
        <f>Data_PLT[[#This Row],[Is50 (MPa)]]*VLOOKUP("Min",Table_PLT_Conversion[],2,FALSE)</f>
        <v>0</v>
      </c>
      <c r="Y165" s="13">
        <f>Data_PLT[[#This Row],[Is50 (MPa)]]*VLOOKUP("Avg",Table_PLT_Conversion[],2,FALSE)</f>
        <v>0</v>
      </c>
      <c r="Z165" s="13">
        <f>Data_PLT[[#This Row],[Is50 (MPa)]]*VLOOKUP("Max",Table_PLT_Conversion[],2,FALSE)</f>
        <v>0</v>
      </c>
      <c r="AA165" s="62" t="e">
        <f>MATCH(LOOKUP(Data_PLT[[#This Row],[UCS min (MPa)]],Table_FieldStrength[Min UCS]),Table_FieldStrength[Min UCS],0)-1</f>
        <v>#N/A</v>
      </c>
      <c r="AB165" s="62" t="e">
        <f>MATCH(LOOKUP(Data_PLT[[#This Row],[UCS avg (MPa)]],Table_FieldStrength[Min UCS]),Table_FieldStrength[Min UCS],0)-1</f>
        <v>#N/A</v>
      </c>
      <c r="AC165" s="62" t="e">
        <f>MATCH(LOOKUP(Data_PLT[[#This Row],[UCS max (MPa)]],Table_FieldStrength[Min UCS]),Table_FieldStrength[Min UCS],0)-1</f>
        <v>#N/A</v>
      </c>
      <c r="AD165" s="68" t="e">
        <f>Data_PLT[[#This Row],[Test code]]&amp;"-"&amp;Data_PLT[[#This Row],[UCS min code]]</f>
        <v>#N/A</v>
      </c>
      <c r="AE165" s="68" t="e">
        <f>Data_PLT[[#This Row],[Test code]]&amp;"-"&amp;Data_PLT[[#This Row],[UCS avg code]]</f>
        <v>#N/A</v>
      </c>
      <c r="AF165" s="67" t="e">
        <f>Data_PLT[[#This Row],[Test code]]&amp;"-"&amp;Data_PLT[[#This Row],[UCS max code]]</f>
        <v>#N/A</v>
      </c>
      <c r="AG165" s="67" t="str">
        <f>Data_PLT[[#This Row],[Failure type]]&amp;"-"&amp;Data_PLT[[#This Row],[Test type]]&amp;"-"&amp;(IF(Data_PLT[[#This Row],[Is50 (MPa)]]&lt;1,1,IF(Data_PLT[[#This Row],[Is50 (MPa)]]&lt;2,2,IF(Data_PLT[[#This Row],[Is50 (MPa)]]&lt;4,3,IF(Data_PLT[[#This Row],[Is50 (MPa)]]&lt;8,4,5)))))</f>
        <v>Chipped-Diametral-1</v>
      </c>
    </row>
    <row r="166" spans="1:33" x14ac:dyDescent="0.25">
      <c r="A166" t="s">
        <v>34</v>
      </c>
      <c r="B166" s="88" t="str">
        <f>VLOOKUP(Data_PLT[[#This Row],[Hole ID]],Data_Log[],2,FALSE)</f>
        <v>CGF-04</v>
      </c>
      <c r="C166" s="63">
        <f>IF(Data_PLT[[#This Row],[Hole ID]]="","",
IF(COUNTIF($A$4:A166,Data_PLT[[#This Row],[Hole ID]])=1,1,
IF(A166=A165,C165+1,
COUNTIF($A$4:A166,Data_PLT[[#This Row],[Hole ID]]))))</f>
        <v>14</v>
      </c>
      <c r="D166" s="63" t="str">
        <f>IF(Data_PLT[[#This Row],[Hole ID]]="","",Data_PLT[[#This Row],[Hole ID]]&amp;"_"&amp;Data_PLT[[#This Row],[Sample ID]])</f>
        <v>COG-25-09_14</v>
      </c>
      <c r="E166" s="6"/>
      <c r="F166" s="6">
        <v>42.93</v>
      </c>
      <c r="G166" s="63" t="str" cm="1">
        <f t="array" ref="G166">_xlfn.XLOOKUP(1,(A166=Geotech!$A$4:$A$11100)*(Data_PLT[[#This Row],[Depth (m)]]&gt;=Geotech!$C$4:$C$11100)*(Data_PLT[[#This Row],[Depth (m)]]&lt;Geotech!$D$4:$D$11100),Geotech!$M$4:$M$11100)</f>
        <v>Diorite</v>
      </c>
      <c r="H166" s="6" t="s">
        <v>299</v>
      </c>
      <c r="I166" s="63" t="str">
        <f>VLOOKUP(Data_PLT[[#This Row],[Hole ID]],Data_Log[[Hole ID]:[Core size]],20,FALSE)</f>
        <v>HQ</v>
      </c>
      <c r="J166" s="13">
        <f>VLOOKUP(Data_PLT[[#This Row],[Core Size]],Table_CoreSize[],2,FALSE)</f>
        <v>63.5</v>
      </c>
      <c r="K166" s="19">
        <v>180</v>
      </c>
      <c r="L166" s="19" t="s">
        <v>574</v>
      </c>
      <c r="M166" s="5">
        <v>300</v>
      </c>
      <c r="N166" s="5"/>
      <c r="O166" s="6" t="s">
        <v>300</v>
      </c>
      <c r="P166" s="13" t="str">
        <f>IF(Data_PLT[[#This Row],[Failure type]]="","",IF(OR(Data_PLT[[#This Row],[Failure type]]="Invalid",Data_PLT[[#This Row],[Failure type]]="Chipped",Data_PLT[[#This Row],[Failure type]]="Penetrate",Data_PLT[[#This Row],[Failure type]]="Did not break"),"Invalid","Valid"))</f>
        <v>Valid</v>
      </c>
      <c r="Q166" s="6"/>
      <c r="R166" s="11"/>
      <c r="S166" s="13">
        <f>IF(Data_PLT[[#This Row],[Test type]]="Diametral",Data_PLT[[#This Row],[Diameter (mm)]],IF(Data_PLT[[#This Row],[Test type]]="Axial",SQRT(4*Data_PLT[[#This Row],[Diameter (mm)]]*Data_PLT[[#This Row],[Length or width (mm)]]/PI()),"ERROR"))</f>
        <v>63.5</v>
      </c>
      <c r="T166" s="13">
        <f>(Data_PLT[[#This Row],[Load (kN)]]*1000)/Data_PLT[[#This Row],[Equiv. Diam. (mm)]]^2</f>
        <v>0</v>
      </c>
      <c r="U166" s="13">
        <f>(Data_PLT[[#This Row],[Equiv. Diam. (mm)]]/50)^0.45</f>
        <v>1.1135550054708407</v>
      </c>
      <c r="V166" s="13">
        <f>Data_PLT[[#This Row],[Is (MPa)]]*Data_PLT[[#This Row],[F]]</f>
        <v>0</v>
      </c>
      <c r="W166" s="13" t="str">
        <f>Data_PLT[[#This Row],[Failure Validity]]&amp;"-"&amp;Data_PLT[[#This Row],[Test type]]</f>
        <v>Valid-Diametral</v>
      </c>
      <c r="X166" s="13">
        <f>Data_PLT[[#This Row],[Is50 (MPa)]]*VLOOKUP("Min",Table_PLT_Conversion[],2,FALSE)</f>
        <v>0</v>
      </c>
      <c r="Y166" s="13">
        <f>Data_PLT[[#This Row],[Is50 (MPa)]]*VLOOKUP("Avg",Table_PLT_Conversion[],2,FALSE)</f>
        <v>0</v>
      </c>
      <c r="Z166" s="13">
        <f>Data_PLT[[#This Row],[Is50 (MPa)]]*VLOOKUP("Max",Table_PLT_Conversion[],2,FALSE)</f>
        <v>0</v>
      </c>
      <c r="AA166" s="62" t="e">
        <f>MATCH(LOOKUP(Data_PLT[[#This Row],[UCS min (MPa)]],Table_FieldStrength[Min UCS]),Table_FieldStrength[Min UCS],0)-1</f>
        <v>#N/A</v>
      </c>
      <c r="AB166" s="62" t="e">
        <f>MATCH(LOOKUP(Data_PLT[[#This Row],[UCS avg (MPa)]],Table_FieldStrength[Min UCS]),Table_FieldStrength[Min UCS],0)-1</f>
        <v>#N/A</v>
      </c>
      <c r="AC166" s="62" t="e">
        <f>MATCH(LOOKUP(Data_PLT[[#This Row],[UCS max (MPa)]],Table_FieldStrength[Min UCS]),Table_FieldStrength[Min UCS],0)-1</f>
        <v>#N/A</v>
      </c>
      <c r="AD166" s="68" t="e">
        <f>Data_PLT[[#This Row],[Test code]]&amp;"-"&amp;Data_PLT[[#This Row],[UCS min code]]</f>
        <v>#N/A</v>
      </c>
      <c r="AE166" s="68" t="e">
        <f>Data_PLT[[#This Row],[Test code]]&amp;"-"&amp;Data_PLT[[#This Row],[UCS avg code]]</f>
        <v>#N/A</v>
      </c>
      <c r="AF166" s="67" t="e">
        <f>Data_PLT[[#This Row],[Test code]]&amp;"-"&amp;Data_PLT[[#This Row],[UCS max code]]</f>
        <v>#N/A</v>
      </c>
      <c r="AG166" s="67" t="str">
        <f>Data_PLT[[#This Row],[Failure type]]&amp;"-"&amp;Data_PLT[[#This Row],[Test type]]&amp;"-"&amp;(IF(Data_PLT[[#This Row],[Is50 (MPa)]]&lt;1,1,IF(Data_PLT[[#This Row],[Is50 (MPa)]]&lt;2,2,IF(Data_PLT[[#This Row],[Is50 (MPa)]]&lt;4,3,IF(Data_PLT[[#This Row],[Is50 (MPa)]]&lt;8,4,5)))))</f>
        <v>Intact-Diametral-1</v>
      </c>
    </row>
    <row r="167" spans="1:33" x14ac:dyDescent="0.25">
      <c r="A167" t="s">
        <v>34</v>
      </c>
      <c r="B167" s="88" t="str">
        <f>VLOOKUP(Data_PLT[[#This Row],[Hole ID]],Data_Log[],2,FALSE)</f>
        <v>CGF-04</v>
      </c>
      <c r="C167" s="63">
        <f>IF(Data_PLT[[#This Row],[Hole ID]]="","",
IF(COUNTIF($A$4:A167,Data_PLT[[#This Row],[Hole ID]])=1,1,
IF(A167=A166,C166+1,
COUNTIF($A$4:A167,Data_PLT[[#This Row],[Hole ID]]))))</f>
        <v>15</v>
      </c>
      <c r="D167" s="63" t="str">
        <f>IF(Data_PLT[[#This Row],[Hole ID]]="","",Data_PLT[[#This Row],[Hole ID]]&amp;"_"&amp;Data_PLT[[#This Row],[Sample ID]])</f>
        <v>COG-25-09_15</v>
      </c>
      <c r="E167" s="6"/>
      <c r="F167" s="6">
        <v>44.73</v>
      </c>
      <c r="G167" s="63" t="str" cm="1">
        <f t="array" ref="G167">_xlfn.XLOOKUP(1,(A167=Geotech!$A$4:$A$11100)*(Data_PLT[[#This Row],[Depth (m)]]&gt;=Geotech!$C$4:$C$11100)*(Data_PLT[[#This Row],[Depth (m)]]&lt;Geotech!$D$4:$D$11100),Geotech!$M$4:$M$11100)</f>
        <v>Boulamarque granodiorite</v>
      </c>
      <c r="H167" s="6" t="s">
        <v>267</v>
      </c>
      <c r="I167" s="63" t="str">
        <f>VLOOKUP(Data_PLT[[#This Row],[Hole ID]],Data_Log[[Hole ID]:[Core size]],20,FALSE)</f>
        <v>HQ</v>
      </c>
      <c r="J167" s="13">
        <f>VLOOKUP(Data_PLT[[#This Row],[Core Size]],Table_CoreSize[],2,FALSE)</f>
        <v>63.5</v>
      </c>
      <c r="K167" s="19">
        <v>25</v>
      </c>
      <c r="L167" s="19" t="s">
        <v>574</v>
      </c>
      <c r="M167" s="5">
        <v>62.8</v>
      </c>
      <c r="N167" s="5"/>
      <c r="O167" s="6" t="s">
        <v>363</v>
      </c>
      <c r="P167" s="13" t="str">
        <f>IF(Data_PLT[[#This Row],[Failure type]]="","",IF(OR(Data_PLT[[#This Row],[Failure type]]="Invalid",Data_PLT[[#This Row],[Failure type]]="Chipped",Data_PLT[[#This Row],[Failure type]]="Penetrate",Data_PLT[[#This Row],[Failure type]]="Did not break"),"Invalid","Valid"))</f>
        <v>Valid</v>
      </c>
      <c r="Q167" s="6"/>
      <c r="R167" s="11"/>
      <c r="S167" s="13">
        <f>IF(Data_PLT[[#This Row],[Test type]]="Diametral",Data_PLT[[#This Row],[Diameter (mm)]],IF(Data_PLT[[#This Row],[Test type]]="Axial",SQRT(4*Data_PLT[[#This Row],[Diameter (mm)]]*Data_PLT[[#This Row],[Length or width (mm)]]/PI()),"ERROR"))</f>
        <v>44.958511733231013</v>
      </c>
      <c r="T167" s="13">
        <f>(Data_PLT[[#This Row],[Load (kN)]]*1000)/Data_PLT[[#This Row],[Equiv. Diam. (mm)]]^2</f>
        <v>0</v>
      </c>
      <c r="U167" s="13">
        <f>(Data_PLT[[#This Row],[Equiv. Diam. (mm)]]/50)^0.45</f>
        <v>0.9532984016969771</v>
      </c>
      <c r="V167" s="13">
        <f>Data_PLT[[#This Row],[Is (MPa)]]*Data_PLT[[#This Row],[F]]</f>
        <v>0</v>
      </c>
      <c r="W167" s="13" t="str">
        <f>Data_PLT[[#This Row],[Failure Validity]]&amp;"-"&amp;Data_PLT[[#This Row],[Test type]]</f>
        <v>Valid-Axial</v>
      </c>
      <c r="X167" s="13">
        <f>Data_PLT[[#This Row],[Is50 (MPa)]]*VLOOKUP("Min",Table_PLT_Conversion[],2,FALSE)</f>
        <v>0</v>
      </c>
      <c r="Y167" s="13">
        <f>Data_PLT[[#This Row],[Is50 (MPa)]]*VLOOKUP("Avg",Table_PLT_Conversion[],2,FALSE)</f>
        <v>0</v>
      </c>
      <c r="Z167" s="13">
        <f>Data_PLT[[#This Row],[Is50 (MPa)]]*VLOOKUP("Max",Table_PLT_Conversion[],2,FALSE)</f>
        <v>0</v>
      </c>
      <c r="AA167" s="62" t="e">
        <f>MATCH(LOOKUP(Data_PLT[[#This Row],[UCS min (MPa)]],Table_FieldStrength[Min UCS]),Table_FieldStrength[Min UCS],0)-1</f>
        <v>#N/A</v>
      </c>
      <c r="AB167" s="62" t="e">
        <f>MATCH(LOOKUP(Data_PLT[[#This Row],[UCS avg (MPa)]],Table_FieldStrength[Min UCS]),Table_FieldStrength[Min UCS],0)-1</f>
        <v>#N/A</v>
      </c>
      <c r="AC167" s="62" t="e">
        <f>MATCH(LOOKUP(Data_PLT[[#This Row],[UCS max (MPa)]],Table_FieldStrength[Min UCS]),Table_FieldStrength[Min UCS],0)-1</f>
        <v>#N/A</v>
      </c>
      <c r="AD167" s="68" t="e">
        <f>Data_PLT[[#This Row],[Test code]]&amp;"-"&amp;Data_PLT[[#This Row],[UCS min code]]</f>
        <v>#N/A</v>
      </c>
      <c r="AE167" s="68" t="e">
        <f>Data_PLT[[#This Row],[Test code]]&amp;"-"&amp;Data_PLT[[#This Row],[UCS avg code]]</f>
        <v>#N/A</v>
      </c>
      <c r="AF167" s="67" t="e">
        <f>Data_PLT[[#This Row],[Test code]]&amp;"-"&amp;Data_PLT[[#This Row],[UCS max code]]</f>
        <v>#N/A</v>
      </c>
      <c r="AG167" s="67" t="str">
        <f>Data_PLT[[#This Row],[Failure type]]&amp;"-"&amp;Data_PLT[[#This Row],[Test type]]&amp;"-"&amp;(IF(Data_PLT[[#This Row],[Is50 (MPa)]]&lt;1,1,IF(Data_PLT[[#This Row],[Is50 (MPa)]]&lt;2,2,IF(Data_PLT[[#This Row],[Is50 (MPa)]]&lt;4,3,IF(Data_PLT[[#This Row],[Is50 (MPa)]]&lt;8,4,5)))))</f>
        <v>Perp. bedding-Axial-1</v>
      </c>
    </row>
    <row r="168" spans="1:33" x14ac:dyDescent="0.25">
      <c r="A168" t="s">
        <v>34</v>
      </c>
      <c r="B168" s="88" t="str">
        <f>VLOOKUP(Data_PLT[[#This Row],[Hole ID]],Data_Log[],2,FALSE)</f>
        <v>CGF-04</v>
      </c>
      <c r="C168" s="63">
        <f>IF(Data_PLT[[#This Row],[Hole ID]]="","",
IF(COUNTIF($A$4:A168,Data_PLT[[#This Row],[Hole ID]])=1,1,
IF(A168=A167,C167+1,
COUNTIF($A$4:A168,Data_PLT[[#This Row],[Hole ID]]))))</f>
        <v>16</v>
      </c>
      <c r="D168" s="63" t="str">
        <f>IF(Data_PLT[[#This Row],[Hole ID]]="","",Data_PLT[[#This Row],[Hole ID]]&amp;"_"&amp;Data_PLT[[#This Row],[Sample ID]])</f>
        <v>COG-25-09_16</v>
      </c>
      <c r="E168" s="6"/>
      <c r="F168" s="6">
        <v>44.46</v>
      </c>
      <c r="G168" s="63" t="str" cm="1">
        <f t="array" ref="G168">_xlfn.XLOOKUP(1,(A168=Geotech!$A$4:$A$11100)*(Data_PLT[[#This Row],[Depth (m)]]&gt;=Geotech!$C$4:$C$11100)*(Data_PLT[[#This Row],[Depth (m)]]&lt;Geotech!$D$4:$D$11100),Geotech!$M$4:$M$11100)</f>
        <v>Boulamarque granodiorite</v>
      </c>
      <c r="H168" s="6" t="s">
        <v>299</v>
      </c>
      <c r="I168" s="63" t="str">
        <f>VLOOKUP(Data_PLT[[#This Row],[Hole ID]],Data_Log[[Hole ID]:[Core size]],20,FALSE)</f>
        <v>HQ</v>
      </c>
      <c r="J168" s="13">
        <f>VLOOKUP(Data_PLT[[#This Row],[Core Size]],Table_CoreSize[],2,FALSE)</f>
        <v>63.5</v>
      </c>
      <c r="K168" s="19">
        <v>145</v>
      </c>
      <c r="L168" s="19" t="s">
        <v>574</v>
      </c>
      <c r="M168" s="5">
        <v>135.80000000000001</v>
      </c>
      <c r="N168" s="5"/>
      <c r="O168" s="6" t="s">
        <v>334</v>
      </c>
      <c r="P168" s="13" t="str">
        <f>IF(Data_PLT[[#This Row],[Failure type]]="","",IF(OR(Data_PLT[[#This Row],[Failure type]]="Invalid",Data_PLT[[#This Row],[Failure type]]="Chipped",Data_PLT[[#This Row],[Failure type]]="Penetrate",Data_PLT[[#This Row],[Failure type]]="Did not break"),"Invalid","Valid"))</f>
        <v>Valid</v>
      </c>
      <c r="Q168" s="6"/>
      <c r="R168" s="11"/>
      <c r="S168" s="13">
        <f>IF(Data_PLT[[#This Row],[Test type]]="Diametral",Data_PLT[[#This Row],[Diameter (mm)]],IF(Data_PLT[[#This Row],[Test type]]="Axial",SQRT(4*Data_PLT[[#This Row],[Diameter (mm)]]*Data_PLT[[#This Row],[Length or width (mm)]]/PI()),"ERROR"))</f>
        <v>63.5</v>
      </c>
      <c r="T168" s="13">
        <f>(Data_PLT[[#This Row],[Load (kN)]]*1000)/Data_PLT[[#This Row],[Equiv. Diam. (mm)]]^2</f>
        <v>0</v>
      </c>
      <c r="U168" s="13">
        <f>(Data_PLT[[#This Row],[Equiv. Diam. (mm)]]/50)^0.45</f>
        <v>1.1135550054708407</v>
      </c>
      <c r="V168" s="13">
        <f>Data_PLT[[#This Row],[Is (MPa)]]*Data_PLT[[#This Row],[F]]</f>
        <v>0</v>
      </c>
      <c r="W168" s="13" t="str">
        <f>Data_PLT[[#This Row],[Failure Validity]]&amp;"-"&amp;Data_PLT[[#This Row],[Test type]]</f>
        <v>Valid-Diametral</v>
      </c>
      <c r="X168" s="13">
        <f>Data_PLT[[#This Row],[Is50 (MPa)]]*VLOOKUP("Min",Table_PLT_Conversion[],2,FALSE)</f>
        <v>0</v>
      </c>
      <c r="Y168" s="13">
        <f>Data_PLT[[#This Row],[Is50 (MPa)]]*VLOOKUP("Avg",Table_PLT_Conversion[],2,FALSE)</f>
        <v>0</v>
      </c>
      <c r="Z168" s="13">
        <f>Data_PLT[[#This Row],[Is50 (MPa)]]*VLOOKUP("Max",Table_PLT_Conversion[],2,FALSE)</f>
        <v>0</v>
      </c>
      <c r="AA168" s="62" t="e">
        <f>MATCH(LOOKUP(Data_PLT[[#This Row],[UCS min (MPa)]],Table_FieldStrength[Min UCS]),Table_FieldStrength[Min UCS],0)-1</f>
        <v>#N/A</v>
      </c>
      <c r="AB168" s="62" t="e">
        <f>MATCH(LOOKUP(Data_PLT[[#This Row],[UCS avg (MPa)]],Table_FieldStrength[Min UCS]),Table_FieldStrength[Min UCS],0)-1</f>
        <v>#N/A</v>
      </c>
      <c r="AC168" s="62" t="e">
        <f>MATCH(LOOKUP(Data_PLT[[#This Row],[UCS max (MPa)]],Table_FieldStrength[Min UCS]),Table_FieldStrength[Min UCS],0)-1</f>
        <v>#N/A</v>
      </c>
      <c r="AD168" s="68" t="e">
        <f>Data_PLT[[#This Row],[Test code]]&amp;"-"&amp;Data_PLT[[#This Row],[UCS min code]]</f>
        <v>#N/A</v>
      </c>
      <c r="AE168" s="68" t="e">
        <f>Data_PLT[[#This Row],[Test code]]&amp;"-"&amp;Data_PLT[[#This Row],[UCS avg code]]</f>
        <v>#N/A</v>
      </c>
      <c r="AF168" s="67" t="e">
        <f>Data_PLT[[#This Row],[Test code]]&amp;"-"&amp;Data_PLT[[#This Row],[UCS max code]]</f>
        <v>#N/A</v>
      </c>
      <c r="AG168" s="67" t="str">
        <f>Data_PLT[[#This Row],[Failure type]]&amp;"-"&amp;Data_PLT[[#This Row],[Test type]]&amp;"-"&amp;(IF(Data_PLT[[#This Row],[Is50 (MPa)]]&lt;1,1,IF(Data_PLT[[#This Row],[Is50 (MPa)]]&lt;2,2,IF(Data_PLT[[#This Row],[Is50 (MPa)]]&lt;4,3,IF(Data_PLT[[#This Row],[Is50 (MPa)]]&lt;8,4,5)))))</f>
        <v>Along bedding/foliation-Diametral-1</v>
      </c>
    </row>
    <row r="169" spans="1:33" x14ac:dyDescent="0.25">
      <c r="A169" t="s">
        <v>34</v>
      </c>
      <c r="B169" s="88" t="str">
        <f>VLOOKUP(Data_PLT[[#This Row],[Hole ID]],Data_Log[],2,FALSE)</f>
        <v>CGF-04</v>
      </c>
      <c r="C169" s="63">
        <f>IF(Data_PLT[[#This Row],[Hole ID]]="","",
IF(COUNTIF($A$4:A169,Data_PLT[[#This Row],[Hole ID]])=1,1,
IF(A169=A168,C168+1,
COUNTIF($A$4:A169,Data_PLT[[#This Row],[Hole ID]]))))</f>
        <v>17</v>
      </c>
      <c r="D169" s="63" t="str">
        <f>IF(Data_PLT[[#This Row],[Hole ID]]="","",Data_PLT[[#This Row],[Hole ID]]&amp;"_"&amp;Data_PLT[[#This Row],[Sample ID]])</f>
        <v>COG-25-09_17</v>
      </c>
      <c r="E169" s="6"/>
      <c r="F169" s="6">
        <v>44.46</v>
      </c>
      <c r="G169" s="63" t="str" cm="1">
        <f t="array" ref="G169">_xlfn.XLOOKUP(1,(A169=Geotech!$A$4:$A$11100)*(Data_PLT[[#This Row],[Depth (m)]]&gt;=Geotech!$C$4:$C$11100)*(Data_PLT[[#This Row],[Depth (m)]]&lt;Geotech!$D$4:$D$11100),Geotech!$M$4:$M$11100)</f>
        <v>Boulamarque granodiorite</v>
      </c>
      <c r="H169" s="6" t="s">
        <v>267</v>
      </c>
      <c r="I169" s="63" t="str">
        <f>VLOOKUP(Data_PLT[[#This Row],[Hole ID]],Data_Log[[Hole ID]:[Core size]],20,FALSE)</f>
        <v>HQ</v>
      </c>
      <c r="J169" s="13">
        <f>VLOOKUP(Data_PLT[[#This Row],[Core Size]],Table_CoreSize[],2,FALSE)</f>
        <v>63.5</v>
      </c>
      <c r="K169" s="19">
        <v>35</v>
      </c>
      <c r="L169" s="19" t="s">
        <v>574</v>
      </c>
      <c r="M169" s="5">
        <v>163.80000000000001</v>
      </c>
      <c r="N169" s="5"/>
      <c r="O169" s="6" t="s">
        <v>165</v>
      </c>
      <c r="P169" s="13" t="str">
        <f>IF(Data_PLT[[#This Row],[Failure type]]="","",IF(OR(Data_PLT[[#This Row],[Failure type]]="Invalid",Data_PLT[[#This Row],[Failure type]]="Chipped",Data_PLT[[#This Row],[Failure type]]="Penetrate",Data_PLT[[#This Row],[Failure type]]="Did not break"),"Invalid","Valid"))</f>
        <v>Invalid</v>
      </c>
      <c r="Q169" s="6"/>
      <c r="R169" s="11"/>
      <c r="S169" s="13">
        <f>IF(Data_PLT[[#This Row],[Test type]]="Diametral",Data_PLT[[#This Row],[Diameter (mm)]],IF(Data_PLT[[#This Row],[Test type]]="Axial",SQRT(4*Data_PLT[[#This Row],[Diameter (mm)]]*Data_PLT[[#This Row],[Length or width (mm)]]/PI()),"ERROR"))</f>
        <v>53.19562846864298</v>
      </c>
      <c r="T169" s="13">
        <f>(Data_PLT[[#This Row],[Load (kN)]]*1000)/Data_PLT[[#This Row],[Equiv. Diam. (mm)]]^2</f>
        <v>0</v>
      </c>
      <c r="U169" s="13">
        <f>(Data_PLT[[#This Row],[Equiv. Diam. (mm)]]/50)^0.45</f>
        <v>1.0282712017332063</v>
      </c>
      <c r="V169" s="13">
        <f>Data_PLT[[#This Row],[Is (MPa)]]*Data_PLT[[#This Row],[F]]</f>
        <v>0</v>
      </c>
      <c r="W169" s="13" t="str">
        <f>Data_PLT[[#This Row],[Failure Validity]]&amp;"-"&amp;Data_PLT[[#This Row],[Test type]]</f>
        <v>Invalid-Axial</v>
      </c>
      <c r="X169" s="13">
        <f>Data_PLT[[#This Row],[Is50 (MPa)]]*VLOOKUP("Min",Table_PLT_Conversion[],2,FALSE)</f>
        <v>0</v>
      </c>
      <c r="Y169" s="13">
        <f>Data_PLT[[#This Row],[Is50 (MPa)]]*VLOOKUP("Avg",Table_PLT_Conversion[],2,FALSE)</f>
        <v>0</v>
      </c>
      <c r="Z169" s="13">
        <f>Data_PLT[[#This Row],[Is50 (MPa)]]*VLOOKUP("Max",Table_PLT_Conversion[],2,FALSE)</f>
        <v>0</v>
      </c>
      <c r="AA169" s="62" t="e">
        <f>MATCH(LOOKUP(Data_PLT[[#This Row],[UCS min (MPa)]],Table_FieldStrength[Min UCS]),Table_FieldStrength[Min UCS],0)-1</f>
        <v>#N/A</v>
      </c>
      <c r="AB169" s="62" t="e">
        <f>MATCH(LOOKUP(Data_PLT[[#This Row],[UCS avg (MPa)]],Table_FieldStrength[Min UCS]),Table_FieldStrength[Min UCS],0)-1</f>
        <v>#N/A</v>
      </c>
      <c r="AC169" s="62" t="e">
        <f>MATCH(LOOKUP(Data_PLT[[#This Row],[UCS max (MPa)]],Table_FieldStrength[Min UCS]),Table_FieldStrength[Min UCS],0)-1</f>
        <v>#N/A</v>
      </c>
      <c r="AD169" s="68" t="e">
        <f>Data_PLT[[#This Row],[Test code]]&amp;"-"&amp;Data_PLT[[#This Row],[UCS min code]]</f>
        <v>#N/A</v>
      </c>
      <c r="AE169" s="68" t="e">
        <f>Data_PLT[[#This Row],[Test code]]&amp;"-"&amp;Data_PLT[[#This Row],[UCS avg code]]</f>
        <v>#N/A</v>
      </c>
      <c r="AF169" s="67" t="e">
        <f>Data_PLT[[#This Row],[Test code]]&amp;"-"&amp;Data_PLT[[#This Row],[UCS max code]]</f>
        <v>#N/A</v>
      </c>
      <c r="AG169" s="67" t="str">
        <f>Data_PLT[[#This Row],[Failure type]]&amp;"-"&amp;Data_PLT[[#This Row],[Test type]]&amp;"-"&amp;(IF(Data_PLT[[#This Row],[Is50 (MPa)]]&lt;1,1,IF(Data_PLT[[#This Row],[Is50 (MPa)]]&lt;2,2,IF(Data_PLT[[#This Row],[Is50 (MPa)]]&lt;4,3,IF(Data_PLT[[#This Row],[Is50 (MPa)]]&lt;8,4,5)))))</f>
        <v>Chipped-Axial-1</v>
      </c>
    </row>
    <row r="170" spans="1:33" x14ac:dyDescent="0.25">
      <c r="A170" t="s">
        <v>34</v>
      </c>
      <c r="B170" s="88" t="str">
        <f>VLOOKUP(Data_PLT[[#This Row],[Hole ID]],Data_Log[],2,FALSE)</f>
        <v>CGF-04</v>
      </c>
      <c r="C170" s="63">
        <f>IF(Data_PLT[[#This Row],[Hole ID]]="","",
IF(COUNTIF($A$4:A170,Data_PLT[[#This Row],[Hole ID]])=1,1,
IF(A170=A169,C169+1,
COUNTIF($A$4:A170,Data_PLT[[#This Row],[Hole ID]]))))</f>
        <v>18</v>
      </c>
      <c r="D170" s="63" t="str">
        <f>IF(Data_PLT[[#This Row],[Hole ID]]="","",Data_PLT[[#This Row],[Hole ID]]&amp;"_"&amp;Data_PLT[[#This Row],[Sample ID]])</f>
        <v>COG-25-09_18</v>
      </c>
      <c r="E170" s="6"/>
      <c r="F170" s="6">
        <v>47.19</v>
      </c>
      <c r="G170" s="63" t="str" cm="1">
        <f t="array" ref="G170">_xlfn.XLOOKUP(1,(A170=Geotech!$A$4:$A$11100)*(Data_PLT[[#This Row],[Depth (m)]]&gt;=Geotech!$C$4:$C$11100)*(Data_PLT[[#This Row],[Depth (m)]]&lt;Geotech!$D$4:$D$11100),Geotech!$M$4:$M$11100)</f>
        <v>Boulamarque granodiorite</v>
      </c>
      <c r="H170" s="6" t="s">
        <v>299</v>
      </c>
      <c r="I170" s="63" t="str">
        <f>VLOOKUP(Data_PLT[[#This Row],[Hole ID]],Data_Log[[Hole ID]:[Core size]],20,FALSE)</f>
        <v>HQ</v>
      </c>
      <c r="J170" s="13">
        <f>VLOOKUP(Data_PLT[[#This Row],[Core Size]],Table_CoreSize[],2,FALSE)</f>
        <v>63.5</v>
      </c>
      <c r="K170" s="19">
        <v>110</v>
      </c>
      <c r="L170" s="19" t="s">
        <v>574</v>
      </c>
      <c r="M170" s="5">
        <v>164</v>
      </c>
      <c r="N170" s="5"/>
      <c r="O170" s="6" t="s">
        <v>334</v>
      </c>
      <c r="P170" s="13" t="str">
        <f>IF(Data_PLT[[#This Row],[Failure type]]="","",IF(OR(Data_PLT[[#This Row],[Failure type]]="Invalid",Data_PLT[[#This Row],[Failure type]]="Chipped",Data_PLT[[#This Row],[Failure type]]="Penetrate",Data_PLT[[#This Row],[Failure type]]="Did not break"),"Invalid","Valid"))</f>
        <v>Valid</v>
      </c>
      <c r="Q170" s="6"/>
      <c r="R170" s="11"/>
      <c r="S170" s="13">
        <f>IF(Data_PLT[[#This Row],[Test type]]="Diametral",Data_PLT[[#This Row],[Diameter (mm)]],IF(Data_PLT[[#This Row],[Test type]]="Axial",SQRT(4*Data_PLT[[#This Row],[Diameter (mm)]]*Data_PLT[[#This Row],[Length or width (mm)]]/PI()),"ERROR"))</f>
        <v>63.5</v>
      </c>
      <c r="T170" s="13">
        <f>(Data_PLT[[#This Row],[Load (kN)]]*1000)/Data_PLT[[#This Row],[Equiv. Diam. (mm)]]^2</f>
        <v>0</v>
      </c>
      <c r="U170" s="13">
        <f>(Data_PLT[[#This Row],[Equiv. Diam. (mm)]]/50)^0.45</f>
        <v>1.1135550054708407</v>
      </c>
      <c r="V170" s="13">
        <f>Data_PLT[[#This Row],[Is (MPa)]]*Data_PLT[[#This Row],[F]]</f>
        <v>0</v>
      </c>
      <c r="W170" s="13" t="str">
        <f>Data_PLT[[#This Row],[Failure Validity]]&amp;"-"&amp;Data_PLT[[#This Row],[Test type]]</f>
        <v>Valid-Diametral</v>
      </c>
      <c r="X170" s="13">
        <f>Data_PLT[[#This Row],[Is50 (MPa)]]*VLOOKUP("Min",Table_PLT_Conversion[],2,FALSE)</f>
        <v>0</v>
      </c>
      <c r="Y170" s="13">
        <f>Data_PLT[[#This Row],[Is50 (MPa)]]*VLOOKUP("Avg",Table_PLT_Conversion[],2,FALSE)</f>
        <v>0</v>
      </c>
      <c r="Z170" s="13">
        <f>Data_PLT[[#This Row],[Is50 (MPa)]]*VLOOKUP("Max",Table_PLT_Conversion[],2,FALSE)</f>
        <v>0</v>
      </c>
      <c r="AA170" s="62" t="e">
        <f>MATCH(LOOKUP(Data_PLT[[#This Row],[UCS min (MPa)]],Table_FieldStrength[Min UCS]),Table_FieldStrength[Min UCS],0)-1</f>
        <v>#N/A</v>
      </c>
      <c r="AB170" s="62" t="e">
        <f>MATCH(LOOKUP(Data_PLT[[#This Row],[UCS avg (MPa)]],Table_FieldStrength[Min UCS]),Table_FieldStrength[Min UCS],0)-1</f>
        <v>#N/A</v>
      </c>
      <c r="AC170" s="62" t="e">
        <f>MATCH(LOOKUP(Data_PLT[[#This Row],[UCS max (MPa)]],Table_FieldStrength[Min UCS]),Table_FieldStrength[Min UCS],0)-1</f>
        <v>#N/A</v>
      </c>
      <c r="AD170" s="68" t="e">
        <f>Data_PLT[[#This Row],[Test code]]&amp;"-"&amp;Data_PLT[[#This Row],[UCS min code]]</f>
        <v>#N/A</v>
      </c>
      <c r="AE170" s="68" t="e">
        <f>Data_PLT[[#This Row],[Test code]]&amp;"-"&amp;Data_PLT[[#This Row],[UCS avg code]]</f>
        <v>#N/A</v>
      </c>
      <c r="AF170" s="67" t="e">
        <f>Data_PLT[[#This Row],[Test code]]&amp;"-"&amp;Data_PLT[[#This Row],[UCS max code]]</f>
        <v>#N/A</v>
      </c>
      <c r="AG170" s="67" t="str">
        <f>Data_PLT[[#This Row],[Failure type]]&amp;"-"&amp;Data_PLT[[#This Row],[Test type]]&amp;"-"&amp;(IF(Data_PLT[[#This Row],[Is50 (MPa)]]&lt;1,1,IF(Data_PLT[[#This Row],[Is50 (MPa)]]&lt;2,2,IF(Data_PLT[[#This Row],[Is50 (MPa)]]&lt;4,3,IF(Data_PLT[[#This Row],[Is50 (MPa)]]&lt;8,4,5)))))</f>
        <v>Along bedding/foliation-Diametral-1</v>
      </c>
    </row>
    <row r="171" spans="1:33" x14ac:dyDescent="0.25">
      <c r="A171" t="s">
        <v>34</v>
      </c>
      <c r="B171" s="88" t="str">
        <f>VLOOKUP(Data_PLT[[#This Row],[Hole ID]],Data_Log[],2,FALSE)</f>
        <v>CGF-04</v>
      </c>
      <c r="C171" s="63">
        <f>IF(Data_PLT[[#This Row],[Hole ID]]="","",
IF(COUNTIF($A$4:A171,Data_PLT[[#This Row],[Hole ID]])=1,1,
IF(A171=A170,C170+1,
COUNTIF($A$4:A171,Data_PLT[[#This Row],[Hole ID]]))))</f>
        <v>19</v>
      </c>
      <c r="D171" s="63" t="str">
        <f>IF(Data_PLT[[#This Row],[Hole ID]]="","",Data_PLT[[#This Row],[Hole ID]]&amp;"_"&amp;Data_PLT[[#This Row],[Sample ID]])</f>
        <v>COG-25-09_19</v>
      </c>
      <c r="E171" s="6"/>
      <c r="F171" s="6">
        <v>48.78</v>
      </c>
      <c r="G171" s="63" t="str" cm="1">
        <f t="array" ref="G171">_xlfn.XLOOKUP(1,(A171=Geotech!$A$4:$A$11100)*(Data_PLT[[#This Row],[Depth (m)]]&gt;=Geotech!$C$4:$C$11100)*(Data_PLT[[#This Row],[Depth (m)]]&lt;Geotech!$D$4:$D$11100),Geotech!$M$4:$M$11100)</f>
        <v>Boulamarque granodiorite</v>
      </c>
      <c r="H171" s="6" t="s">
        <v>299</v>
      </c>
      <c r="I171" s="63" t="str">
        <f>VLOOKUP(Data_PLT[[#This Row],[Hole ID]],Data_Log[[Hole ID]:[Core size]],20,FALSE)</f>
        <v>HQ</v>
      </c>
      <c r="J171" s="13">
        <f>VLOOKUP(Data_PLT[[#This Row],[Core Size]],Table_CoreSize[],2,FALSE)</f>
        <v>63.5</v>
      </c>
      <c r="K171" s="19">
        <v>80</v>
      </c>
      <c r="L171" s="19" t="s">
        <v>574</v>
      </c>
      <c r="M171" s="5">
        <v>254</v>
      </c>
      <c r="N171" s="5"/>
      <c r="O171" s="6" t="s">
        <v>334</v>
      </c>
      <c r="P171" s="13" t="str">
        <f>IF(Data_PLT[[#This Row],[Failure type]]="","",IF(OR(Data_PLT[[#This Row],[Failure type]]="Invalid",Data_PLT[[#This Row],[Failure type]]="Chipped",Data_PLT[[#This Row],[Failure type]]="Penetrate",Data_PLT[[#This Row],[Failure type]]="Did not break"),"Invalid","Valid"))</f>
        <v>Valid</v>
      </c>
      <c r="Q171" s="6"/>
      <c r="R171" s="11"/>
      <c r="S171" s="13">
        <f>IF(Data_PLT[[#This Row],[Test type]]="Diametral",Data_PLT[[#This Row],[Diameter (mm)]],IF(Data_PLT[[#This Row],[Test type]]="Axial",SQRT(4*Data_PLT[[#This Row],[Diameter (mm)]]*Data_PLT[[#This Row],[Length or width (mm)]]/PI()),"ERROR"))</f>
        <v>63.5</v>
      </c>
      <c r="T171" s="13">
        <f>(Data_PLT[[#This Row],[Load (kN)]]*1000)/Data_PLT[[#This Row],[Equiv. Diam. (mm)]]^2</f>
        <v>0</v>
      </c>
      <c r="U171" s="13">
        <f>(Data_PLT[[#This Row],[Equiv. Diam. (mm)]]/50)^0.45</f>
        <v>1.1135550054708407</v>
      </c>
      <c r="V171" s="13">
        <f>Data_PLT[[#This Row],[Is (MPa)]]*Data_PLT[[#This Row],[F]]</f>
        <v>0</v>
      </c>
      <c r="W171" s="13" t="str">
        <f>Data_PLT[[#This Row],[Failure Validity]]&amp;"-"&amp;Data_PLT[[#This Row],[Test type]]</f>
        <v>Valid-Diametral</v>
      </c>
      <c r="X171" s="13">
        <f>Data_PLT[[#This Row],[Is50 (MPa)]]*VLOOKUP("Min",Table_PLT_Conversion[],2,FALSE)</f>
        <v>0</v>
      </c>
      <c r="Y171" s="13">
        <f>Data_PLT[[#This Row],[Is50 (MPa)]]*VLOOKUP("Avg",Table_PLT_Conversion[],2,FALSE)</f>
        <v>0</v>
      </c>
      <c r="Z171" s="13">
        <f>Data_PLT[[#This Row],[Is50 (MPa)]]*VLOOKUP("Max",Table_PLT_Conversion[],2,FALSE)</f>
        <v>0</v>
      </c>
      <c r="AA171" s="62" t="e">
        <f>MATCH(LOOKUP(Data_PLT[[#This Row],[UCS min (MPa)]],Table_FieldStrength[Min UCS]),Table_FieldStrength[Min UCS],0)-1</f>
        <v>#N/A</v>
      </c>
      <c r="AB171" s="62" t="e">
        <f>MATCH(LOOKUP(Data_PLT[[#This Row],[UCS avg (MPa)]],Table_FieldStrength[Min UCS]),Table_FieldStrength[Min UCS],0)-1</f>
        <v>#N/A</v>
      </c>
      <c r="AC171" s="62" t="e">
        <f>MATCH(LOOKUP(Data_PLT[[#This Row],[UCS max (MPa)]],Table_FieldStrength[Min UCS]),Table_FieldStrength[Min UCS],0)-1</f>
        <v>#N/A</v>
      </c>
      <c r="AD171" s="68" t="e">
        <f>Data_PLT[[#This Row],[Test code]]&amp;"-"&amp;Data_PLT[[#This Row],[UCS min code]]</f>
        <v>#N/A</v>
      </c>
      <c r="AE171" s="68" t="e">
        <f>Data_PLT[[#This Row],[Test code]]&amp;"-"&amp;Data_PLT[[#This Row],[UCS avg code]]</f>
        <v>#N/A</v>
      </c>
      <c r="AF171" s="67" t="e">
        <f>Data_PLT[[#This Row],[Test code]]&amp;"-"&amp;Data_PLT[[#This Row],[UCS max code]]</f>
        <v>#N/A</v>
      </c>
      <c r="AG171" s="67" t="str">
        <f>Data_PLT[[#This Row],[Failure type]]&amp;"-"&amp;Data_PLT[[#This Row],[Test type]]&amp;"-"&amp;(IF(Data_PLT[[#This Row],[Is50 (MPa)]]&lt;1,1,IF(Data_PLT[[#This Row],[Is50 (MPa)]]&lt;2,2,IF(Data_PLT[[#This Row],[Is50 (MPa)]]&lt;4,3,IF(Data_PLT[[#This Row],[Is50 (MPa)]]&lt;8,4,5)))))</f>
        <v>Along bedding/foliation-Diametral-1</v>
      </c>
    </row>
    <row r="172" spans="1:33" x14ac:dyDescent="0.25">
      <c r="A172" t="s">
        <v>34</v>
      </c>
      <c r="B172" s="88" t="str">
        <f>VLOOKUP(Data_PLT[[#This Row],[Hole ID]],Data_Log[],2,FALSE)</f>
        <v>CGF-04</v>
      </c>
      <c r="C172" s="63">
        <f>IF(Data_PLT[[#This Row],[Hole ID]]="","",
IF(COUNTIF($A$4:A172,Data_PLT[[#This Row],[Hole ID]])=1,1,
IF(A172=A171,C171+1,
COUNTIF($A$4:A172,Data_PLT[[#This Row],[Hole ID]]))))</f>
        <v>20</v>
      </c>
      <c r="D172" s="63" t="str">
        <f>IF(Data_PLT[[#This Row],[Hole ID]]="","",Data_PLT[[#This Row],[Hole ID]]&amp;"_"&amp;Data_PLT[[#This Row],[Sample ID]])</f>
        <v>COG-25-09_20</v>
      </c>
      <c r="E172" s="6"/>
      <c r="F172" s="6">
        <v>49.2</v>
      </c>
      <c r="G172" s="63" t="str" cm="1">
        <f t="array" ref="G172">_xlfn.XLOOKUP(1,(A172=Geotech!$A$4:$A$11100)*(Data_PLT[[#This Row],[Depth (m)]]&gt;=Geotech!$C$4:$C$11100)*(Data_PLT[[#This Row],[Depth (m)]]&lt;Geotech!$D$4:$D$11100),Geotech!$M$4:$M$11100)</f>
        <v>Boulamarque granodiorite</v>
      </c>
      <c r="H172" s="6" t="s">
        <v>267</v>
      </c>
      <c r="I172" s="63" t="str">
        <f>VLOOKUP(Data_PLT[[#This Row],[Hole ID]],Data_Log[[Hole ID]:[Core size]],20,FALSE)</f>
        <v>HQ</v>
      </c>
      <c r="J172" s="13">
        <f>VLOOKUP(Data_PLT[[#This Row],[Core Size]],Table_CoreSize[],2,FALSE)</f>
        <v>63.5</v>
      </c>
      <c r="K172" s="19">
        <v>35</v>
      </c>
      <c r="L172" s="19" t="s">
        <v>574</v>
      </c>
      <c r="M172" s="5">
        <v>168.6</v>
      </c>
      <c r="N172" s="5"/>
      <c r="O172" s="6" t="s">
        <v>363</v>
      </c>
      <c r="P172" s="13" t="str">
        <f>IF(Data_PLT[[#This Row],[Failure type]]="","",IF(OR(Data_PLT[[#This Row],[Failure type]]="Invalid",Data_PLT[[#This Row],[Failure type]]="Chipped",Data_PLT[[#This Row],[Failure type]]="Penetrate",Data_PLT[[#This Row],[Failure type]]="Did not break"),"Invalid","Valid"))</f>
        <v>Valid</v>
      </c>
      <c r="Q172" s="6"/>
      <c r="R172" s="11"/>
      <c r="S172" s="13">
        <f>IF(Data_PLT[[#This Row],[Test type]]="Diametral",Data_PLT[[#This Row],[Diameter (mm)]],IF(Data_PLT[[#This Row],[Test type]]="Axial",SQRT(4*Data_PLT[[#This Row],[Diameter (mm)]]*Data_PLT[[#This Row],[Length or width (mm)]]/PI()),"ERROR"))</f>
        <v>53.19562846864298</v>
      </c>
      <c r="T172" s="13">
        <f>(Data_PLT[[#This Row],[Load (kN)]]*1000)/Data_PLT[[#This Row],[Equiv. Diam. (mm)]]^2</f>
        <v>0</v>
      </c>
      <c r="U172" s="13">
        <f>(Data_PLT[[#This Row],[Equiv. Diam. (mm)]]/50)^0.45</f>
        <v>1.0282712017332063</v>
      </c>
      <c r="V172" s="13">
        <f>Data_PLT[[#This Row],[Is (MPa)]]*Data_PLT[[#This Row],[F]]</f>
        <v>0</v>
      </c>
      <c r="W172" s="13" t="str">
        <f>Data_PLT[[#This Row],[Failure Validity]]&amp;"-"&amp;Data_PLT[[#This Row],[Test type]]</f>
        <v>Valid-Axial</v>
      </c>
      <c r="X172" s="13">
        <f>Data_PLT[[#This Row],[Is50 (MPa)]]*VLOOKUP("Min",Table_PLT_Conversion[],2,FALSE)</f>
        <v>0</v>
      </c>
      <c r="Y172" s="13">
        <f>Data_PLT[[#This Row],[Is50 (MPa)]]*VLOOKUP("Avg",Table_PLT_Conversion[],2,FALSE)</f>
        <v>0</v>
      </c>
      <c r="Z172" s="13">
        <f>Data_PLT[[#This Row],[Is50 (MPa)]]*VLOOKUP("Max",Table_PLT_Conversion[],2,FALSE)</f>
        <v>0</v>
      </c>
      <c r="AA172" s="62" t="e">
        <f>MATCH(LOOKUP(Data_PLT[[#This Row],[UCS min (MPa)]],Table_FieldStrength[Min UCS]),Table_FieldStrength[Min UCS],0)-1</f>
        <v>#N/A</v>
      </c>
      <c r="AB172" s="62" t="e">
        <f>MATCH(LOOKUP(Data_PLT[[#This Row],[UCS avg (MPa)]],Table_FieldStrength[Min UCS]),Table_FieldStrength[Min UCS],0)-1</f>
        <v>#N/A</v>
      </c>
      <c r="AC172" s="62" t="e">
        <f>MATCH(LOOKUP(Data_PLT[[#This Row],[UCS max (MPa)]],Table_FieldStrength[Min UCS]),Table_FieldStrength[Min UCS],0)-1</f>
        <v>#N/A</v>
      </c>
      <c r="AD172" s="68" t="e">
        <f>Data_PLT[[#This Row],[Test code]]&amp;"-"&amp;Data_PLT[[#This Row],[UCS min code]]</f>
        <v>#N/A</v>
      </c>
      <c r="AE172" s="68" t="e">
        <f>Data_PLT[[#This Row],[Test code]]&amp;"-"&amp;Data_PLT[[#This Row],[UCS avg code]]</f>
        <v>#N/A</v>
      </c>
      <c r="AF172" s="67" t="e">
        <f>Data_PLT[[#This Row],[Test code]]&amp;"-"&amp;Data_PLT[[#This Row],[UCS max code]]</f>
        <v>#N/A</v>
      </c>
      <c r="AG172" s="67" t="str">
        <f>Data_PLT[[#This Row],[Failure type]]&amp;"-"&amp;Data_PLT[[#This Row],[Test type]]&amp;"-"&amp;(IF(Data_PLT[[#This Row],[Is50 (MPa)]]&lt;1,1,IF(Data_PLT[[#This Row],[Is50 (MPa)]]&lt;2,2,IF(Data_PLT[[#This Row],[Is50 (MPa)]]&lt;4,3,IF(Data_PLT[[#This Row],[Is50 (MPa)]]&lt;8,4,5)))))</f>
        <v>Perp. bedding-Axial-1</v>
      </c>
    </row>
    <row r="173" spans="1:33" x14ac:dyDescent="0.25">
      <c r="A173" t="s">
        <v>34</v>
      </c>
      <c r="B173" s="88" t="str">
        <f>VLOOKUP(Data_PLT[[#This Row],[Hole ID]],Data_Log[],2,FALSE)</f>
        <v>CGF-04</v>
      </c>
      <c r="C173" s="63">
        <f>IF(Data_PLT[[#This Row],[Hole ID]]="","",
IF(COUNTIF($A$4:A173,Data_PLT[[#This Row],[Hole ID]])=1,1,
IF(A173=A172,C172+1,
COUNTIF($A$4:A173,Data_PLT[[#This Row],[Hole ID]]))))</f>
        <v>21</v>
      </c>
      <c r="D173" s="63" t="str">
        <f>IF(Data_PLT[[#This Row],[Hole ID]]="","",Data_PLT[[#This Row],[Hole ID]]&amp;"_"&amp;Data_PLT[[#This Row],[Sample ID]])</f>
        <v>COG-25-09_21</v>
      </c>
      <c r="E173" s="6"/>
      <c r="F173" s="6">
        <v>53.05</v>
      </c>
      <c r="G173" s="63" t="str" cm="1">
        <f t="array" ref="G173">_xlfn.XLOOKUP(1,(A173=Geotech!$A$4:$A$11100)*(Data_PLT[[#This Row],[Depth (m)]]&gt;=Geotech!$C$4:$C$11100)*(Data_PLT[[#This Row],[Depth (m)]]&lt;Geotech!$D$4:$D$11100),Geotech!$M$4:$M$11100)</f>
        <v>Boulamarque granodiorite</v>
      </c>
      <c r="H173" s="6" t="s">
        <v>299</v>
      </c>
      <c r="I173" s="63" t="str">
        <f>VLOOKUP(Data_PLT[[#This Row],[Hole ID]],Data_Log[[Hole ID]:[Core size]],20,FALSE)</f>
        <v>HQ</v>
      </c>
      <c r="J173" s="13">
        <f>VLOOKUP(Data_PLT[[#This Row],[Core Size]],Table_CoreSize[],2,FALSE)</f>
        <v>63.5</v>
      </c>
      <c r="K173" s="19">
        <v>100</v>
      </c>
      <c r="L173" s="19" t="s">
        <v>574</v>
      </c>
      <c r="M173" s="5">
        <v>116.4</v>
      </c>
      <c r="N173" s="5"/>
      <c r="O173" s="6" t="s">
        <v>334</v>
      </c>
      <c r="P173" s="13" t="str">
        <f>IF(Data_PLT[[#This Row],[Failure type]]="","",IF(OR(Data_PLT[[#This Row],[Failure type]]="Invalid",Data_PLT[[#This Row],[Failure type]]="Chipped",Data_PLT[[#This Row],[Failure type]]="Penetrate",Data_PLT[[#This Row],[Failure type]]="Did not break"),"Invalid","Valid"))</f>
        <v>Valid</v>
      </c>
      <c r="Q173" s="6"/>
      <c r="R173" s="11"/>
      <c r="S173" s="13">
        <f>IF(Data_PLT[[#This Row],[Test type]]="Diametral",Data_PLT[[#This Row],[Diameter (mm)]],IF(Data_PLT[[#This Row],[Test type]]="Axial",SQRT(4*Data_PLT[[#This Row],[Diameter (mm)]]*Data_PLT[[#This Row],[Length or width (mm)]]/PI()),"ERROR"))</f>
        <v>63.5</v>
      </c>
      <c r="T173" s="13">
        <f>(Data_PLT[[#This Row],[Load (kN)]]*1000)/Data_PLT[[#This Row],[Equiv. Diam. (mm)]]^2</f>
        <v>0</v>
      </c>
      <c r="U173" s="13">
        <f>(Data_PLT[[#This Row],[Equiv. Diam. (mm)]]/50)^0.45</f>
        <v>1.1135550054708407</v>
      </c>
      <c r="V173" s="13">
        <f>Data_PLT[[#This Row],[Is (MPa)]]*Data_PLT[[#This Row],[F]]</f>
        <v>0</v>
      </c>
      <c r="W173" s="13" t="str">
        <f>Data_PLT[[#This Row],[Failure Validity]]&amp;"-"&amp;Data_PLT[[#This Row],[Test type]]</f>
        <v>Valid-Diametral</v>
      </c>
      <c r="X173" s="13">
        <f>Data_PLT[[#This Row],[Is50 (MPa)]]*VLOOKUP("Min",Table_PLT_Conversion[],2,FALSE)</f>
        <v>0</v>
      </c>
      <c r="Y173" s="13">
        <f>Data_PLT[[#This Row],[Is50 (MPa)]]*VLOOKUP("Avg",Table_PLT_Conversion[],2,FALSE)</f>
        <v>0</v>
      </c>
      <c r="Z173" s="13">
        <f>Data_PLT[[#This Row],[Is50 (MPa)]]*VLOOKUP("Max",Table_PLT_Conversion[],2,FALSE)</f>
        <v>0</v>
      </c>
      <c r="AA173" s="62" t="e">
        <f>MATCH(LOOKUP(Data_PLT[[#This Row],[UCS min (MPa)]],Table_FieldStrength[Min UCS]),Table_FieldStrength[Min UCS],0)-1</f>
        <v>#N/A</v>
      </c>
      <c r="AB173" s="62" t="e">
        <f>MATCH(LOOKUP(Data_PLT[[#This Row],[UCS avg (MPa)]],Table_FieldStrength[Min UCS]),Table_FieldStrength[Min UCS],0)-1</f>
        <v>#N/A</v>
      </c>
      <c r="AC173" s="62" t="e">
        <f>MATCH(LOOKUP(Data_PLT[[#This Row],[UCS max (MPa)]],Table_FieldStrength[Min UCS]),Table_FieldStrength[Min UCS],0)-1</f>
        <v>#N/A</v>
      </c>
      <c r="AD173" s="68" t="e">
        <f>Data_PLT[[#This Row],[Test code]]&amp;"-"&amp;Data_PLT[[#This Row],[UCS min code]]</f>
        <v>#N/A</v>
      </c>
      <c r="AE173" s="68" t="e">
        <f>Data_PLT[[#This Row],[Test code]]&amp;"-"&amp;Data_PLT[[#This Row],[UCS avg code]]</f>
        <v>#N/A</v>
      </c>
      <c r="AF173" s="67" t="e">
        <f>Data_PLT[[#This Row],[Test code]]&amp;"-"&amp;Data_PLT[[#This Row],[UCS max code]]</f>
        <v>#N/A</v>
      </c>
      <c r="AG173" s="67" t="str">
        <f>Data_PLT[[#This Row],[Failure type]]&amp;"-"&amp;Data_PLT[[#This Row],[Test type]]&amp;"-"&amp;(IF(Data_PLT[[#This Row],[Is50 (MPa)]]&lt;1,1,IF(Data_PLT[[#This Row],[Is50 (MPa)]]&lt;2,2,IF(Data_PLT[[#This Row],[Is50 (MPa)]]&lt;4,3,IF(Data_PLT[[#This Row],[Is50 (MPa)]]&lt;8,4,5)))))</f>
        <v>Along bedding/foliation-Diametral-1</v>
      </c>
    </row>
    <row r="174" spans="1:33" x14ac:dyDescent="0.25">
      <c r="A174" t="s">
        <v>34</v>
      </c>
      <c r="B174" s="88" t="str">
        <f>VLOOKUP(Data_PLT[[#This Row],[Hole ID]],Data_Log[],2,FALSE)</f>
        <v>CGF-04</v>
      </c>
      <c r="C174" s="63">
        <f>IF(Data_PLT[[#This Row],[Hole ID]]="","",
IF(COUNTIF($A$4:A174,Data_PLT[[#This Row],[Hole ID]])=1,1,
IF(A174=A173,C173+1,
COUNTIF($A$4:A174,Data_PLT[[#This Row],[Hole ID]]))))</f>
        <v>22</v>
      </c>
      <c r="D174" s="63" t="str">
        <f>IF(Data_PLT[[#This Row],[Hole ID]]="","",Data_PLT[[#This Row],[Hole ID]]&amp;"_"&amp;Data_PLT[[#This Row],[Sample ID]])</f>
        <v>COG-25-09_22</v>
      </c>
      <c r="E174" s="6"/>
      <c r="F174" s="6">
        <v>54.14</v>
      </c>
      <c r="G174" s="63" t="str" cm="1">
        <f t="array" ref="G174">_xlfn.XLOOKUP(1,(A174=Geotech!$A$4:$A$11100)*(Data_PLT[[#This Row],[Depth (m)]]&gt;=Geotech!$C$4:$C$11100)*(Data_PLT[[#This Row],[Depth (m)]]&lt;Geotech!$D$4:$D$11100),Geotech!$M$4:$M$11100)</f>
        <v>Boulamarque granodiorite</v>
      </c>
      <c r="H174" s="6" t="s">
        <v>267</v>
      </c>
      <c r="I174" s="63" t="str">
        <f>VLOOKUP(Data_PLT[[#This Row],[Hole ID]],Data_Log[[Hole ID]:[Core size]],20,FALSE)</f>
        <v>HQ</v>
      </c>
      <c r="J174" s="13">
        <f>VLOOKUP(Data_PLT[[#This Row],[Core Size]],Table_CoreSize[],2,FALSE)</f>
        <v>63.5</v>
      </c>
      <c r="K174" s="19">
        <v>35</v>
      </c>
      <c r="L174" s="19" t="s">
        <v>574</v>
      </c>
      <c r="M174" s="5">
        <v>117.2</v>
      </c>
      <c r="N174" s="5"/>
      <c r="O174" s="6" t="s">
        <v>334</v>
      </c>
      <c r="P174" s="13" t="str">
        <f>IF(Data_PLT[[#This Row],[Failure type]]="","",IF(OR(Data_PLT[[#This Row],[Failure type]]="Invalid",Data_PLT[[#This Row],[Failure type]]="Chipped",Data_PLT[[#This Row],[Failure type]]="Penetrate",Data_PLT[[#This Row],[Failure type]]="Did not break"),"Invalid","Valid"))</f>
        <v>Valid</v>
      </c>
      <c r="Q174" s="6"/>
      <c r="R174" s="11"/>
      <c r="S174" s="13">
        <f>IF(Data_PLT[[#This Row],[Test type]]="Diametral",Data_PLT[[#This Row],[Diameter (mm)]],IF(Data_PLT[[#This Row],[Test type]]="Axial",SQRT(4*Data_PLT[[#This Row],[Diameter (mm)]]*Data_PLT[[#This Row],[Length or width (mm)]]/PI()),"ERROR"))</f>
        <v>53.19562846864298</v>
      </c>
      <c r="T174" s="13">
        <f>(Data_PLT[[#This Row],[Load (kN)]]*1000)/Data_PLT[[#This Row],[Equiv. Diam. (mm)]]^2</f>
        <v>0</v>
      </c>
      <c r="U174" s="13">
        <f>(Data_PLT[[#This Row],[Equiv. Diam. (mm)]]/50)^0.45</f>
        <v>1.0282712017332063</v>
      </c>
      <c r="V174" s="13">
        <f>Data_PLT[[#This Row],[Is (MPa)]]*Data_PLT[[#This Row],[F]]</f>
        <v>0</v>
      </c>
      <c r="W174" s="13" t="str">
        <f>Data_PLT[[#This Row],[Failure Validity]]&amp;"-"&amp;Data_PLT[[#This Row],[Test type]]</f>
        <v>Valid-Axial</v>
      </c>
      <c r="X174" s="13">
        <f>Data_PLT[[#This Row],[Is50 (MPa)]]*VLOOKUP("Min",Table_PLT_Conversion[],2,FALSE)</f>
        <v>0</v>
      </c>
      <c r="Y174" s="13">
        <f>Data_PLT[[#This Row],[Is50 (MPa)]]*VLOOKUP("Avg",Table_PLT_Conversion[],2,FALSE)</f>
        <v>0</v>
      </c>
      <c r="Z174" s="13">
        <f>Data_PLT[[#This Row],[Is50 (MPa)]]*VLOOKUP("Max",Table_PLT_Conversion[],2,FALSE)</f>
        <v>0</v>
      </c>
      <c r="AA174" s="62" t="e">
        <f>MATCH(LOOKUP(Data_PLT[[#This Row],[UCS min (MPa)]],Table_FieldStrength[Min UCS]),Table_FieldStrength[Min UCS],0)-1</f>
        <v>#N/A</v>
      </c>
      <c r="AB174" s="62" t="e">
        <f>MATCH(LOOKUP(Data_PLT[[#This Row],[UCS avg (MPa)]],Table_FieldStrength[Min UCS]),Table_FieldStrength[Min UCS],0)-1</f>
        <v>#N/A</v>
      </c>
      <c r="AC174" s="62" t="e">
        <f>MATCH(LOOKUP(Data_PLT[[#This Row],[UCS max (MPa)]],Table_FieldStrength[Min UCS]),Table_FieldStrength[Min UCS],0)-1</f>
        <v>#N/A</v>
      </c>
      <c r="AD174" s="68" t="e">
        <f>Data_PLT[[#This Row],[Test code]]&amp;"-"&amp;Data_PLT[[#This Row],[UCS min code]]</f>
        <v>#N/A</v>
      </c>
      <c r="AE174" s="68" t="e">
        <f>Data_PLT[[#This Row],[Test code]]&amp;"-"&amp;Data_PLT[[#This Row],[UCS avg code]]</f>
        <v>#N/A</v>
      </c>
      <c r="AF174" s="67" t="e">
        <f>Data_PLT[[#This Row],[Test code]]&amp;"-"&amp;Data_PLT[[#This Row],[UCS max code]]</f>
        <v>#N/A</v>
      </c>
      <c r="AG174" s="67" t="str">
        <f>Data_PLT[[#This Row],[Failure type]]&amp;"-"&amp;Data_PLT[[#This Row],[Test type]]&amp;"-"&amp;(IF(Data_PLT[[#This Row],[Is50 (MPa)]]&lt;1,1,IF(Data_PLT[[#This Row],[Is50 (MPa)]]&lt;2,2,IF(Data_PLT[[#This Row],[Is50 (MPa)]]&lt;4,3,IF(Data_PLT[[#This Row],[Is50 (MPa)]]&lt;8,4,5)))))</f>
        <v>Along bedding/foliation-Axial-1</v>
      </c>
    </row>
    <row r="175" spans="1:33" x14ac:dyDescent="0.25">
      <c r="A175" t="s">
        <v>34</v>
      </c>
      <c r="B175" s="88" t="str">
        <f>VLOOKUP(Data_PLT[[#This Row],[Hole ID]],Data_Log[],2,FALSE)</f>
        <v>CGF-04</v>
      </c>
      <c r="C175" s="63">
        <f>IF(Data_PLT[[#This Row],[Hole ID]]="","",
IF(COUNTIF($A$4:A175,Data_PLT[[#This Row],[Hole ID]])=1,1,
IF(A175=A174,C174+1,
COUNTIF($A$4:A175,Data_PLT[[#This Row],[Hole ID]]))))</f>
        <v>23</v>
      </c>
      <c r="D175" s="63" t="str">
        <f>IF(Data_PLT[[#This Row],[Hole ID]]="","",Data_PLT[[#This Row],[Hole ID]]&amp;"_"&amp;Data_PLT[[#This Row],[Sample ID]])</f>
        <v>COG-25-09_23</v>
      </c>
      <c r="E175" s="6"/>
      <c r="F175" s="6">
        <v>54.26</v>
      </c>
      <c r="G175" s="63" t="str" cm="1">
        <f t="array" ref="G175">_xlfn.XLOOKUP(1,(A175=Geotech!$A$4:$A$11100)*(Data_PLT[[#This Row],[Depth (m)]]&gt;=Geotech!$C$4:$C$11100)*(Data_PLT[[#This Row],[Depth (m)]]&lt;Geotech!$D$4:$D$11100),Geotech!$M$4:$M$11100)</f>
        <v>Boulamarque granodiorite</v>
      </c>
      <c r="H175" s="6" t="s">
        <v>299</v>
      </c>
      <c r="I175" s="63" t="str">
        <f>VLOOKUP(Data_PLT[[#This Row],[Hole ID]],Data_Log[[Hole ID]:[Core size]],20,FALSE)</f>
        <v>HQ</v>
      </c>
      <c r="J175" s="13">
        <f>VLOOKUP(Data_PLT[[#This Row],[Core Size]],Table_CoreSize[],2,FALSE)</f>
        <v>63.5</v>
      </c>
      <c r="K175" s="19">
        <v>150</v>
      </c>
      <c r="L175" s="19" t="s">
        <v>574</v>
      </c>
      <c r="M175" s="5">
        <v>125.4</v>
      </c>
      <c r="N175" s="5"/>
      <c r="O175" s="6" t="s">
        <v>334</v>
      </c>
      <c r="P175" s="13" t="str">
        <f>IF(Data_PLT[[#This Row],[Failure type]]="","",IF(OR(Data_PLT[[#This Row],[Failure type]]="Invalid",Data_PLT[[#This Row],[Failure type]]="Chipped",Data_PLT[[#This Row],[Failure type]]="Penetrate",Data_PLT[[#This Row],[Failure type]]="Did not break"),"Invalid","Valid"))</f>
        <v>Valid</v>
      </c>
      <c r="Q175" s="6"/>
      <c r="R175" s="11"/>
      <c r="S175" s="13">
        <f>IF(Data_PLT[[#This Row],[Test type]]="Diametral",Data_PLT[[#This Row],[Diameter (mm)]],IF(Data_PLT[[#This Row],[Test type]]="Axial",SQRT(4*Data_PLT[[#This Row],[Diameter (mm)]]*Data_PLT[[#This Row],[Length or width (mm)]]/PI()),"ERROR"))</f>
        <v>63.5</v>
      </c>
      <c r="T175" s="13">
        <f>(Data_PLT[[#This Row],[Load (kN)]]*1000)/Data_PLT[[#This Row],[Equiv. Diam. (mm)]]^2</f>
        <v>0</v>
      </c>
      <c r="U175" s="13">
        <f>(Data_PLT[[#This Row],[Equiv. Diam. (mm)]]/50)^0.45</f>
        <v>1.1135550054708407</v>
      </c>
      <c r="V175" s="13">
        <f>Data_PLT[[#This Row],[Is (MPa)]]*Data_PLT[[#This Row],[F]]</f>
        <v>0</v>
      </c>
      <c r="W175" s="13" t="str">
        <f>Data_PLT[[#This Row],[Failure Validity]]&amp;"-"&amp;Data_PLT[[#This Row],[Test type]]</f>
        <v>Valid-Diametral</v>
      </c>
      <c r="X175" s="13">
        <f>Data_PLT[[#This Row],[Is50 (MPa)]]*VLOOKUP("Min",Table_PLT_Conversion[],2,FALSE)</f>
        <v>0</v>
      </c>
      <c r="Y175" s="13">
        <f>Data_PLT[[#This Row],[Is50 (MPa)]]*VLOOKUP("Avg",Table_PLT_Conversion[],2,FALSE)</f>
        <v>0</v>
      </c>
      <c r="Z175" s="13">
        <f>Data_PLT[[#This Row],[Is50 (MPa)]]*VLOOKUP("Max",Table_PLT_Conversion[],2,FALSE)</f>
        <v>0</v>
      </c>
      <c r="AA175" s="62" t="e">
        <f>MATCH(LOOKUP(Data_PLT[[#This Row],[UCS min (MPa)]],Table_FieldStrength[Min UCS]),Table_FieldStrength[Min UCS],0)-1</f>
        <v>#N/A</v>
      </c>
      <c r="AB175" s="62" t="e">
        <f>MATCH(LOOKUP(Data_PLT[[#This Row],[UCS avg (MPa)]],Table_FieldStrength[Min UCS]),Table_FieldStrength[Min UCS],0)-1</f>
        <v>#N/A</v>
      </c>
      <c r="AC175" s="62" t="e">
        <f>MATCH(LOOKUP(Data_PLT[[#This Row],[UCS max (MPa)]],Table_FieldStrength[Min UCS]),Table_FieldStrength[Min UCS],0)-1</f>
        <v>#N/A</v>
      </c>
      <c r="AD175" s="68" t="e">
        <f>Data_PLT[[#This Row],[Test code]]&amp;"-"&amp;Data_PLT[[#This Row],[UCS min code]]</f>
        <v>#N/A</v>
      </c>
      <c r="AE175" s="68" t="e">
        <f>Data_PLT[[#This Row],[Test code]]&amp;"-"&amp;Data_PLT[[#This Row],[UCS avg code]]</f>
        <v>#N/A</v>
      </c>
      <c r="AF175" s="67" t="e">
        <f>Data_PLT[[#This Row],[Test code]]&amp;"-"&amp;Data_PLT[[#This Row],[UCS max code]]</f>
        <v>#N/A</v>
      </c>
      <c r="AG175" s="67" t="str">
        <f>Data_PLT[[#This Row],[Failure type]]&amp;"-"&amp;Data_PLT[[#This Row],[Test type]]&amp;"-"&amp;(IF(Data_PLT[[#This Row],[Is50 (MPa)]]&lt;1,1,IF(Data_PLT[[#This Row],[Is50 (MPa)]]&lt;2,2,IF(Data_PLT[[#This Row],[Is50 (MPa)]]&lt;4,3,IF(Data_PLT[[#This Row],[Is50 (MPa)]]&lt;8,4,5)))))</f>
        <v>Along bedding/foliation-Diametral-1</v>
      </c>
    </row>
    <row r="176" spans="1:33" x14ac:dyDescent="0.25">
      <c r="A176" t="s">
        <v>34</v>
      </c>
      <c r="B176" s="88" t="str">
        <f>VLOOKUP(Data_PLT[[#This Row],[Hole ID]],Data_Log[],2,FALSE)</f>
        <v>CGF-04</v>
      </c>
      <c r="C176" s="63">
        <f>IF(Data_PLT[[#This Row],[Hole ID]]="","",
IF(COUNTIF($A$4:A176,Data_PLT[[#This Row],[Hole ID]])=1,1,
IF(A176=A175,C175+1,
COUNTIF($A$4:A176,Data_PLT[[#This Row],[Hole ID]]))))</f>
        <v>24</v>
      </c>
      <c r="D176" s="63" t="str">
        <f>IF(Data_PLT[[#This Row],[Hole ID]]="","",Data_PLT[[#This Row],[Hole ID]]&amp;"_"&amp;Data_PLT[[#This Row],[Sample ID]])</f>
        <v>COG-25-09_24</v>
      </c>
      <c r="E176" s="6"/>
      <c r="F176" s="6">
        <v>57.03</v>
      </c>
      <c r="G176" s="63" t="str" cm="1">
        <f t="array" ref="G176">_xlfn.XLOOKUP(1,(A176=Geotech!$A$4:$A$11100)*(Data_PLT[[#This Row],[Depth (m)]]&gt;=Geotech!$C$4:$C$11100)*(Data_PLT[[#This Row],[Depth (m)]]&lt;Geotech!$D$4:$D$11100),Geotech!$M$4:$M$11100)</f>
        <v>Boulamarque granodiorite</v>
      </c>
      <c r="H176" s="6" t="s">
        <v>299</v>
      </c>
      <c r="I176" s="63" t="str">
        <f>VLOOKUP(Data_PLT[[#This Row],[Hole ID]],Data_Log[[Hole ID]:[Core size]],20,FALSE)</f>
        <v>HQ</v>
      </c>
      <c r="J176" s="13">
        <f>VLOOKUP(Data_PLT[[#This Row],[Core Size]],Table_CoreSize[],2,FALSE)</f>
        <v>63.5</v>
      </c>
      <c r="K176" s="19">
        <v>120</v>
      </c>
      <c r="L176" s="19" t="s">
        <v>574</v>
      </c>
      <c r="M176" s="5">
        <v>203.4</v>
      </c>
      <c r="N176" s="5"/>
      <c r="O176" s="6" t="s">
        <v>334</v>
      </c>
      <c r="P176" s="13" t="str">
        <f>IF(Data_PLT[[#This Row],[Failure type]]="","",IF(OR(Data_PLT[[#This Row],[Failure type]]="Invalid",Data_PLT[[#This Row],[Failure type]]="Chipped",Data_PLT[[#This Row],[Failure type]]="Penetrate",Data_PLT[[#This Row],[Failure type]]="Did not break"),"Invalid","Valid"))</f>
        <v>Valid</v>
      </c>
      <c r="Q176" s="6"/>
      <c r="R176" s="11"/>
      <c r="S176" s="13">
        <f>IF(Data_PLT[[#This Row],[Test type]]="Diametral",Data_PLT[[#This Row],[Diameter (mm)]],IF(Data_PLT[[#This Row],[Test type]]="Axial",SQRT(4*Data_PLT[[#This Row],[Diameter (mm)]]*Data_PLT[[#This Row],[Length or width (mm)]]/PI()),"ERROR"))</f>
        <v>63.5</v>
      </c>
      <c r="T176" s="13">
        <f>(Data_PLT[[#This Row],[Load (kN)]]*1000)/Data_PLT[[#This Row],[Equiv. Diam. (mm)]]^2</f>
        <v>0</v>
      </c>
      <c r="U176" s="13">
        <f>(Data_PLT[[#This Row],[Equiv. Diam. (mm)]]/50)^0.45</f>
        <v>1.1135550054708407</v>
      </c>
      <c r="V176" s="13">
        <f>Data_PLT[[#This Row],[Is (MPa)]]*Data_PLT[[#This Row],[F]]</f>
        <v>0</v>
      </c>
      <c r="W176" s="13" t="str">
        <f>Data_PLT[[#This Row],[Failure Validity]]&amp;"-"&amp;Data_PLT[[#This Row],[Test type]]</f>
        <v>Valid-Diametral</v>
      </c>
      <c r="X176" s="13">
        <f>Data_PLT[[#This Row],[Is50 (MPa)]]*VLOOKUP("Min",Table_PLT_Conversion[],2,FALSE)</f>
        <v>0</v>
      </c>
      <c r="Y176" s="13">
        <f>Data_PLT[[#This Row],[Is50 (MPa)]]*VLOOKUP("Avg",Table_PLT_Conversion[],2,FALSE)</f>
        <v>0</v>
      </c>
      <c r="Z176" s="13">
        <f>Data_PLT[[#This Row],[Is50 (MPa)]]*VLOOKUP("Max",Table_PLT_Conversion[],2,FALSE)</f>
        <v>0</v>
      </c>
      <c r="AA176" s="62" t="e">
        <f>MATCH(LOOKUP(Data_PLT[[#This Row],[UCS min (MPa)]],Table_FieldStrength[Min UCS]),Table_FieldStrength[Min UCS],0)-1</f>
        <v>#N/A</v>
      </c>
      <c r="AB176" s="62" t="e">
        <f>MATCH(LOOKUP(Data_PLT[[#This Row],[UCS avg (MPa)]],Table_FieldStrength[Min UCS]),Table_FieldStrength[Min UCS],0)-1</f>
        <v>#N/A</v>
      </c>
      <c r="AC176" s="62" t="e">
        <f>MATCH(LOOKUP(Data_PLT[[#This Row],[UCS max (MPa)]],Table_FieldStrength[Min UCS]),Table_FieldStrength[Min UCS],0)-1</f>
        <v>#N/A</v>
      </c>
      <c r="AD176" s="68" t="e">
        <f>Data_PLT[[#This Row],[Test code]]&amp;"-"&amp;Data_PLT[[#This Row],[UCS min code]]</f>
        <v>#N/A</v>
      </c>
      <c r="AE176" s="68" t="e">
        <f>Data_PLT[[#This Row],[Test code]]&amp;"-"&amp;Data_PLT[[#This Row],[UCS avg code]]</f>
        <v>#N/A</v>
      </c>
      <c r="AF176" s="67" t="e">
        <f>Data_PLT[[#This Row],[Test code]]&amp;"-"&amp;Data_PLT[[#This Row],[UCS max code]]</f>
        <v>#N/A</v>
      </c>
      <c r="AG176" s="67" t="str">
        <f>Data_PLT[[#This Row],[Failure type]]&amp;"-"&amp;Data_PLT[[#This Row],[Test type]]&amp;"-"&amp;(IF(Data_PLT[[#This Row],[Is50 (MPa)]]&lt;1,1,IF(Data_PLT[[#This Row],[Is50 (MPa)]]&lt;2,2,IF(Data_PLT[[#This Row],[Is50 (MPa)]]&lt;4,3,IF(Data_PLT[[#This Row],[Is50 (MPa)]]&lt;8,4,5)))))</f>
        <v>Along bedding/foliation-Diametral-1</v>
      </c>
    </row>
    <row r="177" spans="1:33" x14ac:dyDescent="0.25">
      <c r="A177" t="s">
        <v>34</v>
      </c>
      <c r="B177" s="88" t="str">
        <f>VLOOKUP(Data_PLT[[#This Row],[Hole ID]],Data_Log[],2,FALSE)</f>
        <v>CGF-04</v>
      </c>
      <c r="C177" s="63">
        <f>IF(Data_PLT[[#This Row],[Hole ID]]="","",
IF(COUNTIF($A$4:A177,Data_PLT[[#This Row],[Hole ID]])=1,1,
IF(A177=A176,C176+1,
COUNTIF($A$4:A177,Data_PLT[[#This Row],[Hole ID]]))))</f>
        <v>25</v>
      </c>
      <c r="D177" s="63" t="str">
        <f>IF(Data_PLT[[#This Row],[Hole ID]]="","",Data_PLT[[#This Row],[Hole ID]]&amp;"_"&amp;Data_PLT[[#This Row],[Sample ID]])</f>
        <v>COG-25-09_25</v>
      </c>
      <c r="E177" s="6"/>
      <c r="F177" s="6">
        <v>60.5</v>
      </c>
      <c r="G177" s="63" t="str" cm="1">
        <f t="array" ref="G177">_xlfn.XLOOKUP(1,(A177=Geotech!$A$4:$A$11100)*(Data_PLT[[#This Row],[Depth (m)]]&gt;=Geotech!$C$4:$C$11100)*(Data_PLT[[#This Row],[Depth (m)]]&lt;Geotech!$D$4:$D$11100),Geotech!$M$4:$M$11100)</f>
        <v>Boulamarque granodiorite</v>
      </c>
      <c r="H177" s="6" t="s">
        <v>267</v>
      </c>
      <c r="I177" s="63" t="str">
        <f>VLOOKUP(Data_PLT[[#This Row],[Hole ID]],Data_Log[[Hole ID]:[Core size]],20,FALSE)</f>
        <v>HQ</v>
      </c>
      <c r="J177" s="13">
        <f>VLOOKUP(Data_PLT[[#This Row],[Core Size]],Table_CoreSize[],2,FALSE)</f>
        <v>63.5</v>
      </c>
      <c r="K177" s="19">
        <v>18</v>
      </c>
      <c r="L177" s="19" t="s">
        <v>574</v>
      </c>
      <c r="M177" s="5">
        <v>123</v>
      </c>
      <c r="N177" s="5"/>
      <c r="O177" s="6" t="s">
        <v>363</v>
      </c>
      <c r="P177" s="13" t="str">
        <f>IF(Data_PLT[[#This Row],[Failure type]]="","",IF(OR(Data_PLT[[#This Row],[Failure type]]="Invalid",Data_PLT[[#This Row],[Failure type]]="Chipped",Data_PLT[[#This Row],[Failure type]]="Penetrate",Data_PLT[[#This Row],[Failure type]]="Did not break"),"Invalid","Valid"))</f>
        <v>Valid</v>
      </c>
      <c r="Q177" s="6"/>
      <c r="R177" s="11"/>
      <c r="S177" s="13">
        <f>IF(Data_PLT[[#This Row],[Test type]]="Diametral",Data_PLT[[#This Row],[Diameter (mm)]],IF(Data_PLT[[#This Row],[Test type]]="Axial",SQRT(4*Data_PLT[[#This Row],[Diameter (mm)]]*Data_PLT[[#This Row],[Length or width (mm)]]/PI()),"ERROR"))</f>
        <v>38.148562222347138</v>
      </c>
      <c r="T177" s="13">
        <f>(Data_PLT[[#This Row],[Load (kN)]]*1000)/Data_PLT[[#This Row],[Equiv. Diam. (mm)]]^2</f>
        <v>0</v>
      </c>
      <c r="U177" s="13">
        <f>(Data_PLT[[#This Row],[Equiv. Diam. (mm)]]/50)^0.45</f>
        <v>0.88537789850591175</v>
      </c>
      <c r="V177" s="13">
        <f>Data_PLT[[#This Row],[Is (MPa)]]*Data_PLT[[#This Row],[F]]</f>
        <v>0</v>
      </c>
      <c r="W177" s="13" t="str">
        <f>Data_PLT[[#This Row],[Failure Validity]]&amp;"-"&amp;Data_PLT[[#This Row],[Test type]]</f>
        <v>Valid-Axial</v>
      </c>
      <c r="X177" s="13">
        <f>Data_PLT[[#This Row],[Is50 (MPa)]]*VLOOKUP("Min",Table_PLT_Conversion[],2,FALSE)</f>
        <v>0</v>
      </c>
      <c r="Y177" s="13">
        <f>Data_PLT[[#This Row],[Is50 (MPa)]]*VLOOKUP("Avg",Table_PLT_Conversion[],2,FALSE)</f>
        <v>0</v>
      </c>
      <c r="Z177" s="13">
        <f>Data_PLT[[#This Row],[Is50 (MPa)]]*VLOOKUP("Max",Table_PLT_Conversion[],2,FALSE)</f>
        <v>0</v>
      </c>
      <c r="AA177" s="62" t="e">
        <f>MATCH(LOOKUP(Data_PLT[[#This Row],[UCS min (MPa)]],Table_FieldStrength[Min UCS]),Table_FieldStrength[Min UCS],0)-1</f>
        <v>#N/A</v>
      </c>
      <c r="AB177" s="62" t="e">
        <f>MATCH(LOOKUP(Data_PLT[[#This Row],[UCS avg (MPa)]],Table_FieldStrength[Min UCS]),Table_FieldStrength[Min UCS],0)-1</f>
        <v>#N/A</v>
      </c>
      <c r="AC177" s="62" t="e">
        <f>MATCH(LOOKUP(Data_PLT[[#This Row],[UCS max (MPa)]],Table_FieldStrength[Min UCS]),Table_FieldStrength[Min UCS],0)-1</f>
        <v>#N/A</v>
      </c>
      <c r="AD177" s="68" t="e">
        <f>Data_PLT[[#This Row],[Test code]]&amp;"-"&amp;Data_PLT[[#This Row],[UCS min code]]</f>
        <v>#N/A</v>
      </c>
      <c r="AE177" s="68" t="e">
        <f>Data_PLT[[#This Row],[Test code]]&amp;"-"&amp;Data_PLT[[#This Row],[UCS avg code]]</f>
        <v>#N/A</v>
      </c>
      <c r="AF177" s="67" t="e">
        <f>Data_PLT[[#This Row],[Test code]]&amp;"-"&amp;Data_PLT[[#This Row],[UCS max code]]</f>
        <v>#N/A</v>
      </c>
      <c r="AG177" s="67" t="str">
        <f>Data_PLT[[#This Row],[Failure type]]&amp;"-"&amp;Data_PLT[[#This Row],[Test type]]&amp;"-"&amp;(IF(Data_PLT[[#This Row],[Is50 (MPa)]]&lt;1,1,IF(Data_PLT[[#This Row],[Is50 (MPa)]]&lt;2,2,IF(Data_PLT[[#This Row],[Is50 (MPa)]]&lt;4,3,IF(Data_PLT[[#This Row],[Is50 (MPa)]]&lt;8,4,5)))))</f>
        <v>Perp. bedding-Axial-1</v>
      </c>
    </row>
    <row r="178" spans="1:33" x14ac:dyDescent="0.25">
      <c r="A178" t="s">
        <v>34</v>
      </c>
      <c r="B178" s="88" t="str">
        <f>VLOOKUP(Data_PLT[[#This Row],[Hole ID]],Data_Log[],2,FALSE)</f>
        <v>CGF-04</v>
      </c>
      <c r="C178" s="63">
        <f>IF(Data_PLT[[#This Row],[Hole ID]]="","",
IF(COUNTIF($A$4:A178,Data_PLT[[#This Row],[Hole ID]])=1,1,
IF(A178=A177,C177+1,
COUNTIF($A$4:A178,Data_PLT[[#This Row],[Hole ID]]))))</f>
        <v>26</v>
      </c>
      <c r="D178" s="63" t="str">
        <f>IF(Data_PLT[[#This Row],[Hole ID]]="","",Data_PLT[[#This Row],[Hole ID]]&amp;"_"&amp;Data_PLT[[#This Row],[Sample ID]])</f>
        <v>COG-25-09_26</v>
      </c>
      <c r="E178" s="6"/>
      <c r="F178" s="6">
        <v>60.6</v>
      </c>
      <c r="G178" s="63" t="str" cm="1">
        <f t="array" ref="G178">_xlfn.XLOOKUP(1,(A178=Geotech!$A$4:$A$11100)*(Data_PLT[[#This Row],[Depth (m)]]&gt;=Geotech!$C$4:$C$11100)*(Data_PLT[[#This Row],[Depth (m)]]&lt;Geotech!$D$4:$D$11100),Geotech!$M$4:$M$11100)</f>
        <v>Boulamarque granodiorite</v>
      </c>
      <c r="H178" s="6" t="s">
        <v>299</v>
      </c>
      <c r="I178" s="63" t="str">
        <f>VLOOKUP(Data_PLT[[#This Row],[Hole ID]],Data_Log[[Hole ID]:[Core size]],20,FALSE)</f>
        <v>HQ</v>
      </c>
      <c r="J178" s="13">
        <f>VLOOKUP(Data_PLT[[#This Row],[Core Size]],Table_CoreSize[],2,FALSE)</f>
        <v>63.5</v>
      </c>
      <c r="K178" s="19">
        <v>160</v>
      </c>
      <c r="L178" s="19" t="s">
        <v>574</v>
      </c>
      <c r="M178" s="5">
        <v>221.6</v>
      </c>
      <c r="N178" s="5"/>
      <c r="O178" s="6" t="s">
        <v>334</v>
      </c>
      <c r="P178" s="13" t="str">
        <f>IF(Data_PLT[[#This Row],[Failure type]]="","",IF(OR(Data_PLT[[#This Row],[Failure type]]="Invalid",Data_PLT[[#This Row],[Failure type]]="Chipped",Data_PLT[[#This Row],[Failure type]]="Penetrate",Data_PLT[[#This Row],[Failure type]]="Did not break"),"Invalid","Valid"))</f>
        <v>Valid</v>
      </c>
      <c r="Q178" s="6"/>
      <c r="R178" s="11"/>
      <c r="S178" s="13">
        <f>IF(Data_PLT[[#This Row],[Test type]]="Diametral",Data_PLT[[#This Row],[Diameter (mm)]],IF(Data_PLT[[#This Row],[Test type]]="Axial",SQRT(4*Data_PLT[[#This Row],[Diameter (mm)]]*Data_PLT[[#This Row],[Length or width (mm)]]/PI()),"ERROR"))</f>
        <v>63.5</v>
      </c>
      <c r="T178" s="13">
        <f>(Data_PLT[[#This Row],[Load (kN)]]*1000)/Data_PLT[[#This Row],[Equiv. Diam. (mm)]]^2</f>
        <v>0</v>
      </c>
      <c r="U178" s="13">
        <f>(Data_PLT[[#This Row],[Equiv. Diam. (mm)]]/50)^0.45</f>
        <v>1.1135550054708407</v>
      </c>
      <c r="V178" s="13">
        <f>Data_PLT[[#This Row],[Is (MPa)]]*Data_PLT[[#This Row],[F]]</f>
        <v>0</v>
      </c>
      <c r="W178" s="13" t="str">
        <f>Data_PLT[[#This Row],[Failure Validity]]&amp;"-"&amp;Data_PLT[[#This Row],[Test type]]</f>
        <v>Valid-Diametral</v>
      </c>
      <c r="X178" s="13">
        <f>Data_PLT[[#This Row],[Is50 (MPa)]]*VLOOKUP("Min",Table_PLT_Conversion[],2,FALSE)</f>
        <v>0</v>
      </c>
      <c r="Y178" s="13">
        <f>Data_PLT[[#This Row],[Is50 (MPa)]]*VLOOKUP("Avg",Table_PLT_Conversion[],2,FALSE)</f>
        <v>0</v>
      </c>
      <c r="Z178" s="13">
        <f>Data_PLT[[#This Row],[Is50 (MPa)]]*VLOOKUP("Max",Table_PLT_Conversion[],2,FALSE)</f>
        <v>0</v>
      </c>
      <c r="AA178" s="62" t="e">
        <f>MATCH(LOOKUP(Data_PLT[[#This Row],[UCS min (MPa)]],Table_FieldStrength[Min UCS]),Table_FieldStrength[Min UCS],0)-1</f>
        <v>#N/A</v>
      </c>
      <c r="AB178" s="62" t="e">
        <f>MATCH(LOOKUP(Data_PLT[[#This Row],[UCS avg (MPa)]],Table_FieldStrength[Min UCS]),Table_FieldStrength[Min UCS],0)-1</f>
        <v>#N/A</v>
      </c>
      <c r="AC178" s="62" t="e">
        <f>MATCH(LOOKUP(Data_PLT[[#This Row],[UCS max (MPa)]],Table_FieldStrength[Min UCS]),Table_FieldStrength[Min UCS],0)-1</f>
        <v>#N/A</v>
      </c>
      <c r="AD178" s="68" t="e">
        <f>Data_PLT[[#This Row],[Test code]]&amp;"-"&amp;Data_PLT[[#This Row],[UCS min code]]</f>
        <v>#N/A</v>
      </c>
      <c r="AE178" s="68" t="e">
        <f>Data_PLT[[#This Row],[Test code]]&amp;"-"&amp;Data_PLT[[#This Row],[UCS avg code]]</f>
        <v>#N/A</v>
      </c>
      <c r="AF178" s="67" t="e">
        <f>Data_PLT[[#This Row],[Test code]]&amp;"-"&amp;Data_PLT[[#This Row],[UCS max code]]</f>
        <v>#N/A</v>
      </c>
      <c r="AG178" s="67" t="str">
        <f>Data_PLT[[#This Row],[Failure type]]&amp;"-"&amp;Data_PLT[[#This Row],[Test type]]&amp;"-"&amp;(IF(Data_PLT[[#This Row],[Is50 (MPa)]]&lt;1,1,IF(Data_PLT[[#This Row],[Is50 (MPa)]]&lt;2,2,IF(Data_PLT[[#This Row],[Is50 (MPa)]]&lt;4,3,IF(Data_PLT[[#This Row],[Is50 (MPa)]]&lt;8,4,5)))))</f>
        <v>Along bedding/foliation-Diametral-1</v>
      </c>
    </row>
    <row r="179" spans="1:33" x14ac:dyDescent="0.25">
      <c r="A179" t="s">
        <v>34</v>
      </c>
      <c r="B179" s="88" t="str">
        <f>VLOOKUP(Data_PLT[[#This Row],[Hole ID]],Data_Log[],2,FALSE)</f>
        <v>CGF-04</v>
      </c>
      <c r="C179" s="63">
        <f>IF(Data_PLT[[#This Row],[Hole ID]]="","",
IF(COUNTIF($A$4:A179,Data_PLT[[#This Row],[Hole ID]])=1,1,
IF(A179=A178,C178+1,
COUNTIF($A$4:A179,Data_PLT[[#This Row],[Hole ID]]))))</f>
        <v>27</v>
      </c>
      <c r="D179" s="63" t="str">
        <f>IF(Data_PLT[[#This Row],[Hole ID]]="","",Data_PLT[[#This Row],[Hole ID]]&amp;"_"&amp;Data_PLT[[#This Row],[Sample ID]])</f>
        <v>COG-25-09_27</v>
      </c>
      <c r="E179" s="6"/>
      <c r="F179" s="6">
        <v>65.83</v>
      </c>
      <c r="G179" s="63" t="str" cm="1">
        <f t="array" ref="G179">_xlfn.XLOOKUP(1,(A179=Geotech!$A$4:$A$11100)*(Data_PLT[[#This Row],[Depth (m)]]&gt;=Geotech!$C$4:$C$11100)*(Data_PLT[[#This Row],[Depth (m)]]&lt;Geotech!$D$4:$D$11100),Geotech!$M$4:$M$11100)</f>
        <v>Boulamarque granodiorite</v>
      </c>
      <c r="H179" s="6" t="s">
        <v>299</v>
      </c>
      <c r="I179" s="63" t="str">
        <f>VLOOKUP(Data_PLT[[#This Row],[Hole ID]],Data_Log[[Hole ID]:[Core size]],20,FALSE)</f>
        <v>HQ</v>
      </c>
      <c r="J179" s="13">
        <f>VLOOKUP(Data_PLT[[#This Row],[Core Size]],Table_CoreSize[],2,FALSE)</f>
        <v>63.5</v>
      </c>
      <c r="K179" s="19">
        <v>95</v>
      </c>
      <c r="L179" s="19" t="s">
        <v>574</v>
      </c>
      <c r="M179" s="5">
        <v>121</v>
      </c>
      <c r="N179" s="5"/>
      <c r="O179" s="6" t="s">
        <v>334</v>
      </c>
      <c r="P179" s="13" t="str">
        <f>IF(Data_PLT[[#This Row],[Failure type]]="","",IF(OR(Data_PLT[[#This Row],[Failure type]]="Invalid",Data_PLT[[#This Row],[Failure type]]="Chipped",Data_PLT[[#This Row],[Failure type]]="Penetrate",Data_PLT[[#This Row],[Failure type]]="Did not break"),"Invalid","Valid"))</f>
        <v>Valid</v>
      </c>
      <c r="Q179" s="6"/>
      <c r="R179" s="11"/>
      <c r="S179" s="13">
        <f>IF(Data_PLT[[#This Row],[Test type]]="Diametral",Data_PLT[[#This Row],[Diameter (mm)]],IF(Data_PLT[[#This Row],[Test type]]="Axial",SQRT(4*Data_PLT[[#This Row],[Diameter (mm)]]*Data_PLT[[#This Row],[Length or width (mm)]]/PI()),"ERROR"))</f>
        <v>63.5</v>
      </c>
      <c r="T179" s="13">
        <f>(Data_PLT[[#This Row],[Load (kN)]]*1000)/Data_PLT[[#This Row],[Equiv. Diam. (mm)]]^2</f>
        <v>0</v>
      </c>
      <c r="U179" s="13">
        <f>(Data_PLT[[#This Row],[Equiv. Diam. (mm)]]/50)^0.45</f>
        <v>1.1135550054708407</v>
      </c>
      <c r="V179" s="13">
        <f>Data_PLT[[#This Row],[Is (MPa)]]*Data_PLT[[#This Row],[F]]</f>
        <v>0</v>
      </c>
      <c r="W179" s="13" t="str">
        <f>Data_PLT[[#This Row],[Failure Validity]]&amp;"-"&amp;Data_PLT[[#This Row],[Test type]]</f>
        <v>Valid-Diametral</v>
      </c>
      <c r="X179" s="13">
        <f>Data_PLT[[#This Row],[Is50 (MPa)]]*VLOOKUP("Min",Table_PLT_Conversion[],2,FALSE)</f>
        <v>0</v>
      </c>
      <c r="Y179" s="13">
        <f>Data_PLT[[#This Row],[Is50 (MPa)]]*VLOOKUP("Avg",Table_PLT_Conversion[],2,FALSE)</f>
        <v>0</v>
      </c>
      <c r="Z179" s="13">
        <f>Data_PLT[[#This Row],[Is50 (MPa)]]*VLOOKUP("Max",Table_PLT_Conversion[],2,FALSE)</f>
        <v>0</v>
      </c>
      <c r="AA179" s="62" t="e">
        <f>MATCH(LOOKUP(Data_PLT[[#This Row],[UCS min (MPa)]],Table_FieldStrength[Min UCS]),Table_FieldStrength[Min UCS],0)-1</f>
        <v>#N/A</v>
      </c>
      <c r="AB179" s="62" t="e">
        <f>MATCH(LOOKUP(Data_PLT[[#This Row],[UCS avg (MPa)]],Table_FieldStrength[Min UCS]),Table_FieldStrength[Min UCS],0)-1</f>
        <v>#N/A</v>
      </c>
      <c r="AC179" s="62" t="e">
        <f>MATCH(LOOKUP(Data_PLT[[#This Row],[UCS max (MPa)]],Table_FieldStrength[Min UCS]),Table_FieldStrength[Min UCS],0)-1</f>
        <v>#N/A</v>
      </c>
      <c r="AD179" s="68" t="e">
        <f>Data_PLT[[#This Row],[Test code]]&amp;"-"&amp;Data_PLT[[#This Row],[UCS min code]]</f>
        <v>#N/A</v>
      </c>
      <c r="AE179" s="68" t="e">
        <f>Data_PLT[[#This Row],[Test code]]&amp;"-"&amp;Data_PLT[[#This Row],[UCS avg code]]</f>
        <v>#N/A</v>
      </c>
      <c r="AF179" s="67" t="e">
        <f>Data_PLT[[#This Row],[Test code]]&amp;"-"&amp;Data_PLT[[#This Row],[UCS max code]]</f>
        <v>#N/A</v>
      </c>
      <c r="AG179" s="67" t="str">
        <f>Data_PLT[[#This Row],[Failure type]]&amp;"-"&amp;Data_PLT[[#This Row],[Test type]]&amp;"-"&amp;(IF(Data_PLT[[#This Row],[Is50 (MPa)]]&lt;1,1,IF(Data_PLT[[#This Row],[Is50 (MPa)]]&lt;2,2,IF(Data_PLT[[#This Row],[Is50 (MPa)]]&lt;4,3,IF(Data_PLT[[#This Row],[Is50 (MPa)]]&lt;8,4,5)))))</f>
        <v>Along bedding/foliation-Diametral-1</v>
      </c>
    </row>
    <row r="180" spans="1:33" x14ac:dyDescent="0.25">
      <c r="A180" t="s">
        <v>34</v>
      </c>
      <c r="B180" s="88" t="str">
        <f>VLOOKUP(Data_PLT[[#This Row],[Hole ID]],Data_Log[],2,FALSE)</f>
        <v>CGF-04</v>
      </c>
      <c r="C180" s="63">
        <f>IF(Data_PLT[[#This Row],[Hole ID]]="","",
IF(COUNTIF($A$4:A180,Data_PLT[[#This Row],[Hole ID]])=1,1,
IF(A180=A179,C179+1,
COUNTIF($A$4:A180,Data_PLT[[#This Row],[Hole ID]]))))</f>
        <v>28</v>
      </c>
      <c r="D180" s="63" t="str">
        <f>IF(Data_PLT[[#This Row],[Hole ID]]="","",Data_PLT[[#This Row],[Hole ID]]&amp;"_"&amp;Data_PLT[[#This Row],[Sample ID]])</f>
        <v>COG-25-09_28</v>
      </c>
      <c r="E180" s="6"/>
      <c r="F180" s="6">
        <v>67.349999999999994</v>
      </c>
      <c r="G180" s="63" t="str" cm="1">
        <f t="array" ref="G180">_xlfn.XLOOKUP(1,(A180=Geotech!$A$4:$A$11100)*(Data_PLT[[#This Row],[Depth (m)]]&gt;=Geotech!$C$4:$C$11100)*(Data_PLT[[#This Row],[Depth (m)]]&lt;Geotech!$D$4:$D$11100),Geotech!$M$4:$M$11100)</f>
        <v>Boulamarque granodiorite</v>
      </c>
      <c r="H180" s="6" t="s">
        <v>299</v>
      </c>
      <c r="I180" s="63" t="str">
        <f>VLOOKUP(Data_PLT[[#This Row],[Hole ID]],Data_Log[[Hole ID]:[Core size]],20,FALSE)</f>
        <v>HQ</v>
      </c>
      <c r="J180" s="13">
        <f>VLOOKUP(Data_PLT[[#This Row],[Core Size]],Table_CoreSize[],2,FALSE)</f>
        <v>63.5</v>
      </c>
      <c r="K180" s="19">
        <v>65</v>
      </c>
      <c r="L180" s="19" t="s">
        <v>574</v>
      </c>
      <c r="M180" s="5">
        <v>262</v>
      </c>
      <c r="N180" s="5"/>
      <c r="O180" s="6" t="s">
        <v>334</v>
      </c>
      <c r="P180" s="13" t="str">
        <f>IF(Data_PLT[[#This Row],[Failure type]]="","",IF(OR(Data_PLT[[#This Row],[Failure type]]="Invalid",Data_PLT[[#This Row],[Failure type]]="Chipped",Data_PLT[[#This Row],[Failure type]]="Penetrate",Data_PLT[[#This Row],[Failure type]]="Did not break"),"Invalid","Valid"))</f>
        <v>Valid</v>
      </c>
      <c r="Q180" s="6"/>
      <c r="R180" s="11"/>
      <c r="S180" s="13">
        <f>IF(Data_PLT[[#This Row],[Test type]]="Diametral",Data_PLT[[#This Row],[Diameter (mm)]],IF(Data_PLT[[#This Row],[Test type]]="Axial",SQRT(4*Data_PLT[[#This Row],[Diameter (mm)]]*Data_PLT[[#This Row],[Length or width (mm)]]/PI()),"ERROR"))</f>
        <v>63.5</v>
      </c>
      <c r="T180" s="13">
        <f>(Data_PLT[[#This Row],[Load (kN)]]*1000)/Data_PLT[[#This Row],[Equiv. Diam. (mm)]]^2</f>
        <v>0</v>
      </c>
      <c r="U180" s="13">
        <f>(Data_PLT[[#This Row],[Equiv. Diam. (mm)]]/50)^0.45</f>
        <v>1.1135550054708407</v>
      </c>
      <c r="V180" s="13">
        <f>Data_PLT[[#This Row],[Is (MPa)]]*Data_PLT[[#This Row],[F]]</f>
        <v>0</v>
      </c>
      <c r="W180" s="13" t="str">
        <f>Data_PLT[[#This Row],[Failure Validity]]&amp;"-"&amp;Data_PLT[[#This Row],[Test type]]</f>
        <v>Valid-Diametral</v>
      </c>
      <c r="X180" s="13">
        <f>Data_PLT[[#This Row],[Is50 (MPa)]]*VLOOKUP("Min",Table_PLT_Conversion[],2,FALSE)</f>
        <v>0</v>
      </c>
      <c r="Y180" s="13">
        <f>Data_PLT[[#This Row],[Is50 (MPa)]]*VLOOKUP("Avg",Table_PLT_Conversion[],2,FALSE)</f>
        <v>0</v>
      </c>
      <c r="Z180" s="13">
        <f>Data_PLT[[#This Row],[Is50 (MPa)]]*VLOOKUP("Max",Table_PLT_Conversion[],2,FALSE)</f>
        <v>0</v>
      </c>
      <c r="AA180" s="62" t="e">
        <f>MATCH(LOOKUP(Data_PLT[[#This Row],[UCS min (MPa)]],Table_FieldStrength[Min UCS]),Table_FieldStrength[Min UCS],0)-1</f>
        <v>#N/A</v>
      </c>
      <c r="AB180" s="62" t="e">
        <f>MATCH(LOOKUP(Data_PLT[[#This Row],[UCS avg (MPa)]],Table_FieldStrength[Min UCS]),Table_FieldStrength[Min UCS],0)-1</f>
        <v>#N/A</v>
      </c>
      <c r="AC180" s="62" t="e">
        <f>MATCH(LOOKUP(Data_PLT[[#This Row],[UCS max (MPa)]],Table_FieldStrength[Min UCS]),Table_FieldStrength[Min UCS],0)-1</f>
        <v>#N/A</v>
      </c>
      <c r="AD180" s="68" t="e">
        <f>Data_PLT[[#This Row],[Test code]]&amp;"-"&amp;Data_PLT[[#This Row],[UCS min code]]</f>
        <v>#N/A</v>
      </c>
      <c r="AE180" s="68" t="e">
        <f>Data_PLT[[#This Row],[Test code]]&amp;"-"&amp;Data_PLT[[#This Row],[UCS avg code]]</f>
        <v>#N/A</v>
      </c>
      <c r="AF180" s="67" t="e">
        <f>Data_PLT[[#This Row],[Test code]]&amp;"-"&amp;Data_PLT[[#This Row],[UCS max code]]</f>
        <v>#N/A</v>
      </c>
      <c r="AG180" s="67" t="str">
        <f>Data_PLT[[#This Row],[Failure type]]&amp;"-"&amp;Data_PLT[[#This Row],[Test type]]&amp;"-"&amp;(IF(Data_PLT[[#This Row],[Is50 (MPa)]]&lt;1,1,IF(Data_PLT[[#This Row],[Is50 (MPa)]]&lt;2,2,IF(Data_PLT[[#This Row],[Is50 (MPa)]]&lt;4,3,IF(Data_PLT[[#This Row],[Is50 (MPa)]]&lt;8,4,5)))))</f>
        <v>Along bedding/foliation-Diametral-1</v>
      </c>
    </row>
    <row r="181" spans="1:33" x14ac:dyDescent="0.25">
      <c r="A181" t="s">
        <v>34</v>
      </c>
      <c r="B181" s="88" t="str">
        <f>VLOOKUP(Data_PLT[[#This Row],[Hole ID]],Data_Log[],2,FALSE)</f>
        <v>CGF-04</v>
      </c>
      <c r="C181" s="63">
        <f>IF(Data_PLT[[#This Row],[Hole ID]]="","",
IF(COUNTIF($A$4:A181,Data_PLT[[#This Row],[Hole ID]])=1,1,
IF(A181=A180,C180+1,
COUNTIF($A$4:A181,Data_PLT[[#This Row],[Hole ID]]))))</f>
        <v>29</v>
      </c>
      <c r="D181" s="63" t="str">
        <f>IF(Data_PLT[[#This Row],[Hole ID]]="","",Data_PLT[[#This Row],[Hole ID]]&amp;"_"&amp;Data_PLT[[#This Row],[Sample ID]])</f>
        <v>COG-25-09_29</v>
      </c>
      <c r="E181" s="6"/>
      <c r="F181" s="6">
        <v>67.349999999999994</v>
      </c>
      <c r="G181" s="63" t="str" cm="1">
        <f t="array" ref="G181">_xlfn.XLOOKUP(1,(A181=Geotech!$A$4:$A$11100)*(Data_PLT[[#This Row],[Depth (m)]]&gt;=Geotech!$C$4:$C$11100)*(Data_PLT[[#This Row],[Depth (m)]]&lt;Geotech!$D$4:$D$11100),Geotech!$M$4:$M$11100)</f>
        <v>Boulamarque granodiorite</v>
      </c>
      <c r="H181" s="6" t="s">
        <v>267</v>
      </c>
      <c r="I181" s="63" t="str">
        <f>VLOOKUP(Data_PLT[[#This Row],[Hole ID]],Data_Log[[Hole ID]:[Core size]],20,FALSE)</f>
        <v>HQ</v>
      </c>
      <c r="J181" s="13">
        <f>VLOOKUP(Data_PLT[[#This Row],[Core Size]],Table_CoreSize[],2,FALSE)</f>
        <v>63.5</v>
      </c>
      <c r="K181" s="19">
        <v>35</v>
      </c>
      <c r="L181" s="19" t="s">
        <v>574</v>
      </c>
      <c r="M181" s="5">
        <v>190.8</v>
      </c>
      <c r="N181" s="5"/>
      <c r="O181" s="6" t="s">
        <v>363</v>
      </c>
      <c r="P181" s="13" t="str">
        <f>IF(Data_PLT[[#This Row],[Failure type]]="","",IF(OR(Data_PLT[[#This Row],[Failure type]]="Invalid",Data_PLT[[#This Row],[Failure type]]="Chipped",Data_PLT[[#This Row],[Failure type]]="Penetrate",Data_PLT[[#This Row],[Failure type]]="Did not break"),"Invalid","Valid"))</f>
        <v>Valid</v>
      </c>
      <c r="Q181" s="6"/>
      <c r="R181" s="11"/>
      <c r="S181" s="13">
        <f>IF(Data_PLT[[#This Row],[Test type]]="Diametral",Data_PLT[[#This Row],[Diameter (mm)]],IF(Data_PLT[[#This Row],[Test type]]="Axial",SQRT(4*Data_PLT[[#This Row],[Diameter (mm)]]*Data_PLT[[#This Row],[Length or width (mm)]]/PI()),"ERROR"))</f>
        <v>53.19562846864298</v>
      </c>
      <c r="T181" s="13">
        <f>(Data_PLT[[#This Row],[Load (kN)]]*1000)/Data_PLT[[#This Row],[Equiv. Diam. (mm)]]^2</f>
        <v>0</v>
      </c>
      <c r="U181" s="13">
        <f>(Data_PLT[[#This Row],[Equiv. Diam. (mm)]]/50)^0.45</f>
        <v>1.0282712017332063</v>
      </c>
      <c r="V181" s="13">
        <f>Data_PLT[[#This Row],[Is (MPa)]]*Data_PLT[[#This Row],[F]]</f>
        <v>0</v>
      </c>
      <c r="W181" s="13" t="str">
        <f>Data_PLT[[#This Row],[Failure Validity]]&amp;"-"&amp;Data_PLT[[#This Row],[Test type]]</f>
        <v>Valid-Axial</v>
      </c>
      <c r="X181" s="13">
        <f>Data_PLT[[#This Row],[Is50 (MPa)]]*VLOOKUP("Min",Table_PLT_Conversion[],2,FALSE)</f>
        <v>0</v>
      </c>
      <c r="Y181" s="13">
        <f>Data_PLT[[#This Row],[Is50 (MPa)]]*VLOOKUP("Avg",Table_PLT_Conversion[],2,FALSE)</f>
        <v>0</v>
      </c>
      <c r="Z181" s="13">
        <f>Data_PLT[[#This Row],[Is50 (MPa)]]*VLOOKUP("Max",Table_PLT_Conversion[],2,FALSE)</f>
        <v>0</v>
      </c>
      <c r="AA181" s="62" t="e">
        <f>MATCH(LOOKUP(Data_PLT[[#This Row],[UCS min (MPa)]],Table_FieldStrength[Min UCS]),Table_FieldStrength[Min UCS],0)-1</f>
        <v>#N/A</v>
      </c>
      <c r="AB181" s="62" t="e">
        <f>MATCH(LOOKUP(Data_PLT[[#This Row],[UCS avg (MPa)]],Table_FieldStrength[Min UCS]),Table_FieldStrength[Min UCS],0)-1</f>
        <v>#N/A</v>
      </c>
      <c r="AC181" s="62" t="e">
        <f>MATCH(LOOKUP(Data_PLT[[#This Row],[UCS max (MPa)]],Table_FieldStrength[Min UCS]),Table_FieldStrength[Min UCS],0)-1</f>
        <v>#N/A</v>
      </c>
      <c r="AD181" s="68" t="e">
        <f>Data_PLT[[#This Row],[Test code]]&amp;"-"&amp;Data_PLT[[#This Row],[UCS min code]]</f>
        <v>#N/A</v>
      </c>
      <c r="AE181" s="68" t="e">
        <f>Data_PLT[[#This Row],[Test code]]&amp;"-"&amp;Data_PLT[[#This Row],[UCS avg code]]</f>
        <v>#N/A</v>
      </c>
      <c r="AF181" s="67" t="e">
        <f>Data_PLT[[#This Row],[Test code]]&amp;"-"&amp;Data_PLT[[#This Row],[UCS max code]]</f>
        <v>#N/A</v>
      </c>
      <c r="AG181" s="67" t="str">
        <f>Data_PLT[[#This Row],[Failure type]]&amp;"-"&amp;Data_PLT[[#This Row],[Test type]]&amp;"-"&amp;(IF(Data_PLT[[#This Row],[Is50 (MPa)]]&lt;1,1,IF(Data_PLT[[#This Row],[Is50 (MPa)]]&lt;2,2,IF(Data_PLT[[#This Row],[Is50 (MPa)]]&lt;4,3,IF(Data_PLT[[#This Row],[Is50 (MPa)]]&lt;8,4,5)))))</f>
        <v>Perp. bedding-Axial-1</v>
      </c>
    </row>
    <row r="182" spans="1:33" x14ac:dyDescent="0.25">
      <c r="A182" t="s">
        <v>34</v>
      </c>
      <c r="B182" s="88" t="str">
        <f>VLOOKUP(Data_PLT[[#This Row],[Hole ID]],Data_Log[],2,FALSE)</f>
        <v>CGF-04</v>
      </c>
      <c r="C182" s="63">
        <f>IF(Data_PLT[[#This Row],[Hole ID]]="","",
IF(COUNTIF($A$4:A182,Data_PLT[[#This Row],[Hole ID]])=1,1,
IF(A182=A181,C181+1,
COUNTIF($A$4:A182,Data_PLT[[#This Row],[Hole ID]]))))</f>
        <v>30</v>
      </c>
      <c r="D182" s="63" t="str">
        <f>IF(Data_PLT[[#This Row],[Hole ID]]="","",Data_PLT[[#This Row],[Hole ID]]&amp;"_"&amp;Data_PLT[[#This Row],[Sample ID]])</f>
        <v>COG-25-09_30</v>
      </c>
      <c r="E182" s="6"/>
      <c r="F182" s="6">
        <v>70.47</v>
      </c>
      <c r="G182" s="63" t="str" cm="1">
        <f t="array" ref="G182">_xlfn.XLOOKUP(1,(A182=Geotech!$A$4:$A$11100)*(Data_PLT[[#This Row],[Depth (m)]]&gt;=Geotech!$C$4:$C$11100)*(Data_PLT[[#This Row],[Depth (m)]]&lt;Geotech!$D$4:$D$11100),Geotech!$M$4:$M$11100)</f>
        <v>Boulamarque granodiorite</v>
      </c>
      <c r="H182" s="6" t="s">
        <v>299</v>
      </c>
      <c r="I182" s="63" t="str">
        <f>VLOOKUP(Data_PLT[[#This Row],[Hole ID]],Data_Log[[Hole ID]:[Core size]],20,FALSE)</f>
        <v>HQ</v>
      </c>
      <c r="J182" s="13">
        <f>VLOOKUP(Data_PLT[[#This Row],[Core Size]],Table_CoreSize[],2,FALSE)</f>
        <v>63.5</v>
      </c>
      <c r="K182" s="19">
        <v>145</v>
      </c>
      <c r="L182" s="19" t="s">
        <v>574</v>
      </c>
      <c r="M182" s="5">
        <v>241</v>
      </c>
      <c r="N182" s="5"/>
      <c r="O182" s="6" t="s">
        <v>334</v>
      </c>
      <c r="P182" s="13" t="str">
        <f>IF(Data_PLT[[#This Row],[Failure type]]="","",IF(OR(Data_PLT[[#This Row],[Failure type]]="Invalid",Data_PLT[[#This Row],[Failure type]]="Chipped",Data_PLT[[#This Row],[Failure type]]="Penetrate",Data_PLT[[#This Row],[Failure type]]="Did not break"),"Invalid","Valid"))</f>
        <v>Valid</v>
      </c>
      <c r="Q182" s="6"/>
      <c r="R182" s="11"/>
      <c r="S182" s="13">
        <f>IF(Data_PLT[[#This Row],[Test type]]="Diametral",Data_PLT[[#This Row],[Diameter (mm)]],IF(Data_PLT[[#This Row],[Test type]]="Axial",SQRT(4*Data_PLT[[#This Row],[Diameter (mm)]]*Data_PLT[[#This Row],[Length or width (mm)]]/PI()),"ERROR"))</f>
        <v>63.5</v>
      </c>
      <c r="T182" s="13">
        <f>(Data_PLT[[#This Row],[Load (kN)]]*1000)/Data_PLT[[#This Row],[Equiv. Diam. (mm)]]^2</f>
        <v>0</v>
      </c>
      <c r="U182" s="13">
        <f>(Data_PLT[[#This Row],[Equiv. Diam. (mm)]]/50)^0.45</f>
        <v>1.1135550054708407</v>
      </c>
      <c r="V182" s="13">
        <f>Data_PLT[[#This Row],[Is (MPa)]]*Data_PLT[[#This Row],[F]]</f>
        <v>0</v>
      </c>
      <c r="W182" s="13" t="str">
        <f>Data_PLT[[#This Row],[Failure Validity]]&amp;"-"&amp;Data_PLT[[#This Row],[Test type]]</f>
        <v>Valid-Diametral</v>
      </c>
      <c r="X182" s="13">
        <f>Data_PLT[[#This Row],[Is50 (MPa)]]*VLOOKUP("Min",Table_PLT_Conversion[],2,FALSE)</f>
        <v>0</v>
      </c>
      <c r="Y182" s="13">
        <f>Data_PLT[[#This Row],[Is50 (MPa)]]*VLOOKUP("Avg",Table_PLT_Conversion[],2,FALSE)</f>
        <v>0</v>
      </c>
      <c r="Z182" s="13">
        <f>Data_PLT[[#This Row],[Is50 (MPa)]]*VLOOKUP("Max",Table_PLT_Conversion[],2,FALSE)</f>
        <v>0</v>
      </c>
      <c r="AA182" s="62" t="e">
        <f>MATCH(LOOKUP(Data_PLT[[#This Row],[UCS min (MPa)]],Table_FieldStrength[Min UCS]),Table_FieldStrength[Min UCS],0)-1</f>
        <v>#N/A</v>
      </c>
      <c r="AB182" s="62" t="e">
        <f>MATCH(LOOKUP(Data_PLT[[#This Row],[UCS avg (MPa)]],Table_FieldStrength[Min UCS]),Table_FieldStrength[Min UCS],0)-1</f>
        <v>#N/A</v>
      </c>
      <c r="AC182" s="62" t="e">
        <f>MATCH(LOOKUP(Data_PLT[[#This Row],[UCS max (MPa)]],Table_FieldStrength[Min UCS]),Table_FieldStrength[Min UCS],0)-1</f>
        <v>#N/A</v>
      </c>
      <c r="AD182" s="68" t="e">
        <f>Data_PLT[[#This Row],[Test code]]&amp;"-"&amp;Data_PLT[[#This Row],[UCS min code]]</f>
        <v>#N/A</v>
      </c>
      <c r="AE182" s="68" t="e">
        <f>Data_PLT[[#This Row],[Test code]]&amp;"-"&amp;Data_PLT[[#This Row],[UCS avg code]]</f>
        <v>#N/A</v>
      </c>
      <c r="AF182" s="67" t="e">
        <f>Data_PLT[[#This Row],[Test code]]&amp;"-"&amp;Data_PLT[[#This Row],[UCS max code]]</f>
        <v>#N/A</v>
      </c>
      <c r="AG182" s="67" t="str">
        <f>Data_PLT[[#This Row],[Failure type]]&amp;"-"&amp;Data_PLT[[#This Row],[Test type]]&amp;"-"&amp;(IF(Data_PLT[[#This Row],[Is50 (MPa)]]&lt;1,1,IF(Data_PLT[[#This Row],[Is50 (MPa)]]&lt;2,2,IF(Data_PLT[[#This Row],[Is50 (MPa)]]&lt;4,3,IF(Data_PLT[[#This Row],[Is50 (MPa)]]&lt;8,4,5)))))</f>
        <v>Along bedding/foliation-Diametral-1</v>
      </c>
    </row>
    <row r="183" spans="1:33" x14ac:dyDescent="0.25">
      <c r="A183" t="s">
        <v>34</v>
      </c>
      <c r="B183" s="88" t="str">
        <f>VLOOKUP(Data_PLT[[#This Row],[Hole ID]],Data_Log[],2,FALSE)</f>
        <v>CGF-04</v>
      </c>
      <c r="C183" s="63">
        <f>IF(Data_PLT[[#This Row],[Hole ID]]="","",
IF(COUNTIF($A$4:A183,Data_PLT[[#This Row],[Hole ID]])=1,1,
IF(A183=A182,C182+1,
COUNTIF($A$4:A183,Data_PLT[[#This Row],[Hole ID]]))))</f>
        <v>31</v>
      </c>
      <c r="D183" s="63" t="str">
        <f>IF(Data_PLT[[#This Row],[Hole ID]]="","",Data_PLT[[#This Row],[Hole ID]]&amp;"_"&amp;Data_PLT[[#This Row],[Sample ID]])</f>
        <v>COG-25-09_31</v>
      </c>
      <c r="E183" s="6"/>
      <c r="F183" s="6">
        <v>73.95</v>
      </c>
      <c r="G183" s="63" t="str" cm="1">
        <f t="array" ref="G183">_xlfn.XLOOKUP(1,(A183=Geotech!$A$4:$A$11100)*(Data_PLT[[#This Row],[Depth (m)]]&gt;=Geotech!$C$4:$C$11100)*(Data_PLT[[#This Row],[Depth (m)]]&lt;Geotech!$D$4:$D$11100),Geotech!$M$4:$M$11100)</f>
        <v>Boulamarque granodiorite</v>
      </c>
      <c r="H183" s="6" t="s">
        <v>299</v>
      </c>
      <c r="I183" s="63" t="str">
        <f>VLOOKUP(Data_PLT[[#This Row],[Hole ID]],Data_Log[[Hole ID]:[Core size]],20,FALSE)</f>
        <v>HQ</v>
      </c>
      <c r="J183" s="13">
        <f>VLOOKUP(Data_PLT[[#This Row],[Core Size]],Table_CoreSize[],2,FALSE)</f>
        <v>63.5</v>
      </c>
      <c r="K183" s="19">
        <v>185</v>
      </c>
      <c r="L183" s="19" t="s">
        <v>574</v>
      </c>
      <c r="M183" s="5">
        <v>119.4</v>
      </c>
      <c r="N183" s="5"/>
      <c r="O183" s="6" t="s">
        <v>334</v>
      </c>
      <c r="P183" s="13" t="str">
        <f>IF(Data_PLT[[#This Row],[Failure type]]="","",IF(OR(Data_PLT[[#This Row],[Failure type]]="Invalid",Data_PLT[[#This Row],[Failure type]]="Chipped",Data_PLT[[#This Row],[Failure type]]="Penetrate",Data_PLT[[#This Row],[Failure type]]="Did not break"),"Invalid","Valid"))</f>
        <v>Valid</v>
      </c>
      <c r="Q183" s="6"/>
      <c r="R183" s="11"/>
      <c r="S183" s="13">
        <f>IF(Data_PLT[[#This Row],[Test type]]="Diametral",Data_PLT[[#This Row],[Diameter (mm)]],IF(Data_PLT[[#This Row],[Test type]]="Axial",SQRT(4*Data_PLT[[#This Row],[Diameter (mm)]]*Data_PLT[[#This Row],[Length or width (mm)]]/PI()),"ERROR"))</f>
        <v>63.5</v>
      </c>
      <c r="T183" s="13">
        <f>(Data_PLT[[#This Row],[Load (kN)]]*1000)/Data_PLT[[#This Row],[Equiv. Diam. (mm)]]^2</f>
        <v>0</v>
      </c>
      <c r="U183" s="13">
        <f>(Data_PLT[[#This Row],[Equiv. Diam. (mm)]]/50)^0.45</f>
        <v>1.1135550054708407</v>
      </c>
      <c r="V183" s="13">
        <f>Data_PLT[[#This Row],[Is (MPa)]]*Data_PLT[[#This Row],[F]]</f>
        <v>0</v>
      </c>
      <c r="W183" s="13" t="str">
        <f>Data_PLT[[#This Row],[Failure Validity]]&amp;"-"&amp;Data_PLT[[#This Row],[Test type]]</f>
        <v>Valid-Diametral</v>
      </c>
      <c r="X183" s="13">
        <f>Data_PLT[[#This Row],[Is50 (MPa)]]*VLOOKUP("Min",Table_PLT_Conversion[],2,FALSE)</f>
        <v>0</v>
      </c>
      <c r="Y183" s="13">
        <f>Data_PLT[[#This Row],[Is50 (MPa)]]*VLOOKUP("Avg",Table_PLT_Conversion[],2,FALSE)</f>
        <v>0</v>
      </c>
      <c r="Z183" s="13">
        <f>Data_PLT[[#This Row],[Is50 (MPa)]]*VLOOKUP("Max",Table_PLT_Conversion[],2,FALSE)</f>
        <v>0</v>
      </c>
      <c r="AA183" s="62" t="e">
        <f>MATCH(LOOKUP(Data_PLT[[#This Row],[UCS min (MPa)]],Table_FieldStrength[Min UCS]),Table_FieldStrength[Min UCS],0)-1</f>
        <v>#N/A</v>
      </c>
      <c r="AB183" s="62" t="e">
        <f>MATCH(LOOKUP(Data_PLT[[#This Row],[UCS avg (MPa)]],Table_FieldStrength[Min UCS]),Table_FieldStrength[Min UCS],0)-1</f>
        <v>#N/A</v>
      </c>
      <c r="AC183" s="62" t="e">
        <f>MATCH(LOOKUP(Data_PLT[[#This Row],[UCS max (MPa)]],Table_FieldStrength[Min UCS]),Table_FieldStrength[Min UCS],0)-1</f>
        <v>#N/A</v>
      </c>
      <c r="AD183" s="68" t="e">
        <f>Data_PLT[[#This Row],[Test code]]&amp;"-"&amp;Data_PLT[[#This Row],[UCS min code]]</f>
        <v>#N/A</v>
      </c>
      <c r="AE183" s="68" t="e">
        <f>Data_PLT[[#This Row],[Test code]]&amp;"-"&amp;Data_PLT[[#This Row],[UCS avg code]]</f>
        <v>#N/A</v>
      </c>
      <c r="AF183" s="67" t="e">
        <f>Data_PLT[[#This Row],[Test code]]&amp;"-"&amp;Data_PLT[[#This Row],[UCS max code]]</f>
        <v>#N/A</v>
      </c>
      <c r="AG183" s="67" t="str">
        <f>Data_PLT[[#This Row],[Failure type]]&amp;"-"&amp;Data_PLT[[#This Row],[Test type]]&amp;"-"&amp;(IF(Data_PLT[[#This Row],[Is50 (MPa)]]&lt;1,1,IF(Data_PLT[[#This Row],[Is50 (MPa)]]&lt;2,2,IF(Data_PLT[[#This Row],[Is50 (MPa)]]&lt;4,3,IF(Data_PLT[[#This Row],[Is50 (MPa)]]&lt;8,4,5)))))</f>
        <v>Along bedding/foliation-Diametral-1</v>
      </c>
    </row>
    <row r="184" spans="1:33" x14ac:dyDescent="0.25">
      <c r="A184" t="s">
        <v>34</v>
      </c>
      <c r="B184" s="88" t="str">
        <f>VLOOKUP(Data_PLT[[#This Row],[Hole ID]],Data_Log[],2,FALSE)</f>
        <v>CGF-04</v>
      </c>
      <c r="C184" s="63">
        <f>IF(Data_PLT[[#This Row],[Hole ID]]="","",
IF(COUNTIF($A$4:A184,Data_PLT[[#This Row],[Hole ID]])=1,1,
IF(A184=A183,C183+1,
COUNTIF($A$4:A184,Data_PLT[[#This Row],[Hole ID]]))))</f>
        <v>32</v>
      </c>
      <c r="D184" s="63" t="str">
        <f>IF(Data_PLT[[#This Row],[Hole ID]]="","",Data_PLT[[#This Row],[Hole ID]]&amp;"_"&amp;Data_PLT[[#This Row],[Sample ID]])</f>
        <v>COG-25-09_32</v>
      </c>
      <c r="E184" s="6"/>
      <c r="F184" s="6">
        <v>65.83</v>
      </c>
      <c r="G184" s="63" t="str" cm="1">
        <f t="array" ref="G184">_xlfn.XLOOKUP(1,(A184=Geotech!$A$4:$A$11100)*(Data_PLT[[#This Row],[Depth (m)]]&gt;=Geotech!$C$4:$C$11100)*(Data_PLT[[#This Row],[Depth (m)]]&lt;Geotech!$D$4:$D$11100),Geotech!$M$4:$M$11100)</f>
        <v>Boulamarque granodiorite</v>
      </c>
      <c r="H184" s="6" t="s">
        <v>267</v>
      </c>
      <c r="I184" s="63" t="str">
        <f>VLOOKUP(Data_PLT[[#This Row],[Hole ID]],Data_Log[[Hole ID]:[Core size]],20,FALSE)</f>
        <v>HQ</v>
      </c>
      <c r="J184" s="13">
        <f>VLOOKUP(Data_PLT[[#This Row],[Core Size]],Table_CoreSize[],2,FALSE)</f>
        <v>63.5</v>
      </c>
      <c r="K184" s="19">
        <v>30</v>
      </c>
      <c r="L184" s="19" t="s">
        <v>574</v>
      </c>
      <c r="M184" s="5">
        <v>135.4</v>
      </c>
      <c r="N184" s="5"/>
      <c r="O184" s="6" t="s">
        <v>363</v>
      </c>
      <c r="P184" s="13" t="str">
        <f>IF(Data_PLT[[#This Row],[Failure type]]="","",IF(OR(Data_PLT[[#This Row],[Failure type]]="Invalid",Data_PLT[[#This Row],[Failure type]]="Chipped",Data_PLT[[#This Row],[Failure type]]="Penetrate",Data_PLT[[#This Row],[Failure type]]="Did not break"),"Invalid","Valid"))</f>
        <v>Valid</v>
      </c>
      <c r="Q184" s="6"/>
      <c r="R184" s="11"/>
      <c r="S184" s="13">
        <f>IF(Data_PLT[[#This Row],[Test type]]="Diametral",Data_PLT[[#This Row],[Diameter (mm)]],IF(Data_PLT[[#This Row],[Test type]]="Axial",SQRT(4*Data_PLT[[#This Row],[Diameter (mm)]]*Data_PLT[[#This Row],[Length or width (mm)]]/PI()),"ERROR"))</f>
        <v>49.249582056302621</v>
      </c>
      <c r="T184" s="13">
        <f>(Data_PLT[[#This Row],[Load (kN)]]*1000)/Data_PLT[[#This Row],[Equiv. Diam. (mm)]]^2</f>
        <v>0</v>
      </c>
      <c r="U184" s="13">
        <f>(Data_PLT[[#This Row],[Equiv. Diam. (mm)]]/50)^0.45</f>
        <v>0.99321814547536569</v>
      </c>
      <c r="V184" s="13">
        <f>Data_PLT[[#This Row],[Is (MPa)]]*Data_PLT[[#This Row],[F]]</f>
        <v>0</v>
      </c>
      <c r="W184" s="13" t="str">
        <f>Data_PLT[[#This Row],[Failure Validity]]&amp;"-"&amp;Data_PLT[[#This Row],[Test type]]</f>
        <v>Valid-Axial</v>
      </c>
      <c r="X184" s="13">
        <f>Data_PLT[[#This Row],[Is50 (MPa)]]*VLOOKUP("Min",Table_PLT_Conversion[],2,FALSE)</f>
        <v>0</v>
      </c>
      <c r="Y184" s="13">
        <f>Data_PLT[[#This Row],[Is50 (MPa)]]*VLOOKUP("Avg",Table_PLT_Conversion[],2,FALSE)</f>
        <v>0</v>
      </c>
      <c r="Z184" s="13">
        <f>Data_PLT[[#This Row],[Is50 (MPa)]]*VLOOKUP("Max",Table_PLT_Conversion[],2,FALSE)</f>
        <v>0</v>
      </c>
      <c r="AA184" s="62" t="e">
        <f>MATCH(LOOKUP(Data_PLT[[#This Row],[UCS min (MPa)]],Table_FieldStrength[Min UCS]),Table_FieldStrength[Min UCS],0)-1</f>
        <v>#N/A</v>
      </c>
      <c r="AB184" s="62" t="e">
        <f>MATCH(LOOKUP(Data_PLT[[#This Row],[UCS avg (MPa)]],Table_FieldStrength[Min UCS]),Table_FieldStrength[Min UCS],0)-1</f>
        <v>#N/A</v>
      </c>
      <c r="AC184" s="62" t="e">
        <f>MATCH(LOOKUP(Data_PLT[[#This Row],[UCS max (MPa)]],Table_FieldStrength[Min UCS]),Table_FieldStrength[Min UCS],0)-1</f>
        <v>#N/A</v>
      </c>
      <c r="AD184" s="68" t="e">
        <f>Data_PLT[[#This Row],[Test code]]&amp;"-"&amp;Data_PLT[[#This Row],[UCS min code]]</f>
        <v>#N/A</v>
      </c>
      <c r="AE184" s="68" t="e">
        <f>Data_PLT[[#This Row],[Test code]]&amp;"-"&amp;Data_PLT[[#This Row],[UCS avg code]]</f>
        <v>#N/A</v>
      </c>
      <c r="AF184" s="67" t="e">
        <f>Data_PLT[[#This Row],[Test code]]&amp;"-"&amp;Data_PLT[[#This Row],[UCS max code]]</f>
        <v>#N/A</v>
      </c>
      <c r="AG184" s="67" t="str">
        <f>Data_PLT[[#This Row],[Failure type]]&amp;"-"&amp;Data_PLT[[#This Row],[Test type]]&amp;"-"&amp;(IF(Data_PLT[[#This Row],[Is50 (MPa)]]&lt;1,1,IF(Data_PLT[[#This Row],[Is50 (MPa)]]&lt;2,2,IF(Data_PLT[[#This Row],[Is50 (MPa)]]&lt;4,3,IF(Data_PLT[[#This Row],[Is50 (MPa)]]&lt;8,4,5)))))</f>
        <v>Perp. bedding-Axial-1</v>
      </c>
    </row>
    <row r="185" spans="1:33" x14ac:dyDescent="0.25">
      <c r="A185" t="s">
        <v>34</v>
      </c>
      <c r="B185" s="88" t="str">
        <f>VLOOKUP(Data_PLT[[#This Row],[Hole ID]],Data_Log[],2,FALSE)</f>
        <v>CGF-04</v>
      </c>
      <c r="C185" s="63">
        <f>IF(Data_PLT[[#This Row],[Hole ID]]="","",
IF(COUNTIF($A$4:A185,Data_PLT[[#This Row],[Hole ID]])=1,1,
IF(A185=A184,C184+1,
COUNTIF($A$4:A185,Data_PLT[[#This Row],[Hole ID]]))))</f>
        <v>33</v>
      </c>
      <c r="D185" s="63" t="str">
        <f>IF(Data_PLT[[#This Row],[Hole ID]]="","",Data_PLT[[#This Row],[Hole ID]]&amp;"_"&amp;Data_PLT[[#This Row],[Sample ID]])</f>
        <v>COG-25-09_33</v>
      </c>
      <c r="E185" s="6"/>
      <c r="F185" s="6">
        <v>75.52</v>
      </c>
      <c r="G185" s="63" t="str" cm="1">
        <f t="array" ref="G185">_xlfn.XLOOKUP(1,(A185=Geotech!$A$4:$A$11100)*(Data_PLT[[#This Row],[Depth (m)]]&gt;=Geotech!$C$4:$C$11100)*(Data_PLT[[#This Row],[Depth (m)]]&lt;Geotech!$D$4:$D$11100),Geotech!$M$4:$M$11100)</f>
        <v>Boulamarque granodiorite</v>
      </c>
      <c r="H185" s="6" t="s">
        <v>299</v>
      </c>
      <c r="I185" s="63" t="str">
        <f>VLOOKUP(Data_PLT[[#This Row],[Hole ID]],Data_Log[[Hole ID]:[Core size]],20,FALSE)</f>
        <v>HQ</v>
      </c>
      <c r="J185" s="13">
        <f>VLOOKUP(Data_PLT[[#This Row],[Core Size]],Table_CoreSize[],2,FALSE)</f>
        <v>63.5</v>
      </c>
      <c r="K185" s="19">
        <v>140</v>
      </c>
      <c r="L185" s="19" t="s">
        <v>574</v>
      </c>
      <c r="M185" s="5">
        <v>122</v>
      </c>
      <c r="N185" s="5"/>
      <c r="O185" s="6" t="s">
        <v>334</v>
      </c>
      <c r="P185" s="13" t="str">
        <f>IF(Data_PLT[[#This Row],[Failure type]]="","",IF(OR(Data_PLT[[#This Row],[Failure type]]="Invalid",Data_PLT[[#This Row],[Failure type]]="Chipped",Data_PLT[[#This Row],[Failure type]]="Penetrate",Data_PLT[[#This Row],[Failure type]]="Did not break"),"Invalid","Valid"))</f>
        <v>Valid</v>
      </c>
      <c r="Q185" s="6"/>
      <c r="R185" s="11"/>
      <c r="S185" s="13">
        <f>IF(Data_PLT[[#This Row],[Test type]]="Diametral",Data_PLT[[#This Row],[Diameter (mm)]],IF(Data_PLT[[#This Row],[Test type]]="Axial",SQRT(4*Data_PLT[[#This Row],[Diameter (mm)]]*Data_PLT[[#This Row],[Length or width (mm)]]/PI()),"ERROR"))</f>
        <v>63.5</v>
      </c>
      <c r="T185" s="13">
        <f>(Data_PLT[[#This Row],[Load (kN)]]*1000)/Data_PLT[[#This Row],[Equiv. Diam. (mm)]]^2</f>
        <v>0</v>
      </c>
      <c r="U185" s="13">
        <f>(Data_PLT[[#This Row],[Equiv. Diam. (mm)]]/50)^0.45</f>
        <v>1.1135550054708407</v>
      </c>
      <c r="V185" s="13">
        <f>Data_PLT[[#This Row],[Is (MPa)]]*Data_PLT[[#This Row],[F]]</f>
        <v>0</v>
      </c>
      <c r="W185" s="13" t="str">
        <f>Data_PLT[[#This Row],[Failure Validity]]&amp;"-"&amp;Data_PLT[[#This Row],[Test type]]</f>
        <v>Valid-Diametral</v>
      </c>
      <c r="X185" s="13">
        <f>Data_PLT[[#This Row],[Is50 (MPa)]]*VLOOKUP("Min",Table_PLT_Conversion[],2,FALSE)</f>
        <v>0</v>
      </c>
      <c r="Y185" s="13">
        <f>Data_PLT[[#This Row],[Is50 (MPa)]]*VLOOKUP("Avg",Table_PLT_Conversion[],2,FALSE)</f>
        <v>0</v>
      </c>
      <c r="Z185" s="13">
        <f>Data_PLT[[#This Row],[Is50 (MPa)]]*VLOOKUP("Max",Table_PLT_Conversion[],2,FALSE)</f>
        <v>0</v>
      </c>
      <c r="AA185" s="62" t="e">
        <f>MATCH(LOOKUP(Data_PLT[[#This Row],[UCS min (MPa)]],Table_FieldStrength[Min UCS]),Table_FieldStrength[Min UCS],0)-1</f>
        <v>#N/A</v>
      </c>
      <c r="AB185" s="62" t="e">
        <f>MATCH(LOOKUP(Data_PLT[[#This Row],[UCS avg (MPa)]],Table_FieldStrength[Min UCS]),Table_FieldStrength[Min UCS],0)-1</f>
        <v>#N/A</v>
      </c>
      <c r="AC185" s="62" t="e">
        <f>MATCH(LOOKUP(Data_PLT[[#This Row],[UCS max (MPa)]],Table_FieldStrength[Min UCS]),Table_FieldStrength[Min UCS],0)-1</f>
        <v>#N/A</v>
      </c>
      <c r="AD185" s="68" t="e">
        <f>Data_PLT[[#This Row],[Test code]]&amp;"-"&amp;Data_PLT[[#This Row],[UCS min code]]</f>
        <v>#N/A</v>
      </c>
      <c r="AE185" s="68" t="e">
        <f>Data_PLT[[#This Row],[Test code]]&amp;"-"&amp;Data_PLT[[#This Row],[UCS avg code]]</f>
        <v>#N/A</v>
      </c>
      <c r="AF185" s="67" t="e">
        <f>Data_PLT[[#This Row],[Test code]]&amp;"-"&amp;Data_PLT[[#This Row],[UCS max code]]</f>
        <v>#N/A</v>
      </c>
      <c r="AG185" s="67" t="str">
        <f>Data_PLT[[#This Row],[Failure type]]&amp;"-"&amp;Data_PLT[[#This Row],[Test type]]&amp;"-"&amp;(IF(Data_PLT[[#This Row],[Is50 (MPa)]]&lt;1,1,IF(Data_PLT[[#This Row],[Is50 (MPa)]]&lt;2,2,IF(Data_PLT[[#This Row],[Is50 (MPa)]]&lt;4,3,IF(Data_PLT[[#This Row],[Is50 (MPa)]]&lt;8,4,5)))))</f>
        <v>Along bedding/foliation-Diametral-1</v>
      </c>
    </row>
    <row r="186" spans="1:33" x14ac:dyDescent="0.25">
      <c r="A186" t="s">
        <v>34</v>
      </c>
      <c r="B186" s="88" t="str">
        <f>VLOOKUP(Data_PLT[[#This Row],[Hole ID]],Data_Log[],2,FALSE)</f>
        <v>CGF-04</v>
      </c>
      <c r="C186" s="63">
        <f>IF(Data_PLT[[#This Row],[Hole ID]]="","",
IF(COUNTIF($A$4:A186,Data_PLT[[#This Row],[Hole ID]])=1,1,
IF(A186=A185,C185+1,
COUNTIF($A$4:A186,Data_PLT[[#This Row],[Hole ID]]))))</f>
        <v>34</v>
      </c>
      <c r="D186" s="63" t="str">
        <f>IF(Data_PLT[[#This Row],[Hole ID]]="","",Data_PLT[[#This Row],[Hole ID]]&amp;"_"&amp;Data_PLT[[#This Row],[Sample ID]])</f>
        <v>COG-25-09_34</v>
      </c>
      <c r="E186" s="6"/>
      <c r="F186" s="6">
        <v>75.52</v>
      </c>
      <c r="G186" s="63" t="str" cm="1">
        <f t="array" ref="G186">_xlfn.XLOOKUP(1,(A186=Geotech!$A$4:$A$11100)*(Data_PLT[[#This Row],[Depth (m)]]&gt;=Geotech!$C$4:$C$11100)*(Data_PLT[[#This Row],[Depth (m)]]&lt;Geotech!$D$4:$D$11100),Geotech!$M$4:$M$11100)</f>
        <v>Boulamarque granodiorite</v>
      </c>
      <c r="H186" s="6" t="s">
        <v>267</v>
      </c>
      <c r="I186" s="63" t="str">
        <f>VLOOKUP(Data_PLT[[#This Row],[Hole ID]],Data_Log[[Hole ID]:[Core size]],20,FALSE)</f>
        <v>HQ</v>
      </c>
      <c r="J186" s="13">
        <f>VLOOKUP(Data_PLT[[#This Row],[Core Size]],Table_CoreSize[],2,FALSE)</f>
        <v>63.5</v>
      </c>
      <c r="K186" s="19">
        <v>45</v>
      </c>
      <c r="L186" s="19" t="s">
        <v>574</v>
      </c>
      <c r="M186" s="5">
        <v>244.6</v>
      </c>
      <c r="N186" s="5"/>
      <c r="O186" s="6" t="s">
        <v>334</v>
      </c>
      <c r="P186" s="13" t="str">
        <f>IF(Data_PLT[[#This Row],[Failure type]]="","",IF(OR(Data_PLT[[#This Row],[Failure type]]="Invalid",Data_PLT[[#This Row],[Failure type]]="Chipped",Data_PLT[[#This Row],[Failure type]]="Penetrate",Data_PLT[[#This Row],[Failure type]]="Did not break"),"Invalid","Valid"))</f>
        <v>Valid</v>
      </c>
      <c r="Q186" s="6"/>
      <c r="R186" s="11"/>
      <c r="S186" s="13">
        <f>IF(Data_PLT[[#This Row],[Test type]]="Diametral",Data_PLT[[#This Row],[Diameter (mm)]],IF(Data_PLT[[#This Row],[Test type]]="Axial",SQRT(4*Data_PLT[[#This Row],[Diameter (mm)]]*Data_PLT[[#This Row],[Length or width (mm)]]/PI()),"ERROR"))</f>
        <v>60.318173041635866</v>
      </c>
      <c r="T186" s="13">
        <f>(Data_PLT[[#This Row],[Load (kN)]]*1000)/Data_PLT[[#This Row],[Equiv. Diam. (mm)]]^2</f>
        <v>0</v>
      </c>
      <c r="U186" s="13">
        <f>(Data_PLT[[#This Row],[Equiv. Diam. (mm)]]/50)^0.45</f>
        <v>1.0880909008495443</v>
      </c>
      <c r="V186" s="13">
        <f>Data_PLT[[#This Row],[Is (MPa)]]*Data_PLT[[#This Row],[F]]</f>
        <v>0</v>
      </c>
      <c r="W186" s="13" t="str">
        <f>Data_PLT[[#This Row],[Failure Validity]]&amp;"-"&amp;Data_PLT[[#This Row],[Test type]]</f>
        <v>Valid-Axial</v>
      </c>
      <c r="X186" s="13">
        <f>Data_PLT[[#This Row],[Is50 (MPa)]]*VLOOKUP("Min",Table_PLT_Conversion[],2,FALSE)</f>
        <v>0</v>
      </c>
      <c r="Y186" s="13">
        <f>Data_PLT[[#This Row],[Is50 (MPa)]]*VLOOKUP("Avg",Table_PLT_Conversion[],2,FALSE)</f>
        <v>0</v>
      </c>
      <c r="Z186" s="13">
        <f>Data_PLT[[#This Row],[Is50 (MPa)]]*VLOOKUP("Max",Table_PLT_Conversion[],2,FALSE)</f>
        <v>0</v>
      </c>
      <c r="AA186" s="62" t="e">
        <f>MATCH(LOOKUP(Data_PLT[[#This Row],[UCS min (MPa)]],Table_FieldStrength[Min UCS]),Table_FieldStrength[Min UCS],0)-1</f>
        <v>#N/A</v>
      </c>
      <c r="AB186" s="62" t="e">
        <f>MATCH(LOOKUP(Data_PLT[[#This Row],[UCS avg (MPa)]],Table_FieldStrength[Min UCS]),Table_FieldStrength[Min UCS],0)-1</f>
        <v>#N/A</v>
      </c>
      <c r="AC186" s="62" t="e">
        <f>MATCH(LOOKUP(Data_PLT[[#This Row],[UCS max (MPa)]],Table_FieldStrength[Min UCS]),Table_FieldStrength[Min UCS],0)-1</f>
        <v>#N/A</v>
      </c>
      <c r="AD186" s="68" t="e">
        <f>Data_PLT[[#This Row],[Test code]]&amp;"-"&amp;Data_PLT[[#This Row],[UCS min code]]</f>
        <v>#N/A</v>
      </c>
      <c r="AE186" s="68" t="e">
        <f>Data_PLT[[#This Row],[Test code]]&amp;"-"&amp;Data_PLT[[#This Row],[UCS avg code]]</f>
        <v>#N/A</v>
      </c>
      <c r="AF186" s="67" t="e">
        <f>Data_PLT[[#This Row],[Test code]]&amp;"-"&amp;Data_PLT[[#This Row],[UCS max code]]</f>
        <v>#N/A</v>
      </c>
      <c r="AG186" s="67" t="str">
        <f>Data_PLT[[#This Row],[Failure type]]&amp;"-"&amp;Data_PLT[[#This Row],[Test type]]&amp;"-"&amp;(IF(Data_PLT[[#This Row],[Is50 (MPa)]]&lt;1,1,IF(Data_PLT[[#This Row],[Is50 (MPa)]]&lt;2,2,IF(Data_PLT[[#This Row],[Is50 (MPa)]]&lt;4,3,IF(Data_PLT[[#This Row],[Is50 (MPa)]]&lt;8,4,5)))))</f>
        <v>Along bedding/foliation-Axial-1</v>
      </c>
    </row>
    <row r="187" spans="1:33" x14ac:dyDescent="0.25">
      <c r="A187" t="s">
        <v>34</v>
      </c>
      <c r="B187" s="88" t="str">
        <f>VLOOKUP(Data_PLT[[#This Row],[Hole ID]],Data_Log[],2,FALSE)</f>
        <v>CGF-04</v>
      </c>
      <c r="C187" s="63">
        <f>IF(Data_PLT[[#This Row],[Hole ID]]="","",
IF(COUNTIF($A$4:A187,Data_PLT[[#This Row],[Hole ID]])=1,1,
IF(A187=A186,C186+1,
COUNTIF($A$4:A187,Data_PLT[[#This Row],[Hole ID]]))))</f>
        <v>35</v>
      </c>
      <c r="D187" s="63" t="str">
        <f>IF(Data_PLT[[#This Row],[Hole ID]]="","",Data_PLT[[#This Row],[Hole ID]]&amp;"_"&amp;Data_PLT[[#This Row],[Sample ID]])</f>
        <v>COG-25-09_35</v>
      </c>
      <c r="E187" s="6"/>
      <c r="F187" s="6">
        <v>78.05</v>
      </c>
      <c r="G187" s="63" t="str" cm="1">
        <f t="array" ref="G187">_xlfn.XLOOKUP(1,(A187=Geotech!$A$4:$A$11100)*(Data_PLT[[#This Row],[Depth (m)]]&gt;=Geotech!$C$4:$C$11100)*(Data_PLT[[#This Row],[Depth (m)]]&lt;Geotech!$D$4:$D$11100),Geotech!$M$4:$M$11100)</f>
        <v>Boulamarque granodiorite</v>
      </c>
      <c r="H187" s="6" t="s">
        <v>299</v>
      </c>
      <c r="I187" s="63" t="str">
        <f>VLOOKUP(Data_PLT[[#This Row],[Hole ID]],Data_Log[[Hole ID]:[Core size]],20,FALSE)</f>
        <v>HQ</v>
      </c>
      <c r="J187" s="13">
        <f>VLOOKUP(Data_PLT[[#This Row],[Core Size]],Table_CoreSize[],2,FALSE)</f>
        <v>63.5</v>
      </c>
      <c r="K187" s="19">
        <v>190</v>
      </c>
      <c r="L187" s="19" t="s">
        <v>574</v>
      </c>
      <c r="M187" s="5">
        <v>208.6</v>
      </c>
      <c r="N187" s="5"/>
      <c r="O187" s="6" t="s">
        <v>334</v>
      </c>
      <c r="P187" s="13" t="str">
        <f>IF(Data_PLT[[#This Row],[Failure type]]="","",IF(OR(Data_PLT[[#This Row],[Failure type]]="Invalid",Data_PLT[[#This Row],[Failure type]]="Chipped",Data_PLT[[#This Row],[Failure type]]="Penetrate",Data_PLT[[#This Row],[Failure type]]="Did not break"),"Invalid","Valid"))</f>
        <v>Valid</v>
      </c>
      <c r="Q187" s="6"/>
      <c r="R187" s="11"/>
      <c r="S187" s="13">
        <f>IF(Data_PLT[[#This Row],[Test type]]="Diametral",Data_PLT[[#This Row],[Diameter (mm)]],IF(Data_PLT[[#This Row],[Test type]]="Axial",SQRT(4*Data_PLT[[#This Row],[Diameter (mm)]]*Data_PLT[[#This Row],[Length or width (mm)]]/PI()),"ERROR"))</f>
        <v>63.5</v>
      </c>
      <c r="T187" s="13">
        <f>(Data_PLT[[#This Row],[Load (kN)]]*1000)/Data_PLT[[#This Row],[Equiv. Diam. (mm)]]^2</f>
        <v>0</v>
      </c>
      <c r="U187" s="13">
        <f>(Data_PLT[[#This Row],[Equiv. Diam. (mm)]]/50)^0.45</f>
        <v>1.1135550054708407</v>
      </c>
      <c r="V187" s="13">
        <f>Data_PLT[[#This Row],[Is (MPa)]]*Data_PLT[[#This Row],[F]]</f>
        <v>0</v>
      </c>
      <c r="W187" s="13" t="str">
        <f>Data_PLT[[#This Row],[Failure Validity]]&amp;"-"&amp;Data_PLT[[#This Row],[Test type]]</f>
        <v>Valid-Diametral</v>
      </c>
      <c r="X187" s="13">
        <f>Data_PLT[[#This Row],[Is50 (MPa)]]*VLOOKUP("Min",Table_PLT_Conversion[],2,FALSE)</f>
        <v>0</v>
      </c>
      <c r="Y187" s="13">
        <f>Data_PLT[[#This Row],[Is50 (MPa)]]*VLOOKUP("Avg",Table_PLT_Conversion[],2,FALSE)</f>
        <v>0</v>
      </c>
      <c r="Z187" s="13">
        <f>Data_PLT[[#This Row],[Is50 (MPa)]]*VLOOKUP("Max",Table_PLT_Conversion[],2,FALSE)</f>
        <v>0</v>
      </c>
      <c r="AA187" s="62" t="e">
        <f>MATCH(LOOKUP(Data_PLT[[#This Row],[UCS min (MPa)]],Table_FieldStrength[Min UCS]),Table_FieldStrength[Min UCS],0)-1</f>
        <v>#N/A</v>
      </c>
      <c r="AB187" s="62" t="e">
        <f>MATCH(LOOKUP(Data_PLT[[#This Row],[UCS avg (MPa)]],Table_FieldStrength[Min UCS]),Table_FieldStrength[Min UCS],0)-1</f>
        <v>#N/A</v>
      </c>
      <c r="AC187" s="62" t="e">
        <f>MATCH(LOOKUP(Data_PLT[[#This Row],[UCS max (MPa)]],Table_FieldStrength[Min UCS]),Table_FieldStrength[Min UCS],0)-1</f>
        <v>#N/A</v>
      </c>
      <c r="AD187" s="68" t="e">
        <f>Data_PLT[[#This Row],[Test code]]&amp;"-"&amp;Data_PLT[[#This Row],[UCS min code]]</f>
        <v>#N/A</v>
      </c>
      <c r="AE187" s="68" t="e">
        <f>Data_PLT[[#This Row],[Test code]]&amp;"-"&amp;Data_PLT[[#This Row],[UCS avg code]]</f>
        <v>#N/A</v>
      </c>
      <c r="AF187" s="67" t="e">
        <f>Data_PLT[[#This Row],[Test code]]&amp;"-"&amp;Data_PLT[[#This Row],[UCS max code]]</f>
        <v>#N/A</v>
      </c>
      <c r="AG187" s="67" t="str">
        <f>Data_PLT[[#This Row],[Failure type]]&amp;"-"&amp;Data_PLT[[#This Row],[Test type]]&amp;"-"&amp;(IF(Data_PLT[[#This Row],[Is50 (MPa)]]&lt;1,1,IF(Data_PLT[[#This Row],[Is50 (MPa)]]&lt;2,2,IF(Data_PLT[[#This Row],[Is50 (MPa)]]&lt;4,3,IF(Data_PLT[[#This Row],[Is50 (MPa)]]&lt;8,4,5)))))</f>
        <v>Along bedding/foliation-Diametral-1</v>
      </c>
    </row>
    <row r="188" spans="1:33" x14ac:dyDescent="0.25">
      <c r="A188" t="s">
        <v>34</v>
      </c>
      <c r="B188" s="88" t="str">
        <f>VLOOKUP(Data_PLT[[#This Row],[Hole ID]],Data_Log[],2,FALSE)</f>
        <v>CGF-04</v>
      </c>
      <c r="C188" s="63">
        <f>IF(Data_PLT[[#This Row],[Hole ID]]="","",
IF(COUNTIF($A$4:A188,Data_PLT[[#This Row],[Hole ID]])=1,1,
IF(A188=A187,C187+1,
COUNTIF($A$4:A188,Data_PLT[[#This Row],[Hole ID]]))))</f>
        <v>36</v>
      </c>
      <c r="D188" s="63" t="str">
        <f>IF(Data_PLT[[#This Row],[Hole ID]]="","",Data_PLT[[#This Row],[Hole ID]]&amp;"_"&amp;Data_PLT[[#This Row],[Sample ID]])</f>
        <v>COG-25-09_36</v>
      </c>
      <c r="E188" s="6"/>
      <c r="F188" s="6">
        <v>83.81</v>
      </c>
      <c r="G188" s="63" t="str" cm="1">
        <f t="array" ref="G188">_xlfn.XLOOKUP(1,(A188=Geotech!$A$4:$A$11100)*(Data_PLT[[#This Row],[Depth (m)]]&gt;=Geotech!$C$4:$C$11100)*(Data_PLT[[#This Row],[Depth (m)]]&lt;Geotech!$D$4:$D$11100),Geotech!$M$4:$M$11100)</f>
        <v>Boulamarque granodiorite</v>
      </c>
      <c r="H188" s="6" t="s">
        <v>299</v>
      </c>
      <c r="I188" s="63" t="str">
        <f>VLOOKUP(Data_PLT[[#This Row],[Hole ID]],Data_Log[[Hole ID]:[Core size]],20,FALSE)</f>
        <v>HQ</v>
      </c>
      <c r="J188" s="13">
        <f>VLOOKUP(Data_PLT[[#This Row],[Core Size]],Table_CoreSize[],2,FALSE)</f>
        <v>63.5</v>
      </c>
      <c r="K188" s="19">
        <v>185</v>
      </c>
      <c r="L188" s="19" t="s">
        <v>574</v>
      </c>
      <c r="M188" s="5">
        <v>309.8</v>
      </c>
      <c r="N188" s="5"/>
      <c r="O188" s="6" t="s">
        <v>334</v>
      </c>
      <c r="P188" s="13" t="str">
        <f>IF(Data_PLT[[#This Row],[Failure type]]="","",IF(OR(Data_PLT[[#This Row],[Failure type]]="Invalid",Data_PLT[[#This Row],[Failure type]]="Chipped",Data_PLT[[#This Row],[Failure type]]="Penetrate",Data_PLT[[#This Row],[Failure type]]="Did not break"),"Invalid","Valid"))</f>
        <v>Valid</v>
      </c>
      <c r="Q188" s="6"/>
      <c r="R188" s="11"/>
      <c r="S188" s="13">
        <f>IF(Data_PLT[[#This Row],[Test type]]="Diametral",Data_PLT[[#This Row],[Diameter (mm)]],IF(Data_PLT[[#This Row],[Test type]]="Axial",SQRT(4*Data_PLT[[#This Row],[Diameter (mm)]]*Data_PLT[[#This Row],[Length or width (mm)]]/PI()),"ERROR"))</f>
        <v>63.5</v>
      </c>
      <c r="T188" s="13">
        <f>(Data_PLT[[#This Row],[Load (kN)]]*1000)/Data_PLT[[#This Row],[Equiv. Diam. (mm)]]^2</f>
        <v>0</v>
      </c>
      <c r="U188" s="13">
        <f>(Data_PLT[[#This Row],[Equiv. Diam. (mm)]]/50)^0.45</f>
        <v>1.1135550054708407</v>
      </c>
      <c r="V188" s="13">
        <f>Data_PLT[[#This Row],[Is (MPa)]]*Data_PLT[[#This Row],[F]]</f>
        <v>0</v>
      </c>
      <c r="W188" s="13" t="str">
        <f>Data_PLT[[#This Row],[Failure Validity]]&amp;"-"&amp;Data_PLT[[#This Row],[Test type]]</f>
        <v>Valid-Diametral</v>
      </c>
      <c r="X188" s="13">
        <f>Data_PLT[[#This Row],[Is50 (MPa)]]*VLOOKUP("Min",Table_PLT_Conversion[],2,FALSE)</f>
        <v>0</v>
      </c>
      <c r="Y188" s="13">
        <f>Data_PLT[[#This Row],[Is50 (MPa)]]*VLOOKUP("Avg",Table_PLT_Conversion[],2,FALSE)</f>
        <v>0</v>
      </c>
      <c r="Z188" s="13">
        <f>Data_PLT[[#This Row],[Is50 (MPa)]]*VLOOKUP("Max",Table_PLT_Conversion[],2,FALSE)</f>
        <v>0</v>
      </c>
      <c r="AA188" s="62" t="e">
        <f>MATCH(LOOKUP(Data_PLT[[#This Row],[UCS min (MPa)]],Table_FieldStrength[Min UCS]),Table_FieldStrength[Min UCS],0)-1</f>
        <v>#N/A</v>
      </c>
      <c r="AB188" s="62" t="e">
        <f>MATCH(LOOKUP(Data_PLT[[#This Row],[UCS avg (MPa)]],Table_FieldStrength[Min UCS]),Table_FieldStrength[Min UCS],0)-1</f>
        <v>#N/A</v>
      </c>
      <c r="AC188" s="62" t="e">
        <f>MATCH(LOOKUP(Data_PLT[[#This Row],[UCS max (MPa)]],Table_FieldStrength[Min UCS]),Table_FieldStrength[Min UCS],0)-1</f>
        <v>#N/A</v>
      </c>
      <c r="AD188" s="68" t="e">
        <f>Data_PLT[[#This Row],[Test code]]&amp;"-"&amp;Data_PLT[[#This Row],[UCS min code]]</f>
        <v>#N/A</v>
      </c>
      <c r="AE188" s="68" t="e">
        <f>Data_PLT[[#This Row],[Test code]]&amp;"-"&amp;Data_PLT[[#This Row],[UCS avg code]]</f>
        <v>#N/A</v>
      </c>
      <c r="AF188" s="67" t="e">
        <f>Data_PLT[[#This Row],[Test code]]&amp;"-"&amp;Data_PLT[[#This Row],[UCS max code]]</f>
        <v>#N/A</v>
      </c>
      <c r="AG188" s="67" t="str">
        <f>Data_PLT[[#This Row],[Failure type]]&amp;"-"&amp;Data_PLT[[#This Row],[Test type]]&amp;"-"&amp;(IF(Data_PLT[[#This Row],[Is50 (MPa)]]&lt;1,1,IF(Data_PLT[[#This Row],[Is50 (MPa)]]&lt;2,2,IF(Data_PLT[[#This Row],[Is50 (MPa)]]&lt;4,3,IF(Data_PLT[[#This Row],[Is50 (MPa)]]&lt;8,4,5)))))</f>
        <v>Along bedding/foliation-Diametral-1</v>
      </c>
    </row>
    <row r="189" spans="1:33" x14ac:dyDescent="0.25">
      <c r="A189" t="s">
        <v>34</v>
      </c>
      <c r="B189" s="88" t="str">
        <f>VLOOKUP(Data_PLT[[#This Row],[Hole ID]],Data_Log[],2,FALSE)</f>
        <v>CGF-04</v>
      </c>
      <c r="C189" s="63">
        <f>IF(Data_PLT[[#This Row],[Hole ID]]="","",
IF(COUNTIF($A$4:A189,Data_PLT[[#This Row],[Hole ID]])=1,1,
IF(A189=A188,C188+1,
COUNTIF($A$4:A189,Data_PLT[[#This Row],[Hole ID]]))))</f>
        <v>37</v>
      </c>
      <c r="D189" s="63" t="str">
        <f>IF(Data_PLT[[#This Row],[Hole ID]]="","",Data_PLT[[#This Row],[Hole ID]]&amp;"_"&amp;Data_PLT[[#This Row],[Sample ID]])</f>
        <v>COG-25-09_37</v>
      </c>
      <c r="E189" s="6"/>
      <c r="F189" s="6">
        <v>83.81</v>
      </c>
      <c r="G189" s="63" t="str" cm="1">
        <f t="array" ref="G189">_xlfn.XLOOKUP(1,(A189=Geotech!$A$4:$A$11100)*(Data_PLT[[#This Row],[Depth (m)]]&gt;=Geotech!$C$4:$C$11100)*(Data_PLT[[#This Row],[Depth (m)]]&lt;Geotech!$D$4:$D$11100),Geotech!$M$4:$M$11100)</f>
        <v>Boulamarque granodiorite</v>
      </c>
      <c r="H189" s="6" t="s">
        <v>267</v>
      </c>
      <c r="I189" s="63" t="str">
        <f>VLOOKUP(Data_PLT[[#This Row],[Hole ID]],Data_Log[[Hole ID]:[Core size]],20,FALSE)</f>
        <v>HQ</v>
      </c>
      <c r="J189" s="13">
        <f>VLOOKUP(Data_PLT[[#This Row],[Core Size]],Table_CoreSize[],2,FALSE)</f>
        <v>63.5</v>
      </c>
      <c r="K189" s="19">
        <v>60</v>
      </c>
      <c r="L189" s="19" t="s">
        <v>574</v>
      </c>
      <c r="M189" s="5">
        <v>337.2</v>
      </c>
      <c r="N189" s="5"/>
      <c r="O189" s="6" t="s">
        <v>363</v>
      </c>
      <c r="P189" s="13" t="str">
        <f>IF(Data_PLT[[#This Row],[Failure type]]="","",IF(OR(Data_PLT[[#This Row],[Failure type]]="Invalid",Data_PLT[[#This Row],[Failure type]]="Chipped",Data_PLT[[#This Row],[Failure type]]="Penetrate",Data_PLT[[#This Row],[Failure type]]="Did not break"),"Invalid","Valid"))</f>
        <v>Valid</v>
      </c>
      <c r="Q189" s="6"/>
      <c r="R189" s="11"/>
      <c r="S189" s="13">
        <f>IF(Data_PLT[[#This Row],[Test type]]="Diametral",Data_PLT[[#This Row],[Diameter (mm)]],IF(Data_PLT[[#This Row],[Test type]]="Axial",SQRT(4*Data_PLT[[#This Row],[Diameter (mm)]]*Data_PLT[[#This Row],[Length or width (mm)]]/PI()),"ERROR"))</f>
        <v>69.649426885229786</v>
      </c>
      <c r="T189" s="13">
        <f>(Data_PLT[[#This Row],[Load (kN)]]*1000)/Data_PLT[[#This Row],[Equiv. Diam. (mm)]]^2</f>
        <v>0</v>
      </c>
      <c r="U189" s="13">
        <f>(Data_PLT[[#This Row],[Equiv. Diam. (mm)]]/50)^0.45</f>
        <v>1.1608507712898009</v>
      </c>
      <c r="V189" s="13">
        <f>Data_PLT[[#This Row],[Is (MPa)]]*Data_PLT[[#This Row],[F]]</f>
        <v>0</v>
      </c>
      <c r="W189" s="13" t="str">
        <f>Data_PLT[[#This Row],[Failure Validity]]&amp;"-"&amp;Data_PLT[[#This Row],[Test type]]</f>
        <v>Valid-Axial</v>
      </c>
      <c r="X189" s="13">
        <f>Data_PLT[[#This Row],[Is50 (MPa)]]*VLOOKUP("Min",Table_PLT_Conversion[],2,FALSE)</f>
        <v>0</v>
      </c>
      <c r="Y189" s="13">
        <f>Data_PLT[[#This Row],[Is50 (MPa)]]*VLOOKUP("Avg",Table_PLT_Conversion[],2,FALSE)</f>
        <v>0</v>
      </c>
      <c r="Z189" s="13">
        <f>Data_PLT[[#This Row],[Is50 (MPa)]]*VLOOKUP("Max",Table_PLT_Conversion[],2,FALSE)</f>
        <v>0</v>
      </c>
      <c r="AA189" s="62" t="e">
        <f>MATCH(LOOKUP(Data_PLT[[#This Row],[UCS min (MPa)]],Table_FieldStrength[Min UCS]),Table_FieldStrength[Min UCS],0)-1</f>
        <v>#N/A</v>
      </c>
      <c r="AB189" s="62" t="e">
        <f>MATCH(LOOKUP(Data_PLT[[#This Row],[UCS avg (MPa)]],Table_FieldStrength[Min UCS]),Table_FieldStrength[Min UCS],0)-1</f>
        <v>#N/A</v>
      </c>
      <c r="AC189" s="62" t="e">
        <f>MATCH(LOOKUP(Data_PLT[[#This Row],[UCS max (MPa)]],Table_FieldStrength[Min UCS]),Table_FieldStrength[Min UCS],0)-1</f>
        <v>#N/A</v>
      </c>
      <c r="AD189" s="68" t="e">
        <f>Data_PLT[[#This Row],[Test code]]&amp;"-"&amp;Data_PLT[[#This Row],[UCS min code]]</f>
        <v>#N/A</v>
      </c>
      <c r="AE189" s="68" t="e">
        <f>Data_PLT[[#This Row],[Test code]]&amp;"-"&amp;Data_PLT[[#This Row],[UCS avg code]]</f>
        <v>#N/A</v>
      </c>
      <c r="AF189" s="67" t="e">
        <f>Data_PLT[[#This Row],[Test code]]&amp;"-"&amp;Data_PLT[[#This Row],[UCS max code]]</f>
        <v>#N/A</v>
      </c>
      <c r="AG189" s="67" t="str">
        <f>Data_PLT[[#This Row],[Failure type]]&amp;"-"&amp;Data_PLT[[#This Row],[Test type]]&amp;"-"&amp;(IF(Data_PLT[[#This Row],[Is50 (MPa)]]&lt;1,1,IF(Data_PLT[[#This Row],[Is50 (MPa)]]&lt;2,2,IF(Data_PLT[[#This Row],[Is50 (MPa)]]&lt;4,3,IF(Data_PLT[[#This Row],[Is50 (MPa)]]&lt;8,4,5)))))</f>
        <v>Perp. bedding-Axial-1</v>
      </c>
    </row>
    <row r="190" spans="1:33" x14ac:dyDescent="0.25">
      <c r="A190" t="s">
        <v>34</v>
      </c>
      <c r="B190" s="88" t="str">
        <f>VLOOKUP(Data_PLT[[#This Row],[Hole ID]],Data_Log[],2,FALSE)</f>
        <v>CGF-04</v>
      </c>
      <c r="C190" s="63">
        <f>IF(Data_PLT[[#This Row],[Hole ID]]="","",
IF(COUNTIF($A$4:A190,Data_PLT[[#This Row],[Hole ID]])=1,1,
IF(A190=A189,C189+1,
COUNTIF($A$4:A190,Data_PLT[[#This Row],[Hole ID]]))))</f>
        <v>38</v>
      </c>
      <c r="D190" s="63" t="str">
        <f>IF(Data_PLT[[#This Row],[Hole ID]]="","",Data_PLT[[#This Row],[Hole ID]]&amp;"_"&amp;Data_PLT[[#This Row],[Sample ID]])</f>
        <v>COG-25-09_38</v>
      </c>
      <c r="E190" s="6"/>
      <c r="F190" s="6">
        <v>85.04</v>
      </c>
      <c r="G190" s="63" t="str" cm="1">
        <f t="array" ref="G190">_xlfn.XLOOKUP(1,(A190=Geotech!$A$4:$A$11100)*(Data_PLT[[#This Row],[Depth (m)]]&gt;=Geotech!$C$4:$C$11100)*(Data_PLT[[#This Row],[Depth (m)]]&lt;Geotech!$D$4:$D$11100),Geotech!$M$4:$M$11100)</f>
        <v>Boulamarque granodiorite</v>
      </c>
      <c r="H190" s="6" t="s">
        <v>299</v>
      </c>
      <c r="I190" s="63" t="str">
        <f>VLOOKUP(Data_PLT[[#This Row],[Hole ID]],Data_Log[[Hole ID]:[Core size]],20,FALSE)</f>
        <v>HQ</v>
      </c>
      <c r="J190" s="13">
        <f>VLOOKUP(Data_PLT[[#This Row],[Core Size]],Table_CoreSize[],2,FALSE)</f>
        <v>63.5</v>
      </c>
      <c r="K190" s="19">
        <v>155</v>
      </c>
      <c r="L190" s="19" t="s">
        <v>574</v>
      </c>
      <c r="M190" s="5">
        <v>319.39999999999998</v>
      </c>
      <c r="N190" s="5"/>
      <c r="O190" s="6" t="s">
        <v>334</v>
      </c>
      <c r="P190" s="13" t="str">
        <f>IF(Data_PLT[[#This Row],[Failure type]]="","",IF(OR(Data_PLT[[#This Row],[Failure type]]="Invalid",Data_PLT[[#This Row],[Failure type]]="Chipped",Data_PLT[[#This Row],[Failure type]]="Penetrate",Data_PLT[[#This Row],[Failure type]]="Did not break"),"Invalid","Valid"))</f>
        <v>Valid</v>
      </c>
      <c r="Q190" s="6"/>
      <c r="R190" s="11"/>
      <c r="S190" s="13">
        <f>IF(Data_PLT[[#This Row],[Test type]]="Diametral",Data_PLT[[#This Row],[Diameter (mm)]],IF(Data_PLT[[#This Row],[Test type]]="Axial",SQRT(4*Data_PLT[[#This Row],[Diameter (mm)]]*Data_PLT[[#This Row],[Length or width (mm)]]/PI()),"ERROR"))</f>
        <v>63.5</v>
      </c>
      <c r="T190" s="13">
        <f>(Data_PLT[[#This Row],[Load (kN)]]*1000)/Data_PLT[[#This Row],[Equiv. Diam. (mm)]]^2</f>
        <v>0</v>
      </c>
      <c r="U190" s="13">
        <f>(Data_PLT[[#This Row],[Equiv. Diam. (mm)]]/50)^0.45</f>
        <v>1.1135550054708407</v>
      </c>
      <c r="V190" s="13">
        <f>Data_PLT[[#This Row],[Is (MPa)]]*Data_PLT[[#This Row],[F]]</f>
        <v>0</v>
      </c>
      <c r="W190" s="13" t="str">
        <f>Data_PLT[[#This Row],[Failure Validity]]&amp;"-"&amp;Data_PLT[[#This Row],[Test type]]</f>
        <v>Valid-Diametral</v>
      </c>
      <c r="X190" s="13">
        <f>Data_PLT[[#This Row],[Is50 (MPa)]]*VLOOKUP("Min",Table_PLT_Conversion[],2,FALSE)</f>
        <v>0</v>
      </c>
      <c r="Y190" s="13">
        <f>Data_PLT[[#This Row],[Is50 (MPa)]]*VLOOKUP("Avg",Table_PLT_Conversion[],2,FALSE)</f>
        <v>0</v>
      </c>
      <c r="Z190" s="13">
        <f>Data_PLT[[#This Row],[Is50 (MPa)]]*VLOOKUP("Max",Table_PLT_Conversion[],2,FALSE)</f>
        <v>0</v>
      </c>
      <c r="AA190" s="62" t="e">
        <f>MATCH(LOOKUP(Data_PLT[[#This Row],[UCS min (MPa)]],Table_FieldStrength[Min UCS]),Table_FieldStrength[Min UCS],0)-1</f>
        <v>#N/A</v>
      </c>
      <c r="AB190" s="62" t="e">
        <f>MATCH(LOOKUP(Data_PLT[[#This Row],[UCS avg (MPa)]],Table_FieldStrength[Min UCS]),Table_FieldStrength[Min UCS],0)-1</f>
        <v>#N/A</v>
      </c>
      <c r="AC190" s="62" t="e">
        <f>MATCH(LOOKUP(Data_PLT[[#This Row],[UCS max (MPa)]],Table_FieldStrength[Min UCS]),Table_FieldStrength[Min UCS],0)-1</f>
        <v>#N/A</v>
      </c>
      <c r="AD190" s="68" t="e">
        <f>Data_PLT[[#This Row],[Test code]]&amp;"-"&amp;Data_PLT[[#This Row],[UCS min code]]</f>
        <v>#N/A</v>
      </c>
      <c r="AE190" s="68" t="e">
        <f>Data_PLT[[#This Row],[Test code]]&amp;"-"&amp;Data_PLT[[#This Row],[UCS avg code]]</f>
        <v>#N/A</v>
      </c>
      <c r="AF190" s="67" t="e">
        <f>Data_PLT[[#This Row],[Test code]]&amp;"-"&amp;Data_PLT[[#This Row],[UCS max code]]</f>
        <v>#N/A</v>
      </c>
      <c r="AG190" s="67" t="str">
        <f>Data_PLT[[#This Row],[Failure type]]&amp;"-"&amp;Data_PLT[[#This Row],[Test type]]&amp;"-"&amp;(IF(Data_PLT[[#This Row],[Is50 (MPa)]]&lt;1,1,IF(Data_PLT[[#This Row],[Is50 (MPa)]]&lt;2,2,IF(Data_PLT[[#This Row],[Is50 (MPa)]]&lt;4,3,IF(Data_PLT[[#This Row],[Is50 (MPa)]]&lt;8,4,5)))))</f>
        <v>Along bedding/foliation-Diametral-1</v>
      </c>
    </row>
    <row r="191" spans="1:33" x14ac:dyDescent="0.25">
      <c r="A191" t="s">
        <v>34</v>
      </c>
      <c r="B191" s="88" t="str">
        <f>VLOOKUP(Data_PLT[[#This Row],[Hole ID]],Data_Log[],2,FALSE)</f>
        <v>CGF-04</v>
      </c>
      <c r="C191" s="63">
        <f>IF(Data_PLT[[#This Row],[Hole ID]]="","",
IF(COUNTIF($A$4:A191,Data_PLT[[#This Row],[Hole ID]])=1,1,
IF(A191=A190,C190+1,
COUNTIF($A$4:A191,Data_PLT[[#This Row],[Hole ID]]))))</f>
        <v>39</v>
      </c>
      <c r="D191" s="63" t="str">
        <f>IF(Data_PLT[[#This Row],[Hole ID]]="","",Data_PLT[[#This Row],[Hole ID]]&amp;"_"&amp;Data_PLT[[#This Row],[Sample ID]])</f>
        <v>COG-25-09_39</v>
      </c>
      <c r="E191" s="6"/>
      <c r="F191" s="6">
        <v>88.34</v>
      </c>
      <c r="G191" s="63" t="str" cm="1">
        <f t="array" ref="G191">_xlfn.XLOOKUP(1,(A191=Geotech!$A$4:$A$11100)*(Data_PLT[[#This Row],[Depth (m)]]&gt;=Geotech!$C$4:$C$11100)*(Data_PLT[[#This Row],[Depth (m)]]&lt;Geotech!$D$4:$D$11100),Geotech!$M$4:$M$11100)</f>
        <v>Boulamarque granodiorite</v>
      </c>
      <c r="H191" s="6" t="s">
        <v>299</v>
      </c>
      <c r="I191" s="63" t="str">
        <f>VLOOKUP(Data_PLT[[#This Row],[Hole ID]],Data_Log[[Hole ID]:[Core size]],20,FALSE)</f>
        <v>HQ</v>
      </c>
      <c r="J191" s="13">
        <f>VLOOKUP(Data_PLT[[#This Row],[Core Size]],Table_CoreSize[],2,FALSE)</f>
        <v>63.5</v>
      </c>
      <c r="K191" s="19">
        <v>130</v>
      </c>
      <c r="L191" s="19" t="s">
        <v>574</v>
      </c>
      <c r="M191" s="5">
        <v>312.8</v>
      </c>
      <c r="N191" s="5"/>
      <c r="O191" s="6" t="s">
        <v>334</v>
      </c>
      <c r="P191" s="13" t="str">
        <f>IF(Data_PLT[[#This Row],[Failure type]]="","",IF(OR(Data_PLT[[#This Row],[Failure type]]="Invalid",Data_PLT[[#This Row],[Failure type]]="Chipped",Data_PLT[[#This Row],[Failure type]]="Penetrate",Data_PLT[[#This Row],[Failure type]]="Did not break"),"Invalid","Valid"))</f>
        <v>Valid</v>
      </c>
      <c r="Q191" s="6"/>
      <c r="R191" s="11"/>
      <c r="S191" s="13">
        <f>IF(Data_PLT[[#This Row],[Test type]]="Diametral",Data_PLT[[#This Row],[Diameter (mm)]],IF(Data_PLT[[#This Row],[Test type]]="Axial",SQRT(4*Data_PLT[[#This Row],[Diameter (mm)]]*Data_PLT[[#This Row],[Length or width (mm)]]/PI()),"ERROR"))</f>
        <v>63.5</v>
      </c>
      <c r="T191" s="13">
        <f>(Data_PLT[[#This Row],[Load (kN)]]*1000)/Data_PLT[[#This Row],[Equiv. Diam. (mm)]]^2</f>
        <v>0</v>
      </c>
      <c r="U191" s="13">
        <f>(Data_PLT[[#This Row],[Equiv. Diam. (mm)]]/50)^0.45</f>
        <v>1.1135550054708407</v>
      </c>
      <c r="V191" s="13">
        <f>Data_PLT[[#This Row],[Is (MPa)]]*Data_PLT[[#This Row],[F]]</f>
        <v>0</v>
      </c>
      <c r="W191" s="13" t="str">
        <f>Data_PLT[[#This Row],[Failure Validity]]&amp;"-"&amp;Data_PLT[[#This Row],[Test type]]</f>
        <v>Valid-Diametral</v>
      </c>
      <c r="X191" s="13">
        <f>Data_PLT[[#This Row],[Is50 (MPa)]]*VLOOKUP("Min",Table_PLT_Conversion[],2,FALSE)</f>
        <v>0</v>
      </c>
      <c r="Y191" s="13">
        <f>Data_PLT[[#This Row],[Is50 (MPa)]]*VLOOKUP("Avg",Table_PLT_Conversion[],2,FALSE)</f>
        <v>0</v>
      </c>
      <c r="Z191" s="13">
        <f>Data_PLT[[#This Row],[Is50 (MPa)]]*VLOOKUP("Max",Table_PLT_Conversion[],2,FALSE)</f>
        <v>0</v>
      </c>
      <c r="AA191" s="62" t="e">
        <f>MATCH(LOOKUP(Data_PLT[[#This Row],[UCS min (MPa)]],Table_FieldStrength[Min UCS]),Table_FieldStrength[Min UCS],0)-1</f>
        <v>#N/A</v>
      </c>
      <c r="AB191" s="62" t="e">
        <f>MATCH(LOOKUP(Data_PLT[[#This Row],[UCS avg (MPa)]],Table_FieldStrength[Min UCS]),Table_FieldStrength[Min UCS],0)-1</f>
        <v>#N/A</v>
      </c>
      <c r="AC191" s="62" t="e">
        <f>MATCH(LOOKUP(Data_PLT[[#This Row],[UCS max (MPa)]],Table_FieldStrength[Min UCS]),Table_FieldStrength[Min UCS],0)-1</f>
        <v>#N/A</v>
      </c>
      <c r="AD191" s="68" t="e">
        <f>Data_PLT[[#This Row],[Test code]]&amp;"-"&amp;Data_PLT[[#This Row],[UCS min code]]</f>
        <v>#N/A</v>
      </c>
      <c r="AE191" s="68" t="e">
        <f>Data_PLT[[#This Row],[Test code]]&amp;"-"&amp;Data_PLT[[#This Row],[UCS avg code]]</f>
        <v>#N/A</v>
      </c>
      <c r="AF191" s="67" t="e">
        <f>Data_PLT[[#This Row],[Test code]]&amp;"-"&amp;Data_PLT[[#This Row],[UCS max code]]</f>
        <v>#N/A</v>
      </c>
      <c r="AG191" s="67" t="str">
        <f>Data_PLT[[#This Row],[Failure type]]&amp;"-"&amp;Data_PLT[[#This Row],[Test type]]&amp;"-"&amp;(IF(Data_PLT[[#This Row],[Is50 (MPa)]]&lt;1,1,IF(Data_PLT[[#This Row],[Is50 (MPa)]]&lt;2,2,IF(Data_PLT[[#This Row],[Is50 (MPa)]]&lt;4,3,IF(Data_PLT[[#This Row],[Is50 (MPa)]]&lt;8,4,5)))))</f>
        <v>Along bedding/foliation-Diametral-1</v>
      </c>
    </row>
    <row r="192" spans="1:33" x14ac:dyDescent="0.25">
      <c r="A192" t="s">
        <v>34</v>
      </c>
      <c r="B192" s="88" t="str">
        <f>VLOOKUP(Data_PLT[[#This Row],[Hole ID]],Data_Log[],2,FALSE)</f>
        <v>CGF-04</v>
      </c>
      <c r="C192" s="63">
        <f>IF(Data_PLT[[#This Row],[Hole ID]]="","",
IF(COUNTIF($A$4:A192,Data_PLT[[#This Row],[Hole ID]])=1,1,
IF(A192=A191,C191+1,
COUNTIF($A$4:A192,Data_PLT[[#This Row],[Hole ID]]))))</f>
        <v>40</v>
      </c>
      <c r="D192" s="63" t="str">
        <f>IF(Data_PLT[[#This Row],[Hole ID]]="","",Data_PLT[[#This Row],[Hole ID]]&amp;"_"&amp;Data_PLT[[#This Row],[Sample ID]])</f>
        <v>COG-25-09_40</v>
      </c>
      <c r="E192" s="6"/>
      <c r="F192" s="6">
        <v>86.95</v>
      </c>
      <c r="G192" s="63" t="str" cm="1">
        <f t="array" ref="G192">_xlfn.XLOOKUP(1,(A192=Geotech!$A$4:$A$11100)*(Data_PLT[[#This Row],[Depth (m)]]&gt;=Geotech!$C$4:$C$11100)*(Data_PLT[[#This Row],[Depth (m)]]&lt;Geotech!$D$4:$D$11100),Geotech!$M$4:$M$11100)</f>
        <v>Boulamarque granodiorite</v>
      </c>
      <c r="H192" s="6" t="s">
        <v>267</v>
      </c>
      <c r="I192" s="63" t="str">
        <f>VLOOKUP(Data_PLT[[#This Row],[Hole ID]],Data_Log[[Hole ID]:[Core size]],20,FALSE)</f>
        <v>HQ</v>
      </c>
      <c r="J192" s="13">
        <f>VLOOKUP(Data_PLT[[#This Row],[Core Size]],Table_CoreSize[],2,FALSE)</f>
        <v>63.5</v>
      </c>
      <c r="K192" s="19">
        <v>25</v>
      </c>
      <c r="L192" s="19" t="s">
        <v>574</v>
      </c>
      <c r="M192" s="5">
        <v>117.8</v>
      </c>
      <c r="N192" s="5"/>
      <c r="O192" s="6" t="s">
        <v>363</v>
      </c>
      <c r="P192" s="13" t="str">
        <f>IF(Data_PLT[[#This Row],[Failure type]]="","",IF(OR(Data_PLT[[#This Row],[Failure type]]="Invalid",Data_PLT[[#This Row],[Failure type]]="Chipped",Data_PLT[[#This Row],[Failure type]]="Penetrate",Data_PLT[[#This Row],[Failure type]]="Did not break"),"Invalid","Valid"))</f>
        <v>Valid</v>
      </c>
      <c r="Q192" s="6"/>
      <c r="R192" s="11"/>
      <c r="S192" s="13">
        <f>IF(Data_PLT[[#This Row],[Test type]]="Diametral",Data_PLT[[#This Row],[Diameter (mm)]],IF(Data_PLT[[#This Row],[Test type]]="Axial",SQRT(4*Data_PLT[[#This Row],[Diameter (mm)]]*Data_PLT[[#This Row],[Length or width (mm)]]/PI()),"ERROR"))</f>
        <v>44.958511733231013</v>
      </c>
      <c r="T192" s="13">
        <f>(Data_PLT[[#This Row],[Load (kN)]]*1000)/Data_PLT[[#This Row],[Equiv. Diam. (mm)]]^2</f>
        <v>0</v>
      </c>
      <c r="U192" s="13">
        <f>(Data_PLT[[#This Row],[Equiv. Diam. (mm)]]/50)^0.45</f>
        <v>0.9532984016969771</v>
      </c>
      <c r="V192" s="13">
        <f>Data_PLT[[#This Row],[Is (MPa)]]*Data_PLT[[#This Row],[F]]</f>
        <v>0</v>
      </c>
      <c r="W192" s="13" t="str">
        <f>Data_PLT[[#This Row],[Failure Validity]]&amp;"-"&amp;Data_PLT[[#This Row],[Test type]]</f>
        <v>Valid-Axial</v>
      </c>
      <c r="X192" s="13">
        <f>Data_PLT[[#This Row],[Is50 (MPa)]]*VLOOKUP("Min",Table_PLT_Conversion[],2,FALSE)</f>
        <v>0</v>
      </c>
      <c r="Y192" s="13">
        <f>Data_PLT[[#This Row],[Is50 (MPa)]]*VLOOKUP("Avg",Table_PLT_Conversion[],2,FALSE)</f>
        <v>0</v>
      </c>
      <c r="Z192" s="13">
        <f>Data_PLT[[#This Row],[Is50 (MPa)]]*VLOOKUP("Max",Table_PLT_Conversion[],2,FALSE)</f>
        <v>0</v>
      </c>
      <c r="AA192" s="62" t="e">
        <f>MATCH(LOOKUP(Data_PLT[[#This Row],[UCS min (MPa)]],Table_FieldStrength[Min UCS]),Table_FieldStrength[Min UCS],0)-1</f>
        <v>#N/A</v>
      </c>
      <c r="AB192" s="62" t="e">
        <f>MATCH(LOOKUP(Data_PLT[[#This Row],[UCS avg (MPa)]],Table_FieldStrength[Min UCS]),Table_FieldStrength[Min UCS],0)-1</f>
        <v>#N/A</v>
      </c>
      <c r="AC192" s="62" t="e">
        <f>MATCH(LOOKUP(Data_PLT[[#This Row],[UCS max (MPa)]],Table_FieldStrength[Min UCS]),Table_FieldStrength[Min UCS],0)-1</f>
        <v>#N/A</v>
      </c>
      <c r="AD192" s="68" t="e">
        <f>Data_PLT[[#This Row],[Test code]]&amp;"-"&amp;Data_PLT[[#This Row],[UCS min code]]</f>
        <v>#N/A</v>
      </c>
      <c r="AE192" s="68" t="e">
        <f>Data_PLT[[#This Row],[Test code]]&amp;"-"&amp;Data_PLT[[#This Row],[UCS avg code]]</f>
        <v>#N/A</v>
      </c>
      <c r="AF192" s="67" t="e">
        <f>Data_PLT[[#This Row],[Test code]]&amp;"-"&amp;Data_PLT[[#This Row],[UCS max code]]</f>
        <v>#N/A</v>
      </c>
      <c r="AG192" s="67" t="str">
        <f>Data_PLT[[#This Row],[Failure type]]&amp;"-"&amp;Data_PLT[[#This Row],[Test type]]&amp;"-"&amp;(IF(Data_PLT[[#This Row],[Is50 (MPa)]]&lt;1,1,IF(Data_PLT[[#This Row],[Is50 (MPa)]]&lt;2,2,IF(Data_PLT[[#This Row],[Is50 (MPa)]]&lt;4,3,IF(Data_PLT[[#This Row],[Is50 (MPa)]]&lt;8,4,5)))))</f>
        <v>Perp. bedding-Axial-1</v>
      </c>
    </row>
    <row r="193" spans="1:33" x14ac:dyDescent="0.25">
      <c r="A193" t="s">
        <v>34</v>
      </c>
      <c r="B193" s="88" t="str">
        <f>VLOOKUP(Data_PLT[[#This Row],[Hole ID]],Data_Log[],2,FALSE)</f>
        <v>CGF-04</v>
      </c>
      <c r="C193" s="63">
        <f>IF(Data_PLT[[#This Row],[Hole ID]]="","",
IF(COUNTIF($A$4:A193,Data_PLT[[#This Row],[Hole ID]])=1,1,
IF(A193=A192,C192+1,
COUNTIF($A$4:A193,Data_PLT[[#This Row],[Hole ID]]))))</f>
        <v>41</v>
      </c>
      <c r="D193" s="63" t="str">
        <f>IF(Data_PLT[[#This Row],[Hole ID]]="","",Data_PLT[[#This Row],[Hole ID]]&amp;"_"&amp;Data_PLT[[#This Row],[Sample ID]])</f>
        <v>COG-25-09_41</v>
      </c>
      <c r="E193" s="6"/>
      <c r="F193" s="6">
        <v>91.03</v>
      </c>
      <c r="G193" s="63" t="str" cm="1">
        <f t="array" ref="G193">_xlfn.XLOOKUP(1,(A193=Geotech!$A$4:$A$11100)*(Data_PLT[[#This Row],[Depth (m)]]&gt;=Geotech!$C$4:$C$11100)*(Data_PLT[[#This Row],[Depth (m)]]&lt;Geotech!$D$4:$D$11100),Geotech!$M$4:$M$11100)</f>
        <v>Boulamarque granodiorite</v>
      </c>
      <c r="H193" s="6" t="s">
        <v>299</v>
      </c>
      <c r="I193" s="63" t="str">
        <f>VLOOKUP(Data_PLT[[#This Row],[Hole ID]],Data_Log[[Hole ID]:[Core size]],20,FALSE)</f>
        <v>HQ</v>
      </c>
      <c r="J193" s="13">
        <f>VLOOKUP(Data_PLT[[#This Row],[Core Size]],Table_CoreSize[],2,FALSE)</f>
        <v>63.5</v>
      </c>
      <c r="K193" s="19">
        <v>140</v>
      </c>
      <c r="L193" s="19" t="s">
        <v>574</v>
      </c>
      <c r="M193" s="5">
        <v>353.4</v>
      </c>
      <c r="N193" s="5"/>
      <c r="O193" s="6" t="s">
        <v>165</v>
      </c>
      <c r="P193" s="13" t="str">
        <f>IF(Data_PLT[[#This Row],[Failure type]]="","",IF(OR(Data_PLT[[#This Row],[Failure type]]="Invalid",Data_PLT[[#This Row],[Failure type]]="Chipped",Data_PLT[[#This Row],[Failure type]]="Penetrate",Data_PLT[[#This Row],[Failure type]]="Did not break"),"Invalid","Valid"))</f>
        <v>Invalid</v>
      </c>
      <c r="Q193" s="6"/>
      <c r="R193" s="11"/>
      <c r="S193" s="13">
        <f>IF(Data_PLT[[#This Row],[Test type]]="Diametral",Data_PLT[[#This Row],[Diameter (mm)]],IF(Data_PLT[[#This Row],[Test type]]="Axial",SQRT(4*Data_PLT[[#This Row],[Diameter (mm)]]*Data_PLT[[#This Row],[Length or width (mm)]]/PI()),"ERROR"))</f>
        <v>63.5</v>
      </c>
      <c r="T193" s="13">
        <f>(Data_PLT[[#This Row],[Load (kN)]]*1000)/Data_PLT[[#This Row],[Equiv. Diam. (mm)]]^2</f>
        <v>0</v>
      </c>
      <c r="U193" s="13">
        <f>(Data_PLT[[#This Row],[Equiv. Diam. (mm)]]/50)^0.45</f>
        <v>1.1135550054708407</v>
      </c>
      <c r="V193" s="13">
        <f>Data_PLT[[#This Row],[Is (MPa)]]*Data_PLT[[#This Row],[F]]</f>
        <v>0</v>
      </c>
      <c r="W193" s="13" t="str">
        <f>Data_PLT[[#This Row],[Failure Validity]]&amp;"-"&amp;Data_PLT[[#This Row],[Test type]]</f>
        <v>Invalid-Diametral</v>
      </c>
      <c r="X193" s="13">
        <f>Data_PLT[[#This Row],[Is50 (MPa)]]*VLOOKUP("Min",Table_PLT_Conversion[],2,FALSE)</f>
        <v>0</v>
      </c>
      <c r="Y193" s="13">
        <f>Data_PLT[[#This Row],[Is50 (MPa)]]*VLOOKUP("Avg",Table_PLT_Conversion[],2,FALSE)</f>
        <v>0</v>
      </c>
      <c r="Z193" s="13">
        <f>Data_PLT[[#This Row],[Is50 (MPa)]]*VLOOKUP("Max",Table_PLT_Conversion[],2,FALSE)</f>
        <v>0</v>
      </c>
      <c r="AA193" s="62" t="e">
        <f>MATCH(LOOKUP(Data_PLT[[#This Row],[UCS min (MPa)]],Table_FieldStrength[Min UCS]),Table_FieldStrength[Min UCS],0)-1</f>
        <v>#N/A</v>
      </c>
      <c r="AB193" s="62" t="e">
        <f>MATCH(LOOKUP(Data_PLT[[#This Row],[UCS avg (MPa)]],Table_FieldStrength[Min UCS]),Table_FieldStrength[Min UCS],0)-1</f>
        <v>#N/A</v>
      </c>
      <c r="AC193" s="62" t="e">
        <f>MATCH(LOOKUP(Data_PLT[[#This Row],[UCS max (MPa)]],Table_FieldStrength[Min UCS]),Table_FieldStrength[Min UCS],0)-1</f>
        <v>#N/A</v>
      </c>
      <c r="AD193" s="68" t="e">
        <f>Data_PLT[[#This Row],[Test code]]&amp;"-"&amp;Data_PLT[[#This Row],[UCS min code]]</f>
        <v>#N/A</v>
      </c>
      <c r="AE193" s="68" t="e">
        <f>Data_PLT[[#This Row],[Test code]]&amp;"-"&amp;Data_PLT[[#This Row],[UCS avg code]]</f>
        <v>#N/A</v>
      </c>
      <c r="AF193" s="67" t="e">
        <f>Data_PLT[[#This Row],[Test code]]&amp;"-"&amp;Data_PLT[[#This Row],[UCS max code]]</f>
        <v>#N/A</v>
      </c>
      <c r="AG193" s="67" t="str">
        <f>Data_PLT[[#This Row],[Failure type]]&amp;"-"&amp;Data_PLT[[#This Row],[Test type]]&amp;"-"&amp;(IF(Data_PLT[[#This Row],[Is50 (MPa)]]&lt;1,1,IF(Data_PLT[[#This Row],[Is50 (MPa)]]&lt;2,2,IF(Data_PLT[[#This Row],[Is50 (MPa)]]&lt;4,3,IF(Data_PLT[[#This Row],[Is50 (MPa)]]&lt;8,4,5)))))</f>
        <v>Chipped-Diametral-1</v>
      </c>
    </row>
    <row r="194" spans="1:33" x14ac:dyDescent="0.25">
      <c r="A194" t="s">
        <v>34</v>
      </c>
      <c r="B194" s="88" t="str">
        <f>VLOOKUP(Data_PLT[[#This Row],[Hole ID]],Data_Log[],2,FALSE)</f>
        <v>CGF-04</v>
      </c>
      <c r="C194" s="63">
        <f>IF(Data_PLT[[#This Row],[Hole ID]]="","",
IF(COUNTIF($A$4:A194,Data_PLT[[#This Row],[Hole ID]])=1,1,
IF(A194=A193,C193+1,
COUNTIF($A$4:A194,Data_PLT[[#This Row],[Hole ID]]))))</f>
        <v>42</v>
      </c>
      <c r="D194" s="63" t="str">
        <f>IF(Data_PLT[[#This Row],[Hole ID]]="","",Data_PLT[[#This Row],[Hole ID]]&amp;"_"&amp;Data_PLT[[#This Row],[Sample ID]])</f>
        <v>COG-25-09_42</v>
      </c>
      <c r="E194" s="6"/>
      <c r="F194" s="6">
        <v>92.04</v>
      </c>
      <c r="G194" s="63" t="str" cm="1">
        <f t="array" ref="G194">_xlfn.XLOOKUP(1,(A194=Geotech!$A$4:$A$11100)*(Data_PLT[[#This Row],[Depth (m)]]&gt;=Geotech!$C$4:$C$11100)*(Data_PLT[[#This Row],[Depth (m)]]&lt;Geotech!$D$4:$D$11100),Geotech!$M$4:$M$11100)</f>
        <v>Boulamarque granodiorite</v>
      </c>
      <c r="H194" s="6" t="s">
        <v>267</v>
      </c>
      <c r="I194" s="63" t="str">
        <f>VLOOKUP(Data_PLT[[#This Row],[Hole ID]],Data_Log[[Hole ID]:[Core size]],20,FALSE)</f>
        <v>HQ</v>
      </c>
      <c r="J194" s="13">
        <f>VLOOKUP(Data_PLT[[#This Row],[Core Size]],Table_CoreSize[],2,FALSE)</f>
        <v>63.5</v>
      </c>
      <c r="K194" s="19">
        <v>58</v>
      </c>
      <c r="L194" s="19" t="s">
        <v>574</v>
      </c>
      <c r="M194" s="5">
        <v>181.8</v>
      </c>
      <c r="N194" s="5"/>
      <c r="O194" s="6" t="s">
        <v>334</v>
      </c>
      <c r="P194" s="13" t="str">
        <f>IF(Data_PLT[[#This Row],[Failure type]]="","",IF(OR(Data_PLT[[#This Row],[Failure type]]="Invalid",Data_PLT[[#This Row],[Failure type]]="Chipped",Data_PLT[[#This Row],[Failure type]]="Penetrate",Data_PLT[[#This Row],[Failure type]]="Did not break"),"Invalid","Valid"))</f>
        <v>Valid</v>
      </c>
      <c r="Q194" s="6"/>
      <c r="R194" s="11"/>
      <c r="S194" s="13">
        <f>IF(Data_PLT[[#This Row],[Test type]]="Diametral",Data_PLT[[#This Row],[Diameter (mm)]],IF(Data_PLT[[#This Row],[Test type]]="Axial",SQRT(4*Data_PLT[[#This Row],[Diameter (mm)]]*Data_PLT[[#This Row],[Length or width (mm)]]/PI()),"ERROR"))</f>
        <v>68.478764907521551</v>
      </c>
      <c r="T194" s="13">
        <f>(Data_PLT[[#This Row],[Load (kN)]]*1000)/Data_PLT[[#This Row],[Equiv. Diam. (mm)]]^2</f>
        <v>0</v>
      </c>
      <c r="U194" s="13">
        <f>(Data_PLT[[#This Row],[Equiv. Diam. (mm)]]/50)^0.45</f>
        <v>1.1520296625612998</v>
      </c>
      <c r="V194" s="13">
        <f>Data_PLT[[#This Row],[Is (MPa)]]*Data_PLT[[#This Row],[F]]</f>
        <v>0</v>
      </c>
      <c r="W194" s="13" t="str">
        <f>Data_PLT[[#This Row],[Failure Validity]]&amp;"-"&amp;Data_PLT[[#This Row],[Test type]]</f>
        <v>Valid-Axial</v>
      </c>
      <c r="X194" s="13">
        <f>Data_PLT[[#This Row],[Is50 (MPa)]]*VLOOKUP("Min",Table_PLT_Conversion[],2,FALSE)</f>
        <v>0</v>
      </c>
      <c r="Y194" s="13">
        <f>Data_PLT[[#This Row],[Is50 (MPa)]]*VLOOKUP("Avg",Table_PLT_Conversion[],2,FALSE)</f>
        <v>0</v>
      </c>
      <c r="Z194" s="13">
        <f>Data_PLT[[#This Row],[Is50 (MPa)]]*VLOOKUP("Max",Table_PLT_Conversion[],2,FALSE)</f>
        <v>0</v>
      </c>
      <c r="AA194" s="62" t="e">
        <f>MATCH(LOOKUP(Data_PLT[[#This Row],[UCS min (MPa)]],Table_FieldStrength[Min UCS]),Table_FieldStrength[Min UCS],0)-1</f>
        <v>#N/A</v>
      </c>
      <c r="AB194" s="62" t="e">
        <f>MATCH(LOOKUP(Data_PLT[[#This Row],[UCS avg (MPa)]],Table_FieldStrength[Min UCS]),Table_FieldStrength[Min UCS],0)-1</f>
        <v>#N/A</v>
      </c>
      <c r="AC194" s="62" t="e">
        <f>MATCH(LOOKUP(Data_PLT[[#This Row],[UCS max (MPa)]],Table_FieldStrength[Min UCS]),Table_FieldStrength[Min UCS],0)-1</f>
        <v>#N/A</v>
      </c>
      <c r="AD194" s="68" t="e">
        <f>Data_PLT[[#This Row],[Test code]]&amp;"-"&amp;Data_PLT[[#This Row],[UCS min code]]</f>
        <v>#N/A</v>
      </c>
      <c r="AE194" s="68" t="e">
        <f>Data_PLT[[#This Row],[Test code]]&amp;"-"&amp;Data_PLT[[#This Row],[UCS avg code]]</f>
        <v>#N/A</v>
      </c>
      <c r="AF194" s="67" t="e">
        <f>Data_PLT[[#This Row],[Test code]]&amp;"-"&amp;Data_PLT[[#This Row],[UCS max code]]</f>
        <v>#N/A</v>
      </c>
      <c r="AG194" s="67" t="str">
        <f>Data_PLT[[#This Row],[Failure type]]&amp;"-"&amp;Data_PLT[[#This Row],[Test type]]&amp;"-"&amp;(IF(Data_PLT[[#This Row],[Is50 (MPa)]]&lt;1,1,IF(Data_PLT[[#This Row],[Is50 (MPa)]]&lt;2,2,IF(Data_PLT[[#This Row],[Is50 (MPa)]]&lt;4,3,IF(Data_PLT[[#This Row],[Is50 (MPa)]]&lt;8,4,5)))))</f>
        <v>Along bedding/foliation-Axial-1</v>
      </c>
    </row>
    <row r="195" spans="1:33" x14ac:dyDescent="0.25">
      <c r="A195" t="s">
        <v>34</v>
      </c>
      <c r="B195" s="88" t="str">
        <f>VLOOKUP(Data_PLT[[#This Row],[Hole ID]],Data_Log[],2,FALSE)</f>
        <v>CGF-04</v>
      </c>
      <c r="C195" s="63">
        <f>IF(Data_PLT[[#This Row],[Hole ID]]="","",
IF(COUNTIF($A$4:A195,Data_PLT[[#This Row],[Hole ID]])=1,1,
IF(A195=A194,C194+1,
COUNTIF($A$4:A195,Data_PLT[[#This Row],[Hole ID]]))))</f>
        <v>43</v>
      </c>
      <c r="D195" s="63" t="str">
        <f>IF(Data_PLT[[#This Row],[Hole ID]]="","",Data_PLT[[#This Row],[Hole ID]]&amp;"_"&amp;Data_PLT[[#This Row],[Sample ID]])</f>
        <v>COG-25-09_43</v>
      </c>
      <c r="E195" s="6"/>
      <c r="F195" s="6">
        <v>95.11</v>
      </c>
      <c r="G195" s="63" t="str" cm="1">
        <f t="array" ref="G195">_xlfn.XLOOKUP(1,(A195=Geotech!$A$4:$A$11100)*(Data_PLT[[#This Row],[Depth (m)]]&gt;=Geotech!$C$4:$C$11100)*(Data_PLT[[#This Row],[Depth (m)]]&lt;Geotech!$D$4:$D$11100),Geotech!$M$4:$M$11100)</f>
        <v>Boulamarque granodiorite</v>
      </c>
      <c r="H195" s="6" t="s">
        <v>299</v>
      </c>
      <c r="I195" s="63" t="str">
        <f>VLOOKUP(Data_PLT[[#This Row],[Hole ID]],Data_Log[[Hole ID]:[Core size]],20,FALSE)</f>
        <v>HQ</v>
      </c>
      <c r="J195" s="13">
        <f>VLOOKUP(Data_PLT[[#This Row],[Core Size]],Table_CoreSize[],2,FALSE)</f>
        <v>63.5</v>
      </c>
      <c r="K195" s="19">
        <v>105</v>
      </c>
      <c r="L195" s="19" t="s">
        <v>574</v>
      </c>
      <c r="M195" s="5">
        <v>208</v>
      </c>
      <c r="N195" s="5"/>
      <c r="O195" s="6" t="s">
        <v>334</v>
      </c>
      <c r="P195" s="13" t="str">
        <f>IF(Data_PLT[[#This Row],[Failure type]]="","",IF(OR(Data_PLT[[#This Row],[Failure type]]="Invalid",Data_PLT[[#This Row],[Failure type]]="Chipped",Data_PLT[[#This Row],[Failure type]]="Penetrate",Data_PLT[[#This Row],[Failure type]]="Did not break"),"Invalid","Valid"))</f>
        <v>Valid</v>
      </c>
      <c r="Q195" s="6"/>
      <c r="R195" s="11"/>
      <c r="S195" s="13">
        <f>IF(Data_PLT[[#This Row],[Test type]]="Diametral",Data_PLT[[#This Row],[Diameter (mm)]],IF(Data_PLT[[#This Row],[Test type]]="Axial",SQRT(4*Data_PLT[[#This Row],[Diameter (mm)]]*Data_PLT[[#This Row],[Length or width (mm)]]/PI()),"ERROR"))</f>
        <v>63.5</v>
      </c>
      <c r="T195" s="13">
        <f>(Data_PLT[[#This Row],[Load (kN)]]*1000)/Data_PLT[[#This Row],[Equiv. Diam. (mm)]]^2</f>
        <v>0</v>
      </c>
      <c r="U195" s="13">
        <f>(Data_PLT[[#This Row],[Equiv. Diam. (mm)]]/50)^0.45</f>
        <v>1.1135550054708407</v>
      </c>
      <c r="V195" s="13">
        <f>Data_PLT[[#This Row],[Is (MPa)]]*Data_PLT[[#This Row],[F]]</f>
        <v>0</v>
      </c>
      <c r="W195" s="13" t="str">
        <f>Data_PLT[[#This Row],[Failure Validity]]&amp;"-"&amp;Data_PLT[[#This Row],[Test type]]</f>
        <v>Valid-Diametral</v>
      </c>
      <c r="X195" s="13">
        <f>Data_PLT[[#This Row],[Is50 (MPa)]]*VLOOKUP("Min",Table_PLT_Conversion[],2,FALSE)</f>
        <v>0</v>
      </c>
      <c r="Y195" s="13">
        <f>Data_PLT[[#This Row],[Is50 (MPa)]]*VLOOKUP("Avg",Table_PLT_Conversion[],2,FALSE)</f>
        <v>0</v>
      </c>
      <c r="Z195" s="13">
        <f>Data_PLT[[#This Row],[Is50 (MPa)]]*VLOOKUP("Max",Table_PLT_Conversion[],2,FALSE)</f>
        <v>0</v>
      </c>
      <c r="AA195" s="62" t="e">
        <f>MATCH(LOOKUP(Data_PLT[[#This Row],[UCS min (MPa)]],Table_FieldStrength[Min UCS]),Table_FieldStrength[Min UCS],0)-1</f>
        <v>#N/A</v>
      </c>
      <c r="AB195" s="62" t="e">
        <f>MATCH(LOOKUP(Data_PLT[[#This Row],[UCS avg (MPa)]],Table_FieldStrength[Min UCS]),Table_FieldStrength[Min UCS],0)-1</f>
        <v>#N/A</v>
      </c>
      <c r="AC195" s="62" t="e">
        <f>MATCH(LOOKUP(Data_PLT[[#This Row],[UCS max (MPa)]],Table_FieldStrength[Min UCS]),Table_FieldStrength[Min UCS],0)-1</f>
        <v>#N/A</v>
      </c>
      <c r="AD195" s="68" t="e">
        <f>Data_PLT[[#This Row],[Test code]]&amp;"-"&amp;Data_PLT[[#This Row],[UCS min code]]</f>
        <v>#N/A</v>
      </c>
      <c r="AE195" s="68" t="e">
        <f>Data_PLT[[#This Row],[Test code]]&amp;"-"&amp;Data_PLT[[#This Row],[UCS avg code]]</f>
        <v>#N/A</v>
      </c>
      <c r="AF195" s="67" t="e">
        <f>Data_PLT[[#This Row],[Test code]]&amp;"-"&amp;Data_PLT[[#This Row],[UCS max code]]</f>
        <v>#N/A</v>
      </c>
      <c r="AG195" s="67" t="str">
        <f>Data_PLT[[#This Row],[Failure type]]&amp;"-"&amp;Data_PLT[[#This Row],[Test type]]&amp;"-"&amp;(IF(Data_PLT[[#This Row],[Is50 (MPa)]]&lt;1,1,IF(Data_PLT[[#This Row],[Is50 (MPa)]]&lt;2,2,IF(Data_PLT[[#This Row],[Is50 (MPa)]]&lt;4,3,IF(Data_PLT[[#This Row],[Is50 (MPa)]]&lt;8,4,5)))))</f>
        <v>Along bedding/foliation-Diametral-1</v>
      </c>
    </row>
    <row r="196" spans="1:33" x14ac:dyDescent="0.25">
      <c r="A196" t="s">
        <v>34</v>
      </c>
      <c r="B196" s="88" t="str">
        <f>VLOOKUP(Data_PLT[[#This Row],[Hole ID]],Data_Log[],2,FALSE)</f>
        <v>CGF-04</v>
      </c>
      <c r="C196" s="63">
        <f>IF(Data_PLT[[#This Row],[Hole ID]]="","",
IF(COUNTIF($A$4:A196,Data_PLT[[#This Row],[Hole ID]])=1,1,
IF(A196=A195,C195+1,
COUNTIF($A$4:A196,Data_PLT[[#This Row],[Hole ID]]))))</f>
        <v>44</v>
      </c>
      <c r="D196" s="63" t="str">
        <f>IF(Data_PLT[[#This Row],[Hole ID]]="","",Data_PLT[[#This Row],[Hole ID]]&amp;"_"&amp;Data_PLT[[#This Row],[Sample ID]])</f>
        <v>COG-25-09_44</v>
      </c>
      <c r="E196" s="6"/>
      <c r="F196" s="6">
        <v>97.08</v>
      </c>
      <c r="G196" s="63" t="str" cm="1">
        <f t="array" ref="G196">_xlfn.XLOOKUP(1,(A196=Geotech!$A$4:$A$11100)*(Data_PLT[[#This Row],[Depth (m)]]&gt;=Geotech!$C$4:$C$11100)*(Data_PLT[[#This Row],[Depth (m)]]&lt;Geotech!$D$4:$D$11100),Geotech!$M$4:$M$11100)</f>
        <v>Boulamarque granodiorite</v>
      </c>
      <c r="H196" s="6" t="s">
        <v>299</v>
      </c>
      <c r="I196" s="63" t="str">
        <f>VLOOKUP(Data_PLT[[#This Row],[Hole ID]],Data_Log[[Hole ID]:[Core size]],20,FALSE)</f>
        <v>HQ</v>
      </c>
      <c r="J196" s="13">
        <f>VLOOKUP(Data_PLT[[#This Row],[Core Size]],Table_CoreSize[],2,FALSE)</f>
        <v>63.5</v>
      </c>
      <c r="K196" s="19">
        <v>60</v>
      </c>
      <c r="L196" s="19" t="s">
        <v>574</v>
      </c>
      <c r="M196" s="5">
        <v>119.2</v>
      </c>
      <c r="N196" s="5"/>
      <c r="O196" s="6" t="s">
        <v>163</v>
      </c>
      <c r="P196" s="13" t="str">
        <f>IF(Data_PLT[[#This Row],[Failure type]]="","",IF(OR(Data_PLT[[#This Row],[Failure type]]="Invalid",Data_PLT[[#This Row],[Failure type]]="Chipped",Data_PLT[[#This Row],[Failure type]]="Penetrate",Data_PLT[[#This Row],[Failure type]]="Did not break"),"Invalid","Valid"))</f>
        <v>Valid</v>
      </c>
      <c r="Q196" s="6"/>
      <c r="R196" s="11"/>
      <c r="S196" s="13">
        <f>IF(Data_PLT[[#This Row],[Test type]]="Diametral",Data_PLT[[#This Row],[Diameter (mm)]],IF(Data_PLT[[#This Row],[Test type]]="Axial",SQRT(4*Data_PLT[[#This Row],[Diameter (mm)]]*Data_PLT[[#This Row],[Length or width (mm)]]/PI()),"ERROR"))</f>
        <v>63.5</v>
      </c>
      <c r="T196" s="13">
        <f>(Data_PLT[[#This Row],[Load (kN)]]*1000)/Data_PLT[[#This Row],[Equiv. Diam. (mm)]]^2</f>
        <v>0</v>
      </c>
      <c r="U196" s="13">
        <f>(Data_PLT[[#This Row],[Equiv. Diam. (mm)]]/50)^0.45</f>
        <v>1.1135550054708407</v>
      </c>
      <c r="V196" s="13">
        <f>Data_PLT[[#This Row],[Is (MPa)]]*Data_PLT[[#This Row],[F]]</f>
        <v>0</v>
      </c>
      <c r="W196" s="13" t="str">
        <f>Data_PLT[[#This Row],[Failure Validity]]&amp;"-"&amp;Data_PLT[[#This Row],[Test type]]</f>
        <v>Valid-Diametral</v>
      </c>
      <c r="X196" s="13">
        <f>Data_PLT[[#This Row],[Is50 (MPa)]]*VLOOKUP("Min",Table_PLT_Conversion[],2,FALSE)</f>
        <v>0</v>
      </c>
      <c r="Y196" s="13">
        <f>Data_PLT[[#This Row],[Is50 (MPa)]]*VLOOKUP("Avg",Table_PLT_Conversion[],2,FALSE)</f>
        <v>0</v>
      </c>
      <c r="Z196" s="13">
        <f>Data_PLT[[#This Row],[Is50 (MPa)]]*VLOOKUP("Max",Table_PLT_Conversion[],2,FALSE)</f>
        <v>0</v>
      </c>
      <c r="AA196" s="62" t="e">
        <f>MATCH(LOOKUP(Data_PLT[[#This Row],[UCS min (MPa)]],Table_FieldStrength[Min UCS]),Table_FieldStrength[Min UCS],0)-1</f>
        <v>#N/A</v>
      </c>
      <c r="AB196" s="62" t="e">
        <f>MATCH(LOOKUP(Data_PLT[[#This Row],[UCS avg (MPa)]],Table_FieldStrength[Min UCS]),Table_FieldStrength[Min UCS],0)-1</f>
        <v>#N/A</v>
      </c>
      <c r="AC196" s="62" t="e">
        <f>MATCH(LOOKUP(Data_PLT[[#This Row],[UCS max (MPa)]],Table_FieldStrength[Min UCS]),Table_FieldStrength[Min UCS],0)-1</f>
        <v>#N/A</v>
      </c>
      <c r="AD196" s="68" t="e">
        <f>Data_PLT[[#This Row],[Test code]]&amp;"-"&amp;Data_PLT[[#This Row],[UCS min code]]</f>
        <v>#N/A</v>
      </c>
      <c r="AE196" s="68" t="e">
        <f>Data_PLT[[#This Row],[Test code]]&amp;"-"&amp;Data_PLT[[#This Row],[UCS avg code]]</f>
        <v>#N/A</v>
      </c>
      <c r="AF196" s="67" t="e">
        <f>Data_PLT[[#This Row],[Test code]]&amp;"-"&amp;Data_PLT[[#This Row],[UCS max code]]</f>
        <v>#N/A</v>
      </c>
      <c r="AG196" s="67" t="str">
        <f>Data_PLT[[#This Row],[Failure type]]&amp;"-"&amp;Data_PLT[[#This Row],[Test type]]&amp;"-"&amp;(IF(Data_PLT[[#This Row],[Is50 (MPa)]]&lt;1,1,IF(Data_PLT[[#This Row],[Is50 (MPa)]]&lt;2,2,IF(Data_PLT[[#This Row],[Is50 (MPa)]]&lt;4,3,IF(Data_PLT[[#This Row],[Is50 (MPa)]]&lt;8,4,5)))))</f>
        <v>Broke along MD-Diametral-1</v>
      </c>
    </row>
    <row r="197" spans="1:33" x14ac:dyDescent="0.25">
      <c r="A197" t="s">
        <v>34</v>
      </c>
      <c r="B197" s="88" t="str">
        <f>VLOOKUP(Data_PLT[[#This Row],[Hole ID]],Data_Log[],2,FALSE)</f>
        <v>CGF-04</v>
      </c>
      <c r="C197" s="63">
        <f>IF(Data_PLT[[#This Row],[Hole ID]]="","",
IF(COUNTIF($A$4:A197,Data_PLT[[#This Row],[Hole ID]])=1,1,
IF(A197=A196,C196+1,
COUNTIF($A$4:A197,Data_PLT[[#This Row],[Hole ID]]))))</f>
        <v>45</v>
      </c>
      <c r="D197" s="63" t="str">
        <f>IF(Data_PLT[[#This Row],[Hole ID]]="","",Data_PLT[[#This Row],[Hole ID]]&amp;"_"&amp;Data_PLT[[#This Row],[Sample ID]])</f>
        <v>COG-25-09_45</v>
      </c>
      <c r="E197" s="6"/>
      <c r="F197" s="6">
        <v>99.74</v>
      </c>
      <c r="G197" s="63" t="str" cm="1">
        <f t="array" ref="G197">_xlfn.XLOOKUP(1,(A197=Geotech!$A$4:$A$11100)*(Data_PLT[[#This Row],[Depth (m)]]&gt;=Geotech!$C$4:$C$11100)*(Data_PLT[[#This Row],[Depth (m)]]&lt;Geotech!$D$4:$D$11100),Geotech!$M$4:$M$11100)</f>
        <v>Boulamarque granodiorite</v>
      </c>
      <c r="H197" s="6" t="s">
        <v>299</v>
      </c>
      <c r="I197" s="63" t="str">
        <f>VLOOKUP(Data_PLT[[#This Row],[Hole ID]],Data_Log[[Hole ID]:[Core size]],20,FALSE)</f>
        <v>HQ</v>
      </c>
      <c r="J197" s="13">
        <f>VLOOKUP(Data_PLT[[#This Row],[Core Size]],Table_CoreSize[],2,FALSE)</f>
        <v>63.5</v>
      </c>
      <c r="K197" s="19">
        <v>80</v>
      </c>
      <c r="L197" s="19" t="s">
        <v>574</v>
      </c>
      <c r="M197" s="5">
        <v>338.6</v>
      </c>
      <c r="N197" s="5"/>
      <c r="O197" s="6" t="s">
        <v>165</v>
      </c>
      <c r="P197" s="13" t="str">
        <f>IF(Data_PLT[[#This Row],[Failure type]]="","",IF(OR(Data_PLT[[#This Row],[Failure type]]="Invalid",Data_PLT[[#This Row],[Failure type]]="Chipped",Data_PLT[[#This Row],[Failure type]]="Penetrate",Data_PLT[[#This Row],[Failure type]]="Did not break"),"Invalid","Valid"))</f>
        <v>Invalid</v>
      </c>
      <c r="Q197" s="6"/>
      <c r="R197" s="11"/>
      <c r="S197" s="13">
        <f>IF(Data_PLT[[#This Row],[Test type]]="Diametral",Data_PLT[[#This Row],[Diameter (mm)]],IF(Data_PLT[[#This Row],[Test type]]="Axial",SQRT(4*Data_PLT[[#This Row],[Diameter (mm)]]*Data_PLT[[#This Row],[Length or width (mm)]]/PI()),"ERROR"))</f>
        <v>63.5</v>
      </c>
      <c r="T197" s="13">
        <f>(Data_PLT[[#This Row],[Load (kN)]]*1000)/Data_PLT[[#This Row],[Equiv. Diam. (mm)]]^2</f>
        <v>0</v>
      </c>
      <c r="U197" s="13">
        <f>(Data_PLT[[#This Row],[Equiv. Diam. (mm)]]/50)^0.45</f>
        <v>1.1135550054708407</v>
      </c>
      <c r="V197" s="13">
        <f>Data_PLT[[#This Row],[Is (MPa)]]*Data_PLT[[#This Row],[F]]</f>
        <v>0</v>
      </c>
      <c r="W197" s="13" t="str">
        <f>Data_PLT[[#This Row],[Failure Validity]]&amp;"-"&amp;Data_PLT[[#This Row],[Test type]]</f>
        <v>Invalid-Diametral</v>
      </c>
      <c r="X197" s="13">
        <f>Data_PLT[[#This Row],[Is50 (MPa)]]*VLOOKUP("Min",Table_PLT_Conversion[],2,FALSE)</f>
        <v>0</v>
      </c>
      <c r="Y197" s="13">
        <f>Data_PLT[[#This Row],[Is50 (MPa)]]*VLOOKUP("Avg",Table_PLT_Conversion[],2,FALSE)</f>
        <v>0</v>
      </c>
      <c r="Z197" s="13">
        <f>Data_PLT[[#This Row],[Is50 (MPa)]]*VLOOKUP("Max",Table_PLT_Conversion[],2,FALSE)</f>
        <v>0</v>
      </c>
      <c r="AA197" s="62" t="e">
        <f>MATCH(LOOKUP(Data_PLT[[#This Row],[UCS min (MPa)]],Table_FieldStrength[Min UCS]),Table_FieldStrength[Min UCS],0)-1</f>
        <v>#N/A</v>
      </c>
      <c r="AB197" s="62" t="e">
        <f>MATCH(LOOKUP(Data_PLT[[#This Row],[UCS avg (MPa)]],Table_FieldStrength[Min UCS]),Table_FieldStrength[Min UCS],0)-1</f>
        <v>#N/A</v>
      </c>
      <c r="AC197" s="62" t="e">
        <f>MATCH(LOOKUP(Data_PLT[[#This Row],[UCS max (MPa)]],Table_FieldStrength[Min UCS]),Table_FieldStrength[Min UCS],0)-1</f>
        <v>#N/A</v>
      </c>
      <c r="AD197" s="68" t="e">
        <f>Data_PLT[[#This Row],[Test code]]&amp;"-"&amp;Data_PLT[[#This Row],[UCS min code]]</f>
        <v>#N/A</v>
      </c>
      <c r="AE197" s="68" t="e">
        <f>Data_PLT[[#This Row],[Test code]]&amp;"-"&amp;Data_PLT[[#This Row],[UCS avg code]]</f>
        <v>#N/A</v>
      </c>
      <c r="AF197" s="67" t="e">
        <f>Data_PLT[[#This Row],[Test code]]&amp;"-"&amp;Data_PLT[[#This Row],[UCS max code]]</f>
        <v>#N/A</v>
      </c>
      <c r="AG197" s="67" t="str">
        <f>Data_PLT[[#This Row],[Failure type]]&amp;"-"&amp;Data_PLT[[#This Row],[Test type]]&amp;"-"&amp;(IF(Data_PLT[[#This Row],[Is50 (MPa)]]&lt;1,1,IF(Data_PLT[[#This Row],[Is50 (MPa)]]&lt;2,2,IF(Data_PLT[[#This Row],[Is50 (MPa)]]&lt;4,3,IF(Data_PLT[[#This Row],[Is50 (MPa)]]&lt;8,4,5)))))</f>
        <v>Chipped-Diametral-1</v>
      </c>
    </row>
    <row r="198" spans="1:33" x14ac:dyDescent="0.25">
      <c r="A198" t="s">
        <v>34</v>
      </c>
      <c r="B198" s="88" t="str">
        <f>VLOOKUP(Data_PLT[[#This Row],[Hole ID]],Data_Log[],2,FALSE)</f>
        <v>CGF-04</v>
      </c>
      <c r="C198" s="63">
        <f>IF(Data_PLT[[#This Row],[Hole ID]]="","",
IF(COUNTIF($A$4:A198,Data_PLT[[#This Row],[Hole ID]])=1,1,
IF(A198=A197,C197+1,
COUNTIF($A$4:A198,Data_PLT[[#This Row],[Hole ID]]))))</f>
        <v>46</v>
      </c>
      <c r="D198" s="63" t="str">
        <f>IF(Data_PLT[[#This Row],[Hole ID]]="","",Data_PLT[[#This Row],[Hole ID]]&amp;"_"&amp;Data_PLT[[#This Row],[Sample ID]])</f>
        <v>COG-25-09_46</v>
      </c>
      <c r="E198" s="6"/>
      <c r="F198" s="6">
        <v>99.79</v>
      </c>
      <c r="G198" s="63" t="str" cm="1">
        <f t="array" ref="G198">_xlfn.XLOOKUP(1,(A198=Geotech!$A$4:$A$11100)*(Data_PLT[[#This Row],[Depth (m)]]&gt;=Geotech!$C$4:$C$11100)*(Data_PLT[[#This Row],[Depth (m)]]&lt;Geotech!$D$4:$D$11100),Geotech!$M$4:$M$11100)</f>
        <v>Boulamarque granodiorite</v>
      </c>
      <c r="H198" s="6" t="s">
        <v>267</v>
      </c>
      <c r="I198" s="63" t="str">
        <f>VLOOKUP(Data_PLT[[#This Row],[Hole ID]],Data_Log[[Hole ID]:[Core size]],20,FALSE)</f>
        <v>HQ</v>
      </c>
      <c r="J198" s="13">
        <f>VLOOKUP(Data_PLT[[#This Row],[Core Size]],Table_CoreSize[],2,FALSE)</f>
        <v>63.5</v>
      </c>
      <c r="K198" s="19">
        <v>20</v>
      </c>
      <c r="L198" s="19" t="s">
        <v>574</v>
      </c>
      <c r="M198" s="5">
        <v>57.6</v>
      </c>
      <c r="N198" s="5"/>
      <c r="O198" s="6" t="s">
        <v>363</v>
      </c>
      <c r="P198" s="13" t="str">
        <f>IF(Data_PLT[[#This Row],[Failure type]]="","",IF(OR(Data_PLT[[#This Row],[Failure type]]="Invalid",Data_PLT[[#This Row],[Failure type]]="Chipped",Data_PLT[[#This Row],[Failure type]]="Penetrate",Data_PLT[[#This Row],[Failure type]]="Did not break"),"Invalid","Valid"))</f>
        <v>Valid</v>
      </c>
      <c r="Q198" s="6"/>
      <c r="R198" s="11"/>
      <c r="S198" s="13">
        <f>IF(Data_PLT[[#This Row],[Test type]]="Diametral",Data_PLT[[#This Row],[Diameter (mm)]],IF(Data_PLT[[#This Row],[Test type]]="Axial",SQRT(4*Data_PLT[[#This Row],[Diameter (mm)]]*Data_PLT[[#This Row],[Length or width (mm)]]/PI()),"ERROR"))</f>
        <v>40.212115361090575</v>
      </c>
      <c r="T198" s="13">
        <f>(Data_PLT[[#This Row],[Load (kN)]]*1000)/Data_PLT[[#This Row],[Equiv. Diam. (mm)]]^2</f>
        <v>0</v>
      </c>
      <c r="U198" s="13">
        <f>(Data_PLT[[#This Row],[Equiv. Diam. (mm)]]/50)^0.45</f>
        <v>0.90661752959363306</v>
      </c>
      <c r="V198" s="13">
        <f>Data_PLT[[#This Row],[Is (MPa)]]*Data_PLT[[#This Row],[F]]</f>
        <v>0</v>
      </c>
      <c r="W198" s="13" t="str">
        <f>Data_PLT[[#This Row],[Failure Validity]]&amp;"-"&amp;Data_PLT[[#This Row],[Test type]]</f>
        <v>Valid-Axial</v>
      </c>
      <c r="X198" s="13">
        <f>Data_PLT[[#This Row],[Is50 (MPa)]]*VLOOKUP("Min",Table_PLT_Conversion[],2,FALSE)</f>
        <v>0</v>
      </c>
      <c r="Y198" s="13">
        <f>Data_PLT[[#This Row],[Is50 (MPa)]]*VLOOKUP("Avg",Table_PLT_Conversion[],2,FALSE)</f>
        <v>0</v>
      </c>
      <c r="Z198" s="13">
        <f>Data_PLT[[#This Row],[Is50 (MPa)]]*VLOOKUP("Max",Table_PLT_Conversion[],2,FALSE)</f>
        <v>0</v>
      </c>
      <c r="AA198" s="62" t="e">
        <f>MATCH(LOOKUP(Data_PLT[[#This Row],[UCS min (MPa)]],Table_FieldStrength[Min UCS]),Table_FieldStrength[Min UCS],0)-1</f>
        <v>#N/A</v>
      </c>
      <c r="AB198" s="62" t="e">
        <f>MATCH(LOOKUP(Data_PLT[[#This Row],[UCS avg (MPa)]],Table_FieldStrength[Min UCS]),Table_FieldStrength[Min UCS],0)-1</f>
        <v>#N/A</v>
      </c>
      <c r="AC198" s="62" t="e">
        <f>MATCH(LOOKUP(Data_PLT[[#This Row],[UCS max (MPa)]],Table_FieldStrength[Min UCS]),Table_FieldStrength[Min UCS],0)-1</f>
        <v>#N/A</v>
      </c>
      <c r="AD198" s="68" t="e">
        <f>Data_PLT[[#This Row],[Test code]]&amp;"-"&amp;Data_PLT[[#This Row],[UCS min code]]</f>
        <v>#N/A</v>
      </c>
      <c r="AE198" s="68" t="e">
        <f>Data_PLT[[#This Row],[Test code]]&amp;"-"&amp;Data_PLT[[#This Row],[UCS avg code]]</f>
        <v>#N/A</v>
      </c>
      <c r="AF198" s="67" t="e">
        <f>Data_PLT[[#This Row],[Test code]]&amp;"-"&amp;Data_PLT[[#This Row],[UCS max code]]</f>
        <v>#N/A</v>
      </c>
      <c r="AG198" s="67" t="str">
        <f>Data_PLT[[#This Row],[Failure type]]&amp;"-"&amp;Data_PLT[[#This Row],[Test type]]&amp;"-"&amp;(IF(Data_PLT[[#This Row],[Is50 (MPa)]]&lt;1,1,IF(Data_PLT[[#This Row],[Is50 (MPa)]]&lt;2,2,IF(Data_PLT[[#This Row],[Is50 (MPa)]]&lt;4,3,IF(Data_PLT[[#This Row],[Is50 (MPa)]]&lt;8,4,5)))))</f>
        <v>Perp. bedding-Axial-1</v>
      </c>
    </row>
    <row r="199" spans="1:33" x14ac:dyDescent="0.25">
      <c r="A199" t="s">
        <v>34</v>
      </c>
      <c r="B199" s="88" t="str">
        <f>VLOOKUP(Data_PLT[[#This Row],[Hole ID]],Data_Log[],2,FALSE)</f>
        <v>CGF-04</v>
      </c>
      <c r="C199" s="63">
        <f>IF(Data_PLT[[#This Row],[Hole ID]]="","",
IF(COUNTIF($A$4:A199,Data_PLT[[#This Row],[Hole ID]])=1,1,
IF(A199=A198,C198+1,
COUNTIF($A$4:A199,Data_PLT[[#This Row],[Hole ID]]))))</f>
        <v>47</v>
      </c>
      <c r="D199" s="63" t="str">
        <f>IF(Data_PLT[[#This Row],[Hole ID]]="","",Data_PLT[[#This Row],[Hole ID]]&amp;"_"&amp;Data_PLT[[#This Row],[Sample ID]])</f>
        <v>COG-25-09_47</v>
      </c>
      <c r="E199" s="6"/>
      <c r="F199" s="6">
        <v>97.07</v>
      </c>
      <c r="G199" s="63" t="str" cm="1">
        <f t="array" ref="G199">_xlfn.XLOOKUP(1,(A199=Geotech!$A$4:$A$11100)*(Data_PLT[[#This Row],[Depth (m)]]&gt;=Geotech!$C$4:$C$11100)*(Data_PLT[[#This Row],[Depth (m)]]&lt;Geotech!$D$4:$D$11100),Geotech!$M$4:$M$11100)</f>
        <v>Boulamarque granodiorite</v>
      </c>
      <c r="H199" s="6" t="s">
        <v>267</v>
      </c>
      <c r="I199" s="63" t="str">
        <f>VLOOKUP(Data_PLT[[#This Row],[Hole ID]],Data_Log[[Hole ID]:[Core size]],20,FALSE)</f>
        <v>HQ</v>
      </c>
      <c r="J199" s="13">
        <f>VLOOKUP(Data_PLT[[#This Row],[Core Size]],Table_CoreSize[],2,FALSE)</f>
        <v>63.5</v>
      </c>
      <c r="K199" s="19">
        <v>25</v>
      </c>
      <c r="L199" s="19" t="s">
        <v>574</v>
      </c>
      <c r="M199" s="5">
        <v>85.2</v>
      </c>
      <c r="N199" s="5"/>
      <c r="O199" s="6" t="s">
        <v>334</v>
      </c>
      <c r="P199" s="13" t="str">
        <f>IF(Data_PLT[[#This Row],[Failure type]]="","",IF(OR(Data_PLT[[#This Row],[Failure type]]="Invalid",Data_PLT[[#This Row],[Failure type]]="Chipped",Data_PLT[[#This Row],[Failure type]]="Penetrate",Data_PLT[[#This Row],[Failure type]]="Did not break"),"Invalid","Valid"))</f>
        <v>Valid</v>
      </c>
      <c r="Q199" s="6"/>
      <c r="R199" s="11"/>
      <c r="S199" s="13">
        <f>IF(Data_PLT[[#This Row],[Test type]]="Diametral",Data_PLT[[#This Row],[Diameter (mm)]],IF(Data_PLT[[#This Row],[Test type]]="Axial",SQRT(4*Data_PLT[[#This Row],[Diameter (mm)]]*Data_PLT[[#This Row],[Length or width (mm)]]/PI()),"ERROR"))</f>
        <v>44.958511733231013</v>
      </c>
      <c r="T199" s="13">
        <f>(Data_PLT[[#This Row],[Load (kN)]]*1000)/Data_PLT[[#This Row],[Equiv. Diam. (mm)]]^2</f>
        <v>0</v>
      </c>
      <c r="U199" s="13">
        <f>(Data_PLT[[#This Row],[Equiv. Diam. (mm)]]/50)^0.45</f>
        <v>0.9532984016969771</v>
      </c>
      <c r="V199" s="13">
        <f>Data_PLT[[#This Row],[Is (MPa)]]*Data_PLT[[#This Row],[F]]</f>
        <v>0</v>
      </c>
      <c r="W199" s="13" t="str">
        <f>Data_PLT[[#This Row],[Failure Validity]]&amp;"-"&amp;Data_PLT[[#This Row],[Test type]]</f>
        <v>Valid-Axial</v>
      </c>
      <c r="X199" s="13">
        <f>Data_PLT[[#This Row],[Is50 (MPa)]]*VLOOKUP("Min",Table_PLT_Conversion[],2,FALSE)</f>
        <v>0</v>
      </c>
      <c r="Y199" s="13">
        <f>Data_PLT[[#This Row],[Is50 (MPa)]]*VLOOKUP("Avg",Table_PLT_Conversion[],2,FALSE)</f>
        <v>0</v>
      </c>
      <c r="Z199" s="13">
        <f>Data_PLT[[#This Row],[Is50 (MPa)]]*VLOOKUP("Max",Table_PLT_Conversion[],2,FALSE)</f>
        <v>0</v>
      </c>
      <c r="AA199" s="62" t="e">
        <f>MATCH(LOOKUP(Data_PLT[[#This Row],[UCS min (MPa)]],Table_FieldStrength[Min UCS]),Table_FieldStrength[Min UCS],0)-1</f>
        <v>#N/A</v>
      </c>
      <c r="AB199" s="62" t="e">
        <f>MATCH(LOOKUP(Data_PLT[[#This Row],[UCS avg (MPa)]],Table_FieldStrength[Min UCS]),Table_FieldStrength[Min UCS],0)-1</f>
        <v>#N/A</v>
      </c>
      <c r="AC199" s="62" t="e">
        <f>MATCH(LOOKUP(Data_PLT[[#This Row],[UCS max (MPa)]],Table_FieldStrength[Min UCS]),Table_FieldStrength[Min UCS],0)-1</f>
        <v>#N/A</v>
      </c>
      <c r="AD199" s="68" t="e">
        <f>Data_PLT[[#This Row],[Test code]]&amp;"-"&amp;Data_PLT[[#This Row],[UCS min code]]</f>
        <v>#N/A</v>
      </c>
      <c r="AE199" s="68" t="e">
        <f>Data_PLT[[#This Row],[Test code]]&amp;"-"&amp;Data_PLT[[#This Row],[UCS avg code]]</f>
        <v>#N/A</v>
      </c>
      <c r="AF199" s="67" t="e">
        <f>Data_PLT[[#This Row],[Test code]]&amp;"-"&amp;Data_PLT[[#This Row],[UCS max code]]</f>
        <v>#N/A</v>
      </c>
      <c r="AG199" s="67" t="str">
        <f>Data_PLT[[#This Row],[Failure type]]&amp;"-"&amp;Data_PLT[[#This Row],[Test type]]&amp;"-"&amp;(IF(Data_PLT[[#This Row],[Is50 (MPa)]]&lt;1,1,IF(Data_PLT[[#This Row],[Is50 (MPa)]]&lt;2,2,IF(Data_PLT[[#This Row],[Is50 (MPa)]]&lt;4,3,IF(Data_PLT[[#This Row],[Is50 (MPa)]]&lt;8,4,5)))))</f>
        <v>Along bedding/foliation-Axial-1</v>
      </c>
    </row>
    <row r="200" spans="1:33" x14ac:dyDescent="0.25">
      <c r="A200" t="s">
        <v>34</v>
      </c>
      <c r="B200" s="88" t="str">
        <f>VLOOKUP(Data_PLT[[#This Row],[Hole ID]],Data_Log[],2,FALSE)</f>
        <v>CGF-04</v>
      </c>
      <c r="C200" s="63">
        <f>IF(Data_PLT[[#This Row],[Hole ID]]="","",
IF(COUNTIF($A$4:A200,Data_PLT[[#This Row],[Hole ID]])=1,1,
IF(A200=A199,C199+1,
COUNTIF($A$4:A200,Data_PLT[[#This Row],[Hole ID]]))))</f>
        <v>48</v>
      </c>
      <c r="D200" s="63" t="str">
        <f>IF(Data_PLT[[#This Row],[Hole ID]]="","",Data_PLT[[#This Row],[Hole ID]]&amp;"_"&amp;Data_PLT[[#This Row],[Sample ID]])</f>
        <v>COG-25-09_48</v>
      </c>
      <c r="E200" s="6"/>
      <c r="F200" s="6">
        <v>102.03</v>
      </c>
      <c r="G200" s="63" t="str" cm="1">
        <f t="array" ref="G200">_xlfn.XLOOKUP(1,(A200=Geotech!$A$4:$A$11100)*(Data_PLT[[#This Row],[Depth (m)]]&gt;=Geotech!$C$4:$C$11100)*(Data_PLT[[#This Row],[Depth (m)]]&lt;Geotech!$D$4:$D$11100),Geotech!$M$4:$M$11100)</f>
        <v>Boulamarque granodiorite</v>
      </c>
      <c r="H200" s="6" t="s">
        <v>299</v>
      </c>
      <c r="I200" s="63" t="str">
        <f>VLOOKUP(Data_PLT[[#This Row],[Hole ID]],Data_Log[[Hole ID]:[Core size]],20,FALSE)</f>
        <v>HQ</v>
      </c>
      <c r="J200" s="13">
        <f>VLOOKUP(Data_PLT[[#This Row],[Core Size]],Table_CoreSize[],2,FALSE)</f>
        <v>63.5</v>
      </c>
      <c r="K200" s="19">
        <v>125</v>
      </c>
      <c r="L200" s="19" t="s">
        <v>574</v>
      </c>
      <c r="M200" s="5">
        <v>263.2</v>
      </c>
      <c r="N200" s="5"/>
      <c r="O200" s="6" t="s">
        <v>300</v>
      </c>
      <c r="P200" s="13" t="str">
        <f>IF(Data_PLT[[#This Row],[Failure type]]="","",IF(OR(Data_PLT[[#This Row],[Failure type]]="Invalid",Data_PLT[[#This Row],[Failure type]]="Chipped",Data_PLT[[#This Row],[Failure type]]="Penetrate",Data_PLT[[#This Row],[Failure type]]="Did not break"),"Invalid","Valid"))</f>
        <v>Valid</v>
      </c>
      <c r="Q200" s="6"/>
      <c r="R200" s="11"/>
      <c r="S200" s="13">
        <f>IF(Data_PLT[[#This Row],[Test type]]="Diametral",Data_PLT[[#This Row],[Diameter (mm)]],IF(Data_PLT[[#This Row],[Test type]]="Axial",SQRT(4*Data_PLT[[#This Row],[Diameter (mm)]]*Data_PLT[[#This Row],[Length or width (mm)]]/PI()),"ERROR"))</f>
        <v>63.5</v>
      </c>
      <c r="T200" s="13">
        <f>(Data_PLT[[#This Row],[Load (kN)]]*1000)/Data_PLT[[#This Row],[Equiv. Diam. (mm)]]^2</f>
        <v>0</v>
      </c>
      <c r="U200" s="13">
        <f>(Data_PLT[[#This Row],[Equiv. Diam. (mm)]]/50)^0.45</f>
        <v>1.1135550054708407</v>
      </c>
      <c r="V200" s="13">
        <f>Data_PLT[[#This Row],[Is (MPa)]]*Data_PLT[[#This Row],[F]]</f>
        <v>0</v>
      </c>
      <c r="W200" s="13" t="str">
        <f>Data_PLT[[#This Row],[Failure Validity]]&amp;"-"&amp;Data_PLT[[#This Row],[Test type]]</f>
        <v>Valid-Diametral</v>
      </c>
      <c r="X200" s="13">
        <f>Data_PLT[[#This Row],[Is50 (MPa)]]*VLOOKUP("Min",Table_PLT_Conversion[],2,FALSE)</f>
        <v>0</v>
      </c>
      <c r="Y200" s="13">
        <f>Data_PLT[[#This Row],[Is50 (MPa)]]*VLOOKUP("Avg",Table_PLT_Conversion[],2,FALSE)</f>
        <v>0</v>
      </c>
      <c r="Z200" s="13">
        <f>Data_PLT[[#This Row],[Is50 (MPa)]]*VLOOKUP("Max",Table_PLT_Conversion[],2,FALSE)</f>
        <v>0</v>
      </c>
      <c r="AA200" s="62" t="e">
        <f>MATCH(LOOKUP(Data_PLT[[#This Row],[UCS min (MPa)]],Table_FieldStrength[Min UCS]),Table_FieldStrength[Min UCS],0)-1</f>
        <v>#N/A</v>
      </c>
      <c r="AB200" s="62" t="e">
        <f>MATCH(LOOKUP(Data_PLT[[#This Row],[UCS avg (MPa)]],Table_FieldStrength[Min UCS]),Table_FieldStrength[Min UCS],0)-1</f>
        <v>#N/A</v>
      </c>
      <c r="AC200" s="62" t="e">
        <f>MATCH(LOOKUP(Data_PLT[[#This Row],[UCS max (MPa)]],Table_FieldStrength[Min UCS]),Table_FieldStrength[Min UCS],0)-1</f>
        <v>#N/A</v>
      </c>
      <c r="AD200" s="68" t="e">
        <f>Data_PLT[[#This Row],[Test code]]&amp;"-"&amp;Data_PLT[[#This Row],[UCS min code]]</f>
        <v>#N/A</v>
      </c>
      <c r="AE200" s="68" t="e">
        <f>Data_PLT[[#This Row],[Test code]]&amp;"-"&amp;Data_PLT[[#This Row],[UCS avg code]]</f>
        <v>#N/A</v>
      </c>
      <c r="AF200" s="67" t="e">
        <f>Data_PLT[[#This Row],[Test code]]&amp;"-"&amp;Data_PLT[[#This Row],[UCS max code]]</f>
        <v>#N/A</v>
      </c>
      <c r="AG200" s="67" t="str">
        <f>Data_PLT[[#This Row],[Failure type]]&amp;"-"&amp;Data_PLT[[#This Row],[Test type]]&amp;"-"&amp;(IF(Data_PLT[[#This Row],[Is50 (MPa)]]&lt;1,1,IF(Data_PLT[[#This Row],[Is50 (MPa)]]&lt;2,2,IF(Data_PLT[[#This Row],[Is50 (MPa)]]&lt;4,3,IF(Data_PLT[[#This Row],[Is50 (MPa)]]&lt;8,4,5)))))</f>
        <v>Intact-Diametral-1</v>
      </c>
    </row>
    <row r="201" spans="1:33" x14ac:dyDescent="0.25">
      <c r="A201" t="s">
        <v>34</v>
      </c>
      <c r="B201" s="88" t="str">
        <f>VLOOKUP(Data_PLT[[#This Row],[Hole ID]],Data_Log[],2,FALSE)</f>
        <v>CGF-04</v>
      </c>
      <c r="C201" s="63">
        <f>IF(Data_PLT[[#This Row],[Hole ID]]="","",
IF(COUNTIF($A$4:A201,Data_PLT[[#This Row],[Hole ID]])=1,1,
IF(A201=A200,C200+1,
COUNTIF($A$4:A201,Data_PLT[[#This Row],[Hole ID]]))))</f>
        <v>49</v>
      </c>
      <c r="D201" s="63" t="str">
        <f>IF(Data_PLT[[#This Row],[Hole ID]]="","",Data_PLT[[#This Row],[Hole ID]]&amp;"_"&amp;Data_PLT[[#This Row],[Sample ID]])</f>
        <v>COG-25-09_49</v>
      </c>
      <c r="E201" s="6"/>
      <c r="F201" s="6">
        <v>106.14</v>
      </c>
      <c r="G201" s="63" t="str" cm="1">
        <f t="array" ref="G201">_xlfn.XLOOKUP(1,(A201=Geotech!$A$4:$A$11100)*(Data_PLT[[#This Row],[Depth (m)]]&gt;=Geotech!$C$4:$C$11100)*(Data_PLT[[#This Row],[Depth (m)]]&lt;Geotech!$D$4:$D$11100),Geotech!$M$4:$M$11100)</f>
        <v>Boulamarque granodiorite</v>
      </c>
      <c r="H201" s="6" t="s">
        <v>299</v>
      </c>
      <c r="I201" s="63" t="str">
        <f>VLOOKUP(Data_PLT[[#This Row],[Hole ID]],Data_Log[[Hole ID]:[Core size]],20,FALSE)</f>
        <v>HQ</v>
      </c>
      <c r="J201" s="13">
        <f>VLOOKUP(Data_PLT[[#This Row],[Core Size]],Table_CoreSize[],2,FALSE)</f>
        <v>63.5</v>
      </c>
      <c r="K201" s="19">
        <v>110</v>
      </c>
      <c r="L201" s="19" t="s">
        <v>574</v>
      </c>
      <c r="M201" s="5">
        <v>333</v>
      </c>
      <c r="N201" s="5"/>
      <c r="O201" s="6" t="s">
        <v>163</v>
      </c>
      <c r="P201" s="13" t="str">
        <f>IF(Data_PLT[[#This Row],[Failure type]]="","",IF(OR(Data_PLT[[#This Row],[Failure type]]="Invalid",Data_PLT[[#This Row],[Failure type]]="Chipped",Data_PLT[[#This Row],[Failure type]]="Penetrate",Data_PLT[[#This Row],[Failure type]]="Did not break"),"Invalid","Valid"))</f>
        <v>Valid</v>
      </c>
      <c r="Q201" s="6"/>
      <c r="R201" s="11"/>
      <c r="S201" s="13">
        <f>IF(Data_PLT[[#This Row],[Test type]]="Diametral",Data_PLT[[#This Row],[Diameter (mm)]],IF(Data_PLT[[#This Row],[Test type]]="Axial",SQRT(4*Data_PLT[[#This Row],[Diameter (mm)]]*Data_PLT[[#This Row],[Length or width (mm)]]/PI()),"ERROR"))</f>
        <v>63.5</v>
      </c>
      <c r="T201" s="13">
        <f>(Data_PLT[[#This Row],[Load (kN)]]*1000)/Data_PLT[[#This Row],[Equiv. Diam. (mm)]]^2</f>
        <v>0</v>
      </c>
      <c r="U201" s="13">
        <f>(Data_PLT[[#This Row],[Equiv. Diam. (mm)]]/50)^0.45</f>
        <v>1.1135550054708407</v>
      </c>
      <c r="V201" s="13">
        <f>Data_PLT[[#This Row],[Is (MPa)]]*Data_PLT[[#This Row],[F]]</f>
        <v>0</v>
      </c>
      <c r="W201" s="13" t="str">
        <f>Data_PLT[[#This Row],[Failure Validity]]&amp;"-"&amp;Data_PLT[[#This Row],[Test type]]</f>
        <v>Valid-Diametral</v>
      </c>
      <c r="X201" s="13">
        <f>Data_PLT[[#This Row],[Is50 (MPa)]]*VLOOKUP("Min",Table_PLT_Conversion[],2,FALSE)</f>
        <v>0</v>
      </c>
      <c r="Y201" s="13">
        <f>Data_PLT[[#This Row],[Is50 (MPa)]]*VLOOKUP("Avg",Table_PLT_Conversion[],2,FALSE)</f>
        <v>0</v>
      </c>
      <c r="Z201" s="13">
        <f>Data_PLT[[#This Row],[Is50 (MPa)]]*VLOOKUP("Max",Table_PLT_Conversion[],2,FALSE)</f>
        <v>0</v>
      </c>
      <c r="AA201" s="62" t="e">
        <f>MATCH(LOOKUP(Data_PLT[[#This Row],[UCS min (MPa)]],Table_FieldStrength[Min UCS]),Table_FieldStrength[Min UCS],0)-1</f>
        <v>#N/A</v>
      </c>
      <c r="AB201" s="62" t="e">
        <f>MATCH(LOOKUP(Data_PLT[[#This Row],[UCS avg (MPa)]],Table_FieldStrength[Min UCS]),Table_FieldStrength[Min UCS],0)-1</f>
        <v>#N/A</v>
      </c>
      <c r="AC201" s="62" t="e">
        <f>MATCH(LOOKUP(Data_PLT[[#This Row],[UCS max (MPa)]],Table_FieldStrength[Min UCS]),Table_FieldStrength[Min UCS],0)-1</f>
        <v>#N/A</v>
      </c>
      <c r="AD201" s="68" t="e">
        <f>Data_PLT[[#This Row],[Test code]]&amp;"-"&amp;Data_PLT[[#This Row],[UCS min code]]</f>
        <v>#N/A</v>
      </c>
      <c r="AE201" s="68" t="e">
        <f>Data_PLT[[#This Row],[Test code]]&amp;"-"&amp;Data_PLT[[#This Row],[UCS avg code]]</f>
        <v>#N/A</v>
      </c>
      <c r="AF201" s="67" t="e">
        <f>Data_PLT[[#This Row],[Test code]]&amp;"-"&amp;Data_PLT[[#This Row],[UCS max code]]</f>
        <v>#N/A</v>
      </c>
      <c r="AG201" s="67" t="str">
        <f>Data_PLT[[#This Row],[Failure type]]&amp;"-"&amp;Data_PLT[[#This Row],[Test type]]&amp;"-"&amp;(IF(Data_PLT[[#This Row],[Is50 (MPa)]]&lt;1,1,IF(Data_PLT[[#This Row],[Is50 (MPa)]]&lt;2,2,IF(Data_PLT[[#This Row],[Is50 (MPa)]]&lt;4,3,IF(Data_PLT[[#This Row],[Is50 (MPa)]]&lt;8,4,5)))))</f>
        <v>Broke along MD-Diametral-1</v>
      </c>
    </row>
    <row r="202" spans="1:33" x14ac:dyDescent="0.25">
      <c r="A202" t="s">
        <v>34</v>
      </c>
      <c r="B202" s="88" t="str">
        <f>VLOOKUP(Data_PLT[[#This Row],[Hole ID]],Data_Log[],2,FALSE)</f>
        <v>CGF-04</v>
      </c>
      <c r="C202" s="63">
        <f>IF(Data_PLT[[#This Row],[Hole ID]]="","",
IF(COUNTIF($A$4:A202,Data_PLT[[#This Row],[Hole ID]])=1,1,
IF(A202=A201,C201+1,
COUNTIF($A$4:A202,Data_PLT[[#This Row],[Hole ID]]))))</f>
        <v>50</v>
      </c>
      <c r="D202" s="63" t="str">
        <f>IF(Data_PLT[[#This Row],[Hole ID]]="","",Data_PLT[[#This Row],[Hole ID]]&amp;"_"&amp;Data_PLT[[#This Row],[Sample ID]])</f>
        <v>COG-25-09_50</v>
      </c>
      <c r="E202" s="6"/>
      <c r="F202" s="6">
        <v>103.4</v>
      </c>
      <c r="G202" s="63" t="str" cm="1">
        <f t="array" ref="G202">_xlfn.XLOOKUP(1,(A202=Geotech!$A$4:$A$11100)*(Data_PLT[[#This Row],[Depth (m)]]&gt;=Geotech!$C$4:$C$11100)*(Data_PLT[[#This Row],[Depth (m)]]&lt;Geotech!$D$4:$D$11100),Geotech!$M$4:$M$11100)</f>
        <v>Boulamarque granodiorite</v>
      </c>
      <c r="H202" s="6" t="s">
        <v>299</v>
      </c>
      <c r="I202" s="63" t="str">
        <f>VLOOKUP(Data_PLT[[#This Row],[Hole ID]],Data_Log[[Hole ID]:[Core size]],20,FALSE)</f>
        <v>HQ</v>
      </c>
      <c r="J202" s="13">
        <f>VLOOKUP(Data_PLT[[#This Row],[Core Size]],Table_CoreSize[],2,FALSE)</f>
        <v>63.5</v>
      </c>
      <c r="K202" s="19">
        <v>90</v>
      </c>
      <c r="L202" s="19" t="s">
        <v>574</v>
      </c>
      <c r="M202" s="5">
        <v>264.2</v>
      </c>
      <c r="N202" s="5"/>
      <c r="O202" s="6" t="s">
        <v>165</v>
      </c>
      <c r="P202" s="13" t="str">
        <f>IF(Data_PLT[[#This Row],[Failure type]]="","",IF(OR(Data_PLT[[#This Row],[Failure type]]="Invalid",Data_PLT[[#This Row],[Failure type]]="Chipped",Data_PLT[[#This Row],[Failure type]]="Penetrate",Data_PLT[[#This Row],[Failure type]]="Did not break"),"Invalid","Valid"))</f>
        <v>Invalid</v>
      </c>
      <c r="Q202" s="6"/>
      <c r="R202" s="11"/>
      <c r="S202" s="13">
        <f>IF(Data_PLT[[#This Row],[Test type]]="Diametral",Data_PLT[[#This Row],[Diameter (mm)]],IF(Data_PLT[[#This Row],[Test type]]="Axial",SQRT(4*Data_PLT[[#This Row],[Diameter (mm)]]*Data_PLT[[#This Row],[Length or width (mm)]]/PI()),"ERROR"))</f>
        <v>63.5</v>
      </c>
      <c r="T202" s="13">
        <f>(Data_PLT[[#This Row],[Load (kN)]]*1000)/Data_PLT[[#This Row],[Equiv. Diam. (mm)]]^2</f>
        <v>0</v>
      </c>
      <c r="U202" s="13">
        <f>(Data_PLT[[#This Row],[Equiv. Diam. (mm)]]/50)^0.45</f>
        <v>1.1135550054708407</v>
      </c>
      <c r="V202" s="13">
        <f>Data_PLT[[#This Row],[Is (MPa)]]*Data_PLT[[#This Row],[F]]</f>
        <v>0</v>
      </c>
      <c r="W202" s="13" t="str">
        <f>Data_PLT[[#This Row],[Failure Validity]]&amp;"-"&amp;Data_PLT[[#This Row],[Test type]]</f>
        <v>Invalid-Diametral</v>
      </c>
      <c r="X202" s="13">
        <f>Data_PLT[[#This Row],[Is50 (MPa)]]*VLOOKUP("Min",Table_PLT_Conversion[],2,FALSE)</f>
        <v>0</v>
      </c>
      <c r="Y202" s="13">
        <f>Data_PLT[[#This Row],[Is50 (MPa)]]*VLOOKUP("Avg",Table_PLT_Conversion[],2,FALSE)</f>
        <v>0</v>
      </c>
      <c r="Z202" s="13">
        <f>Data_PLT[[#This Row],[Is50 (MPa)]]*VLOOKUP("Max",Table_PLT_Conversion[],2,FALSE)</f>
        <v>0</v>
      </c>
      <c r="AA202" s="62" t="e">
        <f>MATCH(LOOKUP(Data_PLT[[#This Row],[UCS min (MPa)]],Table_FieldStrength[Min UCS]),Table_FieldStrength[Min UCS],0)-1</f>
        <v>#N/A</v>
      </c>
      <c r="AB202" s="62" t="e">
        <f>MATCH(LOOKUP(Data_PLT[[#This Row],[UCS avg (MPa)]],Table_FieldStrength[Min UCS]),Table_FieldStrength[Min UCS],0)-1</f>
        <v>#N/A</v>
      </c>
      <c r="AC202" s="62" t="e">
        <f>MATCH(LOOKUP(Data_PLT[[#This Row],[UCS max (MPa)]],Table_FieldStrength[Min UCS]),Table_FieldStrength[Min UCS],0)-1</f>
        <v>#N/A</v>
      </c>
      <c r="AD202" s="68" t="e">
        <f>Data_PLT[[#This Row],[Test code]]&amp;"-"&amp;Data_PLT[[#This Row],[UCS min code]]</f>
        <v>#N/A</v>
      </c>
      <c r="AE202" s="68" t="e">
        <f>Data_PLT[[#This Row],[Test code]]&amp;"-"&amp;Data_PLT[[#This Row],[UCS avg code]]</f>
        <v>#N/A</v>
      </c>
      <c r="AF202" s="67" t="e">
        <f>Data_PLT[[#This Row],[Test code]]&amp;"-"&amp;Data_PLT[[#This Row],[UCS max code]]</f>
        <v>#N/A</v>
      </c>
      <c r="AG202" s="67" t="str">
        <f>Data_PLT[[#This Row],[Failure type]]&amp;"-"&amp;Data_PLT[[#This Row],[Test type]]&amp;"-"&amp;(IF(Data_PLT[[#This Row],[Is50 (MPa)]]&lt;1,1,IF(Data_PLT[[#This Row],[Is50 (MPa)]]&lt;2,2,IF(Data_PLT[[#This Row],[Is50 (MPa)]]&lt;4,3,IF(Data_PLT[[#This Row],[Is50 (MPa)]]&lt;8,4,5)))))</f>
        <v>Chipped-Diametral-1</v>
      </c>
    </row>
    <row r="203" spans="1:33" x14ac:dyDescent="0.25">
      <c r="A203" t="s">
        <v>34</v>
      </c>
      <c r="B203" s="88" t="str">
        <f>VLOOKUP(Data_PLT[[#This Row],[Hole ID]],Data_Log[],2,FALSE)</f>
        <v>CGF-04</v>
      </c>
      <c r="C203" s="63">
        <f>IF(Data_PLT[[#This Row],[Hole ID]]="","",
IF(COUNTIF($A$4:A203,Data_PLT[[#This Row],[Hole ID]])=1,1,
IF(A203=A202,C202+1,
COUNTIF($A$4:A203,Data_PLT[[#This Row],[Hole ID]]))))</f>
        <v>51</v>
      </c>
      <c r="D203" s="63" t="str">
        <f>IF(Data_PLT[[#This Row],[Hole ID]]="","",Data_PLT[[#This Row],[Hole ID]]&amp;"_"&amp;Data_PLT[[#This Row],[Sample ID]])</f>
        <v>COG-25-09_51</v>
      </c>
      <c r="E203" s="6"/>
      <c r="F203" s="6">
        <v>105.24</v>
      </c>
      <c r="G203" s="63" t="str" cm="1">
        <f t="array" ref="G203">_xlfn.XLOOKUP(1,(A203=Geotech!$A$4:$A$11100)*(Data_PLT[[#This Row],[Depth (m)]]&gt;=Geotech!$C$4:$C$11100)*(Data_PLT[[#This Row],[Depth (m)]]&lt;Geotech!$D$4:$D$11100),Geotech!$M$4:$M$11100)</f>
        <v>Boulamarque granodiorite</v>
      </c>
      <c r="H203" s="6" t="s">
        <v>299</v>
      </c>
      <c r="I203" s="63" t="str">
        <f>VLOOKUP(Data_PLT[[#This Row],[Hole ID]],Data_Log[[Hole ID]:[Core size]],20,FALSE)</f>
        <v>HQ</v>
      </c>
      <c r="J203" s="13">
        <f>VLOOKUP(Data_PLT[[#This Row],[Core Size]],Table_CoreSize[],2,FALSE)</f>
        <v>63.5</v>
      </c>
      <c r="K203" s="19">
        <v>160</v>
      </c>
      <c r="L203" s="19" t="s">
        <v>574</v>
      </c>
      <c r="M203" s="5">
        <v>185.8</v>
      </c>
      <c r="N203" s="5"/>
      <c r="O203" s="6" t="s">
        <v>163</v>
      </c>
      <c r="P203" s="13" t="str">
        <f>IF(Data_PLT[[#This Row],[Failure type]]="","",IF(OR(Data_PLT[[#This Row],[Failure type]]="Invalid",Data_PLT[[#This Row],[Failure type]]="Chipped",Data_PLT[[#This Row],[Failure type]]="Penetrate",Data_PLT[[#This Row],[Failure type]]="Did not break"),"Invalid","Valid"))</f>
        <v>Valid</v>
      </c>
      <c r="Q203" s="6"/>
      <c r="R203" s="11"/>
      <c r="S203" s="13">
        <f>IF(Data_PLT[[#This Row],[Test type]]="Diametral",Data_PLT[[#This Row],[Diameter (mm)]],IF(Data_PLT[[#This Row],[Test type]]="Axial",SQRT(4*Data_PLT[[#This Row],[Diameter (mm)]]*Data_PLT[[#This Row],[Length or width (mm)]]/PI()),"ERROR"))</f>
        <v>63.5</v>
      </c>
      <c r="T203" s="13">
        <f>(Data_PLT[[#This Row],[Load (kN)]]*1000)/Data_PLT[[#This Row],[Equiv. Diam. (mm)]]^2</f>
        <v>0</v>
      </c>
      <c r="U203" s="13">
        <f>(Data_PLT[[#This Row],[Equiv. Diam. (mm)]]/50)^0.45</f>
        <v>1.1135550054708407</v>
      </c>
      <c r="V203" s="13">
        <f>Data_PLT[[#This Row],[Is (MPa)]]*Data_PLT[[#This Row],[F]]</f>
        <v>0</v>
      </c>
      <c r="W203" s="13" t="str">
        <f>Data_PLT[[#This Row],[Failure Validity]]&amp;"-"&amp;Data_PLT[[#This Row],[Test type]]</f>
        <v>Valid-Diametral</v>
      </c>
      <c r="X203" s="13">
        <f>Data_PLT[[#This Row],[Is50 (MPa)]]*VLOOKUP("Min",Table_PLT_Conversion[],2,FALSE)</f>
        <v>0</v>
      </c>
      <c r="Y203" s="13">
        <f>Data_PLT[[#This Row],[Is50 (MPa)]]*VLOOKUP("Avg",Table_PLT_Conversion[],2,FALSE)</f>
        <v>0</v>
      </c>
      <c r="Z203" s="13">
        <f>Data_PLT[[#This Row],[Is50 (MPa)]]*VLOOKUP("Max",Table_PLT_Conversion[],2,FALSE)</f>
        <v>0</v>
      </c>
      <c r="AA203" s="62" t="e">
        <f>MATCH(LOOKUP(Data_PLT[[#This Row],[UCS min (MPa)]],Table_FieldStrength[Min UCS]),Table_FieldStrength[Min UCS],0)-1</f>
        <v>#N/A</v>
      </c>
      <c r="AB203" s="62" t="e">
        <f>MATCH(LOOKUP(Data_PLT[[#This Row],[UCS avg (MPa)]],Table_FieldStrength[Min UCS]),Table_FieldStrength[Min UCS],0)-1</f>
        <v>#N/A</v>
      </c>
      <c r="AC203" s="62" t="e">
        <f>MATCH(LOOKUP(Data_PLT[[#This Row],[UCS max (MPa)]],Table_FieldStrength[Min UCS]),Table_FieldStrength[Min UCS],0)-1</f>
        <v>#N/A</v>
      </c>
      <c r="AD203" s="68" t="e">
        <f>Data_PLT[[#This Row],[Test code]]&amp;"-"&amp;Data_PLT[[#This Row],[UCS min code]]</f>
        <v>#N/A</v>
      </c>
      <c r="AE203" s="68" t="e">
        <f>Data_PLT[[#This Row],[Test code]]&amp;"-"&amp;Data_PLT[[#This Row],[UCS avg code]]</f>
        <v>#N/A</v>
      </c>
      <c r="AF203" s="67" t="e">
        <f>Data_PLT[[#This Row],[Test code]]&amp;"-"&amp;Data_PLT[[#This Row],[UCS max code]]</f>
        <v>#N/A</v>
      </c>
      <c r="AG203" s="67" t="str">
        <f>Data_PLT[[#This Row],[Failure type]]&amp;"-"&amp;Data_PLT[[#This Row],[Test type]]&amp;"-"&amp;(IF(Data_PLT[[#This Row],[Is50 (MPa)]]&lt;1,1,IF(Data_PLT[[#This Row],[Is50 (MPa)]]&lt;2,2,IF(Data_PLT[[#This Row],[Is50 (MPa)]]&lt;4,3,IF(Data_PLT[[#This Row],[Is50 (MPa)]]&lt;8,4,5)))))</f>
        <v>Broke along MD-Diametral-1</v>
      </c>
    </row>
    <row r="204" spans="1:33" x14ac:dyDescent="0.25">
      <c r="A204" t="s">
        <v>34</v>
      </c>
      <c r="B204" s="88" t="str">
        <f>VLOOKUP(Data_PLT[[#This Row],[Hole ID]],Data_Log[],2,FALSE)</f>
        <v>CGF-04</v>
      </c>
      <c r="C204" s="63">
        <f>IF(Data_PLT[[#This Row],[Hole ID]]="","",
IF(COUNTIF($A$4:A204,Data_PLT[[#This Row],[Hole ID]])=1,1,
IF(A204=A203,C203+1,
COUNTIF($A$4:A204,Data_PLT[[#This Row],[Hole ID]]))))</f>
        <v>52</v>
      </c>
      <c r="D204" s="63" t="str">
        <f>IF(Data_PLT[[#This Row],[Hole ID]]="","",Data_PLT[[#This Row],[Hole ID]]&amp;"_"&amp;Data_PLT[[#This Row],[Sample ID]])</f>
        <v>COG-25-09_52</v>
      </c>
      <c r="E204" s="6"/>
      <c r="F204" s="6">
        <v>105.24</v>
      </c>
      <c r="G204" s="63" t="str" cm="1">
        <f t="array" ref="G204">_xlfn.XLOOKUP(1,(A204=Geotech!$A$4:$A$11100)*(Data_PLT[[#This Row],[Depth (m)]]&gt;=Geotech!$C$4:$C$11100)*(Data_PLT[[#This Row],[Depth (m)]]&lt;Geotech!$D$4:$D$11100),Geotech!$M$4:$M$11100)</f>
        <v>Boulamarque granodiorite</v>
      </c>
      <c r="H204" s="6" t="s">
        <v>267</v>
      </c>
      <c r="I204" s="63" t="str">
        <f>VLOOKUP(Data_PLT[[#This Row],[Hole ID]],Data_Log[[Hole ID]:[Core size]],20,FALSE)</f>
        <v>HQ</v>
      </c>
      <c r="J204" s="13">
        <f>VLOOKUP(Data_PLT[[#This Row],[Core Size]],Table_CoreSize[],2,FALSE)</f>
        <v>63.5</v>
      </c>
      <c r="K204" s="19">
        <v>25</v>
      </c>
      <c r="L204" s="19" t="s">
        <v>574</v>
      </c>
      <c r="M204" s="5">
        <v>133</v>
      </c>
      <c r="N204" s="5"/>
      <c r="O204" s="6" t="s">
        <v>363</v>
      </c>
      <c r="P204" s="13" t="str">
        <f>IF(Data_PLT[[#This Row],[Failure type]]="","",IF(OR(Data_PLT[[#This Row],[Failure type]]="Invalid",Data_PLT[[#This Row],[Failure type]]="Chipped",Data_PLT[[#This Row],[Failure type]]="Penetrate",Data_PLT[[#This Row],[Failure type]]="Did not break"),"Invalid","Valid"))</f>
        <v>Valid</v>
      </c>
      <c r="Q204" s="6"/>
      <c r="R204" s="11"/>
      <c r="S204" s="13">
        <f>IF(Data_PLT[[#This Row],[Test type]]="Diametral",Data_PLT[[#This Row],[Diameter (mm)]],IF(Data_PLT[[#This Row],[Test type]]="Axial",SQRT(4*Data_PLT[[#This Row],[Diameter (mm)]]*Data_PLT[[#This Row],[Length or width (mm)]]/PI()),"ERROR"))</f>
        <v>44.958511733231013</v>
      </c>
      <c r="T204" s="13">
        <f>(Data_PLT[[#This Row],[Load (kN)]]*1000)/Data_PLT[[#This Row],[Equiv. Diam. (mm)]]^2</f>
        <v>0</v>
      </c>
      <c r="U204" s="13">
        <f>(Data_PLT[[#This Row],[Equiv. Diam. (mm)]]/50)^0.45</f>
        <v>0.9532984016969771</v>
      </c>
      <c r="V204" s="13">
        <f>Data_PLT[[#This Row],[Is (MPa)]]*Data_PLT[[#This Row],[F]]</f>
        <v>0</v>
      </c>
      <c r="W204" s="13" t="str">
        <f>Data_PLT[[#This Row],[Failure Validity]]&amp;"-"&amp;Data_PLT[[#This Row],[Test type]]</f>
        <v>Valid-Axial</v>
      </c>
      <c r="X204" s="13">
        <f>Data_PLT[[#This Row],[Is50 (MPa)]]*VLOOKUP("Min",Table_PLT_Conversion[],2,FALSE)</f>
        <v>0</v>
      </c>
      <c r="Y204" s="13">
        <f>Data_PLT[[#This Row],[Is50 (MPa)]]*VLOOKUP("Avg",Table_PLT_Conversion[],2,FALSE)</f>
        <v>0</v>
      </c>
      <c r="Z204" s="13">
        <f>Data_PLT[[#This Row],[Is50 (MPa)]]*VLOOKUP("Max",Table_PLT_Conversion[],2,FALSE)</f>
        <v>0</v>
      </c>
      <c r="AA204" s="62" t="e">
        <f>MATCH(LOOKUP(Data_PLT[[#This Row],[UCS min (MPa)]],Table_FieldStrength[Min UCS]),Table_FieldStrength[Min UCS],0)-1</f>
        <v>#N/A</v>
      </c>
      <c r="AB204" s="62" t="e">
        <f>MATCH(LOOKUP(Data_PLT[[#This Row],[UCS avg (MPa)]],Table_FieldStrength[Min UCS]),Table_FieldStrength[Min UCS],0)-1</f>
        <v>#N/A</v>
      </c>
      <c r="AC204" s="62" t="e">
        <f>MATCH(LOOKUP(Data_PLT[[#This Row],[UCS max (MPa)]],Table_FieldStrength[Min UCS]),Table_FieldStrength[Min UCS],0)-1</f>
        <v>#N/A</v>
      </c>
      <c r="AD204" s="68" t="e">
        <f>Data_PLT[[#This Row],[Test code]]&amp;"-"&amp;Data_PLT[[#This Row],[UCS min code]]</f>
        <v>#N/A</v>
      </c>
      <c r="AE204" s="68" t="e">
        <f>Data_PLT[[#This Row],[Test code]]&amp;"-"&amp;Data_PLT[[#This Row],[UCS avg code]]</f>
        <v>#N/A</v>
      </c>
      <c r="AF204" s="67" t="e">
        <f>Data_PLT[[#This Row],[Test code]]&amp;"-"&amp;Data_PLT[[#This Row],[UCS max code]]</f>
        <v>#N/A</v>
      </c>
      <c r="AG204" s="67" t="str">
        <f>Data_PLT[[#This Row],[Failure type]]&amp;"-"&amp;Data_PLT[[#This Row],[Test type]]&amp;"-"&amp;(IF(Data_PLT[[#This Row],[Is50 (MPa)]]&lt;1,1,IF(Data_PLT[[#This Row],[Is50 (MPa)]]&lt;2,2,IF(Data_PLT[[#This Row],[Is50 (MPa)]]&lt;4,3,IF(Data_PLT[[#This Row],[Is50 (MPa)]]&lt;8,4,5)))))</f>
        <v>Perp. bedding-Axial-1</v>
      </c>
    </row>
    <row r="205" spans="1:33" x14ac:dyDescent="0.25">
      <c r="A205" t="s">
        <v>34</v>
      </c>
      <c r="B205" s="88" t="str">
        <f>VLOOKUP(Data_PLT[[#This Row],[Hole ID]],Data_Log[],2,FALSE)</f>
        <v>CGF-04</v>
      </c>
      <c r="C205" s="63">
        <f>IF(Data_PLT[[#This Row],[Hole ID]]="","",
IF(COUNTIF($A$4:A205,Data_PLT[[#This Row],[Hole ID]])=1,1,
IF(A205=A204,C204+1,
COUNTIF($A$4:A205,Data_PLT[[#This Row],[Hole ID]]))))</f>
        <v>53</v>
      </c>
      <c r="D205" s="63" t="str">
        <f>IF(Data_PLT[[#This Row],[Hole ID]]="","",Data_PLT[[#This Row],[Hole ID]]&amp;"_"&amp;Data_PLT[[#This Row],[Sample ID]])</f>
        <v>COG-25-09_53</v>
      </c>
      <c r="E205" s="6"/>
      <c r="F205" s="6">
        <v>109.34</v>
      </c>
      <c r="G205" s="63" t="str" cm="1">
        <f t="array" ref="G205">_xlfn.XLOOKUP(1,(A205=Geotech!$A$4:$A$11100)*(Data_PLT[[#This Row],[Depth (m)]]&gt;=Geotech!$C$4:$C$11100)*(Data_PLT[[#This Row],[Depth (m)]]&lt;Geotech!$D$4:$D$11100),Geotech!$M$4:$M$11100)</f>
        <v>Boulamarque granodiorite</v>
      </c>
      <c r="H205" s="6" t="s">
        <v>299</v>
      </c>
      <c r="I205" s="63" t="str">
        <f>VLOOKUP(Data_PLT[[#This Row],[Hole ID]],Data_Log[[Hole ID]:[Core size]],20,FALSE)</f>
        <v>HQ</v>
      </c>
      <c r="J205" s="13">
        <f>VLOOKUP(Data_PLT[[#This Row],[Core Size]],Table_CoreSize[],2,FALSE)</f>
        <v>63.5</v>
      </c>
      <c r="K205" s="19">
        <v>75</v>
      </c>
      <c r="L205" s="19" t="s">
        <v>574</v>
      </c>
      <c r="M205" s="5">
        <v>245.4</v>
      </c>
      <c r="N205" s="5"/>
      <c r="O205" s="6" t="s">
        <v>334</v>
      </c>
      <c r="P205" s="13" t="str">
        <f>IF(Data_PLT[[#This Row],[Failure type]]="","",IF(OR(Data_PLT[[#This Row],[Failure type]]="Invalid",Data_PLT[[#This Row],[Failure type]]="Chipped",Data_PLT[[#This Row],[Failure type]]="Penetrate",Data_PLT[[#This Row],[Failure type]]="Did not break"),"Invalid","Valid"))</f>
        <v>Valid</v>
      </c>
      <c r="Q205" s="6"/>
      <c r="R205" s="11"/>
      <c r="S205" s="13">
        <f>IF(Data_PLT[[#This Row],[Test type]]="Diametral",Data_PLT[[#This Row],[Diameter (mm)]],IF(Data_PLT[[#This Row],[Test type]]="Axial",SQRT(4*Data_PLT[[#This Row],[Diameter (mm)]]*Data_PLT[[#This Row],[Length or width (mm)]]/PI()),"ERROR"))</f>
        <v>63.5</v>
      </c>
      <c r="T205" s="13">
        <f>(Data_PLT[[#This Row],[Load (kN)]]*1000)/Data_PLT[[#This Row],[Equiv. Diam. (mm)]]^2</f>
        <v>0</v>
      </c>
      <c r="U205" s="13">
        <f>(Data_PLT[[#This Row],[Equiv. Diam. (mm)]]/50)^0.45</f>
        <v>1.1135550054708407</v>
      </c>
      <c r="V205" s="13">
        <f>Data_PLT[[#This Row],[Is (MPa)]]*Data_PLT[[#This Row],[F]]</f>
        <v>0</v>
      </c>
      <c r="W205" s="13" t="str">
        <f>Data_PLT[[#This Row],[Failure Validity]]&amp;"-"&amp;Data_PLT[[#This Row],[Test type]]</f>
        <v>Valid-Diametral</v>
      </c>
      <c r="X205" s="13">
        <f>Data_PLT[[#This Row],[Is50 (MPa)]]*VLOOKUP("Min",Table_PLT_Conversion[],2,FALSE)</f>
        <v>0</v>
      </c>
      <c r="Y205" s="13">
        <f>Data_PLT[[#This Row],[Is50 (MPa)]]*VLOOKUP("Avg",Table_PLT_Conversion[],2,FALSE)</f>
        <v>0</v>
      </c>
      <c r="Z205" s="13">
        <f>Data_PLT[[#This Row],[Is50 (MPa)]]*VLOOKUP("Max",Table_PLT_Conversion[],2,FALSE)</f>
        <v>0</v>
      </c>
      <c r="AA205" s="62" t="e">
        <f>MATCH(LOOKUP(Data_PLT[[#This Row],[UCS min (MPa)]],Table_FieldStrength[Min UCS]),Table_FieldStrength[Min UCS],0)-1</f>
        <v>#N/A</v>
      </c>
      <c r="AB205" s="62" t="e">
        <f>MATCH(LOOKUP(Data_PLT[[#This Row],[UCS avg (MPa)]],Table_FieldStrength[Min UCS]),Table_FieldStrength[Min UCS],0)-1</f>
        <v>#N/A</v>
      </c>
      <c r="AC205" s="62" t="e">
        <f>MATCH(LOOKUP(Data_PLT[[#This Row],[UCS max (MPa)]],Table_FieldStrength[Min UCS]),Table_FieldStrength[Min UCS],0)-1</f>
        <v>#N/A</v>
      </c>
      <c r="AD205" s="68" t="e">
        <f>Data_PLT[[#This Row],[Test code]]&amp;"-"&amp;Data_PLT[[#This Row],[UCS min code]]</f>
        <v>#N/A</v>
      </c>
      <c r="AE205" s="68" t="e">
        <f>Data_PLT[[#This Row],[Test code]]&amp;"-"&amp;Data_PLT[[#This Row],[UCS avg code]]</f>
        <v>#N/A</v>
      </c>
      <c r="AF205" s="67" t="e">
        <f>Data_PLT[[#This Row],[Test code]]&amp;"-"&amp;Data_PLT[[#This Row],[UCS max code]]</f>
        <v>#N/A</v>
      </c>
      <c r="AG205" s="67" t="str">
        <f>Data_PLT[[#This Row],[Failure type]]&amp;"-"&amp;Data_PLT[[#This Row],[Test type]]&amp;"-"&amp;(IF(Data_PLT[[#This Row],[Is50 (MPa)]]&lt;1,1,IF(Data_PLT[[#This Row],[Is50 (MPa)]]&lt;2,2,IF(Data_PLT[[#This Row],[Is50 (MPa)]]&lt;4,3,IF(Data_PLT[[#This Row],[Is50 (MPa)]]&lt;8,4,5)))))</f>
        <v>Along bedding/foliation-Diametral-1</v>
      </c>
    </row>
    <row r="206" spans="1:33" x14ac:dyDescent="0.25">
      <c r="A206" t="s">
        <v>34</v>
      </c>
      <c r="B206" s="88" t="str">
        <f>VLOOKUP(Data_PLT[[#This Row],[Hole ID]],Data_Log[],2,FALSE)</f>
        <v>CGF-04</v>
      </c>
      <c r="C206" s="63">
        <f>IF(Data_PLT[[#This Row],[Hole ID]]="","",
IF(COUNTIF($A$4:A206,Data_PLT[[#This Row],[Hole ID]])=1,1,
IF(A206=A205,C205+1,
COUNTIF($A$4:A206,Data_PLT[[#This Row],[Hole ID]]))))</f>
        <v>54</v>
      </c>
      <c r="D206" s="63" t="str">
        <f>IF(Data_PLT[[#This Row],[Hole ID]]="","",Data_PLT[[#This Row],[Hole ID]]&amp;"_"&amp;Data_PLT[[#This Row],[Sample ID]])</f>
        <v>COG-25-09_54</v>
      </c>
      <c r="E206" s="6"/>
      <c r="F206" s="6">
        <v>109.34</v>
      </c>
      <c r="G206" s="63" t="str" cm="1">
        <f t="array" ref="G206">_xlfn.XLOOKUP(1,(A206=Geotech!$A$4:$A$11100)*(Data_PLT[[#This Row],[Depth (m)]]&gt;=Geotech!$C$4:$C$11100)*(Data_PLT[[#This Row],[Depth (m)]]&lt;Geotech!$D$4:$D$11100),Geotech!$M$4:$M$11100)</f>
        <v>Boulamarque granodiorite</v>
      </c>
      <c r="H206" s="6" t="s">
        <v>267</v>
      </c>
      <c r="I206" s="63" t="str">
        <f>VLOOKUP(Data_PLT[[#This Row],[Hole ID]],Data_Log[[Hole ID]:[Core size]],20,FALSE)</f>
        <v>HQ</v>
      </c>
      <c r="J206" s="13">
        <f>VLOOKUP(Data_PLT[[#This Row],[Core Size]],Table_CoreSize[],2,FALSE)</f>
        <v>63.5</v>
      </c>
      <c r="K206" s="19">
        <v>35</v>
      </c>
      <c r="L206" s="19" t="s">
        <v>574</v>
      </c>
      <c r="M206" s="5">
        <v>236.4</v>
      </c>
      <c r="N206" s="5"/>
      <c r="O206" s="6" t="s">
        <v>363</v>
      </c>
      <c r="P206" s="13" t="str">
        <f>IF(Data_PLT[[#This Row],[Failure type]]="","",IF(OR(Data_PLT[[#This Row],[Failure type]]="Invalid",Data_PLT[[#This Row],[Failure type]]="Chipped",Data_PLT[[#This Row],[Failure type]]="Penetrate",Data_PLT[[#This Row],[Failure type]]="Did not break"),"Invalid","Valid"))</f>
        <v>Valid</v>
      </c>
      <c r="Q206" s="6"/>
      <c r="R206" s="11"/>
      <c r="S206" s="13">
        <f>IF(Data_PLT[[#This Row],[Test type]]="Diametral",Data_PLT[[#This Row],[Diameter (mm)]],IF(Data_PLT[[#This Row],[Test type]]="Axial",SQRT(4*Data_PLT[[#This Row],[Diameter (mm)]]*Data_PLT[[#This Row],[Length or width (mm)]]/PI()),"ERROR"))</f>
        <v>53.19562846864298</v>
      </c>
      <c r="T206" s="13">
        <f>(Data_PLT[[#This Row],[Load (kN)]]*1000)/Data_PLT[[#This Row],[Equiv. Diam. (mm)]]^2</f>
        <v>0</v>
      </c>
      <c r="U206" s="13">
        <f>(Data_PLT[[#This Row],[Equiv. Diam. (mm)]]/50)^0.45</f>
        <v>1.0282712017332063</v>
      </c>
      <c r="V206" s="13">
        <f>Data_PLT[[#This Row],[Is (MPa)]]*Data_PLT[[#This Row],[F]]</f>
        <v>0</v>
      </c>
      <c r="W206" s="13" t="str">
        <f>Data_PLT[[#This Row],[Failure Validity]]&amp;"-"&amp;Data_PLT[[#This Row],[Test type]]</f>
        <v>Valid-Axial</v>
      </c>
      <c r="X206" s="13">
        <f>Data_PLT[[#This Row],[Is50 (MPa)]]*VLOOKUP("Min",Table_PLT_Conversion[],2,FALSE)</f>
        <v>0</v>
      </c>
      <c r="Y206" s="13">
        <f>Data_PLT[[#This Row],[Is50 (MPa)]]*VLOOKUP("Avg",Table_PLT_Conversion[],2,FALSE)</f>
        <v>0</v>
      </c>
      <c r="Z206" s="13">
        <f>Data_PLT[[#This Row],[Is50 (MPa)]]*VLOOKUP("Max",Table_PLT_Conversion[],2,FALSE)</f>
        <v>0</v>
      </c>
      <c r="AA206" s="62" t="e">
        <f>MATCH(LOOKUP(Data_PLT[[#This Row],[UCS min (MPa)]],Table_FieldStrength[Min UCS]),Table_FieldStrength[Min UCS],0)-1</f>
        <v>#N/A</v>
      </c>
      <c r="AB206" s="62" t="e">
        <f>MATCH(LOOKUP(Data_PLT[[#This Row],[UCS avg (MPa)]],Table_FieldStrength[Min UCS]),Table_FieldStrength[Min UCS],0)-1</f>
        <v>#N/A</v>
      </c>
      <c r="AC206" s="62" t="e">
        <f>MATCH(LOOKUP(Data_PLT[[#This Row],[UCS max (MPa)]],Table_FieldStrength[Min UCS]),Table_FieldStrength[Min UCS],0)-1</f>
        <v>#N/A</v>
      </c>
      <c r="AD206" s="68" t="e">
        <f>Data_PLT[[#This Row],[Test code]]&amp;"-"&amp;Data_PLT[[#This Row],[UCS min code]]</f>
        <v>#N/A</v>
      </c>
      <c r="AE206" s="68" t="e">
        <f>Data_PLT[[#This Row],[Test code]]&amp;"-"&amp;Data_PLT[[#This Row],[UCS avg code]]</f>
        <v>#N/A</v>
      </c>
      <c r="AF206" s="67" t="e">
        <f>Data_PLT[[#This Row],[Test code]]&amp;"-"&amp;Data_PLT[[#This Row],[UCS max code]]</f>
        <v>#N/A</v>
      </c>
      <c r="AG206" s="67" t="str">
        <f>Data_PLT[[#This Row],[Failure type]]&amp;"-"&amp;Data_PLT[[#This Row],[Test type]]&amp;"-"&amp;(IF(Data_PLT[[#This Row],[Is50 (MPa)]]&lt;1,1,IF(Data_PLT[[#This Row],[Is50 (MPa)]]&lt;2,2,IF(Data_PLT[[#This Row],[Is50 (MPa)]]&lt;4,3,IF(Data_PLT[[#This Row],[Is50 (MPa)]]&lt;8,4,5)))))</f>
        <v>Perp. bedding-Axial-1</v>
      </c>
    </row>
    <row r="207" spans="1:33" x14ac:dyDescent="0.25">
      <c r="A207" t="s">
        <v>34</v>
      </c>
      <c r="B207" s="88" t="str">
        <f>VLOOKUP(Data_PLT[[#This Row],[Hole ID]],Data_Log[],2,FALSE)</f>
        <v>CGF-04</v>
      </c>
      <c r="C207" s="63">
        <f>IF(Data_PLT[[#This Row],[Hole ID]]="","",
IF(COUNTIF($A$4:A207,Data_PLT[[#This Row],[Hole ID]])=1,1,
IF(A207=A206,C206+1,
COUNTIF($A$4:A207,Data_PLT[[#This Row],[Hole ID]]))))</f>
        <v>55</v>
      </c>
      <c r="D207" s="63" t="str">
        <f>IF(Data_PLT[[#This Row],[Hole ID]]="","",Data_PLT[[#This Row],[Hole ID]]&amp;"_"&amp;Data_PLT[[#This Row],[Sample ID]])</f>
        <v>COG-25-09_55</v>
      </c>
      <c r="E207" s="6"/>
      <c r="F207" s="6">
        <v>111.61</v>
      </c>
      <c r="G207" s="63" t="str" cm="1">
        <f t="array" ref="G207">_xlfn.XLOOKUP(1,(A207=Geotech!$A$4:$A$11100)*(Data_PLT[[#This Row],[Depth (m)]]&gt;=Geotech!$C$4:$C$11100)*(Data_PLT[[#This Row],[Depth (m)]]&lt;Geotech!$D$4:$D$11100),Geotech!$M$4:$M$11100)</f>
        <v>Boulamarque granodiorite</v>
      </c>
      <c r="H207" s="6" t="s">
        <v>299</v>
      </c>
      <c r="I207" s="63" t="str">
        <f>VLOOKUP(Data_PLT[[#This Row],[Hole ID]],Data_Log[[Hole ID]:[Core size]],20,FALSE)</f>
        <v>HQ</v>
      </c>
      <c r="J207" s="13">
        <f>VLOOKUP(Data_PLT[[#This Row],[Core Size]],Table_CoreSize[],2,FALSE)</f>
        <v>63.5</v>
      </c>
      <c r="K207" s="19">
        <v>100</v>
      </c>
      <c r="L207" s="19" t="s">
        <v>574</v>
      </c>
      <c r="M207" s="5">
        <v>114.6</v>
      </c>
      <c r="N207" s="5"/>
      <c r="O207" s="6" t="s">
        <v>334</v>
      </c>
      <c r="P207" s="13" t="str">
        <f>IF(Data_PLT[[#This Row],[Failure type]]="","",IF(OR(Data_PLT[[#This Row],[Failure type]]="Invalid",Data_PLT[[#This Row],[Failure type]]="Chipped",Data_PLT[[#This Row],[Failure type]]="Penetrate",Data_PLT[[#This Row],[Failure type]]="Did not break"),"Invalid","Valid"))</f>
        <v>Valid</v>
      </c>
      <c r="Q207" s="6"/>
      <c r="R207" s="11"/>
      <c r="S207" s="13">
        <f>IF(Data_PLT[[#This Row],[Test type]]="Diametral",Data_PLT[[#This Row],[Diameter (mm)]],IF(Data_PLT[[#This Row],[Test type]]="Axial",SQRT(4*Data_PLT[[#This Row],[Diameter (mm)]]*Data_PLT[[#This Row],[Length or width (mm)]]/PI()),"ERROR"))</f>
        <v>63.5</v>
      </c>
      <c r="T207" s="13">
        <f>(Data_PLT[[#This Row],[Load (kN)]]*1000)/Data_PLT[[#This Row],[Equiv. Diam. (mm)]]^2</f>
        <v>0</v>
      </c>
      <c r="U207" s="13">
        <f>(Data_PLT[[#This Row],[Equiv. Diam. (mm)]]/50)^0.45</f>
        <v>1.1135550054708407</v>
      </c>
      <c r="V207" s="13">
        <f>Data_PLT[[#This Row],[Is (MPa)]]*Data_PLT[[#This Row],[F]]</f>
        <v>0</v>
      </c>
      <c r="W207" s="13" t="str">
        <f>Data_PLT[[#This Row],[Failure Validity]]&amp;"-"&amp;Data_PLT[[#This Row],[Test type]]</f>
        <v>Valid-Diametral</v>
      </c>
      <c r="X207" s="13">
        <f>Data_PLT[[#This Row],[Is50 (MPa)]]*VLOOKUP("Min",Table_PLT_Conversion[],2,FALSE)</f>
        <v>0</v>
      </c>
      <c r="Y207" s="13">
        <f>Data_PLT[[#This Row],[Is50 (MPa)]]*VLOOKUP("Avg",Table_PLT_Conversion[],2,FALSE)</f>
        <v>0</v>
      </c>
      <c r="Z207" s="13">
        <f>Data_PLT[[#This Row],[Is50 (MPa)]]*VLOOKUP("Max",Table_PLT_Conversion[],2,FALSE)</f>
        <v>0</v>
      </c>
      <c r="AA207" s="62" t="e">
        <f>MATCH(LOOKUP(Data_PLT[[#This Row],[UCS min (MPa)]],Table_FieldStrength[Min UCS]),Table_FieldStrength[Min UCS],0)-1</f>
        <v>#N/A</v>
      </c>
      <c r="AB207" s="62" t="e">
        <f>MATCH(LOOKUP(Data_PLT[[#This Row],[UCS avg (MPa)]],Table_FieldStrength[Min UCS]),Table_FieldStrength[Min UCS],0)-1</f>
        <v>#N/A</v>
      </c>
      <c r="AC207" s="62" t="e">
        <f>MATCH(LOOKUP(Data_PLT[[#This Row],[UCS max (MPa)]],Table_FieldStrength[Min UCS]),Table_FieldStrength[Min UCS],0)-1</f>
        <v>#N/A</v>
      </c>
      <c r="AD207" s="68" t="e">
        <f>Data_PLT[[#This Row],[Test code]]&amp;"-"&amp;Data_PLT[[#This Row],[UCS min code]]</f>
        <v>#N/A</v>
      </c>
      <c r="AE207" s="68" t="e">
        <f>Data_PLT[[#This Row],[Test code]]&amp;"-"&amp;Data_PLT[[#This Row],[UCS avg code]]</f>
        <v>#N/A</v>
      </c>
      <c r="AF207" s="67" t="e">
        <f>Data_PLT[[#This Row],[Test code]]&amp;"-"&amp;Data_PLT[[#This Row],[UCS max code]]</f>
        <v>#N/A</v>
      </c>
      <c r="AG207" s="67" t="str">
        <f>Data_PLT[[#This Row],[Failure type]]&amp;"-"&amp;Data_PLT[[#This Row],[Test type]]&amp;"-"&amp;(IF(Data_PLT[[#This Row],[Is50 (MPa)]]&lt;1,1,IF(Data_PLT[[#This Row],[Is50 (MPa)]]&lt;2,2,IF(Data_PLT[[#This Row],[Is50 (MPa)]]&lt;4,3,IF(Data_PLT[[#This Row],[Is50 (MPa)]]&lt;8,4,5)))))</f>
        <v>Along bedding/foliation-Diametral-1</v>
      </c>
    </row>
    <row r="208" spans="1:33" x14ac:dyDescent="0.25">
      <c r="A208" t="s">
        <v>34</v>
      </c>
      <c r="B208" s="88" t="str">
        <f>VLOOKUP(Data_PLT[[#This Row],[Hole ID]],Data_Log[],2,FALSE)</f>
        <v>CGF-04</v>
      </c>
      <c r="C208" s="63">
        <f>IF(Data_PLT[[#This Row],[Hole ID]]="","",
IF(COUNTIF($A$4:A208,Data_PLT[[#This Row],[Hole ID]])=1,1,
IF(A208=A207,C207+1,
COUNTIF($A$4:A208,Data_PLT[[#This Row],[Hole ID]]))))</f>
        <v>56</v>
      </c>
      <c r="D208" s="63" t="str">
        <f>IF(Data_PLT[[#This Row],[Hole ID]]="","",Data_PLT[[#This Row],[Hole ID]]&amp;"_"&amp;Data_PLT[[#This Row],[Sample ID]])</f>
        <v>COG-25-09_56</v>
      </c>
      <c r="E208" s="6"/>
      <c r="F208" s="6">
        <v>101.95</v>
      </c>
      <c r="G208" s="63" t="str" cm="1">
        <f t="array" ref="G208">_xlfn.XLOOKUP(1,(A208=Geotech!$A$4:$A$11100)*(Data_PLT[[#This Row],[Depth (m)]]&gt;=Geotech!$C$4:$C$11100)*(Data_PLT[[#This Row],[Depth (m)]]&lt;Geotech!$D$4:$D$11100),Geotech!$M$4:$M$11100)</f>
        <v>Boulamarque granodiorite</v>
      </c>
      <c r="H208" s="6" t="s">
        <v>267</v>
      </c>
      <c r="I208" s="63" t="str">
        <f>VLOOKUP(Data_PLT[[#This Row],[Hole ID]],Data_Log[[Hole ID]:[Core size]],20,FALSE)</f>
        <v>HQ</v>
      </c>
      <c r="J208" s="13">
        <f>VLOOKUP(Data_PLT[[#This Row],[Core Size]],Table_CoreSize[],2,FALSE)</f>
        <v>63.5</v>
      </c>
      <c r="K208" s="19">
        <v>55</v>
      </c>
      <c r="L208" s="19" t="s">
        <v>574</v>
      </c>
      <c r="M208" s="5">
        <v>69.400000000000006</v>
      </c>
      <c r="N208" s="5"/>
      <c r="O208" s="6" t="s">
        <v>165</v>
      </c>
      <c r="P208" s="13" t="str">
        <f>IF(Data_PLT[[#This Row],[Failure type]]="","",IF(OR(Data_PLT[[#This Row],[Failure type]]="Invalid",Data_PLT[[#This Row],[Failure type]]="Chipped",Data_PLT[[#This Row],[Failure type]]="Penetrate",Data_PLT[[#This Row],[Failure type]]="Did not break"),"Invalid","Valid"))</f>
        <v>Invalid</v>
      </c>
      <c r="Q208" s="6"/>
      <c r="R208" s="11"/>
      <c r="S208" s="13">
        <f>IF(Data_PLT[[#This Row],[Test type]]="Diametral",Data_PLT[[#This Row],[Diameter (mm)]],IF(Data_PLT[[#This Row],[Test type]]="Axial",SQRT(4*Data_PLT[[#This Row],[Diameter (mm)]]*Data_PLT[[#This Row],[Length or width (mm)]]/PI()),"ERROR"))</f>
        <v>66.684249339612094</v>
      </c>
      <c r="T208" s="13">
        <f>(Data_PLT[[#This Row],[Load (kN)]]*1000)/Data_PLT[[#This Row],[Equiv. Diam. (mm)]]^2</f>
        <v>0</v>
      </c>
      <c r="U208" s="13">
        <f>(Data_PLT[[#This Row],[Equiv. Diam. (mm)]]/50)^0.45</f>
        <v>1.1383451671018507</v>
      </c>
      <c r="V208" s="13">
        <f>Data_PLT[[#This Row],[Is (MPa)]]*Data_PLT[[#This Row],[F]]</f>
        <v>0</v>
      </c>
      <c r="W208" s="13" t="str">
        <f>Data_PLT[[#This Row],[Failure Validity]]&amp;"-"&amp;Data_PLT[[#This Row],[Test type]]</f>
        <v>Invalid-Axial</v>
      </c>
      <c r="X208" s="13">
        <f>Data_PLT[[#This Row],[Is50 (MPa)]]*VLOOKUP("Min",Table_PLT_Conversion[],2,FALSE)</f>
        <v>0</v>
      </c>
      <c r="Y208" s="13">
        <f>Data_PLT[[#This Row],[Is50 (MPa)]]*VLOOKUP("Avg",Table_PLT_Conversion[],2,FALSE)</f>
        <v>0</v>
      </c>
      <c r="Z208" s="13">
        <f>Data_PLT[[#This Row],[Is50 (MPa)]]*VLOOKUP("Max",Table_PLT_Conversion[],2,FALSE)</f>
        <v>0</v>
      </c>
      <c r="AA208" s="62" t="e">
        <f>MATCH(LOOKUP(Data_PLT[[#This Row],[UCS min (MPa)]],Table_FieldStrength[Min UCS]),Table_FieldStrength[Min UCS],0)-1</f>
        <v>#N/A</v>
      </c>
      <c r="AB208" s="62" t="e">
        <f>MATCH(LOOKUP(Data_PLT[[#This Row],[UCS avg (MPa)]],Table_FieldStrength[Min UCS]),Table_FieldStrength[Min UCS],0)-1</f>
        <v>#N/A</v>
      </c>
      <c r="AC208" s="62" t="e">
        <f>MATCH(LOOKUP(Data_PLT[[#This Row],[UCS max (MPa)]],Table_FieldStrength[Min UCS]),Table_FieldStrength[Min UCS],0)-1</f>
        <v>#N/A</v>
      </c>
      <c r="AD208" s="68" t="e">
        <f>Data_PLT[[#This Row],[Test code]]&amp;"-"&amp;Data_PLT[[#This Row],[UCS min code]]</f>
        <v>#N/A</v>
      </c>
      <c r="AE208" s="68" t="e">
        <f>Data_PLT[[#This Row],[Test code]]&amp;"-"&amp;Data_PLT[[#This Row],[UCS avg code]]</f>
        <v>#N/A</v>
      </c>
      <c r="AF208" s="67" t="e">
        <f>Data_PLT[[#This Row],[Test code]]&amp;"-"&amp;Data_PLT[[#This Row],[UCS max code]]</f>
        <v>#N/A</v>
      </c>
      <c r="AG208" s="67" t="str">
        <f>Data_PLT[[#This Row],[Failure type]]&amp;"-"&amp;Data_PLT[[#This Row],[Test type]]&amp;"-"&amp;(IF(Data_PLT[[#This Row],[Is50 (MPa)]]&lt;1,1,IF(Data_PLT[[#This Row],[Is50 (MPa)]]&lt;2,2,IF(Data_PLT[[#This Row],[Is50 (MPa)]]&lt;4,3,IF(Data_PLT[[#This Row],[Is50 (MPa)]]&lt;8,4,5)))))</f>
        <v>Chipped-Axial-1</v>
      </c>
    </row>
    <row r="209" spans="1:33" x14ac:dyDescent="0.25">
      <c r="A209" t="s">
        <v>34</v>
      </c>
      <c r="B209" s="88" t="str">
        <f>VLOOKUP(Data_PLT[[#This Row],[Hole ID]],Data_Log[],2,FALSE)</f>
        <v>CGF-04</v>
      </c>
      <c r="C209" s="63">
        <f>IF(Data_PLT[[#This Row],[Hole ID]]="","",
IF(COUNTIF($A$4:A209,Data_PLT[[#This Row],[Hole ID]])=1,1,
IF(A209=A208,C208+1,
COUNTIF($A$4:A209,Data_PLT[[#This Row],[Hole ID]]))))</f>
        <v>57</v>
      </c>
      <c r="D209" s="63" t="str">
        <f>IF(Data_PLT[[#This Row],[Hole ID]]="","",Data_PLT[[#This Row],[Hole ID]]&amp;"_"&amp;Data_PLT[[#This Row],[Sample ID]])</f>
        <v>COG-25-09_57</v>
      </c>
      <c r="E209" s="6"/>
      <c r="F209" s="6">
        <v>114.67</v>
      </c>
      <c r="G209" s="63" t="str" cm="1">
        <f t="array" ref="G209">_xlfn.XLOOKUP(1,(A209=Geotech!$A$4:$A$11100)*(Data_PLT[[#This Row],[Depth (m)]]&gt;=Geotech!$C$4:$C$11100)*(Data_PLT[[#This Row],[Depth (m)]]&lt;Geotech!$D$4:$D$11100),Geotech!$M$4:$M$11100)</f>
        <v>Boulamarque granodiorite</v>
      </c>
      <c r="H209" s="6" t="s">
        <v>299</v>
      </c>
      <c r="I209" s="63" t="str">
        <f>VLOOKUP(Data_PLT[[#This Row],[Hole ID]],Data_Log[[Hole ID]:[Core size]],20,FALSE)</f>
        <v>HQ</v>
      </c>
      <c r="J209" s="13">
        <f>VLOOKUP(Data_PLT[[#This Row],[Core Size]],Table_CoreSize[],2,FALSE)</f>
        <v>63.5</v>
      </c>
      <c r="K209" s="19">
        <v>90</v>
      </c>
      <c r="L209" s="19" t="s">
        <v>574</v>
      </c>
      <c r="M209" s="5">
        <v>208.8</v>
      </c>
      <c r="N209" s="5"/>
      <c r="O209" s="6" t="s">
        <v>334</v>
      </c>
      <c r="P209" s="13" t="str">
        <f>IF(Data_PLT[[#This Row],[Failure type]]="","",IF(OR(Data_PLT[[#This Row],[Failure type]]="Invalid",Data_PLT[[#This Row],[Failure type]]="Chipped",Data_PLT[[#This Row],[Failure type]]="Penetrate",Data_PLT[[#This Row],[Failure type]]="Did not break"),"Invalid","Valid"))</f>
        <v>Valid</v>
      </c>
      <c r="Q209" s="6"/>
      <c r="R209" s="11"/>
      <c r="S209" s="13">
        <f>IF(Data_PLT[[#This Row],[Test type]]="Diametral",Data_PLT[[#This Row],[Diameter (mm)]],IF(Data_PLT[[#This Row],[Test type]]="Axial",SQRT(4*Data_PLT[[#This Row],[Diameter (mm)]]*Data_PLT[[#This Row],[Length or width (mm)]]/PI()),"ERROR"))</f>
        <v>63.5</v>
      </c>
      <c r="T209" s="13">
        <f>(Data_PLT[[#This Row],[Load (kN)]]*1000)/Data_PLT[[#This Row],[Equiv. Diam. (mm)]]^2</f>
        <v>0</v>
      </c>
      <c r="U209" s="13">
        <f>(Data_PLT[[#This Row],[Equiv. Diam. (mm)]]/50)^0.45</f>
        <v>1.1135550054708407</v>
      </c>
      <c r="V209" s="13">
        <f>Data_PLT[[#This Row],[Is (MPa)]]*Data_PLT[[#This Row],[F]]</f>
        <v>0</v>
      </c>
      <c r="W209" s="13" t="str">
        <f>Data_PLT[[#This Row],[Failure Validity]]&amp;"-"&amp;Data_PLT[[#This Row],[Test type]]</f>
        <v>Valid-Diametral</v>
      </c>
      <c r="X209" s="13">
        <f>Data_PLT[[#This Row],[Is50 (MPa)]]*VLOOKUP("Min",Table_PLT_Conversion[],2,FALSE)</f>
        <v>0</v>
      </c>
      <c r="Y209" s="13">
        <f>Data_PLT[[#This Row],[Is50 (MPa)]]*VLOOKUP("Avg",Table_PLT_Conversion[],2,FALSE)</f>
        <v>0</v>
      </c>
      <c r="Z209" s="13">
        <f>Data_PLT[[#This Row],[Is50 (MPa)]]*VLOOKUP("Max",Table_PLT_Conversion[],2,FALSE)</f>
        <v>0</v>
      </c>
      <c r="AA209" s="62" t="e">
        <f>MATCH(LOOKUP(Data_PLT[[#This Row],[UCS min (MPa)]],Table_FieldStrength[Min UCS]),Table_FieldStrength[Min UCS],0)-1</f>
        <v>#N/A</v>
      </c>
      <c r="AB209" s="62" t="e">
        <f>MATCH(LOOKUP(Data_PLT[[#This Row],[UCS avg (MPa)]],Table_FieldStrength[Min UCS]),Table_FieldStrength[Min UCS],0)-1</f>
        <v>#N/A</v>
      </c>
      <c r="AC209" s="62" t="e">
        <f>MATCH(LOOKUP(Data_PLT[[#This Row],[UCS max (MPa)]],Table_FieldStrength[Min UCS]),Table_FieldStrength[Min UCS],0)-1</f>
        <v>#N/A</v>
      </c>
      <c r="AD209" s="68" t="e">
        <f>Data_PLT[[#This Row],[Test code]]&amp;"-"&amp;Data_PLT[[#This Row],[UCS min code]]</f>
        <v>#N/A</v>
      </c>
      <c r="AE209" s="68" t="e">
        <f>Data_PLT[[#This Row],[Test code]]&amp;"-"&amp;Data_PLT[[#This Row],[UCS avg code]]</f>
        <v>#N/A</v>
      </c>
      <c r="AF209" s="67" t="e">
        <f>Data_PLT[[#This Row],[Test code]]&amp;"-"&amp;Data_PLT[[#This Row],[UCS max code]]</f>
        <v>#N/A</v>
      </c>
      <c r="AG209" s="67" t="str">
        <f>Data_PLT[[#This Row],[Failure type]]&amp;"-"&amp;Data_PLT[[#This Row],[Test type]]&amp;"-"&amp;(IF(Data_PLT[[#This Row],[Is50 (MPa)]]&lt;1,1,IF(Data_PLT[[#This Row],[Is50 (MPa)]]&lt;2,2,IF(Data_PLT[[#This Row],[Is50 (MPa)]]&lt;4,3,IF(Data_PLT[[#This Row],[Is50 (MPa)]]&lt;8,4,5)))))</f>
        <v>Along bedding/foliation-Diametral-1</v>
      </c>
    </row>
    <row r="210" spans="1:33" x14ac:dyDescent="0.25">
      <c r="A210" t="s">
        <v>34</v>
      </c>
      <c r="B210" s="88" t="str">
        <f>VLOOKUP(Data_PLT[[#This Row],[Hole ID]],Data_Log[],2,FALSE)</f>
        <v>CGF-04</v>
      </c>
      <c r="C210" s="63">
        <f>IF(Data_PLT[[#This Row],[Hole ID]]="","",
IF(COUNTIF($A$4:A210,Data_PLT[[#This Row],[Hole ID]])=1,1,
IF(A210=A209,C209+1,
COUNTIF($A$4:A210,Data_PLT[[#This Row],[Hole ID]]))))</f>
        <v>58</v>
      </c>
      <c r="D210" s="63" t="str">
        <f>IF(Data_PLT[[#This Row],[Hole ID]]="","",Data_PLT[[#This Row],[Hole ID]]&amp;"_"&amp;Data_PLT[[#This Row],[Sample ID]])</f>
        <v>COG-25-09_58</v>
      </c>
      <c r="E210" s="6"/>
      <c r="F210" s="6">
        <v>114.75</v>
      </c>
      <c r="G210" s="63" t="str" cm="1">
        <f t="array" ref="G210">_xlfn.XLOOKUP(1,(A210=Geotech!$A$4:$A$11100)*(Data_PLT[[#This Row],[Depth (m)]]&gt;=Geotech!$C$4:$C$11100)*(Data_PLT[[#This Row],[Depth (m)]]&lt;Geotech!$D$4:$D$11100),Geotech!$M$4:$M$11100)</f>
        <v>Boulamarque granodiorite</v>
      </c>
      <c r="H210" s="6" t="s">
        <v>267</v>
      </c>
      <c r="I210" s="63" t="str">
        <f>VLOOKUP(Data_PLT[[#This Row],[Hole ID]],Data_Log[[Hole ID]:[Core size]],20,FALSE)</f>
        <v>HQ</v>
      </c>
      <c r="J210" s="13">
        <f>VLOOKUP(Data_PLT[[#This Row],[Core Size]],Table_CoreSize[],2,FALSE)</f>
        <v>63.5</v>
      </c>
      <c r="K210" s="19">
        <v>63</v>
      </c>
      <c r="L210" s="19" t="s">
        <v>574</v>
      </c>
      <c r="M210" s="5">
        <v>100.2</v>
      </c>
      <c r="N210" s="5"/>
      <c r="O210" s="6" t="s">
        <v>165</v>
      </c>
      <c r="P210" s="13" t="str">
        <f>IF(Data_PLT[[#This Row],[Failure type]]="","",IF(OR(Data_PLT[[#This Row],[Failure type]]="Invalid",Data_PLT[[#This Row],[Failure type]]="Chipped",Data_PLT[[#This Row],[Failure type]]="Penetrate",Data_PLT[[#This Row],[Failure type]]="Did not break"),"Invalid","Valid"))</f>
        <v>Invalid</v>
      </c>
      <c r="Q210" s="6"/>
      <c r="R210" s="11"/>
      <c r="S210" s="13">
        <f>IF(Data_PLT[[#This Row],[Test type]]="Diametral",Data_PLT[[#This Row],[Diameter (mm)]],IF(Data_PLT[[#This Row],[Test type]]="Axial",SQRT(4*Data_PLT[[#This Row],[Diameter (mm)]]*Data_PLT[[#This Row],[Length or width (mm)]]/PI()),"ERROR"))</f>
        <v>71.369424817025248</v>
      </c>
      <c r="T210" s="13">
        <f>(Data_PLT[[#This Row],[Load (kN)]]*1000)/Data_PLT[[#This Row],[Equiv. Diam. (mm)]]^2</f>
        <v>0</v>
      </c>
      <c r="U210" s="13">
        <f>(Data_PLT[[#This Row],[Equiv. Diam. (mm)]]/50)^0.45</f>
        <v>1.1736645484979795</v>
      </c>
      <c r="V210" s="13">
        <f>Data_PLT[[#This Row],[Is (MPa)]]*Data_PLT[[#This Row],[F]]</f>
        <v>0</v>
      </c>
      <c r="W210" s="13" t="str">
        <f>Data_PLT[[#This Row],[Failure Validity]]&amp;"-"&amp;Data_PLT[[#This Row],[Test type]]</f>
        <v>Invalid-Axial</v>
      </c>
      <c r="X210" s="13">
        <f>Data_PLT[[#This Row],[Is50 (MPa)]]*VLOOKUP("Min",Table_PLT_Conversion[],2,FALSE)</f>
        <v>0</v>
      </c>
      <c r="Y210" s="13">
        <f>Data_PLT[[#This Row],[Is50 (MPa)]]*VLOOKUP("Avg",Table_PLT_Conversion[],2,FALSE)</f>
        <v>0</v>
      </c>
      <c r="Z210" s="13">
        <f>Data_PLT[[#This Row],[Is50 (MPa)]]*VLOOKUP("Max",Table_PLT_Conversion[],2,FALSE)</f>
        <v>0</v>
      </c>
      <c r="AA210" s="62" t="e">
        <f>MATCH(LOOKUP(Data_PLT[[#This Row],[UCS min (MPa)]],Table_FieldStrength[Min UCS]),Table_FieldStrength[Min UCS],0)-1</f>
        <v>#N/A</v>
      </c>
      <c r="AB210" s="62" t="e">
        <f>MATCH(LOOKUP(Data_PLT[[#This Row],[UCS avg (MPa)]],Table_FieldStrength[Min UCS]),Table_FieldStrength[Min UCS],0)-1</f>
        <v>#N/A</v>
      </c>
      <c r="AC210" s="62" t="e">
        <f>MATCH(LOOKUP(Data_PLT[[#This Row],[UCS max (MPa)]],Table_FieldStrength[Min UCS]),Table_FieldStrength[Min UCS],0)-1</f>
        <v>#N/A</v>
      </c>
      <c r="AD210" s="68" t="e">
        <f>Data_PLT[[#This Row],[Test code]]&amp;"-"&amp;Data_PLT[[#This Row],[UCS min code]]</f>
        <v>#N/A</v>
      </c>
      <c r="AE210" s="68" t="e">
        <f>Data_PLT[[#This Row],[Test code]]&amp;"-"&amp;Data_PLT[[#This Row],[UCS avg code]]</f>
        <v>#N/A</v>
      </c>
      <c r="AF210" s="67" t="e">
        <f>Data_PLT[[#This Row],[Test code]]&amp;"-"&amp;Data_PLT[[#This Row],[UCS max code]]</f>
        <v>#N/A</v>
      </c>
      <c r="AG210" s="67" t="str">
        <f>Data_PLT[[#This Row],[Failure type]]&amp;"-"&amp;Data_PLT[[#This Row],[Test type]]&amp;"-"&amp;(IF(Data_PLT[[#This Row],[Is50 (MPa)]]&lt;1,1,IF(Data_PLT[[#This Row],[Is50 (MPa)]]&lt;2,2,IF(Data_PLT[[#This Row],[Is50 (MPa)]]&lt;4,3,IF(Data_PLT[[#This Row],[Is50 (MPa)]]&lt;8,4,5)))))</f>
        <v>Chipped-Axial-1</v>
      </c>
    </row>
    <row r="211" spans="1:33" x14ac:dyDescent="0.25">
      <c r="A211" t="s">
        <v>34</v>
      </c>
      <c r="B211" s="88" t="str">
        <f>VLOOKUP(Data_PLT[[#This Row],[Hole ID]],Data_Log[],2,FALSE)</f>
        <v>CGF-04</v>
      </c>
      <c r="C211" s="63">
        <f>IF(Data_PLT[[#This Row],[Hole ID]]="","",
IF(COUNTIF($A$4:A211,Data_PLT[[#This Row],[Hole ID]])=1,1,
IF(A211=A210,C210+1,
COUNTIF($A$4:A211,Data_PLT[[#This Row],[Hole ID]]))))</f>
        <v>59</v>
      </c>
      <c r="D211" s="63" t="str">
        <f>IF(Data_PLT[[#This Row],[Hole ID]]="","",Data_PLT[[#This Row],[Hole ID]]&amp;"_"&amp;Data_PLT[[#This Row],[Sample ID]])</f>
        <v>COG-25-09_59</v>
      </c>
      <c r="E211" s="6"/>
      <c r="F211" s="6">
        <v>103.47</v>
      </c>
      <c r="G211" s="63" t="str" cm="1">
        <f t="array" ref="G211">_xlfn.XLOOKUP(1,(A211=Geotech!$A$4:$A$11100)*(Data_PLT[[#This Row],[Depth (m)]]&gt;=Geotech!$C$4:$C$11100)*(Data_PLT[[#This Row],[Depth (m)]]&lt;Geotech!$D$4:$D$11100),Geotech!$M$4:$M$11100)</f>
        <v>Boulamarque granodiorite</v>
      </c>
      <c r="H211" s="6" t="s">
        <v>299</v>
      </c>
      <c r="I211" s="63" t="str">
        <f>VLOOKUP(Data_PLT[[#This Row],[Hole ID]],Data_Log[[Hole ID]:[Core size]],20,FALSE)</f>
        <v>HQ</v>
      </c>
      <c r="J211" s="13">
        <f>VLOOKUP(Data_PLT[[#This Row],[Core Size]],Table_CoreSize[],2,FALSE)</f>
        <v>63.5</v>
      </c>
      <c r="K211" s="19">
        <v>80</v>
      </c>
      <c r="L211" s="19" t="s">
        <v>574</v>
      </c>
      <c r="M211" s="5">
        <v>310.39999999999998</v>
      </c>
      <c r="N211" s="5"/>
      <c r="O211" s="6" t="s">
        <v>300</v>
      </c>
      <c r="P211" s="13" t="str">
        <f>IF(Data_PLT[[#This Row],[Failure type]]="","",IF(OR(Data_PLT[[#This Row],[Failure type]]="Invalid",Data_PLT[[#This Row],[Failure type]]="Chipped",Data_PLT[[#This Row],[Failure type]]="Penetrate",Data_PLT[[#This Row],[Failure type]]="Did not break"),"Invalid","Valid"))</f>
        <v>Valid</v>
      </c>
      <c r="Q211" s="6"/>
      <c r="R211" s="11"/>
      <c r="S211" s="13">
        <f>IF(Data_PLT[[#This Row],[Test type]]="Diametral",Data_PLT[[#This Row],[Diameter (mm)]],IF(Data_PLT[[#This Row],[Test type]]="Axial",SQRT(4*Data_PLT[[#This Row],[Diameter (mm)]]*Data_PLT[[#This Row],[Length or width (mm)]]/PI()),"ERROR"))</f>
        <v>63.5</v>
      </c>
      <c r="T211" s="13">
        <f>(Data_PLT[[#This Row],[Load (kN)]]*1000)/Data_PLT[[#This Row],[Equiv. Diam. (mm)]]^2</f>
        <v>0</v>
      </c>
      <c r="U211" s="13">
        <f>(Data_PLT[[#This Row],[Equiv. Diam. (mm)]]/50)^0.45</f>
        <v>1.1135550054708407</v>
      </c>
      <c r="V211" s="13">
        <f>Data_PLT[[#This Row],[Is (MPa)]]*Data_PLT[[#This Row],[F]]</f>
        <v>0</v>
      </c>
      <c r="W211" s="13" t="str">
        <f>Data_PLT[[#This Row],[Failure Validity]]&amp;"-"&amp;Data_PLT[[#This Row],[Test type]]</f>
        <v>Valid-Diametral</v>
      </c>
      <c r="X211" s="13">
        <f>Data_PLT[[#This Row],[Is50 (MPa)]]*VLOOKUP("Min",Table_PLT_Conversion[],2,FALSE)</f>
        <v>0</v>
      </c>
      <c r="Y211" s="13">
        <f>Data_PLT[[#This Row],[Is50 (MPa)]]*VLOOKUP("Avg",Table_PLT_Conversion[],2,FALSE)</f>
        <v>0</v>
      </c>
      <c r="Z211" s="13">
        <f>Data_PLT[[#This Row],[Is50 (MPa)]]*VLOOKUP("Max",Table_PLT_Conversion[],2,FALSE)</f>
        <v>0</v>
      </c>
      <c r="AA211" s="62" t="e">
        <f>MATCH(LOOKUP(Data_PLT[[#This Row],[UCS min (MPa)]],Table_FieldStrength[Min UCS]),Table_FieldStrength[Min UCS],0)-1</f>
        <v>#N/A</v>
      </c>
      <c r="AB211" s="62" t="e">
        <f>MATCH(LOOKUP(Data_PLT[[#This Row],[UCS avg (MPa)]],Table_FieldStrength[Min UCS]),Table_FieldStrength[Min UCS],0)-1</f>
        <v>#N/A</v>
      </c>
      <c r="AC211" s="62" t="e">
        <f>MATCH(LOOKUP(Data_PLT[[#This Row],[UCS max (MPa)]],Table_FieldStrength[Min UCS]),Table_FieldStrength[Min UCS],0)-1</f>
        <v>#N/A</v>
      </c>
      <c r="AD211" s="68" t="e">
        <f>Data_PLT[[#This Row],[Test code]]&amp;"-"&amp;Data_PLT[[#This Row],[UCS min code]]</f>
        <v>#N/A</v>
      </c>
      <c r="AE211" s="68" t="e">
        <f>Data_PLT[[#This Row],[Test code]]&amp;"-"&amp;Data_PLT[[#This Row],[UCS avg code]]</f>
        <v>#N/A</v>
      </c>
      <c r="AF211" s="67" t="e">
        <f>Data_PLT[[#This Row],[Test code]]&amp;"-"&amp;Data_PLT[[#This Row],[UCS max code]]</f>
        <v>#N/A</v>
      </c>
      <c r="AG211" s="67" t="str">
        <f>Data_PLT[[#This Row],[Failure type]]&amp;"-"&amp;Data_PLT[[#This Row],[Test type]]&amp;"-"&amp;(IF(Data_PLT[[#This Row],[Is50 (MPa)]]&lt;1,1,IF(Data_PLT[[#This Row],[Is50 (MPa)]]&lt;2,2,IF(Data_PLT[[#This Row],[Is50 (MPa)]]&lt;4,3,IF(Data_PLT[[#This Row],[Is50 (MPa)]]&lt;8,4,5)))))</f>
        <v>Intact-Diametral-1</v>
      </c>
    </row>
    <row r="212" spans="1:33" x14ac:dyDescent="0.25">
      <c r="B212" s="88" t="e">
        <f>VLOOKUP(Data_PLT[[#This Row],[Hole ID]],Data_Log[],2,FALSE)</f>
        <v>#N/A</v>
      </c>
      <c r="C212" s="63" t="str">
        <f>IF(Data_PLT[[#This Row],[Hole ID]]="","",
IF(COUNTIF($A$4:A212,Data_PLT[[#This Row],[Hole ID]])=1,1,
IF(A212=A211,C211+1,
COUNTIF($A$4:A212,Data_PLT[[#This Row],[Hole ID]]))))</f>
        <v/>
      </c>
      <c r="D212" s="63" t="str">
        <f>IF(Data_PLT[[#This Row],[Hole ID]]="","",Data_PLT[[#This Row],[Hole ID]]&amp;"_"&amp;Data_PLT[[#This Row],[Sample ID]])</f>
        <v/>
      </c>
      <c r="E212" s="6"/>
      <c r="F212" s="6"/>
      <c r="G212" s="63" t="e" cm="1">
        <f t="array" ref="G212">_xlfn.XLOOKUP(1,(A212=Geotech!$A$4:$A$11100)*(Data_PLT[[#This Row],[Depth (m)]]&gt;=Geotech!$C$4:$C$11100)*(Data_PLT[[#This Row],[Depth (m)]]&lt;Geotech!$D$4:$D$11100),Geotech!$M$4:$M$11100)</f>
        <v>#N/A</v>
      </c>
      <c r="H212" s="6"/>
      <c r="I212" s="63" t="e">
        <f>VLOOKUP(Data_PLT[[#This Row],[Hole ID]],Data_Log[[Hole ID]:[Core size]],20,FALSE)</f>
        <v>#N/A</v>
      </c>
      <c r="J212" s="13" t="e">
        <f>VLOOKUP(Data_PLT[[#This Row],[Core Size]],Table_CoreSize[],2,FALSE)</f>
        <v>#N/A</v>
      </c>
      <c r="K212" s="19"/>
      <c r="L212" s="19"/>
      <c r="M212" s="5"/>
      <c r="N212" s="5"/>
      <c r="O212" s="6"/>
      <c r="P212" s="13" t="str">
        <f>IF(Data_PLT[[#This Row],[Failure type]]="","",IF(OR(Data_PLT[[#This Row],[Failure type]]="Invalid",Data_PLT[[#This Row],[Failure type]]="Chipped",Data_PLT[[#This Row],[Failure type]]="Penetrate",Data_PLT[[#This Row],[Failure type]]="Did not break"),"Invalid","Valid"))</f>
        <v/>
      </c>
      <c r="Q212" s="6"/>
      <c r="R212" s="11"/>
      <c r="S212" s="13" t="str">
        <f>IF(Data_PLT[[#This Row],[Test type]]="Diametral",Data_PLT[[#This Row],[Diameter (mm)]],IF(Data_PLT[[#This Row],[Test type]]="Axial",SQRT(4*Data_PLT[[#This Row],[Diameter (mm)]]*Data_PLT[[#This Row],[Length or width (mm)]]/PI()),"ERROR"))</f>
        <v>ERROR</v>
      </c>
      <c r="T212" s="13" t="e">
        <f>(Data_PLT[[#This Row],[Load (kN)]]*1000)/Data_PLT[[#This Row],[Equiv. Diam. (mm)]]^2</f>
        <v>#VALUE!</v>
      </c>
      <c r="U212" s="13" t="e">
        <f>(Data_PLT[[#This Row],[Equiv. Diam. (mm)]]/50)^0.45</f>
        <v>#VALUE!</v>
      </c>
      <c r="V212" s="13" t="e">
        <f>Data_PLT[[#This Row],[Is (MPa)]]*Data_PLT[[#This Row],[F]]</f>
        <v>#VALUE!</v>
      </c>
      <c r="W212" s="13" t="str">
        <f>Data_PLT[[#This Row],[Failure Validity]]&amp;"-"&amp;Data_PLT[[#This Row],[Test type]]</f>
        <v>-</v>
      </c>
      <c r="X212" s="13" t="e">
        <f>Data_PLT[[#This Row],[Is50 (MPa)]]*VLOOKUP("Min",Table_PLT_Conversion[],2,FALSE)</f>
        <v>#VALUE!</v>
      </c>
      <c r="Y212" s="13" t="e">
        <f>Data_PLT[[#This Row],[Is50 (MPa)]]*VLOOKUP("Avg",Table_PLT_Conversion[],2,FALSE)</f>
        <v>#VALUE!</v>
      </c>
      <c r="Z212" s="13" t="e">
        <f>Data_PLT[[#This Row],[Is50 (MPa)]]*VLOOKUP("Max",Table_PLT_Conversion[],2,FALSE)</f>
        <v>#VALUE!</v>
      </c>
      <c r="AA212" s="62" t="e">
        <f>MATCH(LOOKUP(Data_PLT[[#This Row],[UCS min (MPa)]],Table_FieldStrength[Min UCS]),Table_FieldStrength[Min UCS],0)-1</f>
        <v>#VALUE!</v>
      </c>
      <c r="AB212" s="62" t="e">
        <f>MATCH(LOOKUP(Data_PLT[[#This Row],[UCS avg (MPa)]],Table_FieldStrength[Min UCS]),Table_FieldStrength[Min UCS],0)-1</f>
        <v>#VALUE!</v>
      </c>
      <c r="AC212" s="62" t="e">
        <f>MATCH(LOOKUP(Data_PLT[[#This Row],[UCS max (MPa)]],Table_FieldStrength[Min UCS]),Table_FieldStrength[Min UCS],0)-1</f>
        <v>#VALUE!</v>
      </c>
      <c r="AD212" s="68" t="e">
        <f>Data_PLT[[#This Row],[Test code]]&amp;"-"&amp;Data_PLT[[#This Row],[UCS min code]]</f>
        <v>#VALUE!</v>
      </c>
      <c r="AE212" s="68" t="e">
        <f>Data_PLT[[#This Row],[Test code]]&amp;"-"&amp;Data_PLT[[#This Row],[UCS avg code]]</f>
        <v>#VALUE!</v>
      </c>
      <c r="AF212" s="67" t="e">
        <f>Data_PLT[[#This Row],[Test code]]&amp;"-"&amp;Data_PLT[[#This Row],[UCS max code]]</f>
        <v>#VALUE!</v>
      </c>
      <c r="AG212" s="67" t="e">
        <f>Data_PLT[[#This Row],[Failure type]]&amp;"-"&amp;Data_PLT[[#This Row],[Test type]]&amp;"-"&amp;(IF(Data_PLT[[#This Row],[Is50 (MPa)]]&lt;1,1,IF(Data_PLT[[#This Row],[Is50 (MPa)]]&lt;2,2,IF(Data_PLT[[#This Row],[Is50 (MPa)]]&lt;4,3,IF(Data_PLT[[#This Row],[Is50 (MPa)]]&lt;8,4,5)))))</f>
        <v>#VALUE!</v>
      </c>
    </row>
    <row r="213" spans="1:33" x14ac:dyDescent="0.25">
      <c r="B213" s="88" t="e">
        <f>VLOOKUP(Data_PLT[[#This Row],[Hole ID]],Data_Log[],2,FALSE)</f>
        <v>#N/A</v>
      </c>
      <c r="C213" s="63" t="str">
        <f>IF(Data_PLT[[#This Row],[Hole ID]]="","",
IF(COUNTIF($A$4:A213,Data_PLT[[#This Row],[Hole ID]])=1,1,
IF(A213=A212,C212+1,
COUNTIF($A$4:A213,Data_PLT[[#This Row],[Hole ID]]))))</f>
        <v/>
      </c>
      <c r="D213" s="63" t="str">
        <f>IF(Data_PLT[[#This Row],[Hole ID]]="","",Data_PLT[[#This Row],[Hole ID]]&amp;"_"&amp;Data_PLT[[#This Row],[Sample ID]])</f>
        <v/>
      </c>
      <c r="E213" s="6"/>
      <c r="F213" s="6"/>
      <c r="G213" s="63" t="e" cm="1">
        <f t="array" ref="G213">_xlfn.XLOOKUP(1,(A213=Geotech!$A$4:$A$11100)*(Data_PLT[[#This Row],[Depth (m)]]&gt;=Geotech!$C$4:$C$11100)*(Data_PLT[[#This Row],[Depth (m)]]&lt;Geotech!$D$4:$D$11100),Geotech!$M$4:$M$11100)</f>
        <v>#N/A</v>
      </c>
      <c r="H213" s="6"/>
      <c r="I213" s="63" t="e">
        <f>VLOOKUP(Data_PLT[[#This Row],[Hole ID]],Data_Log[[Hole ID]:[Core size]],20,FALSE)</f>
        <v>#N/A</v>
      </c>
      <c r="J213" s="13" t="e">
        <f>VLOOKUP(Data_PLT[[#This Row],[Core Size]],Table_CoreSize[],2,FALSE)</f>
        <v>#N/A</v>
      </c>
      <c r="K213" s="19"/>
      <c r="L213" s="19"/>
      <c r="M213" s="5"/>
      <c r="N213" s="5"/>
      <c r="O213" s="6"/>
      <c r="P213" s="13" t="str">
        <f>IF(Data_PLT[[#This Row],[Failure type]]="","",IF(OR(Data_PLT[[#This Row],[Failure type]]="Invalid",Data_PLT[[#This Row],[Failure type]]="Chipped",Data_PLT[[#This Row],[Failure type]]="Penetrate",Data_PLT[[#This Row],[Failure type]]="Did not break"),"Invalid","Valid"))</f>
        <v/>
      </c>
      <c r="Q213" s="6"/>
      <c r="R213" s="11"/>
      <c r="S213" s="13" t="str">
        <f>IF(Data_PLT[[#This Row],[Test type]]="Diametral",Data_PLT[[#This Row],[Diameter (mm)]],IF(Data_PLT[[#This Row],[Test type]]="Axial",SQRT(4*Data_PLT[[#This Row],[Diameter (mm)]]*Data_PLT[[#This Row],[Length or width (mm)]]/PI()),"ERROR"))</f>
        <v>ERROR</v>
      </c>
      <c r="T213" s="13" t="e">
        <f>(Data_PLT[[#This Row],[Load (kN)]]*1000)/Data_PLT[[#This Row],[Equiv. Diam. (mm)]]^2</f>
        <v>#VALUE!</v>
      </c>
      <c r="U213" s="13" t="e">
        <f>(Data_PLT[[#This Row],[Equiv. Diam. (mm)]]/50)^0.45</f>
        <v>#VALUE!</v>
      </c>
      <c r="V213" s="13" t="e">
        <f>Data_PLT[[#This Row],[Is (MPa)]]*Data_PLT[[#This Row],[F]]</f>
        <v>#VALUE!</v>
      </c>
      <c r="W213" s="13" t="str">
        <f>Data_PLT[[#This Row],[Failure Validity]]&amp;"-"&amp;Data_PLT[[#This Row],[Test type]]</f>
        <v>-</v>
      </c>
      <c r="X213" s="13" t="e">
        <f>Data_PLT[[#This Row],[Is50 (MPa)]]*VLOOKUP("Min",Table_PLT_Conversion[],2,FALSE)</f>
        <v>#VALUE!</v>
      </c>
      <c r="Y213" s="13" t="e">
        <f>Data_PLT[[#This Row],[Is50 (MPa)]]*VLOOKUP("Avg",Table_PLT_Conversion[],2,FALSE)</f>
        <v>#VALUE!</v>
      </c>
      <c r="Z213" s="13" t="e">
        <f>Data_PLT[[#This Row],[Is50 (MPa)]]*VLOOKUP("Max",Table_PLT_Conversion[],2,FALSE)</f>
        <v>#VALUE!</v>
      </c>
      <c r="AA213" s="62" t="e">
        <f>MATCH(LOOKUP(Data_PLT[[#This Row],[UCS min (MPa)]],Table_FieldStrength[Min UCS]),Table_FieldStrength[Min UCS],0)-1</f>
        <v>#VALUE!</v>
      </c>
      <c r="AB213" s="62" t="e">
        <f>MATCH(LOOKUP(Data_PLT[[#This Row],[UCS avg (MPa)]],Table_FieldStrength[Min UCS]),Table_FieldStrength[Min UCS],0)-1</f>
        <v>#VALUE!</v>
      </c>
      <c r="AC213" s="62" t="e">
        <f>MATCH(LOOKUP(Data_PLT[[#This Row],[UCS max (MPa)]],Table_FieldStrength[Min UCS]),Table_FieldStrength[Min UCS],0)-1</f>
        <v>#VALUE!</v>
      </c>
      <c r="AD213" s="68" t="e">
        <f>Data_PLT[[#This Row],[Test code]]&amp;"-"&amp;Data_PLT[[#This Row],[UCS min code]]</f>
        <v>#VALUE!</v>
      </c>
      <c r="AE213" s="68" t="e">
        <f>Data_PLT[[#This Row],[Test code]]&amp;"-"&amp;Data_PLT[[#This Row],[UCS avg code]]</f>
        <v>#VALUE!</v>
      </c>
      <c r="AF213" s="67" t="e">
        <f>Data_PLT[[#This Row],[Test code]]&amp;"-"&amp;Data_PLT[[#This Row],[UCS max code]]</f>
        <v>#VALUE!</v>
      </c>
      <c r="AG213" s="67" t="e">
        <f>Data_PLT[[#This Row],[Failure type]]&amp;"-"&amp;Data_PLT[[#This Row],[Test type]]&amp;"-"&amp;(IF(Data_PLT[[#This Row],[Is50 (MPa)]]&lt;1,1,IF(Data_PLT[[#This Row],[Is50 (MPa)]]&lt;2,2,IF(Data_PLT[[#This Row],[Is50 (MPa)]]&lt;4,3,IF(Data_PLT[[#This Row],[Is50 (MPa)]]&lt;8,4,5)))))</f>
        <v>#VALUE!</v>
      </c>
    </row>
    <row r="214" spans="1:33" x14ac:dyDescent="0.25">
      <c r="B214" s="88" t="e">
        <f>VLOOKUP(Data_PLT[[#This Row],[Hole ID]],Data_Log[],2,FALSE)</f>
        <v>#N/A</v>
      </c>
      <c r="C214" s="63" t="str">
        <f>IF(Data_PLT[[#This Row],[Hole ID]]="","",
IF(COUNTIF($A$4:A214,Data_PLT[[#This Row],[Hole ID]])=1,1,
IF(A214=A213,C213+1,
COUNTIF($A$4:A214,Data_PLT[[#This Row],[Hole ID]]))))</f>
        <v/>
      </c>
      <c r="D214" s="63" t="str">
        <f>IF(Data_PLT[[#This Row],[Hole ID]]="","",Data_PLT[[#This Row],[Hole ID]]&amp;"_"&amp;Data_PLT[[#This Row],[Sample ID]])</f>
        <v/>
      </c>
      <c r="E214" s="6"/>
      <c r="F214" s="6"/>
      <c r="G214" s="63" t="e" cm="1">
        <f t="array" ref="G214">_xlfn.XLOOKUP(1,(A214=Geotech!$A$4:$A$11100)*(Data_PLT[[#This Row],[Depth (m)]]&gt;=Geotech!$C$4:$C$11100)*(Data_PLT[[#This Row],[Depth (m)]]&lt;Geotech!$D$4:$D$11100),Geotech!$M$4:$M$11100)</f>
        <v>#N/A</v>
      </c>
      <c r="H214" s="6"/>
      <c r="I214" s="63" t="e">
        <f>VLOOKUP(Data_PLT[[#This Row],[Hole ID]],Data_Log[[Hole ID]:[Core size]],20,FALSE)</f>
        <v>#N/A</v>
      </c>
      <c r="J214" s="13" t="e">
        <f>VLOOKUP(Data_PLT[[#This Row],[Core Size]],Table_CoreSize[],2,FALSE)</f>
        <v>#N/A</v>
      </c>
      <c r="K214" s="19"/>
      <c r="L214" s="19"/>
      <c r="M214" s="5"/>
      <c r="N214" s="5"/>
      <c r="O214" s="6"/>
      <c r="P214" s="13" t="str">
        <f>IF(Data_PLT[[#This Row],[Failure type]]="","",IF(OR(Data_PLT[[#This Row],[Failure type]]="Invalid",Data_PLT[[#This Row],[Failure type]]="Chipped",Data_PLT[[#This Row],[Failure type]]="Penetrate",Data_PLT[[#This Row],[Failure type]]="Did not break"),"Invalid","Valid"))</f>
        <v/>
      </c>
      <c r="Q214" s="6"/>
      <c r="R214" s="11"/>
      <c r="S214" s="13" t="str">
        <f>IF(Data_PLT[[#This Row],[Test type]]="Diametral",Data_PLT[[#This Row],[Diameter (mm)]],IF(Data_PLT[[#This Row],[Test type]]="Axial",SQRT(4*Data_PLT[[#This Row],[Diameter (mm)]]*Data_PLT[[#This Row],[Length or width (mm)]]/PI()),"ERROR"))</f>
        <v>ERROR</v>
      </c>
      <c r="T214" s="13" t="e">
        <f>(Data_PLT[[#This Row],[Load (kN)]]*1000)/Data_PLT[[#This Row],[Equiv. Diam. (mm)]]^2</f>
        <v>#VALUE!</v>
      </c>
      <c r="U214" s="13" t="e">
        <f>(Data_PLT[[#This Row],[Equiv. Diam. (mm)]]/50)^0.45</f>
        <v>#VALUE!</v>
      </c>
      <c r="V214" s="13" t="e">
        <f>Data_PLT[[#This Row],[Is (MPa)]]*Data_PLT[[#This Row],[F]]</f>
        <v>#VALUE!</v>
      </c>
      <c r="W214" s="13" t="str">
        <f>Data_PLT[[#This Row],[Failure Validity]]&amp;"-"&amp;Data_PLT[[#This Row],[Test type]]</f>
        <v>-</v>
      </c>
      <c r="X214" s="13" t="e">
        <f>Data_PLT[[#This Row],[Is50 (MPa)]]*VLOOKUP("Min",Table_PLT_Conversion[],2,FALSE)</f>
        <v>#VALUE!</v>
      </c>
      <c r="Y214" s="13" t="e">
        <f>Data_PLT[[#This Row],[Is50 (MPa)]]*VLOOKUP("Avg",Table_PLT_Conversion[],2,FALSE)</f>
        <v>#VALUE!</v>
      </c>
      <c r="Z214" s="13" t="e">
        <f>Data_PLT[[#This Row],[Is50 (MPa)]]*VLOOKUP("Max",Table_PLT_Conversion[],2,FALSE)</f>
        <v>#VALUE!</v>
      </c>
      <c r="AA214" s="62" t="e">
        <f>MATCH(LOOKUP(Data_PLT[[#This Row],[UCS min (MPa)]],Table_FieldStrength[Min UCS]),Table_FieldStrength[Min UCS],0)-1</f>
        <v>#VALUE!</v>
      </c>
      <c r="AB214" s="62" t="e">
        <f>MATCH(LOOKUP(Data_PLT[[#This Row],[UCS avg (MPa)]],Table_FieldStrength[Min UCS]),Table_FieldStrength[Min UCS],0)-1</f>
        <v>#VALUE!</v>
      </c>
      <c r="AC214" s="62" t="e">
        <f>MATCH(LOOKUP(Data_PLT[[#This Row],[UCS max (MPa)]],Table_FieldStrength[Min UCS]),Table_FieldStrength[Min UCS],0)-1</f>
        <v>#VALUE!</v>
      </c>
      <c r="AD214" s="68" t="e">
        <f>Data_PLT[[#This Row],[Test code]]&amp;"-"&amp;Data_PLT[[#This Row],[UCS min code]]</f>
        <v>#VALUE!</v>
      </c>
      <c r="AE214" s="68" t="e">
        <f>Data_PLT[[#This Row],[Test code]]&amp;"-"&amp;Data_PLT[[#This Row],[UCS avg code]]</f>
        <v>#VALUE!</v>
      </c>
      <c r="AF214" s="67" t="e">
        <f>Data_PLT[[#This Row],[Test code]]&amp;"-"&amp;Data_PLT[[#This Row],[UCS max code]]</f>
        <v>#VALUE!</v>
      </c>
      <c r="AG214" s="67" t="e">
        <f>Data_PLT[[#This Row],[Failure type]]&amp;"-"&amp;Data_PLT[[#This Row],[Test type]]&amp;"-"&amp;(IF(Data_PLT[[#This Row],[Is50 (MPa)]]&lt;1,1,IF(Data_PLT[[#This Row],[Is50 (MPa)]]&lt;2,2,IF(Data_PLT[[#This Row],[Is50 (MPa)]]&lt;4,3,IF(Data_PLT[[#This Row],[Is50 (MPa)]]&lt;8,4,5)))))</f>
        <v>#VALUE!</v>
      </c>
    </row>
    <row r="215" spans="1:33" x14ac:dyDescent="0.25">
      <c r="A215" s="14"/>
      <c r="B215" s="88" t="e">
        <f>VLOOKUP(Data_PLT[[#This Row],[Hole ID]],Data_Log[],2,FALSE)</f>
        <v>#N/A</v>
      </c>
      <c r="C215" s="63" t="str">
        <f>IF(Data_PLT[[#This Row],[Hole ID]]="","",
IF(COUNTIF($A$4:A215,Data_PLT[[#This Row],[Hole ID]])=1,1,
IF(A215=A214,C214+1,
COUNTIF($A$4:A215,Data_PLT[[#This Row],[Hole ID]]))))</f>
        <v/>
      </c>
      <c r="D215" s="63" t="str">
        <f>IF(Data_PLT[[#This Row],[Hole ID]]="","",Data_PLT[[#This Row],[Hole ID]]&amp;"_"&amp;Data_PLT[[#This Row],[Sample ID]])</f>
        <v/>
      </c>
      <c r="E215" s="6"/>
      <c r="F215" s="6"/>
      <c r="G215" s="63" t="e" cm="1">
        <f t="array" ref="G215">_xlfn.XLOOKUP(1,(A215=Geotech!$A$4:$A$11100)*(Data_PLT[[#This Row],[Depth (m)]]&gt;=Geotech!$C$4:$C$11100)*(Data_PLT[[#This Row],[Depth (m)]]&lt;Geotech!$D$4:$D$11100),Geotech!$M$4:$M$11100)</f>
        <v>#N/A</v>
      </c>
      <c r="H215" s="6"/>
      <c r="I215" s="63" t="e">
        <f>VLOOKUP(Data_PLT[[#This Row],[Hole ID]],Data_Log[[Hole ID]:[Core size]],20,FALSE)</f>
        <v>#N/A</v>
      </c>
      <c r="J215" s="13" t="e">
        <f>VLOOKUP(Data_PLT[[#This Row],[Core Size]],Table_CoreSize[],2,FALSE)</f>
        <v>#N/A</v>
      </c>
      <c r="K215" s="19"/>
      <c r="L215" s="19"/>
      <c r="M215" s="5"/>
      <c r="N215" s="5"/>
      <c r="O215" s="6"/>
      <c r="P215" s="13" t="str">
        <f>IF(Data_PLT[[#This Row],[Failure type]]="","",IF(OR(Data_PLT[[#This Row],[Failure type]]="Invalid",Data_PLT[[#This Row],[Failure type]]="Chipped",Data_PLT[[#This Row],[Failure type]]="Penetrate",Data_PLT[[#This Row],[Failure type]]="Did not break"),"Invalid","Valid"))</f>
        <v/>
      </c>
      <c r="Q215" s="6"/>
      <c r="R215" s="11"/>
      <c r="S215" s="13" t="str">
        <f>IF(Data_PLT[[#This Row],[Test type]]="Diametral",Data_PLT[[#This Row],[Diameter (mm)]],IF(Data_PLT[[#This Row],[Test type]]="Axial",SQRT(4*Data_PLT[[#This Row],[Diameter (mm)]]*Data_PLT[[#This Row],[Length or width (mm)]]/PI()),"ERROR"))</f>
        <v>ERROR</v>
      </c>
      <c r="T215" s="13" t="e">
        <f>(Data_PLT[[#This Row],[Load (kN)]]*1000)/Data_PLT[[#This Row],[Equiv. Diam. (mm)]]^2</f>
        <v>#VALUE!</v>
      </c>
      <c r="U215" s="13" t="e">
        <f>(Data_PLT[[#This Row],[Equiv. Diam. (mm)]]/50)^0.45</f>
        <v>#VALUE!</v>
      </c>
      <c r="V215" s="13" t="e">
        <f>Data_PLT[[#This Row],[Is (MPa)]]*Data_PLT[[#This Row],[F]]</f>
        <v>#VALUE!</v>
      </c>
      <c r="W215" s="13" t="str">
        <f>Data_PLT[[#This Row],[Failure Validity]]&amp;"-"&amp;Data_PLT[[#This Row],[Test type]]</f>
        <v>-</v>
      </c>
      <c r="X215" s="13" t="e">
        <f>Data_PLT[[#This Row],[Is50 (MPa)]]*VLOOKUP("Min",Table_PLT_Conversion[],2,FALSE)</f>
        <v>#VALUE!</v>
      </c>
      <c r="Y215" s="13" t="e">
        <f>Data_PLT[[#This Row],[Is50 (MPa)]]*VLOOKUP("Avg",Table_PLT_Conversion[],2,FALSE)</f>
        <v>#VALUE!</v>
      </c>
      <c r="Z215" s="13" t="e">
        <f>Data_PLT[[#This Row],[Is50 (MPa)]]*VLOOKUP("Max",Table_PLT_Conversion[],2,FALSE)</f>
        <v>#VALUE!</v>
      </c>
      <c r="AA215" s="62" t="e">
        <f>MATCH(LOOKUP(Data_PLT[[#This Row],[UCS min (MPa)]],Table_FieldStrength[Min UCS]),Table_FieldStrength[Min UCS],0)-1</f>
        <v>#VALUE!</v>
      </c>
      <c r="AB215" s="62" t="e">
        <f>MATCH(LOOKUP(Data_PLT[[#This Row],[UCS avg (MPa)]],Table_FieldStrength[Min UCS]),Table_FieldStrength[Min UCS],0)-1</f>
        <v>#VALUE!</v>
      </c>
      <c r="AC215" s="62" t="e">
        <f>MATCH(LOOKUP(Data_PLT[[#This Row],[UCS max (MPa)]],Table_FieldStrength[Min UCS]),Table_FieldStrength[Min UCS],0)-1</f>
        <v>#VALUE!</v>
      </c>
      <c r="AD215" s="68" t="e">
        <f>Data_PLT[[#This Row],[Test code]]&amp;"-"&amp;Data_PLT[[#This Row],[UCS min code]]</f>
        <v>#VALUE!</v>
      </c>
      <c r="AE215" s="68" t="e">
        <f>Data_PLT[[#This Row],[Test code]]&amp;"-"&amp;Data_PLT[[#This Row],[UCS avg code]]</f>
        <v>#VALUE!</v>
      </c>
      <c r="AF215" s="67" t="e">
        <f>Data_PLT[[#This Row],[Test code]]&amp;"-"&amp;Data_PLT[[#This Row],[UCS max code]]</f>
        <v>#VALUE!</v>
      </c>
      <c r="AG215" s="67" t="e">
        <f>Data_PLT[[#This Row],[Failure type]]&amp;"-"&amp;Data_PLT[[#This Row],[Test type]]&amp;"-"&amp;(IF(Data_PLT[[#This Row],[Is50 (MPa)]]&lt;1,1,IF(Data_PLT[[#This Row],[Is50 (MPa)]]&lt;2,2,IF(Data_PLT[[#This Row],[Is50 (MPa)]]&lt;4,3,IF(Data_PLT[[#This Row],[Is50 (MPa)]]&lt;8,4,5)))))</f>
        <v>#VALUE!</v>
      </c>
    </row>
    <row r="216" spans="1:33" x14ac:dyDescent="0.25">
      <c r="A216" s="14"/>
      <c r="B216" s="88" t="e">
        <f>VLOOKUP(Data_PLT[[#This Row],[Hole ID]],Data_Log[],2,FALSE)</f>
        <v>#N/A</v>
      </c>
      <c r="C216" s="63" t="str">
        <f>IF(Data_PLT[[#This Row],[Hole ID]]="","",
IF(COUNTIF($A$4:A216,Data_PLT[[#This Row],[Hole ID]])=1,1,
IF(A216=A215,C215+1,
COUNTIF($A$4:A216,Data_PLT[[#This Row],[Hole ID]]))))</f>
        <v/>
      </c>
      <c r="D216" s="63" t="str">
        <f>IF(Data_PLT[[#This Row],[Hole ID]]="","",Data_PLT[[#This Row],[Hole ID]]&amp;"_"&amp;Data_PLT[[#This Row],[Sample ID]])</f>
        <v/>
      </c>
      <c r="E216" s="6"/>
      <c r="F216" s="6"/>
      <c r="G216" s="63" t="e" cm="1">
        <f t="array" ref="G216">_xlfn.XLOOKUP(1,(A216=Geotech!$A$4:$A$11100)*(Data_PLT[[#This Row],[Depth (m)]]&gt;=Geotech!$C$4:$C$11100)*(Data_PLT[[#This Row],[Depth (m)]]&lt;Geotech!$D$4:$D$11100),Geotech!$M$4:$M$11100)</f>
        <v>#N/A</v>
      </c>
      <c r="H216" s="6"/>
      <c r="I216" s="63" t="e">
        <f>VLOOKUP(Data_PLT[[#This Row],[Hole ID]],Data_Log[[Hole ID]:[Core size]],20,FALSE)</f>
        <v>#N/A</v>
      </c>
      <c r="J216" s="13" t="e">
        <f>VLOOKUP(Data_PLT[[#This Row],[Core Size]],Table_CoreSize[],2,FALSE)</f>
        <v>#N/A</v>
      </c>
      <c r="K216" s="19"/>
      <c r="L216" s="19"/>
      <c r="M216" s="5"/>
      <c r="N216" s="5"/>
      <c r="O216" s="6"/>
      <c r="P216" s="13" t="str">
        <f>IF(Data_PLT[[#This Row],[Failure type]]="","",IF(OR(Data_PLT[[#This Row],[Failure type]]="Invalid",Data_PLT[[#This Row],[Failure type]]="Chipped",Data_PLT[[#This Row],[Failure type]]="Penetrate",Data_PLT[[#This Row],[Failure type]]="Did not break"),"Invalid","Valid"))</f>
        <v/>
      </c>
      <c r="Q216" s="6"/>
      <c r="R216" s="11"/>
      <c r="S216" s="13" t="str">
        <f>IF(Data_PLT[[#This Row],[Test type]]="Diametral",Data_PLT[[#This Row],[Diameter (mm)]],IF(Data_PLT[[#This Row],[Test type]]="Axial",SQRT(4*Data_PLT[[#This Row],[Diameter (mm)]]*Data_PLT[[#This Row],[Length or width (mm)]]/PI()),"ERROR"))</f>
        <v>ERROR</v>
      </c>
      <c r="T216" s="13" t="e">
        <f>(Data_PLT[[#This Row],[Load (kN)]]*1000)/Data_PLT[[#This Row],[Equiv. Diam. (mm)]]^2</f>
        <v>#VALUE!</v>
      </c>
      <c r="U216" s="13" t="e">
        <f>(Data_PLT[[#This Row],[Equiv. Diam. (mm)]]/50)^0.45</f>
        <v>#VALUE!</v>
      </c>
      <c r="V216" s="13" t="e">
        <f>Data_PLT[[#This Row],[Is (MPa)]]*Data_PLT[[#This Row],[F]]</f>
        <v>#VALUE!</v>
      </c>
      <c r="W216" s="13" t="str">
        <f>Data_PLT[[#This Row],[Failure Validity]]&amp;"-"&amp;Data_PLT[[#This Row],[Test type]]</f>
        <v>-</v>
      </c>
      <c r="X216" s="13" t="e">
        <f>Data_PLT[[#This Row],[Is50 (MPa)]]*VLOOKUP("Min",Table_PLT_Conversion[],2,FALSE)</f>
        <v>#VALUE!</v>
      </c>
      <c r="Y216" s="13" t="e">
        <f>Data_PLT[[#This Row],[Is50 (MPa)]]*VLOOKUP("Avg",Table_PLT_Conversion[],2,FALSE)</f>
        <v>#VALUE!</v>
      </c>
      <c r="Z216" s="13" t="e">
        <f>Data_PLT[[#This Row],[Is50 (MPa)]]*VLOOKUP("Max",Table_PLT_Conversion[],2,FALSE)</f>
        <v>#VALUE!</v>
      </c>
      <c r="AA216" s="62" t="e">
        <f>MATCH(LOOKUP(Data_PLT[[#This Row],[UCS min (MPa)]],Table_FieldStrength[Min UCS]),Table_FieldStrength[Min UCS],0)-1</f>
        <v>#VALUE!</v>
      </c>
      <c r="AB216" s="62" t="e">
        <f>MATCH(LOOKUP(Data_PLT[[#This Row],[UCS avg (MPa)]],Table_FieldStrength[Min UCS]),Table_FieldStrength[Min UCS],0)-1</f>
        <v>#VALUE!</v>
      </c>
      <c r="AC216" s="62" t="e">
        <f>MATCH(LOOKUP(Data_PLT[[#This Row],[UCS max (MPa)]],Table_FieldStrength[Min UCS]),Table_FieldStrength[Min UCS],0)-1</f>
        <v>#VALUE!</v>
      </c>
      <c r="AD216" s="68" t="e">
        <f>Data_PLT[[#This Row],[Test code]]&amp;"-"&amp;Data_PLT[[#This Row],[UCS min code]]</f>
        <v>#VALUE!</v>
      </c>
      <c r="AE216" s="68" t="e">
        <f>Data_PLT[[#This Row],[Test code]]&amp;"-"&amp;Data_PLT[[#This Row],[UCS avg code]]</f>
        <v>#VALUE!</v>
      </c>
      <c r="AF216" s="67" t="e">
        <f>Data_PLT[[#This Row],[Test code]]&amp;"-"&amp;Data_PLT[[#This Row],[UCS max code]]</f>
        <v>#VALUE!</v>
      </c>
      <c r="AG216" s="67" t="e">
        <f>Data_PLT[[#This Row],[Failure type]]&amp;"-"&amp;Data_PLT[[#This Row],[Test type]]&amp;"-"&amp;(IF(Data_PLT[[#This Row],[Is50 (MPa)]]&lt;1,1,IF(Data_PLT[[#This Row],[Is50 (MPa)]]&lt;2,2,IF(Data_PLT[[#This Row],[Is50 (MPa)]]&lt;4,3,IF(Data_PLT[[#This Row],[Is50 (MPa)]]&lt;8,4,5)))))</f>
        <v>#VALUE!</v>
      </c>
    </row>
    <row r="217" spans="1:33" x14ac:dyDescent="0.25">
      <c r="A217" s="14"/>
      <c r="B217" s="88" t="e">
        <f>VLOOKUP(Data_PLT[[#This Row],[Hole ID]],Data_Log[],2,FALSE)</f>
        <v>#N/A</v>
      </c>
      <c r="C217" s="63" t="str">
        <f>IF(Data_PLT[[#This Row],[Hole ID]]="","",
IF(COUNTIF($A$4:A217,Data_PLT[[#This Row],[Hole ID]])=1,1,
IF(A217=A216,C216+1,
COUNTIF($A$4:A217,Data_PLT[[#This Row],[Hole ID]]))))</f>
        <v/>
      </c>
      <c r="D217" s="63" t="str">
        <f>IF(Data_PLT[[#This Row],[Hole ID]]="","",Data_PLT[[#This Row],[Hole ID]]&amp;"_"&amp;Data_PLT[[#This Row],[Sample ID]])</f>
        <v/>
      </c>
      <c r="E217" s="6"/>
      <c r="F217" s="6"/>
      <c r="G217" s="63" t="e" cm="1">
        <f t="array" ref="G217">_xlfn.XLOOKUP(1,(A217=Geotech!$A$4:$A$11100)*(Data_PLT[[#This Row],[Depth (m)]]&gt;=Geotech!$C$4:$C$11100)*(Data_PLT[[#This Row],[Depth (m)]]&lt;Geotech!$D$4:$D$11100),Geotech!$M$4:$M$11100)</f>
        <v>#N/A</v>
      </c>
      <c r="H217" s="6"/>
      <c r="I217" s="63" t="e">
        <f>VLOOKUP(Data_PLT[[#This Row],[Hole ID]],Data_Log[[Hole ID]:[Core size]],20,FALSE)</f>
        <v>#N/A</v>
      </c>
      <c r="J217" s="13" t="e">
        <f>VLOOKUP(Data_PLT[[#This Row],[Core Size]],Table_CoreSize[],2,FALSE)</f>
        <v>#N/A</v>
      </c>
      <c r="K217" s="19"/>
      <c r="L217" s="19"/>
      <c r="M217" s="5"/>
      <c r="N217" s="5"/>
      <c r="O217" s="6"/>
      <c r="P217" s="13" t="str">
        <f>IF(Data_PLT[[#This Row],[Failure type]]="","",IF(OR(Data_PLT[[#This Row],[Failure type]]="Invalid",Data_PLT[[#This Row],[Failure type]]="Chipped",Data_PLT[[#This Row],[Failure type]]="Penetrate",Data_PLT[[#This Row],[Failure type]]="Did not break"),"Invalid","Valid"))</f>
        <v/>
      </c>
      <c r="Q217" s="6"/>
      <c r="R217" s="11"/>
      <c r="S217" s="13" t="str">
        <f>IF(Data_PLT[[#This Row],[Test type]]="Diametral",Data_PLT[[#This Row],[Diameter (mm)]],IF(Data_PLT[[#This Row],[Test type]]="Axial",SQRT(4*Data_PLT[[#This Row],[Diameter (mm)]]*Data_PLT[[#This Row],[Length or width (mm)]]/PI()),"ERROR"))</f>
        <v>ERROR</v>
      </c>
      <c r="T217" s="13" t="e">
        <f>(Data_PLT[[#This Row],[Load (kN)]]*1000)/Data_PLT[[#This Row],[Equiv. Diam. (mm)]]^2</f>
        <v>#VALUE!</v>
      </c>
      <c r="U217" s="13" t="e">
        <f>(Data_PLT[[#This Row],[Equiv. Diam. (mm)]]/50)^0.45</f>
        <v>#VALUE!</v>
      </c>
      <c r="V217" s="13" t="e">
        <f>Data_PLT[[#This Row],[Is (MPa)]]*Data_PLT[[#This Row],[F]]</f>
        <v>#VALUE!</v>
      </c>
      <c r="W217" s="13" t="str">
        <f>Data_PLT[[#This Row],[Failure Validity]]&amp;"-"&amp;Data_PLT[[#This Row],[Test type]]</f>
        <v>-</v>
      </c>
      <c r="X217" s="13" t="e">
        <f>Data_PLT[[#This Row],[Is50 (MPa)]]*VLOOKUP("Min",Table_PLT_Conversion[],2,FALSE)</f>
        <v>#VALUE!</v>
      </c>
      <c r="Y217" s="13" t="e">
        <f>Data_PLT[[#This Row],[Is50 (MPa)]]*VLOOKUP("Avg",Table_PLT_Conversion[],2,FALSE)</f>
        <v>#VALUE!</v>
      </c>
      <c r="Z217" s="13" t="e">
        <f>Data_PLT[[#This Row],[Is50 (MPa)]]*VLOOKUP("Max",Table_PLT_Conversion[],2,FALSE)</f>
        <v>#VALUE!</v>
      </c>
      <c r="AA217" s="62" t="e">
        <f>MATCH(LOOKUP(Data_PLT[[#This Row],[UCS min (MPa)]],Table_FieldStrength[Min UCS]),Table_FieldStrength[Min UCS],0)-1</f>
        <v>#VALUE!</v>
      </c>
      <c r="AB217" s="62" t="e">
        <f>MATCH(LOOKUP(Data_PLT[[#This Row],[UCS avg (MPa)]],Table_FieldStrength[Min UCS]),Table_FieldStrength[Min UCS],0)-1</f>
        <v>#VALUE!</v>
      </c>
      <c r="AC217" s="62" t="e">
        <f>MATCH(LOOKUP(Data_PLT[[#This Row],[UCS max (MPa)]],Table_FieldStrength[Min UCS]),Table_FieldStrength[Min UCS],0)-1</f>
        <v>#VALUE!</v>
      </c>
      <c r="AD217" s="68" t="e">
        <f>Data_PLT[[#This Row],[Test code]]&amp;"-"&amp;Data_PLT[[#This Row],[UCS min code]]</f>
        <v>#VALUE!</v>
      </c>
      <c r="AE217" s="68" t="e">
        <f>Data_PLT[[#This Row],[Test code]]&amp;"-"&amp;Data_PLT[[#This Row],[UCS avg code]]</f>
        <v>#VALUE!</v>
      </c>
      <c r="AF217" s="67" t="e">
        <f>Data_PLT[[#This Row],[Test code]]&amp;"-"&amp;Data_PLT[[#This Row],[UCS max code]]</f>
        <v>#VALUE!</v>
      </c>
      <c r="AG217" s="67" t="e">
        <f>Data_PLT[[#This Row],[Failure type]]&amp;"-"&amp;Data_PLT[[#This Row],[Test type]]&amp;"-"&amp;(IF(Data_PLT[[#This Row],[Is50 (MPa)]]&lt;1,1,IF(Data_PLT[[#This Row],[Is50 (MPa)]]&lt;2,2,IF(Data_PLT[[#This Row],[Is50 (MPa)]]&lt;4,3,IF(Data_PLT[[#This Row],[Is50 (MPa)]]&lt;8,4,5)))))</f>
        <v>#VALUE!</v>
      </c>
    </row>
    <row r="218" spans="1:33" x14ac:dyDescent="0.25">
      <c r="A218" s="14"/>
      <c r="B218" s="88" t="e">
        <f>VLOOKUP(Data_PLT[[#This Row],[Hole ID]],Data_Log[],2,FALSE)</f>
        <v>#N/A</v>
      </c>
      <c r="C218" s="63" t="str">
        <f>IF(Data_PLT[[#This Row],[Hole ID]]="","",
IF(COUNTIF($A$4:A218,Data_PLT[[#This Row],[Hole ID]])=1,1,
IF(A218=A217,C217+1,
COUNTIF($A$4:A218,Data_PLT[[#This Row],[Hole ID]]))))</f>
        <v/>
      </c>
      <c r="D218" s="63" t="str">
        <f>IF(Data_PLT[[#This Row],[Hole ID]]="","",Data_PLT[[#This Row],[Hole ID]]&amp;"_"&amp;Data_PLT[[#This Row],[Sample ID]])</f>
        <v/>
      </c>
      <c r="E218" s="6"/>
      <c r="F218" s="6"/>
      <c r="G218" s="63" t="e" cm="1">
        <f t="array" ref="G218">_xlfn.XLOOKUP(1,(A218=Geotech!$A$4:$A$11100)*(Data_PLT[[#This Row],[Depth (m)]]&gt;=Geotech!$C$4:$C$11100)*(Data_PLT[[#This Row],[Depth (m)]]&lt;Geotech!$D$4:$D$11100),Geotech!$M$4:$M$11100)</f>
        <v>#N/A</v>
      </c>
      <c r="H218" s="6"/>
      <c r="I218" s="63" t="e">
        <f>VLOOKUP(Data_PLT[[#This Row],[Hole ID]],Data_Log[[Hole ID]:[Core size]],20,FALSE)</f>
        <v>#N/A</v>
      </c>
      <c r="J218" s="13" t="e">
        <f>VLOOKUP(Data_PLT[[#This Row],[Core Size]],Table_CoreSize[],2,FALSE)</f>
        <v>#N/A</v>
      </c>
      <c r="K218" s="19"/>
      <c r="L218" s="19"/>
      <c r="M218" s="5"/>
      <c r="N218" s="5"/>
      <c r="O218" s="6"/>
      <c r="P218" s="13" t="str">
        <f>IF(Data_PLT[[#This Row],[Failure type]]="","",IF(OR(Data_PLT[[#This Row],[Failure type]]="Invalid",Data_PLT[[#This Row],[Failure type]]="Chipped",Data_PLT[[#This Row],[Failure type]]="Penetrate",Data_PLT[[#This Row],[Failure type]]="Did not break"),"Invalid","Valid"))</f>
        <v/>
      </c>
      <c r="Q218" s="6"/>
      <c r="R218" s="11"/>
      <c r="S218" s="13" t="str">
        <f>IF(Data_PLT[[#This Row],[Test type]]="Diametral",Data_PLT[[#This Row],[Diameter (mm)]],IF(Data_PLT[[#This Row],[Test type]]="Axial",SQRT(4*Data_PLT[[#This Row],[Diameter (mm)]]*Data_PLT[[#This Row],[Length or width (mm)]]/PI()),"ERROR"))</f>
        <v>ERROR</v>
      </c>
      <c r="T218" s="13" t="e">
        <f>(Data_PLT[[#This Row],[Load (kN)]]*1000)/Data_PLT[[#This Row],[Equiv. Diam. (mm)]]^2</f>
        <v>#VALUE!</v>
      </c>
      <c r="U218" s="13" t="e">
        <f>(Data_PLT[[#This Row],[Equiv. Diam. (mm)]]/50)^0.45</f>
        <v>#VALUE!</v>
      </c>
      <c r="V218" s="13" t="e">
        <f>Data_PLT[[#This Row],[Is (MPa)]]*Data_PLT[[#This Row],[F]]</f>
        <v>#VALUE!</v>
      </c>
      <c r="W218" s="13" t="str">
        <f>Data_PLT[[#This Row],[Failure Validity]]&amp;"-"&amp;Data_PLT[[#This Row],[Test type]]</f>
        <v>-</v>
      </c>
      <c r="X218" s="13" t="e">
        <f>Data_PLT[[#This Row],[Is50 (MPa)]]*VLOOKUP("Min",Table_PLT_Conversion[],2,FALSE)</f>
        <v>#VALUE!</v>
      </c>
      <c r="Y218" s="13" t="e">
        <f>Data_PLT[[#This Row],[Is50 (MPa)]]*VLOOKUP("Avg",Table_PLT_Conversion[],2,FALSE)</f>
        <v>#VALUE!</v>
      </c>
      <c r="Z218" s="13" t="e">
        <f>Data_PLT[[#This Row],[Is50 (MPa)]]*VLOOKUP("Max",Table_PLT_Conversion[],2,FALSE)</f>
        <v>#VALUE!</v>
      </c>
      <c r="AA218" s="62" t="e">
        <f>MATCH(LOOKUP(Data_PLT[[#This Row],[UCS min (MPa)]],Table_FieldStrength[Min UCS]),Table_FieldStrength[Min UCS],0)-1</f>
        <v>#VALUE!</v>
      </c>
      <c r="AB218" s="62" t="e">
        <f>MATCH(LOOKUP(Data_PLT[[#This Row],[UCS avg (MPa)]],Table_FieldStrength[Min UCS]),Table_FieldStrength[Min UCS],0)-1</f>
        <v>#VALUE!</v>
      </c>
      <c r="AC218" s="62" t="e">
        <f>MATCH(LOOKUP(Data_PLT[[#This Row],[UCS max (MPa)]],Table_FieldStrength[Min UCS]),Table_FieldStrength[Min UCS],0)-1</f>
        <v>#VALUE!</v>
      </c>
      <c r="AD218" s="68" t="e">
        <f>Data_PLT[[#This Row],[Test code]]&amp;"-"&amp;Data_PLT[[#This Row],[UCS min code]]</f>
        <v>#VALUE!</v>
      </c>
      <c r="AE218" s="68" t="e">
        <f>Data_PLT[[#This Row],[Test code]]&amp;"-"&amp;Data_PLT[[#This Row],[UCS avg code]]</f>
        <v>#VALUE!</v>
      </c>
      <c r="AF218" s="67" t="e">
        <f>Data_PLT[[#This Row],[Test code]]&amp;"-"&amp;Data_PLT[[#This Row],[UCS max code]]</f>
        <v>#VALUE!</v>
      </c>
      <c r="AG218" s="67" t="e">
        <f>Data_PLT[[#This Row],[Failure type]]&amp;"-"&amp;Data_PLT[[#This Row],[Test type]]&amp;"-"&amp;(IF(Data_PLT[[#This Row],[Is50 (MPa)]]&lt;1,1,IF(Data_PLT[[#This Row],[Is50 (MPa)]]&lt;2,2,IF(Data_PLT[[#This Row],[Is50 (MPa)]]&lt;4,3,IF(Data_PLT[[#This Row],[Is50 (MPa)]]&lt;8,4,5)))))</f>
        <v>#VALUE!</v>
      </c>
    </row>
    <row r="219" spans="1:33" x14ac:dyDescent="0.25">
      <c r="A219" s="14"/>
      <c r="B219" s="88" t="e">
        <f>VLOOKUP(Data_PLT[[#This Row],[Hole ID]],Data_Log[],2,FALSE)</f>
        <v>#N/A</v>
      </c>
      <c r="C219" s="63" t="str">
        <f>IF(Data_PLT[[#This Row],[Hole ID]]="","",
IF(COUNTIF($A$4:A219,Data_PLT[[#This Row],[Hole ID]])=1,1,
IF(A219=A218,C218+1,
COUNTIF($A$4:A219,Data_PLT[[#This Row],[Hole ID]]))))</f>
        <v/>
      </c>
      <c r="D219" s="63" t="str">
        <f>IF(Data_PLT[[#This Row],[Hole ID]]="","",Data_PLT[[#This Row],[Hole ID]]&amp;"_"&amp;Data_PLT[[#This Row],[Sample ID]])</f>
        <v/>
      </c>
      <c r="E219" s="6"/>
      <c r="F219" s="6"/>
      <c r="G219" s="63" t="e" cm="1">
        <f t="array" ref="G219">_xlfn.XLOOKUP(1,(A219=Geotech!$A$4:$A$11100)*(Data_PLT[[#This Row],[Depth (m)]]&gt;=Geotech!$C$4:$C$11100)*(Data_PLT[[#This Row],[Depth (m)]]&lt;Geotech!$D$4:$D$11100),Geotech!$M$4:$M$11100)</f>
        <v>#N/A</v>
      </c>
      <c r="H219" s="6"/>
      <c r="I219" s="63" t="e">
        <f>VLOOKUP(Data_PLT[[#This Row],[Hole ID]],Data_Log[[Hole ID]:[Core size]],20,FALSE)</f>
        <v>#N/A</v>
      </c>
      <c r="J219" s="13" t="e">
        <f>VLOOKUP(Data_PLT[[#This Row],[Core Size]],Table_CoreSize[],2,FALSE)</f>
        <v>#N/A</v>
      </c>
      <c r="K219" s="19"/>
      <c r="L219" s="19"/>
      <c r="M219" s="5"/>
      <c r="N219" s="5"/>
      <c r="O219" s="6"/>
      <c r="P219" s="13" t="str">
        <f>IF(Data_PLT[[#This Row],[Failure type]]="","",IF(OR(Data_PLT[[#This Row],[Failure type]]="Invalid",Data_PLT[[#This Row],[Failure type]]="Chipped",Data_PLT[[#This Row],[Failure type]]="Penetrate",Data_PLT[[#This Row],[Failure type]]="Did not break"),"Invalid","Valid"))</f>
        <v/>
      </c>
      <c r="Q219" s="6"/>
      <c r="R219" s="11"/>
      <c r="S219" s="13" t="str">
        <f>IF(Data_PLT[[#This Row],[Test type]]="Diametral",Data_PLT[[#This Row],[Diameter (mm)]],IF(Data_PLT[[#This Row],[Test type]]="Axial",SQRT(4*Data_PLT[[#This Row],[Diameter (mm)]]*Data_PLT[[#This Row],[Length or width (mm)]]/PI()),"ERROR"))</f>
        <v>ERROR</v>
      </c>
      <c r="T219" s="13" t="e">
        <f>(Data_PLT[[#This Row],[Load (kN)]]*1000)/Data_PLT[[#This Row],[Equiv. Diam. (mm)]]^2</f>
        <v>#VALUE!</v>
      </c>
      <c r="U219" s="13" t="e">
        <f>(Data_PLT[[#This Row],[Equiv. Diam. (mm)]]/50)^0.45</f>
        <v>#VALUE!</v>
      </c>
      <c r="V219" s="13" t="e">
        <f>Data_PLT[[#This Row],[Is (MPa)]]*Data_PLT[[#This Row],[F]]</f>
        <v>#VALUE!</v>
      </c>
      <c r="W219" s="13" t="str">
        <f>Data_PLT[[#This Row],[Failure Validity]]&amp;"-"&amp;Data_PLT[[#This Row],[Test type]]</f>
        <v>-</v>
      </c>
      <c r="X219" s="13" t="e">
        <f>Data_PLT[[#This Row],[Is50 (MPa)]]*VLOOKUP("Min",Table_PLT_Conversion[],2,FALSE)</f>
        <v>#VALUE!</v>
      </c>
      <c r="Y219" s="13" t="e">
        <f>Data_PLT[[#This Row],[Is50 (MPa)]]*VLOOKUP("Avg",Table_PLT_Conversion[],2,FALSE)</f>
        <v>#VALUE!</v>
      </c>
      <c r="Z219" s="13" t="e">
        <f>Data_PLT[[#This Row],[Is50 (MPa)]]*VLOOKUP("Max",Table_PLT_Conversion[],2,FALSE)</f>
        <v>#VALUE!</v>
      </c>
      <c r="AA219" s="62" t="e">
        <f>MATCH(LOOKUP(Data_PLT[[#This Row],[UCS min (MPa)]],Table_FieldStrength[Min UCS]),Table_FieldStrength[Min UCS],0)-1</f>
        <v>#VALUE!</v>
      </c>
      <c r="AB219" s="62" t="e">
        <f>MATCH(LOOKUP(Data_PLT[[#This Row],[UCS avg (MPa)]],Table_FieldStrength[Min UCS]),Table_FieldStrength[Min UCS],0)-1</f>
        <v>#VALUE!</v>
      </c>
      <c r="AC219" s="62" t="e">
        <f>MATCH(LOOKUP(Data_PLT[[#This Row],[UCS max (MPa)]],Table_FieldStrength[Min UCS]),Table_FieldStrength[Min UCS],0)-1</f>
        <v>#VALUE!</v>
      </c>
      <c r="AD219" s="68" t="e">
        <f>Data_PLT[[#This Row],[Test code]]&amp;"-"&amp;Data_PLT[[#This Row],[UCS min code]]</f>
        <v>#VALUE!</v>
      </c>
      <c r="AE219" s="68" t="e">
        <f>Data_PLT[[#This Row],[Test code]]&amp;"-"&amp;Data_PLT[[#This Row],[UCS avg code]]</f>
        <v>#VALUE!</v>
      </c>
      <c r="AF219" s="67" t="e">
        <f>Data_PLT[[#This Row],[Test code]]&amp;"-"&amp;Data_PLT[[#This Row],[UCS max code]]</f>
        <v>#VALUE!</v>
      </c>
      <c r="AG219" s="67" t="e">
        <f>Data_PLT[[#This Row],[Failure type]]&amp;"-"&amp;Data_PLT[[#This Row],[Test type]]&amp;"-"&amp;(IF(Data_PLT[[#This Row],[Is50 (MPa)]]&lt;1,1,IF(Data_PLT[[#This Row],[Is50 (MPa)]]&lt;2,2,IF(Data_PLT[[#This Row],[Is50 (MPa)]]&lt;4,3,IF(Data_PLT[[#This Row],[Is50 (MPa)]]&lt;8,4,5)))))</f>
        <v>#VALUE!</v>
      </c>
    </row>
    <row r="220" spans="1:33" x14ac:dyDescent="0.25">
      <c r="A220" s="14"/>
      <c r="B220" s="88" t="e">
        <f>VLOOKUP(Data_PLT[[#This Row],[Hole ID]],Data_Log[],2,FALSE)</f>
        <v>#N/A</v>
      </c>
      <c r="C220" s="63" t="str">
        <f>IF(Data_PLT[[#This Row],[Hole ID]]="","",
IF(COUNTIF($A$4:A220,Data_PLT[[#This Row],[Hole ID]])=1,1,
IF(A220=A219,C219+1,
COUNTIF($A$4:A220,Data_PLT[[#This Row],[Hole ID]]))))</f>
        <v/>
      </c>
      <c r="D220" s="63" t="str">
        <f>IF(Data_PLT[[#This Row],[Hole ID]]="","",Data_PLT[[#This Row],[Hole ID]]&amp;"_"&amp;Data_PLT[[#This Row],[Sample ID]])</f>
        <v/>
      </c>
      <c r="E220" s="6"/>
      <c r="F220" s="6"/>
      <c r="G220" s="63" t="e" cm="1">
        <f t="array" ref="G220">_xlfn.XLOOKUP(1,(A220=Geotech!$A$4:$A$11100)*(Data_PLT[[#This Row],[Depth (m)]]&gt;=Geotech!$C$4:$C$11100)*(Data_PLT[[#This Row],[Depth (m)]]&lt;Geotech!$D$4:$D$11100),Geotech!$M$4:$M$11100)</f>
        <v>#N/A</v>
      </c>
      <c r="H220" s="6"/>
      <c r="I220" s="63" t="e">
        <f>VLOOKUP(Data_PLT[[#This Row],[Hole ID]],Data_Log[[Hole ID]:[Core size]],20,FALSE)</f>
        <v>#N/A</v>
      </c>
      <c r="J220" s="13" t="e">
        <f>VLOOKUP(Data_PLT[[#This Row],[Core Size]],Table_CoreSize[],2,FALSE)</f>
        <v>#N/A</v>
      </c>
      <c r="K220" s="19"/>
      <c r="L220" s="19"/>
      <c r="M220" s="5"/>
      <c r="N220" s="5"/>
      <c r="O220" s="6"/>
      <c r="P220" s="13" t="str">
        <f>IF(Data_PLT[[#This Row],[Failure type]]="","",IF(OR(Data_PLT[[#This Row],[Failure type]]="Invalid",Data_PLT[[#This Row],[Failure type]]="Chipped",Data_PLT[[#This Row],[Failure type]]="Penetrate",Data_PLT[[#This Row],[Failure type]]="Did not break"),"Invalid","Valid"))</f>
        <v/>
      </c>
      <c r="Q220" s="6"/>
      <c r="R220" s="11"/>
      <c r="S220" s="13" t="str">
        <f>IF(Data_PLT[[#This Row],[Test type]]="Diametral",Data_PLT[[#This Row],[Diameter (mm)]],IF(Data_PLT[[#This Row],[Test type]]="Axial",SQRT(4*Data_PLT[[#This Row],[Diameter (mm)]]*Data_PLT[[#This Row],[Length or width (mm)]]/PI()),"ERROR"))</f>
        <v>ERROR</v>
      </c>
      <c r="T220" s="13" t="e">
        <f>(Data_PLT[[#This Row],[Load (kN)]]*1000)/Data_PLT[[#This Row],[Equiv. Diam. (mm)]]^2</f>
        <v>#VALUE!</v>
      </c>
      <c r="U220" s="13" t="e">
        <f>(Data_PLT[[#This Row],[Equiv. Diam. (mm)]]/50)^0.45</f>
        <v>#VALUE!</v>
      </c>
      <c r="V220" s="13" t="e">
        <f>Data_PLT[[#This Row],[Is (MPa)]]*Data_PLT[[#This Row],[F]]</f>
        <v>#VALUE!</v>
      </c>
      <c r="W220" s="13" t="str">
        <f>Data_PLT[[#This Row],[Failure Validity]]&amp;"-"&amp;Data_PLT[[#This Row],[Test type]]</f>
        <v>-</v>
      </c>
      <c r="X220" s="13" t="e">
        <f>Data_PLT[[#This Row],[Is50 (MPa)]]*VLOOKUP("Min",Table_PLT_Conversion[],2,FALSE)</f>
        <v>#VALUE!</v>
      </c>
      <c r="Y220" s="13" t="e">
        <f>Data_PLT[[#This Row],[Is50 (MPa)]]*VLOOKUP("Avg",Table_PLT_Conversion[],2,FALSE)</f>
        <v>#VALUE!</v>
      </c>
      <c r="Z220" s="13" t="e">
        <f>Data_PLT[[#This Row],[Is50 (MPa)]]*VLOOKUP("Max",Table_PLT_Conversion[],2,FALSE)</f>
        <v>#VALUE!</v>
      </c>
      <c r="AA220" s="62" t="e">
        <f>MATCH(LOOKUP(Data_PLT[[#This Row],[UCS min (MPa)]],Table_FieldStrength[Min UCS]),Table_FieldStrength[Min UCS],0)-1</f>
        <v>#VALUE!</v>
      </c>
      <c r="AB220" s="62" t="e">
        <f>MATCH(LOOKUP(Data_PLT[[#This Row],[UCS avg (MPa)]],Table_FieldStrength[Min UCS]),Table_FieldStrength[Min UCS],0)-1</f>
        <v>#VALUE!</v>
      </c>
      <c r="AC220" s="62" t="e">
        <f>MATCH(LOOKUP(Data_PLT[[#This Row],[UCS max (MPa)]],Table_FieldStrength[Min UCS]),Table_FieldStrength[Min UCS],0)-1</f>
        <v>#VALUE!</v>
      </c>
      <c r="AD220" s="68" t="e">
        <f>Data_PLT[[#This Row],[Test code]]&amp;"-"&amp;Data_PLT[[#This Row],[UCS min code]]</f>
        <v>#VALUE!</v>
      </c>
      <c r="AE220" s="68" t="e">
        <f>Data_PLT[[#This Row],[Test code]]&amp;"-"&amp;Data_PLT[[#This Row],[UCS avg code]]</f>
        <v>#VALUE!</v>
      </c>
      <c r="AF220" s="67" t="e">
        <f>Data_PLT[[#This Row],[Test code]]&amp;"-"&amp;Data_PLT[[#This Row],[UCS max code]]</f>
        <v>#VALUE!</v>
      </c>
      <c r="AG220" s="67" t="e">
        <f>Data_PLT[[#This Row],[Failure type]]&amp;"-"&amp;Data_PLT[[#This Row],[Test type]]&amp;"-"&amp;(IF(Data_PLT[[#This Row],[Is50 (MPa)]]&lt;1,1,IF(Data_PLT[[#This Row],[Is50 (MPa)]]&lt;2,2,IF(Data_PLT[[#This Row],[Is50 (MPa)]]&lt;4,3,IF(Data_PLT[[#This Row],[Is50 (MPa)]]&lt;8,4,5)))))</f>
        <v>#VALUE!</v>
      </c>
    </row>
    <row r="221" spans="1:33" x14ac:dyDescent="0.25">
      <c r="A221" s="14"/>
      <c r="B221" s="88" t="e">
        <f>VLOOKUP(Data_PLT[[#This Row],[Hole ID]],Data_Log[],2,FALSE)</f>
        <v>#N/A</v>
      </c>
      <c r="C221" s="63" t="str">
        <f>IF(Data_PLT[[#This Row],[Hole ID]]="","",
IF(COUNTIF($A$4:A221,Data_PLT[[#This Row],[Hole ID]])=1,1,
IF(A221=A220,C220+1,
COUNTIF($A$4:A221,Data_PLT[[#This Row],[Hole ID]]))))</f>
        <v/>
      </c>
      <c r="D221" s="63" t="str">
        <f>IF(Data_PLT[[#This Row],[Hole ID]]="","",Data_PLT[[#This Row],[Hole ID]]&amp;"_"&amp;Data_PLT[[#This Row],[Sample ID]])</f>
        <v/>
      </c>
      <c r="E221" s="6"/>
      <c r="F221" s="6"/>
      <c r="G221" s="63" t="e" cm="1">
        <f t="array" ref="G221">_xlfn.XLOOKUP(1,(A221=Geotech!$A$4:$A$11100)*(Data_PLT[[#This Row],[Depth (m)]]&gt;=Geotech!$C$4:$C$11100)*(Data_PLT[[#This Row],[Depth (m)]]&lt;Geotech!$D$4:$D$11100),Geotech!$M$4:$M$11100)</f>
        <v>#N/A</v>
      </c>
      <c r="H221" s="6"/>
      <c r="I221" s="63" t="e">
        <f>VLOOKUP(Data_PLT[[#This Row],[Hole ID]],Data_Log[[Hole ID]:[Core size]],20,FALSE)</f>
        <v>#N/A</v>
      </c>
      <c r="J221" s="13" t="e">
        <f>VLOOKUP(Data_PLT[[#This Row],[Core Size]],Table_CoreSize[],2,FALSE)</f>
        <v>#N/A</v>
      </c>
      <c r="K221" s="19"/>
      <c r="L221" s="19"/>
      <c r="M221" s="5"/>
      <c r="N221" s="5"/>
      <c r="O221" s="6"/>
      <c r="P221" s="13" t="str">
        <f>IF(Data_PLT[[#This Row],[Failure type]]="","",IF(OR(Data_PLT[[#This Row],[Failure type]]="Invalid",Data_PLT[[#This Row],[Failure type]]="Chipped",Data_PLT[[#This Row],[Failure type]]="Penetrate",Data_PLT[[#This Row],[Failure type]]="Did not break"),"Invalid","Valid"))</f>
        <v/>
      </c>
      <c r="Q221" s="6"/>
      <c r="R221" s="11"/>
      <c r="S221" s="13" t="str">
        <f>IF(Data_PLT[[#This Row],[Test type]]="Diametral",Data_PLT[[#This Row],[Diameter (mm)]],IF(Data_PLT[[#This Row],[Test type]]="Axial",SQRT(4*Data_PLT[[#This Row],[Diameter (mm)]]*Data_PLT[[#This Row],[Length or width (mm)]]/PI()),"ERROR"))</f>
        <v>ERROR</v>
      </c>
      <c r="T221" s="13" t="e">
        <f>(Data_PLT[[#This Row],[Load (kN)]]*1000)/Data_PLT[[#This Row],[Equiv. Diam. (mm)]]^2</f>
        <v>#VALUE!</v>
      </c>
      <c r="U221" s="13" t="e">
        <f>(Data_PLT[[#This Row],[Equiv. Diam. (mm)]]/50)^0.45</f>
        <v>#VALUE!</v>
      </c>
      <c r="V221" s="13" t="e">
        <f>Data_PLT[[#This Row],[Is (MPa)]]*Data_PLT[[#This Row],[F]]</f>
        <v>#VALUE!</v>
      </c>
      <c r="W221" s="13" t="str">
        <f>Data_PLT[[#This Row],[Failure Validity]]&amp;"-"&amp;Data_PLT[[#This Row],[Test type]]</f>
        <v>-</v>
      </c>
      <c r="X221" s="13" t="e">
        <f>Data_PLT[[#This Row],[Is50 (MPa)]]*VLOOKUP("Min",Table_PLT_Conversion[],2,FALSE)</f>
        <v>#VALUE!</v>
      </c>
      <c r="Y221" s="13" t="e">
        <f>Data_PLT[[#This Row],[Is50 (MPa)]]*VLOOKUP("Avg",Table_PLT_Conversion[],2,FALSE)</f>
        <v>#VALUE!</v>
      </c>
      <c r="Z221" s="13" t="e">
        <f>Data_PLT[[#This Row],[Is50 (MPa)]]*VLOOKUP("Max",Table_PLT_Conversion[],2,FALSE)</f>
        <v>#VALUE!</v>
      </c>
      <c r="AA221" s="62" t="e">
        <f>MATCH(LOOKUP(Data_PLT[[#This Row],[UCS min (MPa)]],Table_FieldStrength[Min UCS]),Table_FieldStrength[Min UCS],0)-1</f>
        <v>#VALUE!</v>
      </c>
      <c r="AB221" s="62" t="e">
        <f>MATCH(LOOKUP(Data_PLT[[#This Row],[UCS avg (MPa)]],Table_FieldStrength[Min UCS]),Table_FieldStrength[Min UCS],0)-1</f>
        <v>#VALUE!</v>
      </c>
      <c r="AC221" s="62" t="e">
        <f>MATCH(LOOKUP(Data_PLT[[#This Row],[UCS max (MPa)]],Table_FieldStrength[Min UCS]),Table_FieldStrength[Min UCS],0)-1</f>
        <v>#VALUE!</v>
      </c>
      <c r="AD221" s="68" t="e">
        <f>Data_PLT[[#This Row],[Test code]]&amp;"-"&amp;Data_PLT[[#This Row],[UCS min code]]</f>
        <v>#VALUE!</v>
      </c>
      <c r="AE221" s="68" t="e">
        <f>Data_PLT[[#This Row],[Test code]]&amp;"-"&amp;Data_PLT[[#This Row],[UCS avg code]]</f>
        <v>#VALUE!</v>
      </c>
      <c r="AF221" s="67" t="e">
        <f>Data_PLT[[#This Row],[Test code]]&amp;"-"&amp;Data_PLT[[#This Row],[UCS max code]]</f>
        <v>#VALUE!</v>
      </c>
      <c r="AG221" s="67" t="e">
        <f>Data_PLT[[#This Row],[Failure type]]&amp;"-"&amp;Data_PLT[[#This Row],[Test type]]&amp;"-"&amp;(IF(Data_PLT[[#This Row],[Is50 (MPa)]]&lt;1,1,IF(Data_PLT[[#This Row],[Is50 (MPa)]]&lt;2,2,IF(Data_PLT[[#This Row],[Is50 (MPa)]]&lt;4,3,IF(Data_PLT[[#This Row],[Is50 (MPa)]]&lt;8,4,5)))))</f>
        <v>#VALUE!</v>
      </c>
    </row>
    <row r="222" spans="1:33" x14ac:dyDescent="0.25">
      <c r="A222" s="14"/>
      <c r="B222" s="88" t="e">
        <f>VLOOKUP(Data_PLT[[#This Row],[Hole ID]],Data_Log[],2,FALSE)</f>
        <v>#N/A</v>
      </c>
      <c r="C222" s="63" t="str">
        <f>IF(Data_PLT[[#This Row],[Hole ID]]="","",
IF(COUNTIF($A$4:A222,Data_PLT[[#This Row],[Hole ID]])=1,1,
IF(A222=A221,C221+1,
COUNTIF($A$4:A222,Data_PLT[[#This Row],[Hole ID]]))))</f>
        <v/>
      </c>
      <c r="D222" s="63" t="str">
        <f>IF(Data_PLT[[#This Row],[Hole ID]]="","",Data_PLT[[#This Row],[Hole ID]]&amp;"_"&amp;Data_PLT[[#This Row],[Sample ID]])</f>
        <v/>
      </c>
      <c r="E222" s="6"/>
      <c r="F222" s="6"/>
      <c r="G222" s="63" t="e" cm="1">
        <f t="array" ref="G222">_xlfn.XLOOKUP(1,(A222=Geotech!$A$4:$A$11100)*(Data_PLT[[#This Row],[Depth (m)]]&gt;=Geotech!$C$4:$C$11100)*(Data_PLT[[#This Row],[Depth (m)]]&lt;Geotech!$D$4:$D$11100),Geotech!$M$4:$M$11100)</f>
        <v>#N/A</v>
      </c>
      <c r="H222" s="6"/>
      <c r="I222" s="63" t="e">
        <f>VLOOKUP(Data_PLT[[#This Row],[Hole ID]],Data_Log[[Hole ID]:[Core size]],20,FALSE)</f>
        <v>#N/A</v>
      </c>
      <c r="J222" s="13" t="e">
        <f>VLOOKUP(Data_PLT[[#This Row],[Core Size]],Table_CoreSize[],2,FALSE)</f>
        <v>#N/A</v>
      </c>
      <c r="K222" s="19"/>
      <c r="L222" s="19"/>
      <c r="M222" s="5"/>
      <c r="N222" s="5"/>
      <c r="O222" s="6"/>
      <c r="P222" s="13" t="str">
        <f>IF(Data_PLT[[#This Row],[Failure type]]="","",IF(OR(Data_PLT[[#This Row],[Failure type]]="Invalid",Data_PLT[[#This Row],[Failure type]]="Chipped",Data_PLT[[#This Row],[Failure type]]="Penetrate",Data_PLT[[#This Row],[Failure type]]="Did not break"),"Invalid","Valid"))</f>
        <v/>
      </c>
      <c r="Q222" s="6"/>
      <c r="R222" s="11"/>
      <c r="S222" s="13" t="str">
        <f>IF(Data_PLT[[#This Row],[Test type]]="Diametral",Data_PLT[[#This Row],[Diameter (mm)]],IF(Data_PLT[[#This Row],[Test type]]="Axial",SQRT(4*Data_PLT[[#This Row],[Diameter (mm)]]*Data_PLT[[#This Row],[Length or width (mm)]]/PI()),"ERROR"))</f>
        <v>ERROR</v>
      </c>
      <c r="T222" s="13" t="e">
        <f>(Data_PLT[[#This Row],[Load (kN)]]*1000)/Data_PLT[[#This Row],[Equiv. Diam. (mm)]]^2</f>
        <v>#VALUE!</v>
      </c>
      <c r="U222" s="13" t="e">
        <f>(Data_PLT[[#This Row],[Equiv. Diam. (mm)]]/50)^0.45</f>
        <v>#VALUE!</v>
      </c>
      <c r="V222" s="13" t="e">
        <f>Data_PLT[[#This Row],[Is (MPa)]]*Data_PLT[[#This Row],[F]]</f>
        <v>#VALUE!</v>
      </c>
      <c r="W222" s="13" t="str">
        <f>Data_PLT[[#This Row],[Failure Validity]]&amp;"-"&amp;Data_PLT[[#This Row],[Test type]]</f>
        <v>-</v>
      </c>
      <c r="X222" s="13" t="e">
        <f>Data_PLT[[#This Row],[Is50 (MPa)]]*VLOOKUP("Min",Table_PLT_Conversion[],2,FALSE)</f>
        <v>#VALUE!</v>
      </c>
      <c r="Y222" s="13" t="e">
        <f>Data_PLT[[#This Row],[Is50 (MPa)]]*VLOOKUP("Avg",Table_PLT_Conversion[],2,FALSE)</f>
        <v>#VALUE!</v>
      </c>
      <c r="Z222" s="13" t="e">
        <f>Data_PLT[[#This Row],[Is50 (MPa)]]*VLOOKUP("Max",Table_PLT_Conversion[],2,FALSE)</f>
        <v>#VALUE!</v>
      </c>
      <c r="AA222" s="62" t="e">
        <f>MATCH(LOOKUP(Data_PLT[[#This Row],[UCS min (MPa)]],Table_FieldStrength[Min UCS]),Table_FieldStrength[Min UCS],0)-1</f>
        <v>#VALUE!</v>
      </c>
      <c r="AB222" s="62" t="e">
        <f>MATCH(LOOKUP(Data_PLT[[#This Row],[UCS avg (MPa)]],Table_FieldStrength[Min UCS]),Table_FieldStrength[Min UCS],0)-1</f>
        <v>#VALUE!</v>
      </c>
      <c r="AC222" s="62" t="e">
        <f>MATCH(LOOKUP(Data_PLT[[#This Row],[UCS max (MPa)]],Table_FieldStrength[Min UCS]),Table_FieldStrength[Min UCS],0)-1</f>
        <v>#VALUE!</v>
      </c>
      <c r="AD222" s="68" t="e">
        <f>Data_PLT[[#This Row],[Test code]]&amp;"-"&amp;Data_PLT[[#This Row],[UCS min code]]</f>
        <v>#VALUE!</v>
      </c>
      <c r="AE222" s="68" t="e">
        <f>Data_PLT[[#This Row],[Test code]]&amp;"-"&amp;Data_PLT[[#This Row],[UCS avg code]]</f>
        <v>#VALUE!</v>
      </c>
      <c r="AF222" s="67" t="e">
        <f>Data_PLT[[#This Row],[Test code]]&amp;"-"&amp;Data_PLT[[#This Row],[UCS max code]]</f>
        <v>#VALUE!</v>
      </c>
      <c r="AG222" s="67" t="e">
        <f>Data_PLT[[#This Row],[Failure type]]&amp;"-"&amp;Data_PLT[[#This Row],[Test type]]&amp;"-"&amp;(IF(Data_PLT[[#This Row],[Is50 (MPa)]]&lt;1,1,IF(Data_PLT[[#This Row],[Is50 (MPa)]]&lt;2,2,IF(Data_PLT[[#This Row],[Is50 (MPa)]]&lt;4,3,IF(Data_PLT[[#This Row],[Is50 (MPa)]]&lt;8,4,5)))))</f>
        <v>#VALUE!</v>
      </c>
    </row>
    <row r="223" spans="1:33" x14ac:dyDescent="0.25">
      <c r="A223" s="14"/>
      <c r="B223" s="88" t="e">
        <f>VLOOKUP(Data_PLT[[#This Row],[Hole ID]],Data_Log[],2,FALSE)</f>
        <v>#N/A</v>
      </c>
      <c r="C223" s="63" t="str">
        <f>IF(Data_PLT[[#This Row],[Hole ID]]="","",
IF(COUNTIF($A$4:A223,Data_PLT[[#This Row],[Hole ID]])=1,1,
IF(A223=A222,C222+1,
COUNTIF($A$4:A223,Data_PLT[[#This Row],[Hole ID]]))))</f>
        <v/>
      </c>
      <c r="D223" s="63" t="str">
        <f>IF(Data_PLT[[#This Row],[Hole ID]]="","",Data_PLT[[#This Row],[Hole ID]]&amp;"_"&amp;Data_PLT[[#This Row],[Sample ID]])</f>
        <v/>
      </c>
      <c r="E223" s="6"/>
      <c r="F223" s="6"/>
      <c r="G223" s="63" t="e" cm="1">
        <f t="array" ref="G223">_xlfn.XLOOKUP(1,(A223=Geotech!$A$4:$A$11100)*(Data_PLT[[#This Row],[Depth (m)]]&gt;=Geotech!$C$4:$C$11100)*(Data_PLT[[#This Row],[Depth (m)]]&lt;Geotech!$D$4:$D$11100),Geotech!$M$4:$M$11100)</f>
        <v>#N/A</v>
      </c>
      <c r="H223" s="6"/>
      <c r="I223" s="63" t="e">
        <f>VLOOKUP(Data_PLT[[#This Row],[Hole ID]],Data_Log[[Hole ID]:[Core size]],20,FALSE)</f>
        <v>#N/A</v>
      </c>
      <c r="J223" s="13" t="e">
        <f>VLOOKUP(Data_PLT[[#This Row],[Core Size]],Table_CoreSize[],2,FALSE)</f>
        <v>#N/A</v>
      </c>
      <c r="K223" s="19"/>
      <c r="L223" s="19"/>
      <c r="M223" s="5"/>
      <c r="N223" s="5"/>
      <c r="O223" s="6"/>
      <c r="P223" s="13" t="str">
        <f>IF(Data_PLT[[#This Row],[Failure type]]="","",IF(OR(Data_PLT[[#This Row],[Failure type]]="Invalid",Data_PLT[[#This Row],[Failure type]]="Chipped",Data_PLT[[#This Row],[Failure type]]="Penetrate",Data_PLT[[#This Row],[Failure type]]="Did not break"),"Invalid","Valid"))</f>
        <v/>
      </c>
      <c r="Q223" s="6"/>
      <c r="R223" s="11"/>
      <c r="S223" s="13" t="str">
        <f>IF(Data_PLT[[#This Row],[Test type]]="Diametral",Data_PLT[[#This Row],[Diameter (mm)]],IF(Data_PLT[[#This Row],[Test type]]="Axial",SQRT(4*Data_PLT[[#This Row],[Diameter (mm)]]*Data_PLT[[#This Row],[Length or width (mm)]]/PI()),"ERROR"))</f>
        <v>ERROR</v>
      </c>
      <c r="T223" s="13" t="e">
        <f>(Data_PLT[[#This Row],[Load (kN)]]*1000)/Data_PLT[[#This Row],[Equiv. Diam. (mm)]]^2</f>
        <v>#VALUE!</v>
      </c>
      <c r="U223" s="13" t="e">
        <f>(Data_PLT[[#This Row],[Equiv. Diam. (mm)]]/50)^0.45</f>
        <v>#VALUE!</v>
      </c>
      <c r="V223" s="13" t="e">
        <f>Data_PLT[[#This Row],[Is (MPa)]]*Data_PLT[[#This Row],[F]]</f>
        <v>#VALUE!</v>
      </c>
      <c r="W223" s="13" t="str">
        <f>Data_PLT[[#This Row],[Failure Validity]]&amp;"-"&amp;Data_PLT[[#This Row],[Test type]]</f>
        <v>-</v>
      </c>
      <c r="X223" s="13" t="e">
        <f>Data_PLT[[#This Row],[Is50 (MPa)]]*VLOOKUP("Min",Table_PLT_Conversion[],2,FALSE)</f>
        <v>#VALUE!</v>
      </c>
      <c r="Y223" s="13" t="e">
        <f>Data_PLT[[#This Row],[Is50 (MPa)]]*VLOOKUP("Avg",Table_PLT_Conversion[],2,FALSE)</f>
        <v>#VALUE!</v>
      </c>
      <c r="Z223" s="13" t="e">
        <f>Data_PLT[[#This Row],[Is50 (MPa)]]*VLOOKUP("Max",Table_PLT_Conversion[],2,FALSE)</f>
        <v>#VALUE!</v>
      </c>
      <c r="AA223" s="62" t="e">
        <f>MATCH(LOOKUP(Data_PLT[[#This Row],[UCS min (MPa)]],Table_FieldStrength[Min UCS]),Table_FieldStrength[Min UCS],0)-1</f>
        <v>#VALUE!</v>
      </c>
      <c r="AB223" s="62" t="e">
        <f>MATCH(LOOKUP(Data_PLT[[#This Row],[UCS avg (MPa)]],Table_FieldStrength[Min UCS]),Table_FieldStrength[Min UCS],0)-1</f>
        <v>#VALUE!</v>
      </c>
      <c r="AC223" s="62" t="e">
        <f>MATCH(LOOKUP(Data_PLT[[#This Row],[UCS max (MPa)]],Table_FieldStrength[Min UCS]),Table_FieldStrength[Min UCS],0)-1</f>
        <v>#VALUE!</v>
      </c>
      <c r="AD223" s="68" t="e">
        <f>Data_PLT[[#This Row],[Test code]]&amp;"-"&amp;Data_PLT[[#This Row],[UCS min code]]</f>
        <v>#VALUE!</v>
      </c>
      <c r="AE223" s="68" t="e">
        <f>Data_PLT[[#This Row],[Test code]]&amp;"-"&amp;Data_PLT[[#This Row],[UCS avg code]]</f>
        <v>#VALUE!</v>
      </c>
      <c r="AF223" s="67" t="e">
        <f>Data_PLT[[#This Row],[Test code]]&amp;"-"&amp;Data_PLT[[#This Row],[UCS max code]]</f>
        <v>#VALUE!</v>
      </c>
      <c r="AG223" s="67" t="e">
        <f>Data_PLT[[#This Row],[Failure type]]&amp;"-"&amp;Data_PLT[[#This Row],[Test type]]&amp;"-"&amp;(IF(Data_PLT[[#This Row],[Is50 (MPa)]]&lt;1,1,IF(Data_PLT[[#This Row],[Is50 (MPa)]]&lt;2,2,IF(Data_PLT[[#This Row],[Is50 (MPa)]]&lt;4,3,IF(Data_PLT[[#This Row],[Is50 (MPa)]]&lt;8,4,5)))))</f>
        <v>#VALUE!</v>
      </c>
    </row>
    <row r="224" spans="1:33" x14ac:dyDescent="0.25">
      <c r="A224" s="14"/>
      <c r="B224" s="88" t="e">
        <f>VLOOKUP(Data_PLT[[#This Row],[Hole ID]],Data_Log[],2,FALSE)</f>
        <v>#N/A</v>
      </c>
      <c r="C224" s="63" t="str">
        <f>IF(Data_PLT[[#This Row],[Hole ID]]="","",
IF(COUNTIF($A$4:A224,Data_PLT[[#This Row],[Hole ID]])=1,1,
IF(A224=A223,C223+1,
COUNTIF($A$4:A224,Data_PLT[[#This Row],[Hole ID]]))))</f>
        <v/>
      </c>
      <c r="D224" s="63" t="str">
        <f>IF(Data_PLT[[#This Row],[Hole ID]]="","",Data_PLT[[#This Row],[Hole ID]]&amp;"_"&amp;Data_PLT[[#This Row],[Sample ID]])</f>
        <v/>
      </c>
      <c r="E224" s="6"/>
      <c r="F224" s="6"/>
      <c r="G224" s="63" t="e" cm="1">
        <f t="array" ref="G224">_xlfn.XLOOKUP(1,(A224=Geotech!$A$4:$A$11100)*(Data_PLT[[#This Row],[Depth (m)]]&gt;=Geotech!$C$4:$C$11100)*(Data_PLT[[#This Row],[Depth (m)]]&lt;Geotech!$D$4:$D$11100),Geotech!$M$4:$M$11100)</f>
        <v>#N/A</v>
      </c>
      <c r="H224" s="6"/>
      <c r="I224" s="63" t="e">
        <f>VLOOKUP(Data_PLT[[#This Row],[Hole ID]],Data_Log[[Hole ID]:[Core size]],20,FALSE)</f>
        <v>#N/A</v>
      </c>
      <c r="J224" s="13" t="e">
        <f>VLOOKUP(Data_PLT[[#This Row],[Core Size]],Table_CoreSize[],2,FALSE)</f>
        <v>#N/A</v>
      </c>
      <c r="K224" s="19"/>
      <c r="L224" s="19"/>
      <c r="M224" s="5"/>
      <c r="N224" s="5"/>
      <c r="O224" s="6"/>
      <c r="P224" s="13" t="str">
        <f>IF(Data_PLT[[#This Row],[Failure type]]="","",IF(OR(Data_PLT[[#This Row],[Failure type]]="Invalid",Data_PLT[[#This Row],[Failure type]]="Chipped",Data_PLT[[#This Row],[Failure type]]="Penetrate",Data_PLT[[#This Row],[Failure type]]="Did not break"),"Invalid","Valid"))</f>
        <v/>
      </c>
      <c r="Q224" s="6"/>
      <c r="R224" s="11"/>
      <c r="S224" s="13" t="str">
        <f>IF(Data_PLT[[#This Row],[Test type]]="Diametral",Data_PLT[[#This Row],[Diameter (mm)]],IF(Data_PLT[[#This Row],[Test type]]="Axial",SQRT(4*Data_PLT[[#This Row],[Diameter (mm)]]*Data_PLT[[#This Row],[Length or width (mm)]]/PI()),"ERROR"))</f>
        <v>ERROR</v>
      </c>
      <c r="T224" s="13" t="e">
        <f>(Data_PLT[[#This Row],[Load (kN)]]*1000)/Data_PLT[[#This Row],[Equiv. Diam. (mm)]]^2</f>
        <v>#VALUE!</v>
      </c>
      <c r="U224" s="13" t="e">
        <f>(Data_PLT[[#This Row],[Equiv. Diam. (mm)]]/50)^0.45</f>
        <v>#VALUE!</v>
      </c>
      <c r="V224" s="13" t="e">
        <f>Data_PLT[[#This Row],[Is (MPa)]]*Data_PLT[[#This Row],[F]]</f>
        <v>#VALUE!</v>
      </c>
      <c r="W224" s="13" t="str">
        <f>Data_PLT[[#This Row],[Failure Validity]]&amp;"-"&amp;Data_PLT[[#This Row],[Test type]]</f>
        <v>-</v>
      </c>
      <c r="X224" s="13" t="e">
        <f>Data_PLT[[#This Row],[Is50 (MPa)]]*VLOOKUP("Min",Table_PLT_Conversion[],2,FALSE)</f>
        <v>#VALUE!</v>
      </c>
      <c r="Y224" s="13" t="e">
        <f>Data_PLT[[#This Row],[Is50 (MPa)]]*VLOOKUP("Avg",Table_PLT_Conversion[],2,FALSE)</f>
        <v>#VALUE!</v>
      </c>
      <c r="Z224" s="13" t="e">
        <f>Data_PLT[[#This Row],[Is50 (MPa)]]*VLOOKUP("Max",Table_PLT_Conversion[],2,FALSE)</f>
        <v>#VALUE!</v>
      </c>
      <c r="AA224" s="62" t="e">
        <f>MATCH(LOOKUP(Data_PLT[[#This Row],[UCS min (MPa)]],Table_FieldStrength[Min UCS]),Table_FieldStrength[Min UCS],0)-1</f>
        <v>#VALUE!</v>
      </c>
      <c r="AB224" s="62" t="e">
        <f>MATCH(LOOKUP(Data_PLT[[#This Row],[UCS avg (MPa)]],Table_FieldStrength[Min UCS]),Table_FieldStrength[Min UCS],0)-1</f>
        <v>#VALUE!</v>
      </c>
      <c r="AC224" s="62" t="e">
        <f>MATCH(LOOKUP(Data_PLT[[#This Row],[UCS max (MPa)]],Table_FieldStrength[Min UCS]),Table_FieldStrength[Min UCS],0)-1</f>
        <v>#VALUE!</v>
      </c>
      <c r="AD224" s="68" t="e">
        <f>Data_PLT[[#This Row],[Test code]]&amp;"-"&amp;Data_PLT[[#This Row],[UCS min code]]</f>
        <v>#VALUE!</v>
      </c>
      <c r="AE224" s="68" t="e">
        <f>Data_PLT[[#This Row],[Test code]]&amp;"-"&amp;Data_PLT[[#This Row],[UCS avg code]]</f>
        <v>#VALUE!</v>
      </c>
      <c r="AF224" s="67" t="e">
        <f>Data_PLT[[#This Row],[Test code]]&amp;"-"&amp;Data_PLT[[#This Row],[UCS max code]]</f>
        <v>#VALUE!</v>
      </c>
      <c r="AG224" s="67" t="e">
        <f>Data_PLT[[#This Row],[Failure type]]&amp;"-"&amp;Data_PLT[[#This Row],[Test type]]&amp;"-"&amp;(IF(Data_PLT[[#This Row],[Is50 (MPa)]]&lt;1,1,IF(Data_PLT[[#This Row],[Is50 (MPa)]]&lt;2,2,IF(Data_PLT[[#This Row],[Is50 (MPa)]]&lt;4,3,IF(Data_PLT[[#This Row],[Is50 (MPa)]]&lt;8,4,5)))))</f>
        <v>#VALUE!</v>
      </c>
    </row>
    <row r="225" spans="1:33" x14ac:dyDescent="0.25">
      <c r="A225" s="14"/>
      <c r="B225" s="88" t="e">
        <f>VLOOKUP(Data_PLT[[#This Row],[Hole ID]],Data_Log[],2,FALSE)</f>
        <v>#N/A</v>
      </c>
      <c r="C225" s="63" t="str">
        <f>IF(Data_PLT[[#This Row],[Hole ID]]="","",
IF(COUNTIF($A$4:A225,Data_PLT[[#This Row],[Hole ID]])=1,1,
IF(A225=A224,C224+1,
COUNTIF($A$4:A225,Data_PLT[[#This Row],[Hole ID]]))))</f>
        <v/>
      </c>
      <c r="D225" s="63" t="str">
        <f>IF(Data_PLT[[#This Row],[Hole ID]]="","",Data_PLT[[#This Row],[Hole ID]]&amp;"_"&amp;Data_PLT[[#This Row],[Sample ID]])</f>
        <v/>
      </c>
      <c r="E225" s="6"/>
      <c r="F225" s="6"/>
      <c r="G225" s="63" t="e" cm="1">
        <f t="array" ref="G225">_xlfn.XLOOKUP(1,(A225=Geotech!$A$4:$A$11100)*(Data_PLT[[#This Row],[Depth (m)]]&gt;=Geotech!$C$4:$C$11100)*(Data_PLT[[#This Row],[Depth (m)]]&lt;Geotech!$D$4:$D$11100),Geotech!$M$4:$M$11100)</f>
        <v>#N/A</v>
      </c>
      <c r="H225" s="6"/>
      <c r="I225" s="63" t="e">
        <f>VLOOKUP(Data_PLT[[#This Row],[Hole ID]],Data_Log[[Hole ID]:[Core size]],20,FALSE)</f>
        <v>#N/A</v>
      </c>
      <c r="J225" s="13" t="e">
        <f>VLOOKUP(Data_PLT[[#This Row],[Core Size]],Table_CoreSize[],2,FALSE)</f>
        <v>#N/A</v>
      </c>
      <c r="K225" s="19"/>
      <c r="L225" s="19"/>
      <c r="M225" s="5"/>
      <c r="N225" s="5"/>
      <c r="O225" s="6"/>
      <c r="P225" s="13" t="str">
        <f>IF(Data_PLT[[#This Row],[Failure type]]="","",IF(OR(Data_PLT[[#This Row],[Failure type]]="Invalid",Data_PLT[[#This Row],[Failure type]]="Chipped",Data_PLT[[#This Row],[Failure type]]="Penetrate",Data_PLT[[#This Row],[Failure type]]="Did not break"),"Invalid","Valid"))</f>
        <v/>
      </c>
      <c r="Q225" s="6"/>
      <c r="R225" s="11"/>
      <c r="S225" s="13" t="str">
        <f>IF(Data_PLT[[#This Row],[Test type]]="Diametral",Data_PLT[[#This Row],[Diameter (mm)]],IF(Data_PLT[[#This Row],[Test type]]="Axial",SQRT(4*Data_PLT[[#This Row],[Diameter (mm)]]*Data_PLT[[#This Row],[Length or width (mm)]]/PI()),"ERROR"))</f>
        <v>ERROR</v>
      </c>
      <c r="T225" s="13" t="e">
        <f>(Data_PLT[[#This Row],[Load (kN)]]*1000)/Data_PLT[[#This Row],[Equiv. Diam. (mm)]]^2</f>
        <v>#VALUE!</v>
      </c>
      <c r="U225" s="13" t="e">
        <f>(Data_PLT[[#This Row],[Equiv. Diam. (mm)]]/50)^0.45</f>
        <v>#VALUE!</v>
      </c>
      <c r="V225" s="13" t="e">
        <f>Data_PLT[[#This Row],[Is (MPa)]]*Data_PLT[[#This Row],[F]]</f>
        <v>#VALUE!</v>
      </c>
      <c r="W225" s="13" t="str">
        <f>Data_PLT[[#This Row],[Failure Validity]]&amp;"-"&amp;Data_PLT[[#This Row],[Test type]]</f>
        <v>-</v>
      </c>
      <c r="X225" s="13" t="e">
        <f>Data_PLT[[#This Row],[Is50 (MPa)]]*VLOOKUP("Min",Table_PLT_Conversion[],2,FALSE)</f>
        <v>#VALUE!</v>
      </c>
      <c r="Y225" s="13" t="e">
        <f>Data_PLT[[#This Row],[Is50 (MPa)]]*VLOOKUP("Avg",Table_PLT_Conversion[],2,FALSE)</f>
        <v>#VALUE!</v>
      </c>
      <c r="Z225" s="13" t="e">
        <f>Data_PLT[[#This Row],[Is50 (MPa)]]*VLOOKUP("Max",Table_PLT_Conversion[],2,FALSE)</f>
        <v>#VALUE!</v>
      </c>
      <c r="AA225" s="62" t="e">
        <f>MATCH(LOOKUP(Data_PLT[[#This Row],[UCS min (MPa)]],Table_FieldStrength[Min UCS]),Table_FieldStrength[Min UCS],0)-1</f>
        <v>#VALUE!</v>
      </c>
      <c r="AB225" s="62" t="e">
        <f>MATCH(LOOKUP(Data_PLT[[#This Row],[UCS avg (MPa)]],Table_FieldStrength[Min UCS]),Table_FieldStrength[Min UCS],0)-1</f>
        <v>#VALUE!</v>
      </c>
      <c r="AC225" s="62" t="e">
        <f>MATCH(LOOKUP(Data_PLT[[#This Row],[UCS max (MPa)]],Table_FieldStrength[Min UCS]),Table_FieldStrength[Min UCS],0)-1</f>
        <v>#VALUE!</v>
      </c>
      <c r="AD225" s="68" t="e">
        <f>Data_PLT[[#This Row],[Test code]]&amp;"-"&amp;Data_PLT[[#This Row],[UCS min code]]</f>
        <v>#VALUE!</v>
      </c>
      <c r="AE225" s="68" t="e">
        <f>Data_PLT[[#This Row],[Test code]]&amp;"-"&amp;Data_PLT[[#This Row],[UCS avg code]]</f>
        <v>#VALUE!</v>
      </c>
      <c r="AF225" s="67" t="e">
        <f>Data_PLT[[#This Row],[Test code]]&amp;"-"&amp;Data_PLT[[#This Row],[UCS max code]]</f>
        <v>#VALUE!</v>
      </c>
      <c r="AG225" s="67" t="e">
        <f>Data_PLT[[#This Row],[Failure type]]&amp;"-"&amp;Data_PLT[[#This Row],[Test type]]&amp;"-"&amp;(IF(Data_PLT[[#This Row],[Is50 (MPa)]]&lt;1,1,IF(Data_PLT[[#This Row],[Is50 (MPa)]]&lt;2,2,IF(Data_PLT[[#This Row],[Is50 (MPa)]]&lt;4,3,IF(Data_PLT[[#This Row],[Is50 (MPa)]]&lt;8,4,5)))))</f>
        <v>#VALUE!</v>
      </c>
    </row>
    <row r="226" spans="1:33" x14ac:dyDescent="0.25">
      <c r="A226" s="14"/>
      <c r="B226" s="88" t="e">
        <f>VLOOKUP(Data_PLT[[#This Row],[Hole ID]],Data_Log[],2,FALSE)</f>
        <v>#N/A</v>
      </c>
      <c r="C226" s="63" t="str">
        <f>IF(Data_PLT[[#This Row],[Hole ID]]="","",
IF(COUNTIF($A$4:A226,Data_PLT[[#This Row],[Hole ID]])=1,1,
IF(A226=A225,C225+1,
COUNTIF($A$4:A226,Data_PLT[[#This Row],[Hole ID]]))))</f>
        <v/>
      </c>
      <c r="D226" s="63" t="str">
        <f>IF(Data_PLT[[#This Row],[Hole ID]]="","",Data_PLT[[#This Row],[Hole ID]]&amp;"_"&amp;Data_PLT[[#This Row],[Sample ID]])</f>
        <v/>
      </c>
      <c r="E226" s="6"/>
      <c r="F226" s="6"/>
      <c r="G226" s="63" t="e" cm="1">
        <f t="array" ref="G226">_xlfn.XLOOKUP(1,(A226=Geotech!$A$4:$A$11100)*(Data_PLT[[#This Row],[Depth (m)]]&gt;=Geotech!$C$4:$C$11100)*(Data_PLT[[#This Row],[Depth (m)]]&lt;Geotech!$D$4:$D$11100),Geotech!$M$4:$M$11100)</f>
        <v>#N/A</v>
      </c>
      <c r="H226" s="6"/>
      <c r="I226" s="63" t="e">
        <f>VLOOKUP(Data_PLT[[#This Row],[Hole ID]],Data_Log[[Hole ID]:[Core size]],20,FALSE)</f>
        <v>#N/A</v>
      </c>
      <c r="J226" s="13" t="e">
        <f>VLOOKUP(Data_PLT[[#This Row],[Core Size]],Table_CoreSize[],2,FALSE)</f>
        <v>#N/A</v>
      </c>
      <c r="K226" s="19"/>
      <c r="L226" s="19"/>
      <c r="M226" s="5"/>
      <c r="N226" s="5"/>
      <c r="O226" s="6"/>
      <c r="P226" s="13" t="str">
        <f>IF(Data_PLT[[#This Row],[Failure type]]="","",IF(OR(Data_PLT[[#This Row],[Failure type]]="Invalid",Data_PLT[[#This Row],[Failure type]]="Chipped",Data_PLT[[#This Row],[Failure type]]="Penetrate",Data_PLT[[#This Row],[Failure type]]="Did not break"),"Invalid","Valid"))</f>
        <v/>
      </c>
      <c r="Q226" s="6"/>
      <c r="R226" s="11"/>
      <c r="S226" s="13" t="str">
        <f>IF(Data_PLT[[#This Row],[Test type]]="Diametral",Data_PLT[[#This Row],[Diameter (mm)]],IF(Data_PLT[[#This Row],[Test type]]="Axial",SQRT(4*Data_PLT[[#This Row],[Diameter (mm)]]*Data_PLT[[#This Row],[Length or width (mm)]]/PI()),"ERROR"))</f>
        <v>ERROR</v>
      </c>
      <c r="T226" s="13" t="e">
        <f>(Data_PLT[[#This Row],[Load (kN)]]*1000)/Data_PLT[[#This Row],[Equiv. Diam. (mm)]]^2</f>
        <v>#VALUE!</v>
      </c>
      <c r="U226" s="13" t="e">
        <f>(Data_PLT[[#This Row],[Equiv. Diam. (mm)]]/50)^0.45</f>
        <v>#VALUE!</v>
      </c>
      <c r="V226" s="13" t="e">
        <f>Data_PLT[[#This Row],[Is (MPa)]]*Data_PLT[[#This Row],[F]]</f>
        <v>#VALUE!</v>
      </c>
      <c r="W226" s="13" t="str">
        <f>Data_PLT[[#This Row],[Failure Validity]]&amp;"-"&amp;Data_PLT[[#This Row],[Test type]]</f>
        <v>-</v>
      </c>
      <c r="X226" s="13" t="e">
        <f>Data_PLT[[#This Row],[Is50 (MPa)]]*VLOOKUP("Min",Table_PLT_Conversion[],2,FALSE)</f>
        <v>#VALUE!</v>
      </c>
      <c r="Y226" s="13" t="e">
        <f>Data_PLT[[#This Row],[Is50 (MPa)]]*VLOOKUP("Avg",Table_PLT_Conversion[],2,FALSE)</f>
        <v>#VALUE!</v>
      </c>
      <c r="Z226" s="13" t="e">
        <f>Data_PLT[[#This Row],[Is50 (MPa)]]*VLOOKUP("Max",Table_PLT_Conversion[],2,FALSE)</f>
        <v>#VALUE!</v>
      </c>
      <c r="AA226" s="62" t="e">
        <f>MATCH(LOOKUP(Data_PLT[[#This Row],[UCS min (MPa)]],Table_FieldStrength[Min UCS]),Table_FieldStrength[Min UCS],0)-1</f>
        <v>#VALUE!</v>
      </c>
      <c r="AB226" s="62" t="e">
        <f>MATCH(LOOKUP(Data_PLT[[#This Row],[UCS avg (MPa)]],Table_FieldStrength[Min UCS]),Table_FieldStrength[Min UCS],0)-1</f>
        <v>#VALUE!</v>
      </c>
      <c r="AC226" s="62" t="e">
        <f>MATCH(LOOKUP(Data_PLT[[#This Row],[UCS max (MPa)]],Table_FieldStrength[Min UCS]),Table_FieldStrength[Min UCS],0)-1</f>
        <v>#VALUE!</v>
      </c>
      <c r="AD226" s="68" t="e">
        <f>Data_PLT[[#This Row],[Test code]]&amp;"-"&amp;Data_PLT[[#This Row],[UCS min code]]</f>
        <v>#VALUE!</v>
      </c>
      <c r="AE226" s="68" t="e">
        <f>Data_PLT[[#This Row],[Test code]]&amp;"-"&amp;Data_PLT[[#This Row],[UCS avg code]]</f>
        <v>#VALUE!</v>
      </c>
      <c r="AF226" s="67" t="e">
        <f>Data_PLT[[#This Row],[Test code]]&amp;"-"&amp;Data_PLT[[#This Row],[UCS max code]]</f>
        <v>#VALUE!</v>
      </c>
      <c r="AG226" s="67" t="e">
        <f>Data_PLT[[#This Row],[Failure type]]&amp;"-"&amp;Data_PLT[[#This Row],[Test type]]&amp;"-"&amp;(IF(Data_PLT[[#This Row],[Is50 (MPa)]]&lt;1,1,IF(Data_PLT[[#This Row],[Is50 (MPa)]]&lt;2,2,IF(Data_PLT[[#This Row],[Is50 (MPa)]]&lt;4,3,IF(Data_PLT[[#This Row],[Is50 (MPa)]]&lt;8,4,5)))))</f>
        <v>#VALUE!</v>
      </c>
    </row>
    <row r="227" spans="1:33" x14ac:dyDescent="0.25">
      <c r="A227" s="14"/>
      <c r="B227" s="88" t="e">
        <f>VLOOKUP(Data_PLT[[#This Row],[Hole ID]],Data_Log[],2,FALSE)</f>
        <v>#N/A</v>
      </c>
      <c r="C227" s="63" t="str">
        <f>IF(Data_PLT[[#This Row],[Hole ID]]="","",
IF(COUNTIF($A$4:A525,Data_PLT[[#This Row],[Hole ID]])=1,1,
IF(A227=A226,C226+1,
COUNTIF($A$4:A525,Data_PLT[[#This Row],[Hole ID]]))))</f>
        <v/>
      </c>
      <c r="D227" s="63" t="str">
        <f>IF(Data_PLT[[#This Row],[Hole ID]]="","",Data_PLT[[#This Row],[Hole ID]]&amp;"_"&amp;Data_PLT[[#This Row],[Sample ID]])</f>
        <v/>
      </c>
      <c r="E227" s="6"/>
      <c r="F227" s="6"/>
      <c r="G227" s="63" t="e" cm="1">
        <f t="array" ref="G227">_xlfn.XLOOKUP(1,(A227=Geotech!$A$4:$A$11100)*(Data_PLT[[#This Row],[Depth (m)]]&gt;=Geotech!$C$4:$C$11100)*(Data_PLT[[#This Row],[Depth (m)]]&lt;Geotech!$D$4:$D$11100),Geotech!$M$4:$M$11100)</f>
        <v>#N/A</v>
      </c>
      <c r="H227" s="6"/>
      <c r="I227" s="63" t="e">
        <f>VLOOKUP(Data_PLT[[#This Row],[Hole ID]],Data_Log[[Hole ID]:[Core size]],20,FALSE)</f>
        <v>#N/A</v>
      </c>
      <c r="J227" s="13" t="e">
        <f>VLOOKUP(Data_PLT[[#This Row],[Core Size]],Table_CoreSize[],2,FALSE)</f>
        <v>#N/A</v>
      </c>
      <c r="K227" s="19"/>
      <c r="L227" s="19"/>
      <c r="M227" s="5"/>
      <c r="N227" s="5"/>
      <c r="O227" s="6"/>
      <c r="P227" s="13" t="str">
        <f>IF(Data_PLT[[#This Row],[Failure type]]="","",IF(OR(Data_PLT[[#This Row],[Failure type]]="Invalid",Data_PLT[[#This Row],[Failure type]]="Chipped",Data_PLT[[#This Row],[Failure type]]="Penetrate",Data_PLT[[#This Row],[Failure type]]="Did not break"),"Invalid","Valid"))</f>
        <v/>
      </c>
      <c r="Q227" s="6"/>
      <c r="R227" s="11"/>
      <c r="S227" s="13" t="str">
        <f>IF(Data_PLT[[#This Row],[Test type]]="Diametral",Data_PLT[[#This Row],[Diameter (mm)]],IF(Data_PLT[[#This Row],[Test type]]="Axial",SQRT(4*Data_PLT[[#This Row],[Diameter (mm)]]*Data_PLT[[#This Row],[Length or width (mm)]]/PI()),"ERROR"))</f>
        <v>ERROR</v>
      </c>
      <c r="T227" s="13" t="e">
        <f>(Data_PLT[[#This Row],[Load (kN)]]*1000)/Data_PLT[[#This Row],[Equiv. Diam. (mm)]]^2</f>
        <v>#VALUE!</v>
      </c>
      <c r="U227" s="13" t="e">
        <f>(Data_PLT[[#This Row],[Equiv. Diam. (mm)]]/50)^0.45</f>
        <v>#VALUE!</v>
      </c>
      <c r="V227" s="13" t="e">
        <f>Data_PLT[[#This Row],[Is (MPa)]]*Data_PLT[[#This Row],[F]]</f>
        <v>#VALUE!</v>
      </c>
      <c r="W227" s="13" t="str">
        <f>Data_PLT[[#This Row],[Failure Validity]]&amp;"-"&amp;Data_PLT[[#This Row],[Test type]]</f>
        <v>-</v>
      </c>
      <c r="X227" s="13" t="e">
        <f>Data_PLT[[#This Row],[Is50 (MPa)]]*VLOOKUP("Min",Table_PLT_Conversion[],2,FALSE)</f>
        <v>#VALUE!</v>
      </c>
      <c r="Y227" s="13" t="e">
        <f>Data_PLT[[#This Row],[Is50 (MPa)]]*VLOOKUP("Avg",Table_PLT_Conversion[],2,FALSE)</f>
        <v>#VALUE!</v>
      </c>
      <c r="Z227" s="13" t="e">
        <f>Data_PLT[[#This Row],[Is50 (MPa)]]*VLOOKUP("Max",Table_PLT_Conversion[],2,FALSE)</f>
        <v>#VALUE!</v>
      </c>
      <c r="AA227" s="62" t="e">
        <f>MATCH(LOOKUP(Data_PLT[[#This Row],[UCS min (MPa)]],Table_FieldStrength[Min UCS]),Table_FieldStrength[Min UCS],0)-1</f>
        <v>#VALUE!</v>
      </c>
      <c r="AB227" s="62" t="e">
        <f>MATCH(LOOKUP(Data_PLT[[#This Row],[UCS avg (MPa)]],Table_FieldStrength[Min UCS]),Table_FieldStrength[Min UCS],0)-1</f>
        <v>#VALUE!</v>
      </c>
      <c r="AC227" s="62" t="e">
        <f>MATCH(LOOKUP(Data_PLT[[#This Row],[UCS max (MPa)]],Table_FieldStrength[Min UCS]),Table_FieldStrength[Min UCS],0)-1</f>
        <v>#VALUE!</v>
      </c>
      <c r="AD227" s="68" t="e">
        <f>Data_PLT[[#This Row],[Test code]]&amp;"-"&amp;Data_PLT[[#This Row],[UCS min code]]</f>
        <v>#VALUE!</v>
      </c>
      <c r="AE227" s="68" t="e">
        <f>Data_PLT[[#This Row],[Test code]]&amp;"-"&amp;Data_PLT[[#This Row],[UCS avg code]]</f>
        <v>#VALUE!</v>
      </c>
      <c r="AF227" s="67" t="e">
        <f>Data_PLT[[#This Row],[Test code]]&amp;"-"&amp;Data_PLT[[#This Row],[UCS max code]]</f>
        <v>#VALUE!</v>
      </c>
      <c r="AG227" s="67" t="e">
        <f>Data_PLT[[#This Row],[Failure type]]&amp;"-"&amp;Data_PLT[[#This Row],[Test type]]&amp;"-"&amp;(IF(Data_PLT[[#This Row],[Is50 (MPa)]]&lt;1,1,IF(Data_PLT[[#This Row],[Is50 (MPa)]]&lt;2,2,IF(Data_PLT[[#This Row],[Is50 (MPa)]]&lt;4,3,IF(Data_PLT[[#This Row],[Is50 (MPa)]]&lt;8,4,5)))))</f>
        <v>#VALUE!</v>
      </c>
    </row>
    <row r="228" spans="1:33" x14ac:dyDescent="0.25">
      <c r="A228" s="14"/>
      <c r="B228" s="88" t="e">
        <f>VLOOKUP(Data_PLT[[#This Row],[Hole ID]],Data_Log[],2,FALSE)</f>
        <v>#N/A</v>
      </c>
      <c r="C228" s="63" t="str">
        <f>IF(Data_PLT[[#This Row],[Hole ID]]="","",
IF(COUNTIF($A$4:A228,Data_PLT[[#This Row],[Hole ID]])=1,1,
IF(A228=A227,C227+1,
COUNTIF($A$4:A228,Data_PLT[[#This Row],[Hole ID]]))))</f>
        <v/>
      </c>
      <c r="D228" s="63" t="str">
        <f>IF(Data_PLT[[#This Row],[Hole ID]]="","",Data_PLT[[#This Row],[Hole ID]]&amp;"_"&amp;Data_PLT[[#This Row],[Sample ID]])</f>
        <v/>
      </c>
      <c r="E228" s="6"/>
      <c r="F228" s="6"/>
      <c r="G228" s="63" t="e" cm="1">
        <f t="array" ref="G228">_xlfn.XLOOKUP(1,(A228=Geotech!$A$4:$A$11100)*(Data_PLT[[#This Row],[Depth (m)]]&gt;=Geotech!$C$4:$C$11100)*(Data_PLT[[#This Row],[Depth (m)]]&lt;Geotech!$D$4:$D$11100),Geotech!$M$4:$M$11100)</f>
        <v>#N/A</v>
      </c>
      <c r="H228" s="6"/>
      <c r="I228" s="63" t="e">
        <f>VLOOKUP(Data_PLT[[#This Row],[Hole ID]],Data_Log[[Hole ID]:[Core size]],20,FALSE)</f>
        <v>#N/A</v>
      </c>
      <c r="J228" s="13" t="e">
        <f>VLOOKUP(Data_PLT[[#This Row],[Core Size]],Table_CoreSize[],2,FALSE)</f>
        <v>#N/A</v>
      </c>
      <c r="K228" s="19"/>
      <c r="L228" s="19"/>
      <c r="M228" s="5"/>
      <c r="N228" s="5"/>
      <c r="O228" s="6"/>
      <c r="P228" s="13" t="str">
        <f>IF(Data_PLT[[#This Row],[Failure type]]="","",IF(OR(Data_PLT[[#This Row],[Failure type]]="Invalid",Data_PLT[[#This Row],[Failure type]]="Chipped",Data_PLT[[#This Row],[Failure type]]="Penetrate",Data_PLT[[#This Row],[Failure type]]="Did not break"),"Invalid","Valid"))</f>
        <v/>
      </c>
      <c r="Q228" s="6"/>
      <c r="R228" s="11"/>
      <c r="S228" s="13" t="str">
        <f>IF(Data_PLT[[#This Row],[Test type]]="Diametral",Data_PLT[[#This Row],[Diameter (mm)]],IF(Data_PLT[[#This Row],[Test type]]="Axial",SQRT(4*Data_PLT[[#This Row],[Diameter (mm)]]*Data_PLT[[#This Row],[Length or width (mm)]]/PI()),"ERROR"))</f>
        <v>ERROR</v>
      </c>
      <c r="T228" s="13" t="e">
        <f>(Data_PLT[[#This Row],[Load (kN)]]*1000)/Data_PLT[[#This Row],[Equiv. Diam. (mm)]]^2</f>
        <v>#VALUE!</v>
      </c>
      <c r="U228" s="13" t="e">
        <f>(Data_PLT[[#This Row],[Equiv. Diam. (mm)]]/50)^0.45</f>
        <v>#VALUE!</v>
      </c>
      <c r="V228" s="13" t="e">
        <f>Data_PLT[[#This Row],[Is (MPa)]]*Data_PLT[[#This Row],[F]]</f>
        <v>#VALUE!</v>
      </c>
      <c r="W228" s="13" t="str">
        <f>Data_PLT[[#This Row],[Failure Validity]]&amp;"-"&amp;Data_PLT[[#This Row],[Test type]]</f>
        <v>-</v>
      </c>
      <c r="X228" s="13" t="e">
        <f>Data_PLT[[#This Row],[Is50 (MPa)]]*VLOOKUP("Min",Table_PLT_Conversion[],2,FALSE)</f>
        <v>#VALUE!</v>
      </c>
      <c r="Y228" s="13" t="e">
        <f>Data_PLT[[#This Row],[Is50 (MPa)]]*VLOOKUP("Avg",Table_PLT_Conversion[],2,FALSE)</f>
        <v>#VALUE!</v>
      </c>
      <c r="Z228" s="13" t="e">
        <f>Data_PLT[[#This Row],[Is50 (MPa)]]*VLOOKUP("Max",Table_PLT_Conversion[],2,FALSE)</f>
        <v>#VALUE!</v>
      </c>
      <c r="AA228" s="62" t="e">
        <f>MATCH(LOOKUP(Data_PLT[[#This Row],[UCS min (MPa)]],Table_FieldStrength[Min UCS]),Table_FieldStrength[Min UCS],0)-1</f>
        <v>#VALUE!</v>
      </c>
      <c r="AB228" s="62" t="e">
        <f>MATCH(LOOKUP(Data_PLT[[#This Row],[UCS avg (MPa)]],Table_FieldStrength[Min UCS]),Table_FieldStrength[Min UCS],0)-1</f>
        <v>#VALUE!</v>
      </c>
      <c r="AC228" s="62" t="e">
        <f>MATCH(LOOKUP(Data_PLT[[#This Row],[UCS max (MPa)]],Table_FieldStrength[Min UCS]),Table_FieldStrength[Min UCS],0)-1</f>
        <v>#VALUE!</v>
      </c>
      <c r="AD228" s="68" t="e">
        <f>Data_PLT[[#This Row],[Test code]]&amp;"-"&amp;Data_PLT[[#This Row],[UCS min code]]</f>
        <v>#VALUE!</v>
      </c>
      <c r="AE228" s="68" t="e">
        <f>Data_PLT[[#This Row],[Test code]]&amp;"-"&amp;Data_PLT[[#This Row],[UCS avg code]]</f>
        <v>#VALUE!</v>
      </c>
      <c r="AF228" s="67" t="e">
        <f>Data_PLT[[#This Row],[Test code]]&amp;"-"&amp;Data_PLT[[#This Row],[UCS max code]]</f>
        <v>#VALUE!</v>
      </c>
      <c r="AG228" s="67" t="e">
        <f>Data_PLT[[#This Row],[Failure type]]&amp;"-"&amp;Data_PLT[[#This Row],[Test type]]&amp;"-"&amp;(IF(Data_PLT[[#This Row],[Is50 (MPa)]]&lt;1,1,IF(Data_PLT[[#This Row],[Is50 (MPa)]]&lt;2,2,IF(Data_PLT[[#This Row],[Is50 (MPa)]]&lt;4,3,IF(Data_PLT[[#This Row],[Is50 (MPa)]]&lt;8,4,5)))))</f>
        <v>#VALUE!</v>
      </c>
    </row>
    <row r="229" spans="1:33" x14ac:dyDescent="0.25">
      <c r="A229" s="14"/>
      <c r="B229" s="88" t="e">
        <f>VLOOKUP(Data_PLT[[#This Row],[Hole ID]],Data_Log[],2,FALSE)</f>
        <v>#N/A</v>
      </c>
      <c r="C229" s="63" t="str">
        <f>IF(Data_PLT[[#This Row],[Hole ID]]="","",
IF(COUNTIF($A$4:A229,Data_PLT[[#This Row],[Hole ID]])=1,1,
IF(A229=A228,C228+1,
COUNTIF($A$4:A229,Data_PLT[[#This Row],[Hole ID]]))))</f>
        <v/>
      </c>
      <c r="D229" s="63" t="str">
        <f>IF(Data_PLT[[#This Row],[Hole ID]]="","",Data_PLT[[#This Row],[Hole ID]]&amp;"_"&amp;Data_PLT[[#This Row],[Sample ID]])</f>
        <v/>
      </c>
      <c r="E229" s="6"/>
      <c r="F229" s="6"/>
      <c r="G229" s="63" t="e" cm="1">
        <f t="array" ref="G229">_xlfn.XLOOKUP(1,(A229=Geotech!$A$4:$A$11100)*(Data_PLT[[#This Row],[Depth (m)]]&gt;=Geotech!$C$4:$C$11100)*(Data_PLT[[#This Row],[Depth (m)]]&lt;Geotech!$D$4:$D$11100),Geotech!$M$4:$M$11100)</f>
        <v>#N/A</v>
      </c>
      <c r="H229" s="6"/>
      <c r="I229" s="63" t="e">
        <f>VLOOKUP(Data_PLT[[#This Row],[Hole ID]],Data_Log[[Hole ID]:[Core size]],20,FALSE)</f>
        <v>#N/A</v>
      </c>
      <c r="J229" s="13" t="e">
        <f>VLOOKUP(Data_PLT[[#This Row],[Core Size]],Table_CoreSize[],2,FALSE)</f>
        <v>#N/A</v>
      </c>
      <c r="K229" s="19"/>
      <c r="L229" s="19"/>
      <c r="M229" s="5"/>
      <c r="N229" s="5"/>
      <c r="O229" s="6"/>
      <c r="P229" s="13" t="str">
        <f>IF(Data_PLT[[#This Row],[Failure type]]="","",IF(OR(Data_PLT[[#This Row],[Failure type]]="Invalid",Data_PLT[[#This Row],[Failure type]]="Chipped",Data_PLT[[#This Row],[Failure type]]="Penetrate",Data_PLT[[#This Row],[Failure type]]="Did not break"),"Invalid","Valid"))</f>
        <v/>
      </c>
      <c r="Q229" s="6"/>
      <c r="R229" s="11"/>
      <c r="S229" s="13" t="str">
        <f>IF(Data_PLT[[#This Row],[Test type]]="Diametral",Data_PLT[[#This Row],[Diameter (mm)]],IF(Data_PLT[[#This Row],[Test type]]="Axial",SQRT(4*Data_PLT[[#This Row],[Diameter (mm)]]*Data_PLT[[#This Row],[Length or width (mm)]]/PI()),"ERROR"))</f>
        <v>ERROR</v>
      </c>
      <c r="T229" s="13" t="e">
        <f>(Data_PLT[[#This Row],[Load (kN)]]*1000)/Data_PLT[[#This Row],[Equiv. Diam. (mm)]]^2</f>
        <v>#VALUE!</v>
      </c>
      <c r="U229" s="13" t="e">
        <f>(Data_PLT[[#This Row],[Equiv. Diam. (mm)]]/50)^0.45</f>
        <v>#VALUE!</v>
      </c>
      <c r="V229" s="13" t="e">
        <f>Data_PLT[[#This Row],[Is (MPa)]]*Data_PLT[[#This Row],[F]]</f>
        <v>#VALUE!</v>
      </c>
      <c r="W229" s="13" t="str">
        <f>Data_PLT[[#This Row],[Failure Validity]]&amp;"-"&amp;Data_PLT[[#This Row],[Test type]]</f>
        <v>-</v>
      </c>
      <c r="X229" s="13" t="e">
        <f>Data_PLT[[#This Row],[Is50 (MPa)]]*VLOOKUP("Min",Table_PLT_Conversion[],2,FALSE)</f>
        <v>#VALUE!</v>
      </c>
      <c r="Y229" s="13" t="e">
        <f>Data_PLT[[#This Row],[Is50 (MPa)]]*VLOOKUP("Avg",Table_PLT_Conversion[],2,FALSE)</f>
        <v>#VALUE!</v>
      </c>
      <c r="Z229" s="13" t="e">
        <f>Data_PLT[[#This Row],[Is50 (MPa)]]*VLOOKUP("Max",Table_PLT_Conversion[],2,FALSE)</f>
        <v>#VALUE!</v>
      </c>
      <c r="AA229" s="62" t="e">
        <f>MATCH(LOOKUP(Data_PLT[[#This Row],[UCS min (MPa)]],Table_FieldStrength[Min UCS]),Table_FieldStrength[Min UCS],0)-1</f>
        <v>#VALUE!</v>
      </c>
      <c r="AB229" s="62" t="e">
        <f>MATCH(LOOKUP(Data_PLT[[#This Row],[UCS avg (MPa)]],Table_FieldStrength[Min UCS]),Table_FieldStrength[Min UCS],0)-1</f>
        <v>#VALUE!</v>
      </c>
      <c r="AC229" s="62" t="e">
        <f>MATCH(LOOKUP(Data_PLT[[#This Row],[UCS max (MPa)]],Table_FieldStrength[Min UCS]),Table_FieldStrength[Min UCS],0)-1</f>
        <v>#VALUE!</v>
      </c>
      <c r="AD229" s="68" t="e">
        <f>Data_PLT[[#This Row],[Test code]]&amp;"-"&amp;Data_PLT[[#This Row],[UCS min code]]</f>
        <v>#VALUE!</v>
      </c>
      <c r="AE229" s="68" t="e">
        <f>Data_PLT[[#This Row],[Test code]]&amp;"-"&amp;Data_PLT[[#This Row],[UCS avg code]]</f>
        <v>#VALUE!</v>
      </c>
      <c r="AF229" s="67" t="e">
        <f>Data_PLT[[#This Row],[Test code]]&amp;"-"&amp;Data_PLT[[#This Row],[UCS max code]]</f>
        <v>#VALUE!</v>
      </c>
      <c r="AG229" s="67" t="e">
        <f>Data_PLT[[#This Row],[Failure type]]&amp;"-"&amp;Data_PLT[[#This Row],[Test type]]&amp;"-"&amp;(IF(Data_PLT[[#This Row],[Is50 (MPa)]]&lt;1,1,IF(Data_PLT[[#This Row],[Is50 (MPa)]]&lt;2,2,IF(Data_PLT[[#This Row],[Is50 (MPa)]]&lt;4,3,IF(Data_PLT[[#This Row],[Is50 (MPa)]]&lt;8,4,5)))))</f>
        <v>#VALUE!</v>
      </c>
    </row>
    <row r="230" spans="1:33" x14ac:dyDescent="0.25">
      <c r="A230" s="14"/>
      <c r="B230" s="88" t="e">
        <f>VLOOKUP(Data_PLT[[#This Row],[Hole ID]],Data_Log[],2,FALSE)</f>
        <v>#N/A</v>
      </c>
      <c r="C230" s="63" t="str">
        <f>IF(Data_PLT[[#This Row],[Hole ID]]="","",
IF(COUNTIF($A$4:A230,Data_PLT[[#This Row],[Hole ID]])=1,1,
IF(A230=A229,C229+1,
COUNTIF($A$4:A230,Data_PLT[[#This Row],[Hole ID]]))))</f>
        <v/>
      </c>
      <c r="D230" s="63" t="str">
        <f>IF(Data_PLT[[#This Row],[Hole ID]]="","",Data_PLT[[#This Row],[Hole ID]]&amp;"_"&amp;Data_PLT[[#This Row],[Sample ID]])</f>
        <v/>
      </c>
      <c r="E230" s="6"/>
      <c r="F230" s="6"/>
      <c r="G230" s="63" t="e" cm="1">
        <f t="array" ref="G230">_xlfn.XLOOKUP(1,(A230=Geotech!$A$4:$A$11100)*(Data_PLT[[#This Row],[Depth (m)]]&gt;=Geotech!$C$4:$C$11100)*(Data_PLT[[#This Row],[Depth (m)]]&lt;Geotech!$D$4:$D$11100),Geotech!$M$4:$M$11100)</f>
        <v>#N/A</v>
      </c>
      <c r="H230" s="6"/>
      <c r="I230" s="63" t="e">
        <f>VLOOKUP(Data_PLT[[#This Row],[Hole ID]],Data_Log[[Hole ID]:[Core size]],20,FALSE)</f>
        <v>#N/A</v>
      </c>
      <c r="J230" s="13" t="e">
        <f>VLOOKUP(Data_PLT[[#This Row],[Core Size]],Table_CoreSize[],2,FALSE)</f>
        <v>#N/A</v>
      </c>
      <c r="K230" s="19"/>
      <c r="L230" s="19"/>
      <c r="M230" s="5"/>
      <c r="N230" s="5"/>
      <c r="O230" s="6"/>
      <c r="P230" s="13" t="str">
        <f>IF(Data_PLT[[#This Row],[Failure type]]="","",IF(OR(Data_PLT[[#This Row],[Failure type]]="Invalid",Data_PLT[[#This Row],[Failure type]]="Chipped",Data_PLT[[#This Row],[Failure type]]="Penetrate",Data_PLT[[#This Row],[Failure type]]="Did not break"),"Invalid","Valid"))</f>
        <v/>
      </c>
      <c r="Q230" s="6"/>
      <c r="R230" s="11"/>
      <c r="S230" s="13" t="str">
        <f>IF(Data_PLT[[#This Row],[Test type]]="Diametral",Data_PLT[[#This Row],[Diameter (mm)]],IF(Data_PLT[[#This Row],[Test type]]="Axial",SQRT(4*Data_PLT[[#This Row],[Diameter (mm)]]*Data_PLT[[#This Row],[Length or width (mm)]]/PI()),"ERROR"))</f>
        <v>ERROR</v>
      </c>
      <c r="T230" s="13" t="e">
        <f>(Data_PLT[[#This Row],[Load (kN)]]*1000)/Data_PLT[[#This Row],[Equiv. Diam. (mm)]]^2</f>
        <v>#VALUE!</v>
      </c>
      <c r="U230" s="13" t="e">
        <f>(Data_PLT[[#This Row],[Equiv. Diam. (mm)]]/50)^0.45</f>
        <v>#VALUE!</v>
      </c>
      <c r="V230" s="13" t="e">
        <f>Data_PLT[[#This Row],[Is (MPa)]]*Data_PLT[[#This Row],[F]]</f>
        <v>#VALUE!</v>
      </c>
      <c r="W230" s="13" t="str">
        <f>Data_PLT[[#This Row],[Failure Validity]]&amp;"-"&amp;Data_PLT[[#This Row],[Test type]]</f>
        <v>-</v>
      </c>
      <c r="X230" s="13" t="e">
        <f>Data_PLT[[#This Row],[Is50 (MPa)]]*VLOOKUP("Min",Table_PLT_Conversion[],2,FALSE)</f>
        <v>#VALUE!</v>
      </c>
      <c r="Y230" s="13" t="e">
        <f>Data_PLT[[#This Row],[Is50 (MPa)]]*VLOOKUP("Avg",Table_PLT_Conversion[],2,FALSE)</f>
        <v>#VALUE!</v>
      </c>
      <c r="Z230" s="13" t="e">
        <f>Data_PLT[[#This Row],[Is50 (MPa)]]*VLOOKUP("Max",Table_PLT_Conversion[],2,FALSE)</f>
        <v>#VALUE!</v>
      </c>
      <c r="AA230" s="62" t="e">
        <f>MATCH(LOOKUP(Data_PLT[[#This Row],[UCS min (MPa)]],Table_FieldStrength[Min UCS]),Table_FieldStrength[Min UCS],0)-1</f>
        <v>#VALUE!</v>
      </c>
      <c r="AB230" s="62" t="e">
        <f>MATCH(LOOKUP(Data_PLT[[#This Row],[UCS avg (MPa)]],Table_FieldStrength[Min UCS]),Table_FieldStrength[Min UCS],0)-1</f>
        <v>#VALUE!</v>
      </c>
      <c r="AC230" s="62" t="e">
        <f>MATCH(LOOKUP(Data_PLT[[#This Row],[UCS max (MPa)]],Table_FieldStrength[Min UCS]),Table_FieldStrength[Min UCS],0)-1</f>
        <v>#VALUE!</v>
      </c>
      <c r="AD230" s="68" t="e">
        <f>Data_PLT[[#This Row],[Test code]]&amp;"-"&amp;Data_PLT[[#This Row],[UCS min code]]</f>
        <v>#VALUE!</v>
      </c>
      <c r="AE230" s="68" t="e">
        <f>Data_PLT[[#This Row],[Test code]]&amp;"-"&amp;Data_PLT[[#This Row],[UCS avg code]]</f>
        <v>#VALUE!</v>
      </c>
      <c r="AF230" s="67" t="e">
        <f>Data_PLT[[#This Row],[Test code]]&amp;"-"&amp;Data_PLT[[#This Row],[UCS max code]]</f>
        <v>#VALUE!</v>
      </c>
      <c r="AG230" s="67" t="e">
        <f>Data_PLT[[#This Row],[Failure type]]&amp;"-"&amp;Data_PLT[[#This Row],[Test type]]&amp;"-"&amp;(IF(Data_PLT[[#This Row],[Is50 (MPa)]]&lt;1,1,IF(Data_PLT[[#This Row],[Is50 (MPa)]]&lt;2,2,IF(Data_PLT[[#This Row],[Is50 (MPa)]]&lt;4,3,IF(Data_PLT[[#This Row],[Is50 (MPa)]]&lt;8,4,5)))))</f>
        <v>#VALUE!</v>
      </c>
    </row>
    <row r="231" spans="1:33" x14ac:dyDescent="0.25">
      <c r="A231" s="14"/>
      <c r="B231" s="88" t="e">
        <f>VLOOKUP(Data_PLT[[#This Row],[Hole ID]],Data_Log[],2,FALSE)</f>
        <v>#N/A</v>
      </c>
      <c r="C231" s="63" t="str">
        <f>IF(Data_PLT[[#This Row],[Hole ID]]="","",
IF(COUNTIF($A$4:A231,Data_PLT[[#This Row],[Hole ID]])=1,1,
IF(A231=A230,C230+1,
COUNTIF($A$4:A231,Data_PLT[[#This Row],[Hole ID]]))))</f>
        <v/>
      </c>
      <c r="D231" s="63" t="str">
        <f>IF(Data_PLT[[#This Row],[Hole ID]]="","",Data_PLT[[#This Row],[Hole ID]]&amp;"_"&amp;Data_PLT[[#This Row],[Sample ID]])</f>
        <v/>
      </c>
      <c r="E231" s="6"/>
      <c r="F231" s="6"/>
      <c r="G231" s="63" t="e" cm="1">
        <f t="array" ref="G231">_xlfn.XLOOKUP(1,(A231=Geotech!$A$4:$A$11100)*(Data_PLT[[#This Row],[Depth (m)]]&gt;=Geotech!$C$4:$C$11100)*(Data_PLT[[#This Row],[Depth (m)]]&lt;Geotech!$D$4:$D$11100),Geotech!$M$4:$M$11100)</f>
        <v>#N/A</v>
      </c>
      <c r="H231" s="6"/>
      <c r="I231" s="63" t="e">
        <f>VLOOKUP(Data_PLT[[#This Row],[Hole ID]],Data_Log[[Hole ID]:[Core size]],20,FALSE)</f>
        <v>#N/A</v>
      </c>
      <c r="J231" s="13" t="e">
        <f>VLOOKUP(Data_PLT[[#This Row],[Core Size]],Table_CoreSize[],2,FALSE)</f>
        <v>#N/A</v>
      </c>
      <c r="K231" s="19"/>
      <c r="L231" s="19"/>
      <c r="M231" s="5"/>
      <c r="N231" s="5"/>
      <c r="O231" s="6"/>
      <c r="P231" s="13" t="str">
        <f>IF(Data_PLT[[#This Row],[Failure type]]="","",IF(OR(Data_PLT[[#This Row],[Failure type]]="Invalid",Data_PLT[[#This Row],[Failure type]]="Chipped",Data_PLT[[#This Row],[Failure type]]="Penetrate",Data_PLT[[#This Row],[Failure type]]="Did not break"),"Invalid","Valid"))</f>
        <v/>
      </c>
      <c r="Q231" s="6"/>
      <c r="R231" s="11"/>
      <c r="S231" s="13" t="str">
        <f>IF(Data_PLT[[#This Row],[Test type]]="Diametral",Data_PLT[[#This Row],[Diameter (mm)]],IF(Data_PLT[[#This Row],[Test type]]="Axial",SQRT(4*Data_PLT[[#This Row],[Diameter (mm)]]*Data_PLT[[#This Row],[Length or width (mm)]]/PI()),"ERROR"))</f>
        <v>ERROR</v>
      </c>
      <c r="T231" s="13" t="e">
        <f>(Data_PLT[[#This Row],[Load (kN)]]*1000)/Data_PLT[[#This Row],[Equiv. Diam. (mm)]]^2</f>
        <v>#VALUE!</v>
      </c>
      <c r="U231" s="13" t="e">
        <f>(Data_PLT[[#This Row],[Equiv. Diam. (mm)]]/50)^0.45</f>
        <v>#VALUE!</v>
      </c>
      <c r="V231" s="13" t="e">
        <f>Data_PLT[[#This Row],[Is (MPa)]]*Data_PLT[[#This Row],[F]]</f>
        <v>#VALUE!</v>
      </c>
      <c r="W231" s="13" t="str">
        <f>Data_PLT[[#This Row],[Failure Validity]]&amp;"-"&amp;Data_PLT[[#This Row],[Test type]]</f>
        <v>-</v>
      </c>
      <c r="X231" s="13" t="e">
        <f>Data_PLT[[#This Row],[Is50 (MPa)]]*VLOOKUP("Min",Table_PLT_Conversion[],2,FALSE)</f>
        <v>#VALUE!</v>
      </c>
      <c r="Y231" s="13" t="e">
        <f>Data_PLT[[#This Row],[Is50 (MPa)]]*VLOOKUP("Avg",Table_PLT_Conversion[],2,FALSE)</f>
        <v>#VALUE!</v>
      </c>
      <c r="Z231" s="13" t="e">
        <f>Data_PLT[[#This Row],[Is50 (MPa)]]*VLOOKUP("Max",Table_PLT_Conversion[],2,FALSE)</f>
        <v>#VALUE!</v>
      </c>
      <c r="AA231" s="62" t="e">
        <f>MATCH(LOOKUP(Data_PLT[[#This Row],[UCS min (MPa)]],Table_FieldStrength[Min UCS]),Table_FieldStrength[Min UCS],0)-1</f>
        <v>#VALUE!</v>
      </c>
      <c r="AB231" s="62" t="e">
        <f>MATCH(LOOKUP(Data_PLT[[#This Row],[UCS avg (MPa)]],Table_FieldStrength[Min UCS]),Table_FieldStrength[Min UCS],0)-1</f>
        <v>#VALUE!</v>
      </c>
      <c r="AC231" s="62" t="e">
        <f>MATCH(LOOKUP(Data_PLT[[#This Row],[UCS max (MPa)]],Table_FieldStrength[Min UCS]),Table_FieldStrength[Min UCS],0)-1</f>
        <v>#VALUE!</v>
      </c>
      <c r="AD231" s="68" t="e">
        <f>Data_PLT[[#This Row],[Test code]]&amp;"-"&amp;Data_PLT[[#This Row],[UCS min code]]</f>
        <v>#VALUE!</v>
      </c>
      <c r="AE231" s="68" t="e">
        <f>Data_PLT[[#This Row],[Test code]]&amp;"-"&amp;Data_PLT[[#This Row],[UCS avg code]]</f>
        <v>#VALUE!</v>
      </c>
      <c r="AF231" s="67" t="e">
        <f>Data_PLT[[#This Row],[Test code]]&amp;"-"&amp;Data_PLT[[#This Row],[UCS max code]]</f>
        <v>#VALUE!</v>
      </c>
      <c r="AG231" s="67" t="e">
        <f>Data_PLT[[#This Row],[Failure type]]&amp;"-"&amp;Data_PLT[[#This Row],[Test type]]&amp;"-"&amp;(IF(Data_PLT[[#This Row],[Is50 (MPa)]]&lt;1,1,IF(Data_PLT[[#This Row],[Is50 (MPa)]]&lt;2,2,IF(Data_PLT[[#This Row],[Is50 (MPa)]]&lt;4,3,IF(Data_PLT[[#This Row],[Is50 (MPa)]]&lt;8,4,5)))))</f>
        <v>#VALUE!</v>
      </c>
    </row>
    <row r="232" spans="1:33" x14ac:dyDescent="0.25">
      <c r="A232" s="14"/>
      <c r="B232" s="88" t="e">
        <f>VLOOKUP(Data_PLT[[#This Row],[Hole ID]],Data_Log[],2,FALSE)</f>
        <v>#N/A</v>
      </c>
      <c r="C232" s="63" t="str">
        <f>IF(Data_PLT[[#This Row],[Hole ID]]="","",
IF(COUNTIF($A$4:A232,Data_PLT[[#This Row],[Hole ID]])=1,1,
IF(A232=A231,C231+1,
COUNTIF($A$4:A232,Data_PLT[[#This Row],[Hole ID]]))))</f>
        <v/>
      </c>
      <c r="D232" s="63" t="str">
        <f>IF(Data_PLT[[#This Row],[Hole ID]]="","",Data_PLT[[#This Row],[Hole ID]]&amp;"_"&amp;Data_PLT[[#This Row],[Sample ID]])</f>
        <v/>
      </c>
      <c r="E232" s="6"/>
      <c r="F232" s="6"/>
      <c r="G232" s="63" t="e" cm="1">
        <f t="array" ref="G232">_xlfn.XLOOKUP(1,(A232=Geotech!$A$4:$A$11100)*(Data_PLT[[#This Row],[Depth (m)]]&gt;=Geotech!$C$4:$C$11100)*(Data_PLT[[#This Row],[Depth (m)]]&lt;Geotech!$D$4:$D$11100),Geotech!$M$4:$M$11100)</f>
        <v>#N/A</v>
      </c>
      <c r="H232" s="6"/>
      <c r="I232" s="63" t="e">
        <f>VLOOKUP(Data_PLT[[#This Row],[Hole ID]],Data_Log[[Hole ID]:[Core size]],20,FALSE)</f>
        <v>#N/A</v>
      </c>
      <c r="J232" s="13" t="e">
        <f>VLOOKUP(Data_PLT[[#This Row],[Core Size]],Table_CoreSize[],2,FALSE)</f>
        <v>#N/A</v>
      </c>
      <c r="K232" s="19"/>
      <c r="L232" s="19"/>
      <c r="M232" s="5"/>
      <c r="N232" s="5"/>
      <c r="O232" s="6"/>
      <c r="P232" s="13" t="str">
        <f>IF(Data_PLT[[#This Row],[Failure type]]="","",IF(OR(Data_PLT[[#This Row],[Failure type]]="Invalid",Data_PLT[[#This Row],[Failure type]]="Chipped",Data_PLT[[#This Row],[Failure type]]="Penetrate",Data_PLT[[#This Row],[Failure type]]="Did not break"),"Invalid","Valid"))</f>
        <v/>
      </c>
      <c r="Q232" s="6"/>
      <c r="R232" s="11"/>
      <c r="S232" s="13" t="str">
        <f>IF(Data_PLT[[#This Row],[Test type]]="Diametral",Data_PLT[[#This Row],[Diameter (mm)]],IF(Data_PLT[[#This Row],[Test type]]="Axial",SQRT(4*Data_PLT[[#This Row],[Diameter (mm)]]*Data_PLT[[#This Row],[Length or width (mm)]]/PI()),"ERROR"))</f>
        <v>ERROR</v>
      </c>
      <c r="T232" s="13" t="e">
        <f>(Data_PLT[[#This Row],[Load (kN)]]*1000)/Data_PLT[[#This Row],[Equiv. Diam. (mm)]]^2</f>
        <v>#VALUE!</v>
      </c>
      <c r="U232" s="13" t="e">
        <f>(Data_PLT[[#This Row],[Equiv. Diam. (mm)]]/50)^0.45</f>
        <v>#VALUE!</v>
      </c>
      <c r="V232" s="13" t="e">
        <f>Data_PLT[[#This Row],[Is (MPa)]]*Data_PLT[[#This Row],[F]]</f>
        <v>#VALUE!</v>
      </c>
      <c r="W232" s="13" t="str">
        <f>Data_PLT[[#This Row],[Failure Validity]]&amp;"-"&amp;Data_PLT[[#This Row],[Test type]]</f>
        <v>-</v>
      </c>
      <c r="X232" s="13" t="e">
        <f>Data_PLT[[#This Row],[Is50 (MPa)]]*VLOOKUP("Min",Table_PLT_Conversion[],2,FALSE)</f>
        <v>#VALUE!</v>
      </c>
      <c r="Y232" s="13" t="e">
        <f>Data_PLT[[#This Row],[Is50 (MPa)]]*VLOOKUP("Avg",Table_PLT_Conversion[],2,FALSE)</f>
        <v>#VALUE!</v>
      </c>
      <c r="Z232" s="13" t="e">
        <f>Data_PLT[[#This Row],[Is50 (MPa)]]*VLOOKUP("Max",Table_PLT_Conversion[],2,FALSE)</f>
        <v>#VALUE!</v>
      </c>
      <c r="AA232" s="62" t="e">
        <f>MATCH(LOOKUP(Data_PLT[[#This Row],[UCS min (MPa)]],Table_FieldStrength[Min UCS]),Table_FieldStrength[Min UCS],0)-1</f>
        <v>#VALUE!</v>
      </c>
      <c r="AB232" s="62" t="e">
        <f>MATCH(LOOKUP(Data_PLT[[#This Row],[UCS avg (MPa)]],Table_FieldStrength[Min UCS]),Table_FieldStrength[Min UCS],0)-1</f>
        <v>#VALUE!</v>
      </c>
      <c r="AC232" s="62" t="e">
        <f>MATCH(LOOKUP(Data_PLT[[#This Row],[UCS max (MPa)]],Table_FieldStrength[Min UCS]),Table_FieldStrength[Min UCS],0)-1</f>
        <v>#VALUE!</v>
      </c>
      <c r="AD232" s="68" t="e">
        <f>Data_PLT[[#This Row],[Test code]]&amp;"-"&amp;Data_PLT[[#This Row],[UCS min code]]</f>
        <v>#VALUE!</v>
      </c>
      <c r="AE232" s="68" t="e">
        <f>Data_PLT[[#This Row],[Test code]]&amp;"-"&amp;Data_PLT[[#This Row],[UCS avg code]]</f>
        <v>#VALUE!</v>
      </c>
      <c r="AF232" s="67" t="e">
        <f>Data_PLT[[#This Row],[Test code]]&amp;"-"&amp;Data_PLT[[#This Row],[UCS max code]]</f>
        <v>#VALUE!</v>
      </c>
      <c r="AG232" s="67" t="e">
        <f>Data_PLT[[#This Row],[Failure type]]&amp;"-"&amp;Data_PLT[[#This Row],[Test type]]&amp;"-"&amp;(IF(Data_PLT[[#This Row],[Is50 (MPa)]]&lt;1,1,IF(Data_PLT[[#This Row],[Is50 (MPa)]]&lt;2,2,IF(Data_PLT[[#This Row],[Is50 (MPa)]]&lt;4,3,IF(Data_PLT[[#This Row],[Is50 (MPa)]]&lt;8,4,5)))))</f>
        <v>#VALUE!</v>
      </c>
    </row>
    <row r="233" spans="1:33" x14ac:dyDescent="0.25">
      <c r="A233" s="14"/>
      <c r="B233" s="88" t="e">
        <f>VLOOKUP(Data_PLT[[#This Row],[Hole ID]],Data_Log[],2,FALSE)</f>
        <v>#N/A</v>
      </c>
      <c r="C233" s="63" t="str">
        <f>IF(Data_PLT[[#This Row],[Hole ID]]="","",
IF(COUNTIF($A$4:A233,Data_PLT[[#This Row],[Hole ID]])=1,1,
IF(A233=A232,C232+1,
COUNTIF($A$4:A233,Data_PLT[[#This Row],[Hole ID]]))))</f>
        <v/>
      </c>
      <c r="D233" s="63" t="str">
        <f>IF(Data_PLT[[#This Row],[Hole ID]]="","",Data_PLT[[#This Row],[Hole ID]]&amp;"_"&amp;Data_PLT[[#This Row],[Sample ID]])</f>
        <v/>
      </c>
      <c r="E233" s="6"/>
      <c r="F233" s="6"/>
      <c r="G233" s="63" t="e" cm="1">
        <f t="array" ref="G233">_xlfn.XLOOKUP(1,(A233=Geotech!$A$4:$A$11100)*(Data_PLT[[#This Row],[Depth (m)]]&gt;=Geotech!$C$4:$C$11100)*(Data_PLT[[#This Row],[Depth (m)]]&lt;Geotech!$D$4:$D$11100),Geotech!$M$4:$M$11100)</f>
        <v>#N/A</v>
      </c>
      <c r="H233" s="6"/>
      <c r="I233" s="63" t="e">
        <f>VLOOKUP(Data_PLT[[#This Row],[Hole ID]],Data_Log[[Hole ID]:[Core size]],20,FALSE)</f>
        <v>#N/A</v>
      </c>
      <c r="J233" s="13" t="e">
        <f>VLOOKUP(Data_PLT[[#This Row],[Core Size]],Table_CoreSize[],2,FALSE)</f>
        <v>#N/A</v>
      </c>
      <c r="K233" s="19"/>
      <c r="L233" s="19"/>
      <c r="M233" s="5"/>
      <c r="N233" s="5"/>
      <c r="O233" s="6"/>
      <c r="P233" s="13" t="str">
        <f>IF(Data_PLT[[#This Row],[Failure type]]="","",IF(OR(Data_PLT[[#This Row],[Failure type]]="Invalid",Data_PLT[[#This Row],[Failure type]]="Chipped",Data_PLT[[#This Row],[Failure type]]="Penetrate",Data_PLT[[#This Row],[Failure type]]="Did not break"),"Invalid","Valid"))</f>
        <v/>
      </c>
      <c r="Q233" s="6"/>
      <c r="R233" s="11"/>
      <c r="S233" s="13" t="str">
        <f>IF(Data_PLT[[#This Row],[Test type]]="Diametral",Data_PLT[[#This Row],[Diameter (mm)]],IF(Data_PLT[[#This Row],[Test type]]="Axial",SQRT(4*Data_PLT[[#This Row],[Diameter (mm)]]*Data_PLT[[#This Row],[Length or width (mm)]]/PI()),"ERROR"))</f>
        <v>ERROR</v>
      </c>
      <c r="T233" s="13" t="e">
        <f>(Data_PLT[[#This Row],[Load (kN)]]*1000)/Data_PLT[[#This Row],[Equiv. Diam. (mm)]]^2</f>
        <v>#VALUE!</v>
      </c>
      <c r="U233" s="13" t="e">
        <f>(Data_PLT[[#This Row],[Equiv. Diam. (mm)]]/50)^0.45</f>
        <v>#VALUE!</v>
      </c>
      <c r="V233" s="13" t="e">
        <f>Data_PLT[[#This Row],[Is (MPa)]]*Data_PLT[[#This Row],[F]]</f>
        <v>#VALUE!</v>
      </c>
      <c r="W233" s="13" t="str">
        <f>Data_PLT[[#This Row],[Failure Validity]]&amp;"-"&amp;Data_PLT[[#This Row],[Test type]]</f>
        <v>-</v>
      </c>
      <c r="X233" s="13" t="e">
        <f>Data_PLT[[#This Row],[Is50 (MPa)]]*VLOOKUP("Min",Table_PLT_Conversion[],2,FALSE)</f>
        <v>#VALUE!</v>
      </c>
      <c r="Y233" s="13" t="e">
        <f>Data_PLT[[#This Row],[Is50 (MPa)]]*VLOOKUP("Avg",Table_PLT_Conversion[],2,FALSE)</f>
        <v>#VALUE!</v>
      </c>
      <c r="Z233" s="13" t="e">
        <f>Data_PLT[[#This Row],[Is50 (MPa)]]*VLOOKUP("Max",Table_PLT_Conversion[],2,FALSE)</f>
        <v>#VALUE!</v>
      </c>
      <c r="AA233" s="62" t="e">
        <f>MATCH(LOOKUP(Data_PLT[[#This Row],[UCS min (MPa)]],Table_FieldStrength[Min UCS]),Table_FieldStrength[Min UCS],0)-1</f>
        <v>#VALUE!</v>
      </c>
      <c r="AB233" s="62" t="e">
        <f>MATCH(LOOKUP(Data_PLT[[#This Row],[UCS avg (MPa)]],Table_FieldStrength[Min UCS]),Table_FieldStrength[Min UCS],0)-1</f>
        <v>#VALUE!</v>
      </c>
      <c r="AC233" s="62" t="e">
        <f>MATCH(LOOKUP(Data_PLT[[#This Row],[UCS max (MPa)]],Table_FieldStrength[Min UCS]),Table_FieldStrength[Min UCS],0)-1</f>
        <v>#VALUE!</v>
      </c>
      <c r="AD233" s="68" t="e">
        <f>Data_PLT[[#This Row],[Test code]]&amp;"-"&amp;Data_PLT[[#This Row],[UCS min code]]</f>
        <v>#VALUE!</v>
      </c>
      <c r="AE233" s="68" t="e">
        <f>Data_PLT[[#This Row],[Test code]]&amp;"-"&amp;Data_PLT[[#This Row],[UCS avg code]]</f>
        <v>#VALUE!</v>
      </c>
      <c r="AF233" s="67" t="e">
        <f>Data_PLT[[#This Row],[Test code]]&amp;"-"&amp;Data_PLT[[#This Row],[UCS max code]]</f>
        <v>#VALUE!</v>
      </c>
      <c r="AG233" s="67" t="e">
        <f>Data_PLT[[#This Row],[Failure type]]&amp;"-"&amp;Data_PLT[[#This Row],[Test type]]&amp;"-"&amp;(IF(Data_PLT[[#This Row],[Is50 (MPa)]]&lt;1,1,IF(Data_PLT[[#This Row],[Is50 (MPa)]]&lt;2,2,IF(Data_PLT[[#This Row],[Is50 (MPa)]]&lt;4,3,IF(Data_PLT[[#This Row],[Is50 (MPa)]]&lt;8,4,5)))))</f>
        <v>#VALUE!</v>
      </c>
    </row>
    <row r="234" spans="1:33" x14ac:dyDescent="0.25">
      <c r="A234" s="14"/>
      <c r="B234" s="88" t="e">
        <f>VLOOKUP(Data_PLT[[#This Row],[Hole ID]],Data_Log[],2,FALSE)</f>
        <v>#N/A</v>
      </c>
      <c r="C234" s="63" t="str">
        <f>IF(Data_PLT[[#This Row],[Hole ID]]="","",
IF(COUNTIF($A$4:A234,Data_PLT[[#This Row],[Hole ID]])=1,1,
IF(A234=A233,C233+1,
COUNTIF($A$4:A234,Data_PLT[[#This Row],[Hole ID]]))))</f>
        <v/>
      </c>
      <c r="D234" s="63" t="str">
        <f>IF(Data_PLT[[#This Row],[Hole ID]]="","",Data_PLT[[#This Row],[Hole ID]]&amp;"_"&amp;Data_PLT[[#This Row],[Sample ID]])</f>
        <v/>
      </c>
      <c r="E234" s="6"/>
      <c r="F234" s="6"/>
      <c r="G234" s="63" t="e" cm="1">
        <f t="array" ref="G234">_xlfn.XLOOKUP(1,(A234=Geotech!$A$4:$A$11100)*(Data_PLT[[#This Row],[Depth (m)]]&gt;=Geotech!$C$4:$C$11100)*(Data_PLT[[#This Row],[Depth (m)]]&lt;Geotech!$D$4:$D$11100),Geotech!$M$4:$M$11100)</f>
        <v>#N/A</v>
      </c>
      <c r="H234" s="6"/>
      <c r="I234" s="63" t="e">
        <f>VLOOKUP(Data_PLT[[#This Row],[Hole ID]],Data_Log[[Hole ID]:[Core size]],20,FALSE)</f>
        <v>#N/A</v>
      </c>
      <c r="J234" s="13" t="e">
        <f>VLOOKUP(Data_PLT[[#This Row],[Core Size]],Table_CoreSize[],2,FALSE)</f>
        <v>#N/A</v>
      </c>
      <c r="K234" s="19"/>
      <c r="L234" s="19"/>
      <c r="M234" s="5"/>
      <c r="N234" s="5"/>
      <c r="O234" s="6"/>
      <c r="P234" s="13" t="str">
        <f>IF(Data_PLT[[#This Row],[Failure type]]="","",IF(OR(Data_PLT[[#This Row],[Failure type]]="Invalid",Data_PLT[[#This Row],[Failure type]]="Chipped",Data_PLT[[#This Row],[Failure type]]="Penetrate",Data_PLT[[#This Row],[Failure type]]="Did not break"),"Invalid","Valid"))</f>
        <v/>
      </c>
      <c r="Q234" s="6"/>
      <c r="R234" s="11"/>
      <c r="S234" s="13" t="str">
        <f>IF(Data_PLT[[#This Row],[Test type]]="Diametral",Data_PLT[[#This Row],[Diameter (mm)]],IF(Data_PLT[[#This Row],[Test type]]="Axial",SQRT(4*Data_PLT[[#This Row],[Diameter (mm)]]*Data_PLT[[#This Row],[Length or width (mm)]]/PI()),"ERROR"))</f>
        <v>ERROR</v>
      </c>
      <c r="T234" s="13" t="e">
        <f>(Data_PLT[[#This Row],[Load (kN)]]*1000)/Data_PLT[[#This Row],[Equiv. Diam. (mm)]]^2</f>
        <v>#VALUE!</v>
      </c>
      <c r="U234" s="13" t="e">
        <f>(Data_PLT[[#This Row],[Equiv. Diam. (mm)]]/50)^0.45</f>
        <v>#VALUE!</v>
      </c>
      <c r="V234" s="13" t="e">
        <f>Data_PLT[[#This Row],[Is (MPa)]]*Data_PLT[[#This Row],[F]]</f>
        <v>#VALUE!</v>
      </c>
      <c r="W234" s="13" t="str">
        <f>Data_PLT[[#This Row],[Failure Validity]]&amp;"-"&amp;Data_PLT[[#This Row],[Test type]]</f>
        <v>-</v>
      </c>
      <c r="X234" s="13" t="e">
        <f>Data_PLT[[#This Row],[Is50 (MPa)]]*VLOOKUP("Min",Table_PLT_Conversion[],2,FALSE)</f>
        <v>#VALUE!</v>
      </c>
      <c r="Y234" s="13" t="e">
        <f>Data_PLT[[#This Row],[Is50 (MPa)]]*VLOOKUP("Avg",Table_PLT_Conversion[],2,FALSE)</f>
        <v>#VALUE!</v>
      </c>
      <c r="Z234" s="13" t="e">
        <f>Data_PLT[[#This Row],[Is50 (MPa)]]*VLOOKUP("Max",Table_PLT_Conversion[],2,FALSE)</f>
        <v>#VALUE!</v>
      </c>
      <c r="AA234" s="62" t="e">
        <f>MATCH(LOOKUP(Data_PLT[[#This Row],[UCS min (MPa)]],Table_FieldStrength[Min UCS]),Table_FieldStrength[Min UCS],0)-1</f>
        <v>#VALUE!</v>
      </c>
      <c r="AB234" s="62" t="e">
        <f>MATCH(LOOKUP(Data_PLT[[#This Row],[UCS avg (MPa)]],Table_FieldStrength[Min UCS]),Table_FieldStrength[Min UCS],0)-1</f>
        <v>#VALUE!</v>
      </c>
      <c r="AC234" s="62" t="e">
        <f>MATCH(LOOKUP(Data_PLT[[#This Row],[UCS max (MPa)]],Table_FieldStrength[Min UCS]),Table_FieldStrength[Min UCS],0)-1</f>
        <v>#VALUE!</v>
      </c>
      <c r="AD234" s="68" t="e">
        <f>Data_PLT[[#This Row],[Test code]]&amp;"-"&amp;Data_PLT[[#This Row],[UCS min code]]</f>
        <v>#VALUE!</v>
      </c>
      <c r="AE234" s="68" t="e">
        <f>Data_PLT[[#This Row],[Test code]]&amp;"-"&amp;Data_PLT[[#This Row],[UCS avg code]]</f>
        <v>#VALUE!</v>
      </c>
      <c r="AF234" s="67" t="e">
        <f>Data_PLT[[#This Row],[Test code]]&amp;"-"&amp;Data_PLT[[#This Row],[UCS max code]]</f>
        <v>#VALUE!</v>
      </c>
      <c r="AG234" s="67" t="e">
        <f>Data_PLT[[#This Row],[Failure type]]&amp;"-"&amp;Data_PLT[[#This Row],[Test type]]&amp;"-"&amp;(IF(Data_PLT[[#This Row],[Is50 (MPa)]]&lt;1,1,IF(Data_PLT[[#This Row],[Is50 (MPa)]]&lt;2,2,IF(Data_PLT[[#This Row],[Is50 (MPa)]]&lt;4,3,IF(Data_PLT[[#This Row],[Is50 (MPa)]]&lt;8,4,5)))))</f>
        <v>#VALUE!</v>
      </c>
    </row>
    <row r="235" spans="1:33" x14ac:dyDescent="0.25">
      <c r="A235" s="14"/>
      <c r="B235" s="88" t="e">
        <f>VLOOKUP(Data_PLT[[#This Row],[Hole ID]],Data_Log[],2,FALSE)</f>
        <v>#N/A</v>
      </c>
      <c r="C235" s="63" t="str">
        <f>IF(Data_PLT[[#This Row],[Hole ID]]="","",
IF(COUNTIF($A$4:A235,Data_PLT[[#This Row],[Hole ID]])=1,1,
IF(A235=A234,C234+1,
COUNTIF($A$4:A235,Data_PLT[[#This Row],[Hole ID]]))))</f>
        <v/>
      </c>
      <c r="D235" s="63" t="str">
        <f>IF(Data_PLT[[#This Row],[Hole ID]]="","",Data_PLT[[#This Row],[Hole ID]]&amp;"_"&amp;Data_PLT[[#This Row],[Sample ID]])</f>
        <v/>
      </c>
      <c r="E235" s="6"/>
      <c r="F235" s="6"/>
      <c r="G235" s="63" t="e" cm="1">
        <f t="array" ref="G235">_xlfn.XLOOKUP(1,(A235=Geotech!$A$4:$A$11100)*(Data_PLT[[#This Row],[Depth (m)]]&gt;=Geotech!$C$4:$C$11100)*(Data_PLT[[#This Row],[Depth (m)]]&lt;Geotech!$D$4:$D$11100),Geotech!$M$4:$M$11100)</f>
        <v>#N/A</v>
      </c>
      <c r="H235" s="6"/>
      <c r="I235" s="63" t="e">
        <f>VLOOKUP(Data_PLT[[#This Row],[Hole ID]],Data_Log[[Hole ID]:[Core size]],20,FALSE)</f>
        <v>#N/A</v>
      </c>
      <c r="J235" s="13" t="e">
        <f>VLOOKUP(Data_PLT[[#This Row],[Core Size]],Table_CoreSize[],2,FALSE)</f>
        <v>#N/A</v>
      </c>
      <c r="K235" s="19"/>
      <c r="L235" s="19"/>
      <c r="M235" s="5"/>
      <c r="N235" s="5"/>
      <c r="O235" s="6"/>
      <c r="P235" s="13" t="str">
        <f>IF(Data_PLT[[#This Row],[Failure type]]="","",IF(OR(Data_PLT[[#This Row],[Failure type]]="Invalid",Data_PLT[[#This Row],[Failure type]]="Chipped",Data_PLT[[#This Row],[Failure type]]="Penetrate",Data_PLT[[#This Row],[Failure type]]="Did not break"),"Invalid","Valid"))</f>
        <v/>
      </c>
      <c r="Q235" s="6"/>
      <c r="R235" s="11"/>
      <c r="S235" s="13" t="str">
        <f>IF(Data_PLT[[#This Row],[Test type]]="Diametral",Data_PLT[[#This Row],[Diameter (mm)]],IF(Data_PLT[[#This Row],[Test type]]="Axial",SQRT(4*Data_PLT[[#This Row],[Diameter (mm)]]*Data_PLT[[#This Row],[Length or width (mm)]]/PI()),"ERROR"))</f>
        <v>ERROR</v>
      </c>
      <c r="T235" s="13" t="e">
        <f>(Data_PLT[[#This Row],[Load (kN)]]*1000)/Data_PLT[[#This Row],[Equiv. Diam. (mm)]]^2</f>
        <v>#VALUE!</v>
      </c>
      <c r="U235" s="13" t="e">
        <f>(Data_PLT[[#This Row],[Equiv. Diam. (mm)]]/50)^0.45</f>
        <v>#VALUE!</v>
      </c>
      <c r="V235" s="13" t="e">
        <f>Data_PLT[[#This Row],[Is (MPa)]]*Data_PLT[[#This Row],[F]]</f>
        <v>#VALUE!</v>
      </c>
      <c r="W235" s="13" t="str">
        <f>Data_PLT[[#This Row],[Failure Validity]]&amp;"-"&amp;Data_PLT[[#This Row],[Test type]]</f>
        <v>-</v>
      </c>
      <c r="X235" s="13" t="e">
        <f>Data_PLT[[#This Row],[Is50 (MPa)]]*VLOOKUP("Min",Table_PLT_Conversion[],2,FALSE)</f>
        <v>#VALUE!</v>
      </c>
      <c r="Y235" s="13" t="e">
        <f>Data_PLT[[#This Row],[Is50 (MPa)]]*VLOOKUP("Avg",Table_PLT_Conversion[],2,FALSE)</f>
        <v>#VALUE!</v>
      </c>
      <c r="Z235" s="13" t="e">
        <f>Data_PLT[[#This Row],[Is50 (MPa)]]*VLOOKUP("Max",Table_PLT_Conversion[],2,FALSE)</f>
        <v>#VALUE!</v>
      </c>
      <c r="AA235" s="62" t="e">
        <f>MATCH(LOOKUP(Data_PLT[[#This Row],[UCS min (MPa)]],Table_FieldStrength[Min UCS]),Table_FieldStrength[Min UCS],0)-1</f>
        <v>#VALUE!</v>
      </c>
      <c r="AB235" s="62" t="e">
        <f>MATCH(LOOKUP(Data_PLT[[#This Row],[UCS avg (MPa)]],Table_FieldStrength[Min UCS]),Table_FieldStrength[Min UCS],0)-1</f>
        <v>#VALUE!</v>
      </c>
      <c r="AC235" s="62" t="e">
        <f>MATCH(LOOKUP(Data_PLT[[#This Row],[UCS max (MPa)]],Table_FieldStrength[Min UCS]),Table_FieldStrength[Min UCS],0)-1</f>
        <v>#VALUE!</v>
      </c>
      <c r="AD235" s="68" t="e">
        <f>Data_PLT[[#This Row],[Test code]]&amp;"-"&amp;Data_PLT[[#This Row],[UCS min code]]</f>
        <v>#VALUE!</v>
      </c>
      <c r="AE235" s="68" t="e">
        <f>Data_PLT[[#This Row],[Test code]]&amp;"-"&amp;Data_PLT[[#This Row],[UCS avg code]]</f>
        <v>#VALUE!</v>
      </c>
      <c r="AF235" s="67" t="e">
        <f>Data_PLT[[#This Row],[Test code]]&amp;"-"&amp;Data_PLT[[#This Row],[UCS max code]]</f>
        <v>#VALUE!</v>
      </c>
      <c r="AG235" s="67" t="e">
        <f>Data_PLT[[#This Row],[Failure type]]&amp;"-"&amp;Data_PLT[[#This Row],[Test type]]&amp;"-"&amp;(IF(Data_PLT[[#This Row],[Is50 (MPa)]]&lt;1,1,IF(Data_PLT[[#This Row],[Is50 (MPa)]]&lt;2,2,IF(Data_PLT[[#This Row],[Is50 (MPa)]]&lt;4,3,IF(Data_PLT[[#This Row],[Is50 (MPa)]]&lt;8,4,5)))))</f>
        <v>#VALUE!</v>
      </c>
    </row>
    <row r="236" spans="1:33" x14ac:dyDescent="0.25">
      <c r="A236" s="14"/>
      <c r="B236" s="88" t="e">
        <f>VLOOKUP(Data_PLT[[#This Row],[Hole ID]],Data_Log[],2,FALSE)</f>
        <v>#N/A</v>
      </c>
      <c r="C236" s="63" t="str">
        <f>IF(Data_PLT[[#This Row],[Hole ID]]="","",
IF(COUNTIF($A$4:A236,Data_PLT[[#This Row],[Hole ID]])=1,1,
IF(A236=A235,C235+1,
COUNTIF($A$4:A236,Data_PLT[[#This Row],[Hole ID]]))))</f>
        <v/>
      </c>
      <c r="D236" s="63" t="str">
        <f>IF(Data_PLT[[#This Row],[Hole ID]]="","",Data_PLT[[#This Row],[Hole ID]]&amp;"_"&amp;Data_PLT[[#This Row],[Sample ID]])</f>
        <v/>
      </c>
      <c r="E236" s="6"/>
      <c r="F236" s="6"/>
      <c r="G236" s="63" t="e" cm="1">
        <f t="array" ref="G236">_xlfn.XLOOKUP(1,(A236=Geotech!$A$4:$A$11100)*(Data_PLT[[#This Row],[Depth (m)]]&gt;=Geotech!$C$4:$C$11100)*(Data_PLT[[#This Row],[Depth (m)]]&lt;Geotech!$D$4:$D$11100),Geotech!$M$4:$M$11100)</f>
        <v>#N/A</v>
      </c>
      <c r="H236" s="6"/>
      <c r="I236" s="63" t="e">
        <f>VLOOKUP(Data_PLT[[#This Row],[Hole ID]],Data_Log[[Hole ID]:[Core size]],20,FALSE)</f>
        <v>#N/A</v>
      </c>
      <c r="J236" s="13" t="e">
        <f>VLOOKUP(Data_PLT[[#This Row],[Core Size]],Table_CoreSize[],2,FALSE)</f>
        <v>#N/A</v>
      </c>
      <c r="K236" s="19"/>
      <c r="L236" s="19"/>
      <c r="M236" s="5"/>
      <c r="N236" s="5"/>
      <c r="O236" s="6"/>
      <c r="P236" s="13" t="str">
        <f>IF(Data_PLT[[#This Row],[Failure type]]="","",IF(OR(Data_PLT[[#This Row],[Failure type]]="Invalid",Data_PLT[[#This Row],[Failure type]]="Chipped",Data_PLT[[#This Row],[Failure type]]="Penetrate",Data_PLT[[#This Row],[Failure type]]="Did not break"),"Invalid","Valid"))</f>
        <v/>
      </c>
      <c r="Q236" s="6"/>
      <c r="R236" s="11"/>
      <c r="S236" s="13" t="str">
        <f>IF(Data_PLT[[#This Row],[Test type]]="Diametral",Data_PLT[[#This Row],[Diameter (mm)]],IF(Data_PLT[[#This Row],[Test type]]="Axial",SQRT(4*Data_PLT[[#This Row],[Diameter (mm)]]*Data_PLT[[#This Row],[Length or width (mm)]]/PI()),"ERROR"))</f>
        <v>ERROR</v>
      </c>
      <c r="T236" s="13" t="e">
        <f>(Data_PLT[[#This Row],[Load (kN)]]*1000)/Data_PLT[[#This Row],[Equiv. Diam. (mm)]]^2</f>
        <v>#VALUE!</v>
      </c>
      <c r="U236" s="13" t="e">
        <f>(Data_PLT[[#This Row],[Equiv. Diam. (mm)]]/50)^0.45</f>
        <v>#VALUE!</v>
      </c>
      <c r="V236" s="13" t="e">
        <f>Data_PLT[[#This Row],[Is (MPa)]]*Data_PLT[[#This Row],[F]]</f>
        <v>#VALUE!</v>
      </c>
      <c r="W236" s="13" t="str">
        <f>Data_PLT[[#This Row],[Failure Validity]]&amp;"-"&amp;Data_PLT[[#This Row],[Test type]]</f>
        <v>-</v>
      </c>
      <c r="X236" s="13" t="e">
        <f>Data_PLT[[#This Row],[Is50 (MPa)]]*VLOOKUP("Min",Table_PLT_Conversion[],2,FALSE)</f>
        <v>#VALUE!</v>
      </c>
      <c r="Y236" s="13" t="e">
        <f>Data_PLT[[#This Row],[Is50 (MPa)]]*VLOOKUP("Avg",Table_PLT_Conversion[],2,FALSE)</f>
        <v>#VALUE!</v>
      </c>
      <c r="Z236" s="13" t="e">
        <f>Data_PLT[[#This Row],[Is50 (MPa)]]*VLOOKUP("Max",Table_PLT_Conversion[],2,FALSE)</f>
        <v>#VALUE!</v>
      </c>
      <c r="AA236" s="62" t="e">
        <f>MATCH(LOOKUP(Data_PLT[[#This Row],[UCS min (MPa)]],Table_FieldStrength[Min UCS]),Table_FieldStrength[Min UCS],0)-1</f>
        <v>#VALUE!</v>
      </c>
      <c r="AB236" s="62" t="e">
        <f>MATCH(LOOKUP(Data_PLT[[#This Row],[UCS avg (MPa)]],Table_FieldStrength[Min UCS]),Table_FieldStrength[Min UCS],0)-1</f>
        <v>#VALUE!</v>
      </c>
      <c r="AC236" s="62" t="e">
        <f>MATCH(LOOKUP(Data_PLT[[#This Row],[UCS max (MPa)]],Table_FieldStrength[Min UCS]),Table_FieldStrength[Min UCS],0)-1</f>
        <v>#VALUE!</v>
      </c>
      <c r="AD236" s="68" t="e">
        <f>Data_PLT[[#This Row],[Test code]]&amp;"-"&amp;Data_PLT[[#This Row],[UCS min code]]</f>
        <v>#VALUE!</v>
      </c>
      <c r="AE236" s="68" t="e">
        <f>Data_PLT[[#This Row],[Test code]]&amp;"-"&amp;Data_PLT[[#This Row],[UCS avg code]]</f>
        <v>#VALUE!</v>
      </c>
      <c r="AF236" s="67" t="e">
        <f>Data_PLT[[#This Row],[Test code]]&amp;"-"&amp;Data_PLT[[#This Row],[UCS max code]]</f>
        <v>#VALUE!</v>
      </c>
      <c r="AG236" s="67" t="e">
        <f>Data_PLT[[#This Row],[Failure type]]&amp;"-"&amp;Data_PLT[[#This Row],[Test type]]&amp;"-"&amp;(IF(Data_PLT[[#This Row],[Is50 (MPa)]]&lt;1,1,IF(Data_PLT[[#This Row],[Is50 (MPa)]]&lt;2,2,IF(Data_PLT[[#This Row],[Is50 (MPa)]]&lt;4,3,IF(Data_PLT[[#This Row],[Is50 (MPa)]]&lt;8,4,5)))))</f>
        <v>#VALUE!</v>
      </c>
    </row>
    <row r="237" spans="1:33" x14ac:dyDescent="0.25">
      <c r="A237" s="14"/>
      <c r="B237" s="88" t="e">
        <f>VLOOKUP(Data_PLT[[#This Row],[Hole ID]],Data_Log[],2,FALSE)</f>
        <v>#N/A</v>
      </c>
      <c r="C237" s="63" t="str">
        <f>IF(Data_PLT[[#This Row],[Hole ID]]="","",
IF(COUNTIF($A$4:A237,Data_PLT[[#This Row],[Hole ID]])=1,1,
IF(A237=A236,C236+1,
COUNTIF($A$4:A237,Data_PLT[[#This Row],[Hole ID]]))))</f>
        <v/>
      </c>
      <c r="D237" s="63" t="str">
        <f>IF(Data_PLT[[#This Row],[Hole ID]]="","",Data_PLT[[#This Row],[Hole ID]]&amp;"_"&amp;Data_PLT[[#This Row],[Sample ID]])</f>
        <v/>
      </c>
      <c r="E237" s="6"/>
      <c r="F237" s="6"/>
      <c r="G237" s="63" t="e" cm="1">
        <f t="array" ref="G237">_xlfn.XLOOKUP(1,(A237=Geotech!$A$4:$A$11100)*(Data_PLT[[#This Row],[Depth (m)]]&gt;=Geotech!$C$4:$C$11100)*(Data_PLT[[#This Row],[Depth (m)]]&lt;Geotech!$D$4:$D$11100),Geotech!$M$4:$M$11100)</f>
        <v>#N/A</v>
      </c>
      <c r="H237" s="6"/>
      <c r="I237" s="63" t="e">
        <f>VLOOKUP(Data_PLT[[#This Row],[Hole ID]],Data_Log[[Hole ID]:[Core size]],20,FALSE)</f>
        <v>#N/A</v>
      </c>
      <c r="J237" s="13" t="e">
        <f>VLOOKUP(Data_PLT[[#This Row],[Core Size]],Table_CoreSize[],2,FALSE)</f>
        <v>#N/A</v>
      </c>
      <c r="K237" s="19"/>
      <c r="L237" s="19"/>
      <c r="M237" s="5"/>
      <c r="N237" s="5"/>
      <c r="O237" s="6"/>
      <c r="P237" s="13" t="str">
        <f>IF(Data_PLT[[#This Row],[Failure type]]="","",IF(OR(Data_PLT[[#This Row],[Failure type]]="Invalid",Data_PLT[[#This Row],[Failure type]]="Chipped",Data_PLT[[#This Row],[Failure type]]="Penetrate",Data_PLT[[#This Row],[Failure type]]="Did not break"),"Invalid","Valid"))</f>
        <v/>
      </c>
      <c r="Q237" s="6"/>
      <c r="R237" s="11"/>
      <c r="S237" s="13" t="str">
        <f>IF(Data_PLT[[#This Row],[Test type]]="Diametral",Data_PLT[[#This Row],[Diameter (mm)]],IF(Data_PLT[[#This Row],[Test type]]="Axial",SQRT(4*Data_PLT[[#This Row],[Diameter (mm)]]*Data_PLT[[#This Row],[Length or width (mm)]]/PI()),"ERROR"))</f>
        <v>ERROR</v>
      </c>
      <c r="T237" s="13" t="e">
        <f>(Data_PLT[[#This Row],[Load (kN)]]*1000)/Data_PLT[[#This Row],[Equiv. Diam. (mm)]]^2</f>
        <v>#VALUE!</v>
      </c>
      <c r="U237" s="13" t="e">
        <f>(Data_PLT[[#This Row],[Equiv. Diam. (mm)]]/50)^0.45</f>
        <v>#VALUE!</v>
      </c>
      <c r="V237" s="13" t="e">
        <f>Data_PLT[[#This Row],[Is (MPa)]]*Data_PLT[[#This Row],[F]]</f>
        <v>#VALUE!</v>
      </c>
      <c r="W237" s="13" t="str">
        <f>Data_PLT[[#This Row],[Failure Validity]]&amp;"-"&amp;Data_PLT[[#This Row],[Test type]]</f>
        <v>-</v>
      </c>
      <c r="X237" s="13" t="e">
        <f>Data_PLT[[#This Row],[Is50 (MPa)]]*VLOOKUP("Min",Table_PLT_Conversion[],2,FALSE)</f>
        <v>#VALUE!</v>
      </c>
      <c r="Y237" s="13" t="e">
        <f>Data_PLT[[#This Row],[Is50 (MPa)]]*VLOOKUP("Avg",Table_PLT_Conversion[],2,FALSE)</f>
        <v>#VALUE!</v>
      </c>
      <c r="Z237" s="13" t="e">
        <f>Data_PLT[[#This Row],[Is50 (MPa)]]*VLOOKUP("Max",Table_PLT_Conversion[],2,FALSE)</f>
        <v>#VALUE!</v>
      </c>
      <c r="AA237" s="62" t="e">
        <f>MATCH(LOOKUP(Data_PLT[[#This Row],[UCS min (MPa)]],Table_FieldStrength[Min UCS]),Table_FieldStrength[Min UCS],0)-1</f>
        <v>#VALUE!</v>
      </c>
      <c r="AB237" s="62" t="e">
        <f>MATCH(LOOKUP(Data_PLT[[#This Row],[UCS avg (MPa)]],Table_FieldStrength[Min UCS]),Table_FieldStrength[Min UCS],0)-1</f>
        <v>#VALUE!</v>
      </c>
      <c r="AC237" s="62" t="e">
        <f>MATCH(LOOKUP(Data_PLT[[#This Row],[UCS max (MPa)]],Table_FieldStrength[Min UCS]),Table_FieldStrength[Min UCS],0)-1</f>
        <v>#VALUE!</v>
      </c>
      <c r="AD237" s="68" t="e">
        <f>Data_PLT[[#This Row],[Test code]]&amp;"-"&amp;Data_PLT[[#This Row],[UCS min code]]</f>
        <v>#VALUE!</v>
      </c>
      <c r="AE237" s="68" t="e">
        <f>Data_PLT[[#This Row],[Test code]]&amp;"-"&amp;Data_PLT[[#This Row],[UCS avg code]]</f>
        <v>#VALUE!</v>
      </c>
      <c r="AF237" s="67" t="e">
        <f>Data_PLT[[#This Row],[Test code]]&amp;"-"&amp;Data_PLT[[#This Row],[UCS max code]]</f>
        <v>#VALUE!</v>
      </c>
      <c r="AG237" s="67" t="e">
        <f>Data_PLT[[#This Row],[Failure type]]&amp;"-"&amp;Data_PLT[[#This Row],[Test type]]&amp;"-"&amp;(IF(Data_PLT[[#This Row],[Is50 (MPa)]]&lt;1,1,IF(Data_PLT[[#This Row],[Is50 (MPa)]]&lt;2,2,IF(Data_PLT[[#This Row],[Is50 (MPa)]]&lt;4,3,IF(Data_PLT[[#This Row],[Is50 (MPa)]]&lt;8,4,5)))))</f>
        <v>#VALUE!</v>
      </c>
    </row>
    <row r="238" spans="1:33" x14ac:dyDescent="0.25">
      <c r="A238" s="14"/>
      <c r="B238" s="88" t="e">
        <f>VLOOKUP(Data_PLT[[#This Row],[Hole ID]],Data_Log[],2,FALSE)</f>
        <v>#N/A</v>
      </c>
      <c r="C238" s="63" t="str">
        <f>IF(Data_PLT[[#This Row],[Hole ID]]="","",
IF(COUNTIF($A$4:A238,Data_PLT[[#This Row],[Hole ID]])=1,1,
IF(A238=A237,C237+1,
COUNTIF($A$4:A238,Data_PLT[[#This Row],[Hole ID]]))))</f>
        <v/>
      </c>
      <c r="D238" s="63" t="str">
        <f>IF(Data_PLT[[#This Row],[Hole ID]]="","",Data_PLT[[#This Row],[Hole ID]]&amp;"_"&amp;Data_PLT[[#This Row],[Sample ID]])</f>
        <v/>
      </c>
      <c r="E238" s="6"/>
      <c r="F238" s="6"/>
      <c r="G238" s="63" t="e" cm="1">
        <f t="array" ref="G238">_xlfn.XLOOKUP(1,(A238=Geotech!$A$4:$A$11100)*(Data_PLT[[#This Row],[Depth (m)]]&gt;=Geotech!$C$4:$C$11100)*(Data_PLT[[#This Row],[Depth (m)]]&lt;Geotech!$D$4:$D$11100),Geotech!$M$4:$M$11100)</f>
        <v>#N/A</v>
      </c>
      <c r="H238" s="6"/>
      <c r="I238" s="63" t="e">
        <f>VLOOKUP(Data_PLT[[#This Row],[Hole ID]],Data_Log[[Hole ID]:[Core size]],20,FALSE)</f>
        <v>#N/A</v>
      </c>
      <c r="J238" s="13" t="e">
        <f>VLOOKUP(Data_PLT[[#This Row],[Core Size]],Table_CoreSize[],2,FALSE)</f>
        <v>#N/A</v>
      </c>
      <c r="K238" s="19"/>
      <c r="L238" s="19"/>
      <c r="M238" s="5"/>
      <c r="N238" s="5"/>
      <c r="O238" s="6"/>
      <c r="P238" s="13" t="str">
        <f>IF(Data_PLT[[#This Row],[Failure type]]="","",IF(OR(Data_PLT[[#This Row],[Failure type]]="Invalid",Data_PLT[[#This Row],[Failure type]]="Chipped",Data_PLT[[#This Row],[Failure type]]="Penetrate",Data_PLT[[#This Row],[Failure type]]="Did not break"),"Invalid","Valid"))</f>
        <v/>
      </c>
      <c r="Q238" s="6"/>
      <c r="R238" s="11"/>
      <c r="S238" s="13" t="str">
        <f>IF(Data_PLT[[#This Row],[Test type]]="Diametral",Data_PLT[[#This Row],[Diameter (mm)]],IF(Data_PLT[[#This Row],[Test type]]="Axial",SQRT(4*Data_PLT[[#This Row],[Diameter (mm)]]*Data_PLT[[#This Row],[Length or width (mm)]]/PI()),"ERROR"))</f>
        <v>ERROR</v>
      </c>
      <c r="T238" s="13" t="e">
        <f>(Data_PLT[[#This Row],[Load (kN)]]*1000)/Data_PLT[[#This Row],[Equiv. Diam. (mm)]]^2</f>
        <v>#VALUE!</v>
      </c>
      <c r="U238" s="13" t="e">
        <f>(Data_PLT[[#This Row],[Equiv. Diam. (mm)]]/50)^0.45</f>
        <v>#VALUE!</v>
      </c>
      <c r="V238" s="13" t="e">
        <f>Data_PLT[[#This Row],[Is (MPa)]]*Data_PLT[[#This Row],[F]]</f>
        <v>#VALUE!</v>
      </c>
      <c r="W238" s="13" t="str">
        <f>Data_PLT[[#This Row],[Failure Validity]]&amp;"-"&amp;Data_PLT[[#This Row],[Test type]]</f>
        <v>-</v>
      </c>
      <c r="X238" s="13" t="e">
        <f>Data_PLT[[#This Row],[Is50 (MPa)]]*VLOOKUP("Min",Table_PLT_Conversion[],2,FALSE)</f>
        <v>#VALUE!</v>
      </c>
      <c r="Y238" s="13" t="e">
        <f>Data_PLT[[#This Row],[Is50 (MPa)]]*VLOOKUP("Avg",Table_PLT_Conversion[],2,FALSE)</f>
        <v>#VALUE!</v>
      </c>
      <c r="Z238" s="13" t="e">
        <f>Data_PLT[[#This Row],[Is50 (MPa)]]*VLOOKUP("Max",Table_PLT_Conversion[],2,FALSE)</f>
        <v>#VALUE!</v>
      </c>
      <c r="AA238" s="62" t="e">
        <f>MATCH(LOOKUP(Data_PLT[[#This Row],[UCS min (MPa)]],Table_FieldStrength[Min UCS]),Table_FieldStrength[Min UCS],0)-1</f>
        <v>#VALUE!</v>
      </c>
      <c r="AB238" s="62" t="e">
        <f>MATCH(LOOKUP(Data_PLT[[#This Row],[UCS avg (MPa)]],Table_FieldStrength[Min UCS]),Table_FieldStrength[Min UCS],0)-1</f>
        <v>#VALUE!</v>
      </c>
      <c r="AC238" s="62" t="e">
        <f>MATCH(LOOKUP(Data_PLT[[#This Row],[UCS max (MPa)]],Table_FieldStrength[Min UCS]),Table_FieldStrength[Min UCS],0)-1</f>
        <v>#VALUE!</v>
      </c>
      <c r="AD238" s="68" t="e">
        <f>Data_PLT[[#This Row],[Test code]]&amp;"-"&amp;Data_PLT[[#This Row],[UCS min code]]</f>
        <v>#VALUE!</v>
      </c>
      <c r="AE238" s="68" t="e">
        <f>Data_PLT[[#This Row],[Test code]]&amp;"-"&amp;Data_PLT[[#This Row],[UCS avg code]]</f>
        <v>#VALUE!</v>
      </c>
      <c r="AF238" s="67" t="e">
        <f>Data_PLT[[#This Row],[Test code]]&amp;"-"&amp;Data_PLT[[#This Row],[UCS max code]]</f>
        <v>#VALUE!</v>
      </c>
      <c r="AG238" s="67" t="e">
        <f>Data_PLT[[#This Row],[Failure type]]&amp;"-"&amp;Data_PLT[[#This Row],[Test type]]&amp;"-"&amp;(IF(Data_PLT[[#This Row],[Is50 (MPa)]]&lt;1,1,IF(Data_PLT[[#This Row],[Is50 (MPa)]]&lt;2,2,IF(Data_PLT[[#This Row],[Is50 (MPa)]]&lt;4,3,IF(Data_PLT[[#This Row],[Is50 (MPa)]]&lt;8,4,5)))))</f>
        <v>#VALUE!</v>
      </c>
    </row>
    <row r="239" spans="1:33" x14ac:dyDescent="0.25">
      <c r="A239" s="14"/>
      <c r="B239" s="88" t="e">
        <f>VLOOKUP(Data_PLT[[#This Row],[Hole ID]],Data_Log[],2,FALSE)</f>
        <v>#N/A</v>
      </c>
      <c r="C239" s="63" t="str">
        <f>IF(Data_PLT[[#This Row],[Hole ID]]="","",
IF(COUNTIF($A$4:A239,Data_PLT[[#This Row],[Hole ID]])=1,1,
IF(A239=A238,C238+1,
COUNTIF($A$4:A239,Data_PLT[[#This Row],[Hole ID]]))))</f>
        <v/>
      </c>
      <c r="D239" s="63" t="str">
        <f>IF(Data_PLT[[#This Row],[Hole ID]]="","",Data_PLT[[#This Row],[Hole ID]]&amp;"_"&amp;Data_PLT[[#This Row],[Sample ID]])</f>
        <v/>
      </c>
      <c r="E239" s="6"/>
      <c r="F239" s="6"/>
      <c r="G239" s="63" t="e" cm="1">
        <f t="array" ref="G239">_xlfn.XLOOKUP(1,(A239=Geotech!$A$4:$A$11100)*(Data_PLT[[#This Row],[Depth (m)]]&gt;=Geotech!$C$4:$C$11100)*(Data_PLT[[#This Row],[Depth (m)]]&lt;Geotech!$D$4:$D$11100),Geotech!$M$4:$M$11100)</f>
        <v>#N/A</v>
      </c>
      <c r="H239" s="6"/>
      <c r="I239" s="63" t="e">
        <f>VLOOKUP(Data_PLT[[#This Row],[Hole ID]],Data_Log[[Hole ID]:[Core size]],20,FALSE)</f>
        <v>#N/A</v>
      </c>
      <c r="J239" s="13" t="e">
        <f>VLOOKUP(Data_PLT[[#This Row],[Core Size]],Table_CoreSize[],2,FALSE)</f>
        <v>#N/A</v>
      </c>
      <c r="K239" s="19"/>
      <c r="L239" s="19"/>
      <c r="M239" s="5"/>
      <c r="N239" s="5"/>
      <c r="O239" s="6"/>
      <c r="P239" s="13" t="str">
        <f>IF(Data_PLT[[#This Row],[Failure type]]="","",IF(OR(Data_PLT[[#This Row],[Failure type]]="Invalid",Data_PLT[[#This Row],[Failure type]]="Chipped",Data_PLT[[#This Row],[Failure type]]="Penetrate",Data_PLT[[#This Row],[Failure type]]="Did not break"),"Invalid","Valid"))</f>
        <v/>
      </c>
      <c r="Q239" s="6"/>
      <c r="R239" s="11"/>
      <c r="S239" s="13" t="str">
        <f>IF(Data_PLT[[#This Row],[Test type]]="Diametral",Data_PLT[[#This Row],[Diameter (mm)]],IF(Data_PLT[[#This Row],[Test type]]="Axial",SQRT(4*Data_PLT[[#This Row],[Diameter (mm)]]*Data_PLT[[#This Row],[Length or width (mm)]]/PI()),"ERROR"))</f>
        <v>ERROR</v>
      </c>
      <c r="T239" s="13" t="e">
        <f>(Data_PLT[[#This Row],[Load (kN)]]*1000)/Data_PLT[[#This Row],[Equiv. Diam. (mm)]]^2</f>
        <v>#VALUE!</v>
      </c>
      <c r="U239" s="13" t="e">
        <f>(Data_PLT[[#This Row],[Equiv. Diam. (mm)]]/50)^0.45</f>
        <v>#VALUE!</v>
      </c>
      <c r="V239" s="13" t="e">
        <f>Data_PLT[[#This Row],[Is (MPa)]]*Data_PLT[[#This Row],[F]]</f>
        <v>#VALUE!</v>
      </c>
      <c r="W239" s="13" t="str">
        <f>Data_PLT[[#This Row],[Failure Validity]]&amp;"-"&amp;Data_PLT[[#This Row],[Test type]]</f>
        <v>-</v>
      </c>
      <c r="X239" s="13" t="e">
        <f>Data_PLT[[#This Row],[Is50 (MPa)]]*VLOOKUP("Min",Table_PLT_Conversion[],2,FALSE)</f>
        <v>#VALUE!</v>
      </c>
      <c r="Y239" s="13" t="e">
        <f>Data_PLT[[#This Row],[Is50 (MPa)]]*VLOOKUP("Avg",Table_PLT_Conversion[],2,FALSE)</f>
        <v>#VALUE!</v>
      </c>
      <c r="Z239" s="13" t="e">
        <f>Data_PLT[[#This Row],[Is50 (MPa)]]*VLOOKUP("Max",Table_PLT_Conversion[],2,FALSE)</f>
        <v>#VALUE!</v>
      </c>
      <c r="AA239" s="62" t="e">
        <f>MATCH(LOOKUP(Data_PLT[[#This Row],[UCS min (MPa)]],Table_FieldStrength[Min UCS]),Table_FieldStrength[Min UCS],0)-1</f>
        <v>#VALUE!</v>
      </c>
      <c r="AB239" s="62" t="e">
        <f>MATCH(LOOKUP(Data_PLT[[#This Row],[UCS avg (MPa)]],Table_FieldStrength[Min UCS]),Table_FieldStrength[Min UCS],0)-1</f>
        <v>#VALUE!</v>
      </c>
      <c r="AC239" s="62" t="e">
        <f>MATCH(LOOKUP(Data_PLT[[#This Row],[UCS max (MPa)]],Table_FieldStrength[Min UCS]),Table_FieldStrength[Min UCS],0)-1</f>
        <v>#VALUE!</v>
      </c>
      <c r="AD239" s="68" t="e">
        <f>Data_PLT[[#This Row],[Test code]]&amp;"-"&amp;Data_PLT[[#This Row],[UCS min code]]</f>
        <v>#VALUE!</v>
      </c>
      <c r="AE239" s="68" t="e">
        <f>Data_PLT[[#This Row],[Test code]]&amp;"-"&amp;Data_PLT[[#This Row],[UCS avg code]]</f>
        <v>#VALUE!</v>
      </c>
      <c r="AF239" s="67" t="e">
        <f>Data_PLT[[#This Row],[Test code]]&amp;"-"&amp;Data_PLT[[#This Row],[UCS max code]]</f>
        <v>#VALUE!</v>
      </c>
      <c r="AG239" s="67" t="e">
        <f>Data_PLT[[#This Row],[Failure type]]&amp;"-"&amp;Data_PLT[[#This Row],[Test type]]&amp;"-"&amp;(IF(Data_PLT[[#This Row],[Is50 (MPa)]]&lt;1,1,IF(Data_PLT[[#This Row],[Is50 (MPa)]]&lt;2,2,IF(Data_PLT[[#This Row],[Is50 (MPa)]]&lt;4,3,IF(Data_PLT[[#This Row],[Is50 (MPa)]]&lt;8,4,5)))))</f>
        <v>#VALUE!</v>
      </c>
    </row>
    <row r="240" spans="1:33" x14ac:dyDescent="0.25">
      <c r="A240" s="14"/>
      <c r="B240" s="88" t="e">
        <f>VLOOKUP(Data_PLT[[#This Row],[Hole ID]],Data_Log[],2,FALSE)</f>
        <v>#N/A</v>
      </c>
      <c r="C240" s="63" t="str">
        <f>IF(Data_PLT[[#This Row],[Hole ID]]="","",
IF(COUNTIF($A$4:A240,Data_PLT[[#This Row],[Hole ID]])=1,1,
IF(A240=A239,C239+1,
COUNTIF($A$4:A240,Data_PLT[[#This Row],[Hole ID]]))))</f>
        <v/>
      </c>
      <c r="D240" s="63" t="str">
        <f>IF(Data_PLT[[#This Row],[Hole ID]]="","",Data_PLT[[#This Row],[Hole ID]]&amp;"_"&amp;Data_PLT[[#This Row],[Sample ID]])</f>
        <v/>
      </c>
      <c r="E240" s="6"/>
      <c r="F240" s="6"/>
      <c r="G240" s="63" t="e" cm="1">
        <f t="array" ref="G240">_xlfn.XLOOKUP(1,(A240=Geotech!$A$4:$A$11100)*(Data_PLT[[#This Row],[Depth (m)]]&gt;=Geotech!$C$4:$C$11100)*(Data_PLT[[#This Row],[Depth (m)]]&lt;Geotech!$D$4:$D$11100),Geotech!$M$4:$M$11100)</f>
        <v>#N/A</v>
      </c>
      <c r="H240" s="6"/>
      <c r="I240" s="63" t="e">
        <f>VLOOKUP(Data_PLT[[#This Row],[Hole ID]],Data_Log[[Hole ID]:[Core size]],20,FALSE)</f>
        <v>#N/A</v>
      </c>
      <c r="J240" s="13" t="e">
        <f>VLOOKUP(Data_PLT[[#This Row],[Core Size]],Table_CoreSize[],2,FALSE)</f>
        <v>#N/A</v>
      </c>
      <c r="K240" s="19"/>
      <c r="L240" s="19"/>
      <c r="M240" s="5"/>
      <c r="N240" s="5"/>
      <c r="O240" s="6"/>
      <c r="P240" s="13" t="str">
        <f>IF(Data_PLT[[#This Row],[Failure type]]="","",IF(OR(Data_PLT[[#This Row],[Failure type]]="Invalid",Data_PLT[[#This Row],[Failure type]]="Chipped",Data_PLT[[#This Row],[Failure type]]="Penetrate",Data_PLT[[#This Row],[Failure type]]="Did not break"),"Invalid","Valid"))</f>
        <v/>
      </c>
      <c r="Q240" s="6"/>
      <c r="R240" s="11"/>
      <c r="S240" s="13" t="str">
        <f>IF(Data_PLT[[#This Row],[Test type]]="Diametral",Data_PLT[[#This Row],[Diameter (mm)]],IF(Data_PLT[[#This Row],[Test type]]="Axial",SQRT(4*Data_PLT[[#This Row],[Diameter (mm)]]*Data_PLT[[#This Row],[Length or width (mm)]]/PI()),"ERROR"))</f>
        <v>ERROR</v>
      </c>
      <c r="T240" s="13" t="e">
        <f>(Data_PLT[[#This Row],[Load (kN)]]*1000)/Data_PLT[[#This Row],[Equiv. Diam. (mm)]]^2</f>
        <v>#VALUE!</v>
      </c>
      <c r="U240" s="13" t="e">
        <f>(Data_PLT[[#This Row],[Equiv. Diam. (mm)]]/50)^0.45</f>
        <v>#VALUE!</v>
      </c>
      <c r="V240" s="13" t="e">
        <f>Data_PLT[[#This Row],[Is (MPa)]]*Data_PLT[[#This Row],[F]]</f>
        <v>#VALUE!</v>
      </c>
      <c r="W240" s="13" t="str">
        <f>Data_PLT[[#This Row],[Failure Validity]]&amp;"-"&amp;Data_PLT[[#This Row],[Test type]]</f>
        <v>-</v>
      </c>
      <c r="X240" s="13" t="e">
        <f>Data_PLT[[#This Row],[Is50 (MPa)]]*VLOOKUP("Min",Table_PLT_Conversion[],2,FALSE)</f>
        <v>#VALUE!</v>
      </c>
      <c r="Y240" s="13" t="e">
        <f>Data_PLT[[#This Row],[Is50 (MPa)]]*VLOOKUP("Avg",Table_PLT_Conversion[],2,FALSE)</f>
        <v>#VALUE!</v>
      </c>
      <c r="Z240" s="13" t="e">
        <f>Data_PLT[[#This Row],[Is50 (MPa)]]*VLOOKUP("Max",Table_PLT_Conversion[],2,FALSE)</f>
        <v>#VALUE!</v>
      </c>
      <c r="AA240" s="62" t="e">
        <f>MATCH(LOOKUP(Data_PLT[[#This Row],[UCS min (MPa)]],Table_FieldStrength[Min UCS]),Table_FieldStrength[Min UCS],0)-1</f>
        <v>#VALUE!</v>
      </c>
      <c r="AB240" s="62" t="e">
        <f>MATCH(LOOKUP(Data_PLT[[#This Row],[UCS avg (MPa)]],Table_FieldStrength[Min UCS]),Table_FieldStrength[Min UCS],0)-1</f>
        <v>#VALUE!</v>
      </c>
      <c r="AC240" s="62" t="e">
        <f>MATCH(LOOKUP(Data_PLT[[#This Row],[UCS max (MPa)]],Table_FieldStrength[Min UCS]),Table_FieldStrength[Min UCS],0)-1</f>
        <v>#VALUE!</v>
      </c>
      <c r="AD240" s="68" t="e">
        <f>Data_PLT[[#This Row],[Test code]]&amp;"-"&amp;Data_PLT[[#This Row],[UCS min code]]</f>
        <v>#VALUE!</v>
      </c>
      <c r="AE240" s="68" t="e">
        <f>Data_PLT[[#This Row],[Test code]]&amp;"-"&amp;Data_PLT[[#This Row],[UCS avg code]]</f>
        <v>#VALUE!</v>
      </c>
      <c r="AF240" s="67" t="e">
        <f>Data_PLT[[#This Row],[Test code]]&amp;"-"&amp;Data_PLT[[#This Row],[UCS max code]]</f>
        <v>#VALUE!</v>
      </c>
      <c r="AG240" s="67" t="e">
        <f>Data_PLT[[#This Row],[Failure type]]&amp;"-"&amp;Data_PLT[[#This Row],[Test type]]&amp;"-"&amp;(IF(Data_PLT[[#This Row],[Is50 (MPa)]]&lt;1,1,IF(Data_PLT[[#This Row],[Is50 (MPa)]]&lt;2,2,IF(Data_PLT[[#This Row],[Is50 (MPa)]]&lt;4,3,IF(Data_PLT[[#This Row],[Is50 (MPa)]]&lt;8,4,5)))))</f>
        <v>#VALUE!</v>
      </c>
    </row>
    <row r="241" spans="1:33" x14ac:dyDescent="0.25">
      <c r="A241" s="14"/>
      <c r="B241" s="88" t="e">
        <f>VLOOKUP(Data_PLT[[#This Row],[Hole ID]],Data_Log[],2,FALSE)</f>
        <v>#N/A</v>
      </c>
      <c r="C241" s="63" t="str">
        <f>IF(Data_PLT[[#This Row],[Hole ID]]="","",
IF(COUNTIF($A$4:A241,Data_PLT[[#This Row],[Hole ID]])=1,1,
IF(A241=A240,C240+1,
COUNTIF($A$4:A241,Data_PLT[[#This Row],[Hole ID]]))))</f>
        <v/>
      </c>
      <c r="D241" s="63" t="str">
        <f>IF(Data_PLT[[#This Row],[Hole ID]]="","",Data_PLT[[#This Row],[Hole ID]]&amp;"_"&amp;Data_PLT[[#This Row],[Sample ID]])</f>
        <v/>
      </c>
      <c r="E241" s="6"/>
      <c r="F241" s="6"/>
      <c r="G241" s="63" t="e" cm="1">
        <f t="array" ref="G241">_xlfn.XLOOKUP(1,(A241=Geotech!$A$4:$A$11100)*(Data_PLT[[#This Row],[Depth (m)]]&gt;=Geotech!$C$4:$C$11100)*(Data_PLT[[#This Row],[Depth (m)]]&lt;Geotech!$D$4:$D$11100),Geotech!$M$4:$M$11100)</f>
        <v>#N/A</v>
      </c>
      <c r="H241" s="6"/>
      <c r="I241" s="63" t="e">
        <f>VLOOKUP(Data_PLT[[#This Row],[Hole ID]],Data_Log[[Hole ID]:[Core size]],20,FALSE)</f>
        <v>#N/A</v>
      </c>
      <c r="J241" s="13" t="e">
        <f>VLOOKUP(Data_PLT[[#This Row],[Core Size]],Table_CoreSize[],2,FALSE)</f>
        <v>#N/A</v>
      </c>
      <c r="K241" s="19"/>
      <c r="L241" s="19"/>
      <c r="M241" s="5"/>
      <c r="N241" s="5"/>
      <c r="O241" s="6"/>
      <c r="P241" s="13" t="str">
        <f>IF(Data_PLT[[#This Row],[Failure type]]="","",IF(OR(Data_PLT[[#This Row],[Failure type]]="Invalid",Data_PLT[[#This Row],[Failure type]]="Chipped",Data_PLT[[#This Row],[Failure type]]="Penetrate",Data_PLT[[#This Row],[Failure type]]="Did not break"),"Invalid","Valid"))</f>
        <v/>
      </c>
      <c r="Q241" s="6"/>
      <c r="R241" s="11"/>
      <c r="S241" s="13" t="str">
        <f>IF(Data_PLT[[#This Row],[Test type]]="Diametral",Data_PLT[[#This Row],[Diameter (mm)]],IF(Data_PLT[[#This Row],[Test type]]="Axial",SQRT(4*Data_PLT[[#This Row],[Diameter (mm)]]*Data_PLT[[#This Row],[Length or width (mm)]]/PI()),"ERROR"))</f>
        <v>ERROR</v>
      </c>
      <c r="T241" s="13" t="e">
        <f>(Data_PLT[[#This Row],[Load (kN)]]*1000)/Data_PLT[[#This Row],[Equiv. Diam. (mm)]]^2</f>
        <v>#VALUE!</v>
      </c>
      <c r="U241" s="13" t="e">
        <f>(Data_PLT[[#This Row],[Equiv. Diam. (mm)]]/50)^0.45</f>
        <v>#VALUE!</v>
      </c>
      <c r="V241" s="13" t="e">
        <f>Data_PLT[[#This Row],[Is (MPa)]]*Data_PLT[[#This Row],[F]]</f>
        <v>#VALUE!</v>
      </c>
      <c r="W241" s="13" t="str">
        <f>Data_PLT[[#This Row],[Failure Validity]]&amp;"-"&amp;Data_PLT[[#This Row],[Test type]]</f>
        <v>-</v>
      </c>
      <c r="X241" s="13" t="e">
        <f>Data_PLT[[#This Row],[Is50 (MPa)]]*VLOOKUP("Min",Table_PLT_Conversion[],2,FALSE)</f>
        <v>#VALUE!</v>
      </c>
      <c r="Y241" s="13" t="e">
        <f>Data_PLT[[#This Row],[Is50 (MPa)]]*VLOOKUP("Avg",Table_PLT_Conversion[],2,FALSE)</f>
        <v>#VALUE!</v>
      </c>
      <c r="Z241" s="13" t="e">
        <f>Data_PLT[[#This Row],[Is50 (MPa)]]*VLOOKUP("Max",Table_PLT_Conversion[],2,FALSE)</f>
        <v>#VALUE!</v>
      </c>
      <c r="AA241" s="62" t="e">
        <f>MATCH(LOOKUP(Data_PLT[[#This Row],[UCS min (MPa)]],Table_FieldStrength[Min UCS]),Table_FieldStrength[Min UCS],0)-1</f>
        <v>#VALUE!</v>
      </c>
      <c r="AB241" s="62" t="e">
        <f>MATCH(LOOKUP(Data_PLT[[#This Row],[UCS avg (MPa)]],Table_FieldStrength[Min UCS]),Table_FieldStrength[Min UCS],0)-1</f>
        <v>#VALUE!</v>
      </c>
      <c r="AC241" s="62" t="e">
        <f>MATCH(LOOKUP(Data_PLT[[#This Row],[UCS max (MPa)]],Table_FieldStrength[Min UCS]),Table_FieldStrength[Min UCS],0)-1</f>
        <v>#VALUE!</v>
      </c>
      <c r="AD241" s="68" t="e">
        <f>Data_PLT[[#This Row],[Test code]]&amp;"-"&amp;Data_PLT[[#This Row],[UCS min code]]</f>
        <v>#VALUE!</v>
      </c>
      <c r="AE241" s="68" t="e">
        <f>Data_PLT[[#This Row],[Test code]]&amp;"-"&amp;Data_PLT[[#This Row],[UCS avg code]]</f>
        <v>#VALUE!</v>
      </c>
      <c r="AF241" s="67" t="e">
        <f>Data_PLT[[#This Row],[Test code]]&amp;"-"&amp;Data_PLT[[#This Row],[UCS max code]]</f>
        <v>#VALUE!</v>
      </c>
      <c r="AG241" s="67" t="e">
        <f>Data_PLT[[#This Row],[Failure type]]&amp;"-"&amp;Data_PLT[[#This Row],[Test type]]&amp;"-"&amp;(IF(Data_PLT[[#This Row],[Is50 (MPa)]]&lt;1,1,IF(Data_PLT[[#This Row],[Is50 (MPa)]]&lt;2,2,IF(Data_PLT[[#This Row],[Is50 (MPa)]]&lt;4,3,IF(Data_PLT[[#This Row],[Is50 (MPa)]]&lt;8,4,5)))))</f>
        <v>#VALUE!</v>
      </c>
    </row>
    <row r="242" spans="1:33" x14ac:dyDescent="0.25">
      <c r="A242" s="14"/>
      <c r="B242" s="88" t="e">
        <f>VLOOKUP(Data_PLT[[#This Row],[Hole ID]],Data_Log[],2,FALSE)</f>
        <v>#N/A</v>
      </c>
      <c r="C242" s="63" t="str">
        <f>IF(Data_PLT[[#This Row],[Hole ID]]="","",
IF(COUNTIF($A$4:A242,Data_PLT[[#This Row],[Hole ID]])=1,1,
IF(A242=A241,C241+1,
COUNTIF($A$4:A242,Data_PLT[[#This Row],[Hole ID]]))))</f>
        <v/>
      </c>
      <c r="D242" s="63" t="str">
        <f>IF(Data_PLT[[#This Row],[Hole ID]]="","",Data_PLT[[#This Row],[Hole ID]]&amp;"_"&amp;Data_PLT[[#This Row],[Sample ID]])</f>
        <v/>
      </c>
      <c r="E242" s="6"/>
      <c r="F242" s="6"/>
      <c r="G242" s="63" t="e" cm="1">
        <f t="array" ref="G242">_xlfn.XLOOKUP(1,(A242=Geotech!$A$4:$A$11100)*(Data_PLT[[#This Row],[Depth (m)]]&gt;=Geotech!$C$4:$C$11100)*(Data_PLT[[#This Row],[Depth (m)]]&lt;Geotech!$D$4:$D$11100),Geotech!$M$4:$M$11100)</f>
        <v>#N/A</v>
      </c>
      <c r="H242" s="6"/>
      <c r="I242" s="63" t="e">
        <f>VLOOKUP(Data_PLT[[#This Row],[Hole ID]],Data_Log[[Hole ID]:[Core size]],20,FALSE)</f>
        <v>#N/A</v>
      </c>
      <c r="J242" s="13" t="e">
        <f>VLOOKUP(Data_PLT[[#This Row],[Core Size]],Table_CoreSize[],2,FALSE)</f>
        <v>#N/A</v>
      </c>
      <c r="K242" s="19"/>
      <c r="L242" s="19"/>
      <c r="M242" s="5"/>
      <c r="N242" s="5"/>
      <c r="O242" s="6"/>
      <c r="P242" s="13" t="str">
        <f>IF(Data_PLT[[#This Row],[Failure type]]="","",IF(OR(Data_PLT[[#This Row],[Failure type]]="Invalid",Data_PLT[[#This Row],[Failure type]]="Chipped",Data_PLT[[#This Row],[Failure type]]="Penetrate",Data_PLT[[#This Row],[Failure type]]="Did not break"),"Invalid","Valid"))</f>
        <v/>
      </c>
      <c r="Q242" s="6"/>
      <c r="R242" s="11"/>
      <c r="S242" s="13" t="str">
        <f>IF(Data_PLT[[#This Row],[Test type]]="Diametral",Data_PLT[[#This Row],[Diameter (mm)]],IF(Data_PLT[[#This Row],[Test type]]="Axial",SQRT(4*Data_PLT[[#This Row],[Diameter (mm)]]*Data_PLT[[#This Row],[Length or width (mm)]]/PI()),"ERROR"))</f>
        <v>ERROR</v>
      </c>
      <c r="T242" s="13" t="e">
        <f>(Data_PLT[[#This Row],[Load (kN)]]*1000)/Data_PLT[[#This Row],[Equiv. Diam. (mm)]]^2</f>
        <v>#VALUE!</v>
      </c>
      <c r="U242" s="13" t="e">
        <f>(Data_PLT[[#This Row],[Equiv. Diam. (mm)]]/50)^0.45</f>
        <v>#VALUE!</v>
      </c>
      <c r="V242" s="13" t="e">
        <f>Data_PLT[[#This Row],[Is (MPa)]]*Data_PLT[[#This Row],[F]]</f>
        <v>#VALUE!</v>
      </c>
      <c r="W242" s="13" t="str">
        <f>Data_PLT[[#This Row],[Failure Validity]]&amp;"-"&amp;Data_PLT[[#This Row],[Test type]]</f>
        <v>-</v>
      </c>
      <c r="X242" s="13" t="e">
        <f>Data_PLT[[#This Row],[Is50 (MPa)]]*VLOOKUP("Min",Table_PLT_Conversion[],2,FALSE)</f>
        <v>#VALUE!</v>
      </c>
      <c r="Y242" s="13" t="e">
        <f>Data_PLT[[#This Row],[Is50 (MPa)]]*VLOOKUP("Avg",Table_PLT_Conversion[],2,FALSE)</f>
        <v>#VALUE!</v>
      </c>
      <c r="Z242" s="13" t="e">
        <f>Data_PLT[[#This Row],[Is50 (MPa)]]*VLOOKUP("Max",Table_PLT_Conversion[],2,FALSE)</f>
        <v>#VALUE!</v>
      </c>
      <c r="AA242" s="62" t="e">
        <f>MATCH(LOOKUP(Data_PLT[[#This Row],[UCS min (MPa)]],Table_FieldStrength[Min UCS]),Table_FieldStrength[Min UCS],0)-1</f>
        <v>#VALUE!</v>
      </c>
      <c r="AB242" s="62" t="e">
        <f>MATCH(LOOKUP(Data_PLT[[#This Row],[UCS avg (MPa)]],Table_FieldStrength[Min UCS]),Table_FieldStrength[Min UCS],0)-1</f>
        <v>#VALUE!</v>
      </c>
      <c r="AC242" s="62" t="e">
        <f>MATCH(LOOKUP(Data_PLT[[#This Row],[UCS max (MPa)]],Table_FieldStrength[Min UCS]),Table_FieldStrength[Min UCS],0)-1</f>
        <v>#VALUE!</v>
      </c>
      <c r="AD242" s="68" t="e">
        <f>Data_PLT[[#This Row],[Test code]]&amp;"-"&amp;Data_PLT[[#This Row],[UCS min code]]</f>
        <v>#VALUE!</v>
      </c>
      <c r="AE242" s="68" t="e">
        <f>Data_PLT[[#This Row],[Test code]]&amp;"-"&amp;Data_PLT[[#This Row],[UCS avg code]]</f>
        <v>#VALUE!</v>
      </c>
      <c r="AF242" s="67" t="e">
        <f>Data_PLT[[#This Row],[Test code]]&amp;"-"&amp;Data_PLT[[#This Row],[UCS max code]]</f>
        <v>#VALUE!</v>
      </c>
      <c r="AG242" s="67" t="e">
        <f>Data_PLT[[#This Row],[Failure type]]&amp;"-"&amp;Data_PLT[[#This Row],[Test type]]&amp;"-"&amp;(IF(Data_PLT[[#This Row],[Is50 (MPa)]]&lt;1,1,IF(Data_PLT[[#This Row],[Is50 (MPa)]]&lt;2,2,IF(Data_PLT[[#This Row],[Is50 (MPa)]]&lt;4,3,IF(Data_PLT[[#This Row],[Is50 (MPa)]]&lt;8,4,5)))))</f>
        <v>#VALUE!</v>
      </c>
    </row>
    <row r="243" spans="1:33" x14ac:dyDescent="0.25">
      <c r="A243" s="14"/>
      <c r="B243" s="88" t="e">
        <f>VLOOKUP(Data_PLT[[#This Row],[Hole ID]],Data_Log[],2,FALSE)</f>
        <v>#N/A</v>
      </c>
      <c r="C243" s="63" t="str">
        <f>IF(Data_PLT[[#This Row],[Hole ID]]="","",
IF(COUNTIF($A$4:A243,Data_PLT[[#This Row],[Hole ID]])=1,1,
IF(A243=A242,C242+1,
COUNTIF($A$4:A243,Data_PLT[[#This Row],[Hole ID]]))))</f>
        <v/>
      </c>
      <c r="D243" s="63" t="str">
        <f>IF(Data_PLT[[#This Row],[Hole ID]]="","",Data_PLT[[#This Row],[Hole ID]]&amp;"_"&amp;Data_PLT[[#This Row],[Sample ID]])</f>
        <v/>
      </c>
      <c r="E243" s="6"/>
      <c r="F243" s="6"/>
      <c r="G243" s="63" t="e" cm="1">
        <f t="array" ref="G243">_xlfn.XLOOKUP(1,(A243=Geotech!$A$4:$A$11100)*(Data_PLT[[#This Row],[Depth (m)]]&gt;=Geotech!$C$4:$C$11100)*(Data_PLT[[#This Row],[Depth (m)]]&lt;Geotech!$D$4:$D$11100),Geotech!$M$4:$M$11100)</f>
        <v>#N/A</v>
      </c>
      <c r="H243" s="6"/>
      <c r="I243" s="63" t="e">
        <f>VLOOKUP(Data_PLT[[#This Row],[Hole ID]],Data_Log[[Hole ID]:[Core size]],20,FALSE)</f>
        <v>#N/A</v>
      </c>
      <c r="J243" s="13" t="e">
        <f>VLOOKUP(Data_PLT[[#This Row],[Core Size]],Table_CoreSize[],2,FALSE)</f>
        <v>#N/A</v>
      </c>
      <c r="K243" s="19"/>
      <c r="L243" s="19"/>
      <c r="M243" s="5"/>
      <c r="N243" s="5"/>
      <c r="O243" s="6"/>
      <c r="P243" s="13" t="str">
        <f>IF(Data_PLT[[#This Row],[Failure type]]="","",IF(OR(Data_PLT[[#This Row],[Failure type]]="Invalid",Data_PLT[[#This Row],[Failure type]]="Chipped",Data_PLT[[#This Row],[Failure type]]="Penetrate",Data_PLT[[#This Row],[Failure type]]="Did not break"),"Invalid","Valid"))</f>
        <v/>
      </c>
      <c r="Q243" s="6"/>
      <c r="R243" s="11"/>
      <c r="S243" s="13" t="str">
        <f>IF(Data_PLT[[#This Row],[Test type]]="Diametral",Data_PLT[[#This Row],[Diameter (mm)]],IF(Data_PLT[[#This Row],[Test type]]="Axial",SQRT(4*Data_PLT[[#This Row],[Diameter (mm)]]*Data_PLT[[#This Row],[Length or width (mm)]]/PI()),"ERROR"))</f>
        <v>ERROR</v>
      </c>
      <c r="T243" s="13" t="e">
        <f>(Data_PLT[[#This Row],[Load (kN)]]*1000)/Data_PLT[[#This Row],[Equiv. Diam. (mm)]]^2</f>
        <v>#VALUE!</v>
      </c>
      <c r="U243" s="13" t="e">
        <f>(Data_PLT[[#This Row],[Equiv. Diam. (mm)]]/50)^0.45</f>
        <v>#VALUE!</v>
      </c>
      <c r="V243" s="13" t="e">
        <f>Data_PLT[[#This Row],[Is (MPa)]]*Data_PLT[[#This Row],[F]]</f>
        <v>#VALUE!</v>
      </c>
      <c r="W243" s="13" t="str">
        <f>Data_PLT[[#This Row],[Failure Validity]]&amp;"-"&amp;Data_PLT[[#This Row],[Test type]]</f>
        <v>-</v>
      </c>
      <c r="X243" s="13" t="e">
        <f>Data_PLT[[#This Row],[Is50 (MPa)]]*VLOOKUP("Min",Table_PLT_Conversion[],2,FALSE)</f>
        <v>#VALUE!</v>
      </c>
      <c r="Y243" s="13" t="e">
        <f>Data_PLT[[#This Row],[Is50 (MPa)]]*VLOOKUP("Avg",Table_PLT_Conversion[],2,FALSE)</f>
        <v>#VALUE!</v>
      </c>
      <c r="Z243" s="13" t="e">
        <f>Data_PLT[[#This Row],[Is50 (MPa)]]*VLOOKUP("Max",Table_PLT_Conversion[],2,FALSE)</f>
        <v>#VALUE!</v>
      </c>
      <c r="AA243" s="62" t="e">
        <f>MATCH(LOOKUP(Data_PLT[[#This Row],[UCS min (MPa)]],Table_FieldStrength[Min UCS]),Table_FieldStrength[Min UCS],0)-1</f>
        <v>#VALUE!</v>
      </c>
      <c r="AB243" s="62" t="e">
        <f>MATCH(LOOKUP(Data_PLT[[#This Row],[UCS avg (MPa)]],Table_FieldStrength[Min UCS]),Table_FieldStrength[Min UCS],0)-1</f>
        <v>#VALUE!</v>
      </c>
      <c r="AC243" s="62" t="e">
        <f>MATCH(LOOKUP(Data_PLT[[#This Row],[UCS max (MPa)]],Table_FieldStrength[Min UCS]),Table_FieldStrength[Min UCS],0)-1</f>
        <v>#VALUE!</v>
      </c>
      <c r="AD243" s="68" t="e">
        <f>Data_PLT[[#This Row],[Test code]]&amp;"-"&amp;Data_PLT[[#This Row],[UCS min code]]</f>
        <v>#VALUE!</v>
      </c>
      <c r="AE243" s="68" t="e">
        <f>Data_PLT[[#This Row],[Test code]]&amp;"-"&amp;Data_PLT[[#This Row],[UCS avg code]]</f>
        <v>#VALUE!</v>
      </c>
      <c r="AF243" s="67" t="e">
        <f>Data_PLT[[#This Row],[Test code]]&amp;"-"&amp;Data_PLT[[#This Row],[UCS max code]]</f>
        <v>#VALUE!</v>
      </c>
      <c r="AG243" s="67" t="e">
        <f>Data_PLT[[#This Row],[Failure type]]&amp;"-"&amp;Data_PLT[[#This Row],[Test type]]&amp;"-"&amp;(IF(Data_PLT[[#This Row],[Is50 (MPa)]]&lt;1,1,IF(Data_PLT[[#This Row],[Is50 (MPa)]]&lt;2,2,IF(Data_PLT[[#This Row],[Is50 (MPa)]]&lt;4,3,IF(Data_PLT[[#This Row],[Is50 (MPa)]]&lt;8,4,5)))))</f>
        <v>#VALUE!</v>
      </c>
    </row>
    <row r="244" spans="1:33" x14ac:dyDescent="0.25">
      <c r="A244" s="14"/>
      <c r="B244" s="88" t="e">
        <f>VLOOKUP(Data_PLT[[#This Row],[Hole ID]],Data_Log[],2,FALSE)</f>
        <v>#N/A</v>
      </c>
      <c r="C244" s="63" t="str">
        <f>IF(Data_PLT[[#This Row],[Hole ID]]="","",
IF(COUNTIF($A$4:A244,Data_PLT[[#This Row],[Hole ID]])=1,1,
IF(A244=A243,C243+1,
COUNTIF($A$4:A244,Data_PLT[[#This Row],[Hole ID]]))))</f>
        <v/>
      </c>
      <c r="D244" s="63" t="str">
        <f>IF(Data_PLT[[#This Row],[Hole ID]]="","",Data_PLT[[#This Row],[Hole ID]]&amp;"_"&amp;Data_PLT[[#This Row],[Sample ID]])</f>
        <v/>
      </c>
      <c r="E244" s="6"/>
      <c r="F244" s="6"/>
      <c r="G244" s="63" t="e" cm="1">
        <f t="array" ref="G244">_xlfn.XLOOKUP(1,(A244=Geotech!$A$4:$A$11100)*(Data_PLT[[#This Row],[Depth (m)]]&gt;=Geotech!$C$4:$C$11100)*(Data_PLT[[#This Row],[Depth (m)]]&lt;Geotech!$D$4:$D$11100),Geotech!$M$4:$M$11100)</f>
        <v>#N/A</v>
      </c>
      <c r="H244" s="6"/>
      <c r="I244" s="63" t="e">
        <f>VLOOKUP(Data_PLT[[#This Row],[Hole ID]],Data_Log[[Hole ID]:[Core size]],20,FALSE)</f>
        <v>#N/A</v>
      </c>
      <c r="J244" s="13" t="e">
        <f>VLOOKUP(Data_PLT[[#This Row],[Core Size]],Table_CoreSize[],2,FALSE)</f>
        <v>#N/A</v>
      </c>
      <c r="K244" s="19"/>
      <c r="L244" s="19"/>
      <c r="M244" s="5"/>
      <c r="N244" s="5"/>
      <c r="O244" s="6"/>
      <c r="P244" s="13" t="str">
        <f>IF(Data_PLT[[#This Row],[Failure type]]="","",IF(OR(Data_PLT[[#This Row],[Failure type]]="Invalid",Data_PLT[[#This Row],[Failure type]]="Chipped",Data_PLT[[#This Row],[Failure type]]="Penetrate",Data_PLT[[#This Row],[Failure type]]="Did not break"),"Invalid","Valid"))</f>
        <v/>
      </c>
      <c r="Q244" s="6"/>
      <c r="R244" s="11"/>
      <c r="S244" s="13" t="str">
        <f>IF(Data_PLT[[#This Row],[Test type]]="Diametral",Data_PLT[[#This Row],[Diameter (mm)]],IF(Data_PLT[[#This Row],[Test type]]="Axial",SQRT(4*Data_PLT[[#This Row],[Diameter (mm)]]*Data_PLT[[#This Row],[Length or width (mm)]]/PI()),"ERROR"))</f>
        <v>ERROR</v>
      </c>
      <c r="T244" s="13" t="e">
        <f>(Data_PLT[[#This Row],[Load (kN)]]*1000)/Data_PLT[[#This Row],[Equiv. Diam. (mm)]]^2</f>
        <v>#VALUE!</v>
      </c>
      <c r="U244" s="13" t="e">
        <f>(Data_PLT[[#This Row],[Equiv. Diam. (mm)]]/50)^0.45</f>
        <v>#VALUE!</v>
      </c>
      <c r="V244" s="13" t="e">
        <f>Data_PLT[[#This Row],[Is (MPa)]]*Data_PLT[[#This Row],[F]]</f>
        <v>#VALUE!</v>
      </c>
      <c r="W244" s="13" t="str">
        <f>Data_PLT[[#This Row],[Failure Validity]]&amp;"-"&amp;Data_PLT[[#This Row],[Test type]]</f>
        <v>-</v>
      </c>
      <c r="X244" s="13" t="e">
        <f>Data_PLT[[#This Row],[Is50 (MPa)]]*VLOOKUP("Min",Table_PLT_Conversion[],2,FALSE)</f>
        <v>#VALUE!</v>
      </c>
      <c r="Y244" s="13" t="e">
        <f>Data_PLT[[#This Row],[Is50 (MPa)]]*VLOOKUP("Avg",Table_PLT_Conversion[],2,FALSE)</f>
        <v>#VALUE!</v>
      </c>
      <c r="Z244" s="13" t="e">
        <f>Data_PLT[[#This Row],[Is50 (MPa)]]*VLOOKUP("Max",Table_PLT_Conversion[],2,FALSE)</f>
        <v>#VALUE!</v>
      </c>
      <c r="AA244" s="62" t="e">
        <f>MATCH(LOOKUP(Data_PLT[[#This Row],[UCS min (MPa)]],Table_FieldStrength[Min UCS]),Table_FieldStrength[Min UCS],0)-1</f>
        <v>#VALUE!</v>
      </c>
      <c r="AB244" s="62" t="e">
        <f>MATCH(LOOKUP(Data_PLT[[#This Row],[UCS avg (MPa)]],Table_FieldStrength[Min UCS]),Table_FieldStrength[Min UCS],0)-1</f>
        <v>#VALUE!</v>
      </c>
      <c r="AC244" s="62" t="e">
        <f>MATCH(LOOKUP(Data_PLT[[#This Row],[UCS max (MPa)]],Table_FieldStrength[Min UCS]),Table_FieldStrength[Min UCS],0)-1</f>
        <v>#VALUE!</v>
      </c>
      <c r="AD244" s="68" t="e">
        <f>Data_PLT[[#This Row],[Test code]]&amp;"-"&amp;Data_PLT[[#This Row],[UCS min code]]</f>
        <v>#VALUE!</v>
      </c>
      <c r="AE244" s="68" t="e">
        <f>Data_PLT[[#This Row],[Test code]]&amp;"-"&amp;Data_PLT[[#This Row],[UCS avg code]]</f>
        <v>#VALUE!</v>
      </c>
      <c r="AF244" s="67" t="e">
        <f>Data_PLT[[#This Row],[Test code]]&amp;"-"&amp;Data_PLT[[#This Row],[UCS max code]]</f>
        <v>#VALUE!</v>
      </c>
      <c r="AG244" s="67" t="e">
        <f>Data_PLT[[#This Row],[Failure type]]&amp;"-"&amp;Data_PLT[[#This Row],[Test type]]&amp;"-"&amp;(IF(Data_PLT[[#This Row],[Is50 (MPa)]]&lt;1,1,IF(Data_PLT[[#This Row],[Is50 (MPa)]]&lt;2,2,IF(Data_PLT[[#This Row],[Is50 (MPa)]]&lt;4,3,IF(Data_PLT[[#This Row],[Is50 (MPa)]]&lt;8,4,5)))))</f>
        <v>#VALUE!</v>
      </c>
    </row>
    <row r="245" spans="1:33" x14ac:dyDescent="0.25">
      <c r="A245" s="14"/>
      <c r="B245" s="88" t="e">
        <f>VLOOKUP(Data_PLT[[#This Row],[Hole ID]],Data_Log[],2,FALSE)</f>
        <v>#N/A</v>
      </c>
      <c r="C245" s="63" t="str">
        <f>IF(Data_PLT[[#This Row],[Hole ID]]="","",
IF(COUNTIF($A$4:A245,Data_PLT[[#This Row],[Hole ID]])=1,1,
IF(A245=A244,C244+1,
COUNTIF($A$4:A245,Data_PLT[[#This Row],[Hole ID]]))))</f>
        <v/>
      </c>
      <c r="D245" s="63" t="str">
        <f>IF(Data_PLT[[#This Row],[Hole ID]]="","",Data_PLT[[#This Row],[Hole ID]]&amp;"_"&amp;Data_PLT[[#This Row],[Sample ID]])</f>
        <v/>
      </c>
      <c r="E245" s="6"/>
      <c r="F245" s="6"/>
      <c r="G245" s="63" t="e" cm="1">
        <f t="array" ref="G245">_xlfn.XLOOKUP(1,(A245=Geotech!$A$4:$A$11100)*(Data_PLT[[#This Row],[Depth (m)]]&gt;=Geotech!$C$4:$C$11100)*(Data_PLT[[#This Row],[Depth (m)]]&lt;Geotech!$D$4:$D$11100),Geotech!$M$4:$M$11100)</f>
        <v>#N/A</v>
      </c>
      <c r="H245" s="6"/>
      <c r="I245" s="63" t="e">
        <f>VLOOKUP(Data_PLT[[#This Row],[Hole ID]],Data_Log[[Hole ID]:[Core size]],20,FALSE)</f>
        <v>#N/A</v>
      </c>
      <c r="J245" s="13" t="e">
        <f>VLOOKUP(Data_PLT[[#This Row],[Core Size]],Table_CoreSize[],2,FALSE)</f>
        <v>#N/A</v>
      </c>
      <c r="K245" s="19"/>
      <c r="L245" s="19"/>
      <c r="M245" s="5"/>
      <c r="N245" s="5"/>
      <c r="O245" s="6"/>
      <c r="P245" s="13" t="str">
        <f>IF(Data_PLT[[#This Row],[Failure type]]="","",IF(OR(Data_PLT[[#This Row],[Failure type]]="Invalid",Data_PLT[[#This Row],[Failure type]]="Chipped",Data_PLT[[#This Row],[Failure type]]="Penetrate",Data_PLT[[#This Row],[Failure type]]="Did not break"),"Invalid","Valid"))</f>
        <v/>
      </c>
      <c r="Q245" s="6"/>
      <c r="R245" s="11"/>
      <c r="S245" s="13" t="str">
        <f>IF(Data_PLT[[#This Row],[Test type]]="Diametral",Data_PLT[[#This Row],[Diameter (mm)]],IF(Data_PLT[[#This Row],[Test type]]="Axial",SQRT(4*Data_PLT[[#This Row],[Diameter (mm)]]*Data_PLT[[#This Row],[Length or width (mm)]]/PI()),"ERROR"))</f>
        <v>ERROR</v>
      </c>
      <c r="T245" s="13" t="e">
        <f>(Data_PLT[[#This Row],[Load (kN)]]*1000)/Data_PLT[[#This Row],[Equiv. Diam. (mm)]]^2</f>
        <v>#VALUE!</v>
      </c>
      <c r="U245" s="13" t="e">
        <f>(Data_PLT[[#This Row],[Equiv. Diam. (mm)]]/50)^0.45</f>
        <v>#VALUE!</v>
      </c>
      <c r="V245" s="13" t="e">
        <f>Data_PLT[[#This Row],[Is (MPa)]]*Data_PLT[[#This Row],[F]]</f>
        <v>#VALUE!</v>
      </c>
      <c r="W245" s="13" t="str">
        <f>Data_PLT[[#This Row],[Failure Validity]]&amp;"-"&amp;Data_PLT[[#This Row],[Test type]]</f>
        <v>-</v>
      </c>
      <c r="X245" s="13" t="e">
        <f>Data_PLT[[#This Row],[Is50 (MPa)]]*VLOOKUP("Min",Table_PLT_Conversion[],2,FALSE)</f>
        <v>#VALUE!</v>
      </c>
      <c r="Y245" s="13" t="e">
        <f>Data_PLT[[#This Row],[Is50 (MPa)]]*VLOOKUP("Avg",Table_PLT_Conversion[],2,FALSE)</f>
        <v>#VALUE!</v>
      </c>
      <c r="Z245" s="13" t="e">
        <f>Data_PLT[[#This Row],[Is50 (MPa)]]*VLOOKUP("Max",Table_PLT_Conversion[],2,FALSE)</f>
        <v>#VALUE!</v>
      </c>
      <c r="AA245" s="62" t="e">
        <f>MATCH(LOOKUP(Data_PLT[[#This Row],[UCS min (MPa)]],Table_FieldStrength[Min UCS]),Table_FieldStrength[Min UCS],0)-1</f>
        <v>#VALUE!</v>
      </c>
      <c r="AB245" s="62" t="e">
        <f>MATCH(LOOKUP(Data_PLT[[#This Row],[UCS avg (MPa)]],Table_FieldStrength[Min UCS]),Table_FieldStrength[Min UCS],0)-1</f>
        <v>#VALUE!</v>
      </c>
      <c r="AC245" s="62" t="e">
        <f>MATCH(LOOKUP(Data_PLT[[#This Row],[UCS max (MPa)]],Table_FieldStrength[Min UCS]),Table_FieldStrength[Min UCS],0)-1</f>
        <v>#VALUE!</v>
      </c>
      <c r="AD245" s="68" t="e">
        <f>Data_PLT[[#This Row],[Test code]]&amp;"-"&amp;Data_PLT[[#This Row],[UCS min code]]</f>
        <v>#VALUE!</v>
      </c>
      <c r="AE245" s="68" t="e">
        <f>Data_PLT[[#This Row],[Test code]]&amp;"-"&amp;Data_PLT[[#This Row],[UCS avg code]]</f>
        <v>#VALUE!</v>
      </c>
      <c r="AF245" s="67" t="e">
        <f>Data_PLT[[#This Row],[Test code]]&amp;"-"&amp;Data_PLT[[#This Row],[UCS max code]]</f>
        <v>#VALUE!</v>
      </c>
      <c r="AG245" s="67" t="e">
        <f>Data_PLT[[#This Row],[Failure type]]&amp;"-"&amp;Data_PLT[[#This Row],[Test type]]&amp;"-"&amp;(IF(Data_PLT[[#This Row],[Is50 (MPa)]]&lt;1,1,IF(Data_PLT[[#This Row],[Is50 (MPa)]]&lt;2,2,IF(Data_PLT[[#This Row],[Is50 (MPa)]]&lt;4,3,IF(Data_PLT[[#This Row],[Is50 (MPa)]]&lt;8,4,5)))))</f>
        <v>#VALUE!</v>
      </c>
    </row>
    <row r="246" spans="1:33" x14ac:dyDescent="0.25">
      <c r="A246" s="14"/>
      <c r="B246" s="88" t="e">
        <f>VLOOKUP(Data_PLT[[#This Row],[Hole ID]],Data_Log[],2,FALSE)</f>
        <v>#N/A</v>
      </c>
      <c r="C246" s="63" t="str">
        <f>IF(Data_PLT[[#This Row],[Hole ID]]="","",
IF(COUNTIF($A$4:A246,Data_PLT[[#This Row],[Hole ID]])=1,1,
IF(A246=A245,C245+1,
COUNTIF($A$4:A246,Data_PLT[[#This Row],[Hole ID]]))))</f>
        <v/>
      </c>
      <c r="D246" s="63" t="str">
        <f>IF(Data_PLT[[#This Row],[Hole ID]]="","",Data_PLT[[#This Row],[Hole ID]]&amp;"_"&amp;Data_PLT[[#This Row],[Sample ID]])</f>
        <v/>
      </c>
      <c r="E246" s="6"/>
      <c r="F246" s="6"/>
      <c r="G246" s="63" t="e" cm="1">
        <f t="array" ref="G246">_xlfn.XLOOKUP(1,(A246=Geotech!$A$4:$A$11100)*(Data_PLT[[#This Row],[Depth (m)]]&gt;=Geotech!$C$4:$C$11100)*(Data_PLT[[#This Row],[Depth (m)]]&lt;Geotech!$D$4:$D$11100),Geotech!$M$4:$M$11100)</f>
        <v>#N/A</v>
      </c>
      <c r="H246" s="6"/>
      <c r="I246" s="63" t="e">
        <f>VLOOKUP(Data_PLT[[#This Row],[Hole ID]],Data_Log[[Hole ID]:[Core size]],20,FALSE)</f>
        <v>#N/A</v>
      </c>
      <c r="J246" s="13" t="e">
        <f>VLOOKUP(Data_PLT[[#This Row],[Core Size]],Table_CoreSize[],2,FALSE)</f>
        <v>#N/A</v>
      </c>
      <c r="K246" s="19"/>
      <c r="L246" s="19"/>
      <c r="M246" s="5"/>
      <c r="N246" s="5"/>
      <c r="O246" s="6"/>
      <c r="P246" s="13" t="str">
        <f>IF(Data_PLT[[#This Row],[Failure type]]="","",IF(OR(Data_PLT[[#This Row],[Failure type]]="Invalid",Data_PLT[[#This Row],[Failure type]]="Chipped",Data_PLT[[#This Row],[Failure type]]="Penetrate",Data_PLT[[#This Row],[Failure type]]="Did not break"),"Invalid","Valid"))</f>
        <v/>
      </c>
      <c r="Q246" s="6"/>
      <c r="R246" s="11"/>
      <c r="S246" s="13" t="str">
        <f>IF(Data_PLT[[#This Row],[Test type]]="Diametral",Data_PLT[[#This Row],[Diameter (mm)]],IF(Data_PLT[[#This Row],[Test type]]="Axial",SQRT(4*Data_PLT[[#This Row],[Diameter (mm)]]*Data_PLT[[#This Row],[Length or width (mm)]]/PI()),"ERROR"))</f>
        <v>ERROR</v>
      </c>
      <c r="T246" s="13" t="e">
        <f>(Data_PLT[[#This Row],[Load (kN)]]*1000)/Data_PLT[[#This Row],[Equiv. Diam. (mm)]]^2</f>
        <v>#VALUE!</v>
      </c>
      <c r="U246" s="13" t="e">
        <f>(Data_PLT[[#This Row],[Equiv. Diam. (mm)]]/50)^0.45</f>
        <v>#VALUE!</v>
      </c>
      <c r="V246" s="13" t="e">
        <f>Data_PLT[[#This Row],[Is (MPa)]]*Data_PLT[[#This Row],[F]]</f>
        <v>#VALUE!</v>
      </c>
      <c r="W246" s="13" t="str">
        <f>Data_PLT[[#This Row],[Failure Validity]]&amp;"-"&amp;Data_PLT[[#This Row],[Test type]]</f>
        <v>-</v>
      </c>
      <c r="X246" s="13" t="e">
        <f>Data_PLT[[#This Row],[Is50 (MPa)]]*VLOOKUP("Min",Table_PLT_Conversion[],2,FALSE)</f>
        <v>#VALUE!</v>
      </c>
      <c r="Y246" s="13" t="e">
        <f>Data_PLT[[#This Row],[Is50 (MPa)]]*VLOOKUP("Avg",Table_PLT_Conversion[],2,FALSE)</f>
        <v>#VALUE!</v>
      </c>
      <c r="Z246" s="13" t="e">
        <f>Data_PLT[[#This Row],[Is50 (MPa)]]*VLOOKUP("Max",Table_PLT_Conversion[],2,FALSE)</f>
        <v>#VALUE!</v>
      </c>
      <c r="AA246" s="62" t="e">
        <f>MATCH(LOOKUP(Data_PLT[[#This Row],[UCS min (MPa)]],Table_FieldStrength[Min UCS]),Table_FieldStrength[Min UCS],0)-1</f>
        <v>#VALUE!</v>
      </c>
      <c r="AB246" s="62" t="e">
        <f>MATCH(LOOKUP(Data_PLT[[#This Row],[UCS avg (MPa)]],Table_FieldStrength[Min UCS]),Table_FieldStrength[Min UCS],0)-1</f>
        <v>#VALUE!</v>
      </c>
      <c r="AC246" s="62" t="e">
        <f>MATCH(LOOKUP(Data_PLT[[#This Row],[UCS max (MPa)]],Table_FieldStrength[Min UCS]),Table_FieldStrength[Min UCS],0)-1</f>
        <v>#VALUE!</v>
      </c>
      <c r="AD246" s="68" t="e">
        <f>Data_PLT[[#This Row],[Test code]]&amp;"-"&amp;Data_PLT[[#This Row],[UCS min code]]</f>
        <v>#VALUE!</v>
      </c>
      <c r="AE246" s="68" t="e">
        <f>Data_PLT[[#This Row],[Test code]]&amp;"-"&amp;Data_PLT[[#This Row],[UCS avg code]]</f>
        <v>#VALUE!</v>
      </c>
      <c r="AF246" s="67" t="e">
        <f>Data_PLT[[#This Row],[Test code]]&amp;"-"&amp;Data_PLT[[#This Row],[UCS max code]]</f>
        <v>#VALUE!</v>
      </c>
      <c r="AG246" s="67" t="e">
        <f>Data_PLT[[#This Row],[Failure type]]&amp;"-"&amp;Data_PLT[[#This Row],[Test type]]&amp;"-"&amp;(IF(Data_PLT[[#This Row],[Is50 (MPa)]]&lt;1,1,IF(Data_PLT[[#This Row],[Is50 (MPa)]]&lt;2,2,IF(Data_PLT[[#This Row],[Is50 (MPa)]]&lt;4,3,IF(Data_PLT[[#This Row],[Is50 (MPa)]]&lt;8,4,5)))))</f>
        <v>#VALUE!</v>
      </c>
    </row>
    <row r="247" spans="1:33" x14ac:dyDescent="0.25">
      <c r="A247" s="14"/>
      <c r="B247" s="88" t="e">
        <f>VLOOKUP(Data_PLT[[#This Row],[Hole ID]],Data_Log[],2,FALSE)</f>
        <v>#N/A</v>
      </c>
      <c r="C247" s="63" t="str">
        <f>IF(Data_PLT[[#This Row],[Hole ID]]="","",
IF(COUNTIF($A$4:A247,Data_PLT[[#This Row],[Hole ID]])=1,1,
IF(A247=A246,C246+1,
COUNTIF($A$4:A247,Data_PLT[[#This Row],[Hole ID]]))))</f>
        <v/>
      </c>
      <c r="D247" s="63" t="str">
        <f>IF(Data_PLT[[#This Row],[Hole ID]]="","",Data_PLT[[#This Row],[Hole ID]]&amp;"_"&amp;Data_PLT[[#This Row],[Sample ID]])</f>
        <v/>
      </c>
      <c r="E247" s="6"/>
      <c r="F247" s="6"/>
      <c r="G247" s="63" t="e" cm="1">
        <f t="array" ref="G247">_xlfn.XLOOKUP(1,(A247=Geotech!$A$4:$A$11100)*(Data_PLT[[#This Row],[Depth (m)]]&gt;=Geotech!$C$4:$C$11100)*(Data_PLT[[#This Row],[Depth (m)]]&lt;Geotech!$D$4:$D$11100),Geotech!$M$4:$M$11100)</f>
        <v>#N/A</v>
      </c>
      <c r="H247" s="6"/>
      <c r="I247" s="63" t="e">
        <f>VLOOKUP(Data_PLT[[#This Row],[Hole ID]],Data_Log[[Hole ID]:[Core size]],20,FALSE)</f>
        <v>#N/A</v>
      </c>
      <c r="J247" s="13" t="e">
        <f>VLOOKUP(Data_PLT[[#This Row],[Core Size]],Table_CoreSize[],2,FALSE)</f>
        <v>#N/A</v>
      </c>
      <c r="K247" s="19"/>
      <c r="L247" s="19"/>
      <c r="M247" s="5"/>
      <c r="N247" s="5"/>
      <c r="O247" s="6"/>
      <c r="P247" s="13" t="str">
        <f>IF(Data_PLT[[#This Row],[Failure type]]="","",IF(OR(Data_PLT[[#This Row],[Failure type]]="Invalid",Data_PLT[[#This Row],[Failure type]]="Chipped",Data_PLT[[#This Row],[Failure type]]="Penetrate",Data_PLT[[#This Row],[Failure type]]="Did not break"),"Invalid","Valid"))</f>
        <v/>
      </c>
      <c r="Q247" s="6"/>
      <c r="R247" s="11"/>
      <c r="S247" s="13" t="str">
        <f>IF(Data_PLT[[#This Row],[Test type]]="Diametral",Data_PLT[[#This Row],[Diameter (mm)]],IF(Data_PLT[[#This Row],[Test type]]="Axial",SQRT(4*Data_PLT[[#This Row],[Diameter (mm)]]*Data_PLT[[#This Row],[Length or width (mm)]]/PI()),"ERROR"))</f>
        <v>ERROR</v>
      </c>
      <c r="T247" s="13" t="e">
        <f>(Data_PLT[[#This Row],[Load (kN)]]*1000)/Data_PLT[[#This Row],[Equiv. Diam. (mm)]]^2</f>
        <v>#VALUE!</v>
      </c>
      <c r="U247" s="13" t="e">
        <f>(Data_PLT[[#This Row],[Equiv. Diam. (mm)]]/50)^0.45</f>
        <v>#VALUE!</v>
      </c>
      <c r="V247" s="13" t="e">
        <f>Data_PLT[[#This Row],[Is (MPa)]]*Data_PLT[[#This Row],[F]]</f>
        <v>#VALUE!</v>
      </c>
      <c r="W247" s="13" t="str">
        <f>Data_PLT[[#This Row],[Failure Validity]]&amp;"-"&amp;Data_PLT[[#This Row],[Test type]]</f>
        <v>-</v>
      </c>
      <c r="X247" s="13" t="e">
        <f>Data_PLT[[#This Row],[Is50 (MPa)]]*VLOOKUP("Min",Table_PLT_Conversion[],2,FALSE)</f>
        <v>#VALUE!</v>
      </c>
      <c r="Y247" s="13" t="e">
        <f>Data_PLT[[#This Row],[Is50 (MPa)]]*VLOOKUP("Avg",Table_PLT_Conversion[],2,FALSE)</f>
        <v>#VALUE!</v>
      </c>
      <c r="Z247" s="13" t="e">
        <f>Data_PLT[[#This Row],[Is50 (MPa)]]*VLOOKUP("Max",Table_PLT_Conversion[],2,FALSE)</f>
        <v>#VALUE!</v>
      </c>
      <c r="AA247" s="62" t="e">
        <f>MATCH(LOOKUP(Data_PLT[[#This Row],[UCS min (MPa)]],Table_FieldStrength[Min UCS]),Table_FieldStrength[Min UCS],0)-1</f>
        <v>#VALUE!</v>
      </c>
      <c r="AB247" s="62" t="e">
        <f>MATCH(LOOKUP(Data_PLT[[#This Row],[UCS avg (MPa)]],Table_FieldStrength[Min UCS]),Table_FieldStrength[Min UCS],0)-1</f>
        <v>#VALUE!</v>
      </c>
      <c r="AC247" s="62" t="e">
        <f>MATCH(LOOKUP(Data_PLT[[#This Row],[UCS max (MPa)]],Table_FieldStrength[Min UCS]),Table_FieldStrength[Min UCS],0)-1</f>
        <v>#VALUE!</v>
      </c>
      <c r="AD247" s="68" t="e">
        <f>Data_PLT[[#This Row],[Test code]]&amp;"-"&amp;Data_PLT[[#This Row],[UCS min code]]</f>
        <v>#VALUE!</v>
      </c>
      <c r="AE247" s="68" t="e">
        <f>Data_PLT[[#This Row],[Test code]]&amp;"-"&amp;Data_PLT[[#This Row],[UCS avg code]]</f>
        <v>#VALUE!</v>
      </c>
      <c r="AF247" s="67" t="e">
        <f>Data_PLT[[#This Row],[Test code]]&amp;"-"&amp;Data_PLT[[#This Row],[UCS max code]]</f>
        <v>#VALUE!</v>
      </c>
      <c r="AG247" s="67" t="e">
        <f>Data_PLT[[#This Row],[Failure type]]&amp;"-"&amp;Data_PLT[[#This Row],[Test type]]&amp;"-"&amp;(IF(Data_PLT[[#This Row],[Is50 (MPa)]]&lt;1,1,IF(Data_PLT[[#This Row],[Is50 (MPa)]]&lt;2,2,IF(Data_PLT[[#This Row],[Is50 (MPa)]]&lt;4,3,IF(Data_PLT[[#This Row],[Is50 (MPa)]]&lt;8,4,5)))))</f>
        <v>#VALUE!</v>
      </c>
    </row>
    <row r="248" spans="1:33" x14ac:dyDescent="0.25">
      <c r="A248" s="14"/>
      <c r="B248" s="88" t="e">
        <f>VLOOKUP(Data_PLT[[#This Row],[Hole ID]],Data_Log[],2,FALSE)</f>
        <v>#N/A</v>
      </c>
      <c r="C248" s="63" t="str">
        <f>IF(Data_PLT[[#This Row],[Hole ID]]="","",
IF(COUNTIF($A$4:A248,Data_PLT[[#This Row],[Hole ID]])=1,1,
IF(A248=A247,C247+1,
COUNTIF($A$4:A248,Data_PLT[[#This Row],[Hole ID]]))))</f>
        <v/>
      </c>
      <c r="D248" s="63" t="str">
        <f>IF(Data_PLT[[#This Row],[Hole ID]]="","",Data_PLT[[#This Row],[Hole ID]]&amp;"_"&amp;Data_PLT[[#This Row],[Sample ID]])</f>
        <v/>
      </c>
      <c r="E248" s="6"/>
      <c r="F248" s="6"/>
      <c r="G248" s="63" t="e" cm="1">
        <f t="array" ref="G248">_xlfn.XLOOKUP(1,(A248=Geotech!$A$4:$A$11100)*(Data_PLT[[#This Row],[Depth (m)]]&gt;=Geotech!$C$4:$C$11100)*(Data_PLT[[#This Row],[Depth (m)]]&lt;Geotech!$D$4:$D$11100),Geotech!$M$4:$M$11100)</f>
        <v>#N/A</v>
      </c>
      <c r="H248" s="6"/>
      <c r="I248" s="63" t="e">
        <f>VLOOKUP(Data_PLT[[#This Row],[Hole ID]],Data_Log[[Hole ID]:[Core size]],20,FALSE)</f>
        <v>#N/A</v>
      </c>
      <c r="J248" s="13" t="e">
        <f>VLOOKUP(Data_PLT[[#This Row],[Core Size]],Table_CoreSize[],2,FALSE)</f>
        <v>#N/A</v>
      </c>
      <c r="K248" s="19"/>
      <c r="L248" s="19"/>
      <c r="M248" s="5"/>
      <c r="N248" s="5"/>
      <c r="O248" s="6"/>
      <c r="P248" s="13" t="str">
        <f>IF(Data_PLT[[#This Row],[Failure type]]="","",IF(OR(Data_PLT[[#This Row],[Failure type]]="Invalid",Data_PLT[[#This Row],[Failure type]]="Chipped",Data_PLT[[#This Row],[Failure type]]="Penetrate",Data_PLT[[#This Row],[Failure type]]="Did not break"),"Invalid","Valid"))</f>
        <v/>
      </c>
      <c r="Q248" s="6"/>
      <c r="R248" s="11"/>
      <c r="S248" s="13" t="str">
        <f>IF(Data_PLT[[#This Row],[Test type]]="Diametral",Data_PLT[[#This Row],[Diameter (mm)]],IF(Data_PLT[[#This Row],[Test type]]="Axial",SQRT(4*Data_PLT[[#This Row],[Diameter (mm)]]*Data_PLT[[#This Row],[Length or width (mm)]]/PI()),"ERROR"))</f>
        <v>ERROR</v>
      </c>
      <c r="T248" s="13" t="e">
        <f>(Data_PLT[[#This Row],[Load (kN)]]*1000)/Data_PLT[[#This Row],[Equiv. Diam. (mm)]]^2</f>
        <v>#VALUE!</v>
      </c>
      <c r="U248" s="13" t="e">
        <f>(Data_PLT[[#This Row],[Equiv. Diam. (mm)]]/50)^0.45</f>
        <v>#VALUE!</v>
      </c>
      <c r="V248" s="13" t="e">
        <f>Data_PLT[[#This Row],[Is (MPa)]]*Data_PLT[[#This Row],[F]]</f>
        <v>#VALUE!</v>
      </c>
      <c r="W248" s="13" t="str">
        <f>Data_PLT[[#This Row],[Failure Validity]]&amp;"-"&amp;Data_PLT[[#This Row],[Test type]]</f>
        <v>-</v>
      </c>
      <c r="X248" s="13" t="e">
        <f>Data_PLT[[#This Row],[Is50 (MPa)]]*VLOOKUP("Min",Table_PLT_Conversion[],2,FALSE)</f>
        <v>#VALUE!</v>
      </c>
      <c r="Y248" s="13" t="e">
        <f>Data_PLT[[#This Row],[Is50 (MPa)]]*VLOOKUP("Avg",Table_PLT_Conversion[],2,FALSE)</f>
        <v>#VALUE!</v>
      </c>
      <c r="Z248" s="13" t="e">
        <f>Data_PLT[[#This Row],[Is50 (MPa)]]*VLOOKUP("Max",Table_PLT_Conversion[],2,FALSE)</f>
        <v>#VALUE!</v>
      </c>
      <c r="AA248" s="62" t="e">
        <f>MATCH(LOOKUP(Data_PLT[[#This Row],[UCS min (MPa)]],Table_FieldStrength[Min UCS]),Table_FieldStrength[Min UCS],0)-1</f>
        <v>#VALUE!</v>
      </c>
      <c r="AB248" s="62" t="e">
        <f>MATCH(LOOKUP(Data_PLT[[#This Row],[UCS avg (MPa)]],Table_FieldStrength[Min UCS]),Table_FieldStrength[Min UCS],0)-1</f>
        <v>#VALUE!</v>
      </c>
      <c r="AC248" s="62" t="e">
        <f>MATCH(LOOKUP(Data_PLT[[#This Row],[UCS max (MPa)]],Table_FieldStrength[Min UCS]),Table_FieldStrength[Min UCS],0)-1</f>
        <v>#VALUE!</v>
      </c>
      <c r="AD248" s="68" t="e">
        <f>Data_PLT[[#This Row],[Test code]]&amp;"-"&amp;Data_PLT[[#This Row],[UCS min code]]</f>
        <v>#VALUE!</v>
      </c>
      <c r="AE248" s="68" t="e">
        <f>Data_PLT[[#This Row],[Test code]]&amp;"-"&amp;Data_PLT[[#This Row],[UCS avg code]]</f>
        <v>#VALUE!</v>
      </c>
      <c r="AF248" s="67" t="e">
        <f>Data_PLT[[#This Row],[Test code]]&amp;"-"&amp;Data_PLT[[#This Row],[UCS max code]]</f>
        <v>#VALUE!</v>
      </c>
      <c r="AG248" s="67" t="e">
        <f>Data_PLT[[#This Row],[Failure type]]&amp;"-"&amp;Data_PLT[[#This Row],[Test type]]&amp;"-"&amp;(IF(Data_PLT[[#This Row],[Is50 (MPa)]]&lt;1,1,IF(Data_PLT[[#This Row],[Is50 (MPa)]]&lt;2,2,IF(Data_PLT[[#This Row],[Is50 (MPa)]]&lt;4,3,IF(Data_PLT[[#This Row],[Is50 (MPa)]]&lt;8,4,5)))))</f>
        <v>#VALUE!</v>
      </c>
    </row>
    <row r="249" spans="1:33" x14ac:dyDescent="0.25">
      <c r="A249" s="14"/>
      <c r="B249" s="88" t="e">
        <f>VLOOKUP(Data_PLT[[#This Row],[Hole ID]],Data_Log[],2,FALSE)</f>
        <v>#N/A</v>
      </c>
      <c r="C249" s="63" t="str">
        <f>IF(Data_PLT[[#This Row],[Hole ID]]="","",
IF(COUNTIF($A$4:A249,Data_PLT[[#This Row],[Hole ID]])=1,1,
IF(A249=A248,C248+1,
COUNTIF($A$4:A249,Data_PLT[[#This Row],[Hole ID]]))))</f>
        <v/>
      </c>
      <c r="D249" s="63" t="str">
        <f>IF(Data_PLT[[#This Row],[Hole ID]]="","",Data_PLT[[#This Row],[Hole ID]]&amp;"_"&amp;Data_PLT[[#This Row],[Sample ID]])</f>
        <v/>
      </c>
      <c r="E249" s="6"/>
      <c r="F249" s="6"/>
      <c r="G249" s="63" t="e" cm="1">
        <f t="array" ref="G249">_xlfn.XLOOKUP(1,(A249=Geotech!$A$4:$A$11100)*(Data_PLT[[#This Row],[Depth (m)]]&gt;=Geotech!$C$4:$C$11100)*(Data_PLT[[#This Row],[Depth (m)]]&lt;Geotech!$D$4:$D$11100),Geotech!$M$4:$M$11100)</f>
        <v>#N/A</v>
      </c>
      <c r="H249" s="6"/>
      <c r="I249" s="63" t="e">
        <f>VLOOKUP(Data_PLT[[#This Row],[Hole ID]],Data_Log[[Hole ID]:[Core size]],20,FALSE)</f>
        <v>#N/A</v>
      </c>
      <c r="J249" s="13" t="e">
        <f>VLOOKUP(Data_PLT[[#This Row],[Core Size]],Table_CoreSize[],2,FALSE)</f>
        <v>#N/A</v>
      </c>
      <c r="K249" s="19"/>
      <c r="L249" s="19"/>
      <c r="M249" s="5"/>
      <c r="N249" s="5"/>
      <c r="O249" s="6"/>
      <c r="P249" s="13" t="str">
        <f>IF(Data_PLT[[#This Row],[Failure type]]="","",IF(OR(Data_PLT[[#This Row],[Failure type]]="Invalid",Data_PLT[[#This Row],[Failure type]]="Chipped",Data_PLT[[#This Row],[Failure type]]="Penetrate",Data_PLT[[#This Row],[Failure type]]="Did not break"),"Invalid","Valid"))</f>
        <v/>
      </c>
      <c r="Q249" s="6"/>
      <c r="R249" s="11"/>
      <c r="S249" s="13" t="str">
        <f>IF(Data_PLT[[#This Row],[Test type]]="Diametral",Data_PLT[[#This Row],[Diameter (mm)]],IF(Data_PLT[[#This Row],[Test type]]="Axial",SQRT(4*Data_PLT[[#This Row],[Diameter (mm)]]*Data_PLT[[#This Row],[Length or width (mm)]]/PI()),"ERROR"))</f>
        <v>ERROR</v>
      </c>
      <c r="T249" s="13" t="e">
        <f>(Data_PLT[[#This Row],[Load (kN)]]*1000)/Data_PLT[[#This Row],[Equiv. Diam. (mm)]]^2</f>
        <v>#VALUE!</v>
      </c>
      <c r="U249" s="13" t="e">
        <f>(Data_PLT[[#This Row],[Equiv. Diam. (mm)]]/50)^0.45</f>
        <v>#VALUE!</v>
      </c>
      <c r="V249" s="13" t="e">
        <f>Data_PLT[[#This Row],[Is (MPa)]]*Data_PLT[[#This Row],[F]]</f>
        <v>#VALUE!</v>
      </c>
      <c r="W249" s="13" t="str">
        <f>Data_PLT[[#This Row],[Failure Validity]]&amp;"-"&amp;Data_PLT[[#This Row],[Test type]]</f>
        <v>-</v>
      </c>
      <c r="X249" s="13" t="e">
        <f>Data_PLT[[#This Row],[Is50 (MPa)]]*VLOOKUP("Min",Table_PLT_Conversion[],2,FALSE)</f>
        <v>#VALUE!</v>
      </c>
      <c r="Y249" s="13" t="e">
        <f>Data_PLT[[#This Row],[Is50 (MPa)]]*VLOOKUP("Avg",Table_PLT_Conversion[],2,FALSE)</f>
        <v>#VALUE!</v>
      </c>
      <c r="Z249" s="13" t="e">
        <f>Data_PLT[[#This Row],[Is50 (MPa)]]*VLOOKUP("Max",Table_PLT_Conversion[],2,FALSE)</f>
        <v>#VALUE!</v>
      </c>
      <c r="AA249" s="62" t="e">
        <f>MATCH(LOOKUP(Data_PLT[[#This Row],[UCS min (MPa)]],Table_FieldStrength[Min UCS]),Table_FieldStrength[Min UCS],0)-1</f>
        <v>#VALUE!</v>
      </c>
      <c r="AB249" s="62" t="e">
        <f>MATCH(LOOKUP(Data_PLT[[#This Row],[UCS avg (MPa)]],Table_FieldStrength[Min UCS]),Table_FieldStrength[Min UCS],0)-1</f>
        <v>#VALUE!</v>
      </c>
      <c r="AC249" s="62" t="e">
        <f>MATCH(LOOKUP(Data_PLT[[#This Row],[UCS max (MPa)]],Table_FieldStrength[Min UCS]),Table_FieldStrength[Min UCS],0)-1</f>
        <v>#VALUE!</v>
      </c>
      <c r="AD249" s="68" t="e">
        <f>Data_PLT[[#This Row],[Test code]]&amp;"-"&amp;Data_PLT[[#This Row],[UCS min code]]</f>
        <v>#VALUE!</v>
      </c>
      <c r="AE249" s="68" t="e">
        <f>Data_PLT[[#This Row],[Test code]]&amp;"-"&amp;Data_PLT[[#This Row],[UCS avg code]]</f>
        <v>#VALUE!</v>
      </c>
      <c r="AF249" s="67" t="e">
        <f>Data_PLT[[#This Row],[Test code]]&amp;"-"&amp;Data_PLT[[#This Row],[UCS max code]]</f>
        <v>#VALUE!</v>
      </c>
      <c r="AG249" s="67" t="e">
        <f>Data_PLT[[#This Row],[Failure type]]&amp;"-"&amp;Data_PLT[[#This Row],[Test type]]&amp;"-"&amp;(IF(Data_PLT[[#This Row],[Is50 (MPa)]]&lt;1,1,IF(Data_PLT[[#This Row],[Is50 (MPa)]]&lt;2,2,IF(Data_PLT[[#This Row],[Is50 (MPa)]]&lt;4,3,IF(Data_PLT[[#This Row],[Is50 (MPa)]]&lt;8,4,5)))))</f>
        <v>#VALUE!</v>
      </c>
    </row>
    <row r="250" spans="1:33" x14ac:dyDescent="0.25">
      <c r="A250" s="14"/>
      <c r="B250" s="88" t="e">
        <f>VLOOKUP(Data_PLT[[#This Row],[Hole ID]],Data_Log[],2,FALSE)</f>
        <v>#N/A</v>
      </c>
      <c r="C250" s="63" t="str">
        <f>IF(Data_PLT[[#This Row],[Hole ID]]="","",
IF(COUNTIF($A$4:A250,Data_PLT[[#This Row],[Hole ID]])=1,1,
IF(A250=A249,C249+1,
COUNTIF($A$4:A250,Data_PLT[[#This Row],[Hole ID]]))))</f>
        <v/>
      </c>
      <c r="D250" s="63" t="str">
        <f>IF(Data_PLT[[#This Row],[Hole ID]]="","",Data_PLT[[#This Row],[Hole ID]]&amp;"_"&amp;Data_PLT[[#This Row],[Sample ID]])</f>
        <v/>
      </c>
      <c r="E250" s="6"/>
      <c r="F250" s="6"/>
      <c r="G250" s="63" t="e" cm="1">
        <f t="array" ref="G250">_xlfn.XLOOKUP(1,(A250=Geotech!$A$4:$A$11100)*(Data_PLT[[#This Row],[Depth (m)]]&gt;=Geotech!$C$4:$C$11100)*(Data_PLT[[#This Row],[Depth (m)]]&lt;Geotech!$D$4:$D$11100),Geotech!$M$4:$M$11100)</f>
        <v>#N/A</v>
      </c>
      <c r="H250" s="6"/>
      <c r="I250" s="63" t="e">
        <f>VLOOKUP(Data_PLT[[#This Row],[Hole ID]],Data_Log[[Hole ID]:[Core size]],20,FALSE)</f>
        <v>#N/A</v>
      </c>
      <c r="J250" s="13" t="e">
        <f>VLOOKUP(Data_PLT[[#This Row],[Core Size]],Table_CoreSize[],2,FALSE)</f>
        <v>#N/A</v>
      </c>
      <c r="K250" s="19"/>
      <c r="L250" s="19"/>
      <c r="M250" s="5"/>
      <c r="N250" s="5"/>
      <c r="O250" s="6"/>
      <c r="P250" s="13" t="str">
        <f>IF(Data_PLT[[#This Row],[Failure type]]="","",IF(OR(Data_PLT[[#This Row],[Failure type]]="Invalid",Data_PLT[[#This Row],[Failure type]]="Chipped",Data_PLT[[#This Row],[Failure type]]="Penetrate",Data_PLT[[#This Row],[Failure type]]="Did not break"),"Invalid","Valid"))</f>
        <v/>
      </c>
      <c r="Q250" s="6"/>
      <c r="R250" s="11"/>
      <c r="S250" s="13" t="str">
        <f>IF(Data_PLT[[#This Row],[Test type]]="Diametral",Data_PLT[[#This Row],[Diameter (mm)]],IF(Data_PLT[[#This Row],[Test type]]="Axial",SQRT(4*Data_PLT[[#This Row],[Diameter (mm)]]*Data_PLT[[#This Row],[Length or width (mm)]]/PI()),"ERROR"))</f>
        <v>ERROR</v>
      </c>
      <c r="T250" s="13" t="e">
        <f>(Data_PLT[[#This Row],[Load (kN)]]*1000)/Data_PLT[[#This Row],[Equiv. Diam. (mm)]]^2</f>
        <v>#VALUE!</v>
      </c>
      <c r="U250" s="13" t="e">
        <f>(Data_PLT[[#This Row],[Equiv. Diam. (mm)]]/50)^0.45</f>
        <v>#VALUE!</v>
      </c>
      <c r="V250" s="13" t="e">
        <f>Data_PLT[[#This Row],[Is (MPa)]]*Data_PLT[[#This Row],[F]]</f>
        <v>#VALUE!</v>
      </c>
      <c r="W250" s="13" t="str">
        <f>Data_PLT[[#This Row],[Failure Validity]]&amp;"-"&amp;Data_PLT[[#This Row],[Test type]]</f>
        <v>-</v>
      </c>
      <c r="X250" s="13" t="e">
        <f>Data_PLT[[#This Row],[Is50 (MPa)]]*VLOOKUP("Min",Table_PLT_Conversion[],2,FALSE)</f>
        <v>#VALUE!</v>
      </c>
      <c r="Y250" s="13" t="e">
        <f>Data_PLT[[#This Row],[Is50 (MPa)]]*VLOOKUP("Avg",Table_PLT_Conversion[],2,FALSE)</f>
        <v>#VALUE!</v>
      </c>
      <c r="Z250" s="13" t="e">
        <f>Data_PLT[[#This Row],[Is50 (MPa)]]*VLOOKUP("Max",Table_PLT_Conversion[],2,FALSE)</f>
        <v>#VALUE!</v>
      </c>
      <c r="AA250" s="62" t="e">
        <f>MATCH(LOOKUP(Data_PLT[[#This Row],[UCS min (MPa)]],Table_FieldStrength[Min UCS]),Table_FieldStrength[Min UCS],0)-1</f>
        <v>#VALUE!</v>
      </c>
      <c r="AB250" s="62" t="e">
        <f>MATCH(LOOKUP(Data_PLT[[#This Row],[UCS avg (MPa)]],Table_FieldStrength[Min UCS]),Table_FieldStrength[Min UCS],0)-1</f>
        <v>#VALUE!</v>
      </c>
      <c r="AC250" s="62" t="e">
        <f>MATCH(LOOKUP(Data_PLT[[#This Row],[UCS max (MPa)]],Table_FieldStrength[Min UCS]),Table_FieldStrength[Min UCS],0)-1</f>
        <v>#VALUE!</v>
      </c>
      <c r="AD250" s="68" t="e">
        <f>Data_PLT[[#This Row],[Test code]]&amp;"-"&amp;Data_PLT[[#This Row],[UCS min code]]</f>
        <v>#VALUE!</v>
      </c>
      <c r="AE250" s="68" t="e">
        <f>Data_PLT[[#This Row],[Test code]]&amp;"-"&amp;Data_PLT[[#This Row],[UCS avg code]]</f>
        <v>#VALUE!</v>
      </c>
      <c r="AF250" s="67" t="e">
        <f>Data_PLT[[#This Row],[Test code]]&amp;"-"&amp;Data_PLT[[#This Row],[UCS max code]]</f>
        <v>#VALUE!</v>
      </c>
      <c r="AG250" s="67" t="e">
        <f>Data_PLT[[#This Row],[Failure type]]&amp;"-"&amp;Data_PLT[[#This Row],[Test type]]&amp;"-"&amp;(IF(Data_PLT[[#This Row],[Is50 (MPa)]]&lt;1,1,IF(Data_PLT[[#This Row],[Is50 (MPa)]]&lt;2,2,IF(Data_PLT[[#This Row],[Is50 (MPa)]]&lt;4,3,IF(Data_PLT[[#This Row],[Is50 (MPa)]]&lt;8,4,5)))))</f>
        <v>#VALUE!</v>
      </c>
    </row>
    <row r="251" spans="1:33" x14ac:dyDescent="0.25">
      <c r="A251" s="14"/>
      <c r="B251" s="88" t="e">
        <f>VLOOKUP(Data_PLT[[#This Row],[Hole ID]],Data_Log[],2,FALSE)</f>
        <v>#N/A</v>
      </c>
      <c r="C251" s="63" t="str">
        <f>IF(Data_PLT[[#This Row],[Hole ID]]="","",
IF(COUNTIF($A$4:A251,Data_PLT[[#This Row],[Hole ID]])=1,1,
IF(A251=A250,C250+1,
COUNTIF($A$4:A251,Data_PLT[[#This Row],[Hole ID]]))))</f>
        <v/>
      </c>
      <c r="D251" s="63" t="str">
        <f>IF(Data_PLT[[#This Row],[Hole ID]]="","",Data_PLT[[#This Row],[Hole ID]]&amp;"_"&amp;Data_PLT[[#This Row],[Sample ID]])</f>
        <v/>
      </c>
      <c r="E251" s="6"/>
      <c r="F251" s="6"/>
      <c r="G251" s="63" t="e" cm="1">
        <f t="array" ref="G251">_xlfn.XLOOKUP(1,(A251=Geotech!$A$4:$A$11100)*(Data_PLT[[#This Row],[Depth (m)]]&gt;=Geotech!$C$4:$C$11100)*(Data_PLT[[#This Row],[Depth (m)]]&lt;Geotech!$D$4:$D$11100),Geotech!$M$4:$M$11100)</f>
        <v>#N/A</v>
      </c>
      <c r="H251" s="6"/>
      <c r="I251" s="63" t="e">
        <f>VLOOKUP(Data_PLT[[#This Row],[Hole ID]],Data_Log[[Hole ID]:[Core size]],20,FALSE)</f>
        <v>#N/A</v>
      </c>
      <c r="J251" s="13" t="e">
        <f>VLOOKUP(Data_PLT[[#This Row],[Core Size]],Table_CoreSize[],2,FALSE)</f>
        <v>#N/A</v>
      </c>
      <c r="K251" s="19"/>
      <c r="L251" s="19"/>
      <c r="M251" s="5"/>
      <c r="N251" s="5"/>
      <c r="O251" s="6"/>
      <c r="P251" s="13" t="str">
        <f>IF(Data_PLT[[#This Row],[Failure type]]="","",IF(OR(Data_PLT[[#This Row],[Failure type]]="Invalid",Data_PLT[[#This Row],[Failure type]]="Chipped",Data_PLT[[#This Row],[Failure type]]="Penetrate",Data_PLT[[#This Row],[Failure type]]="Did not break"),"Invalid","Valid"))</f>
        <v/>
      </c>
      <c r="Q251" s="6"/>
      <c r="R251" s="11"/>
      <c r="S251" s="13" t="str">
        <f>IF(Data_PLT[[#This Row],[Test type]]="Diametral",Data_PLT[[#This Row],[Diameter (mm)]],IF(Data_PLT[[#This Row],[Test type]]="Axial",SQRT(4*Data_PLT[[#This Row],[Diameter (mm)]]*Data_PLT[[#This Row],[Length or width (mm)]]/PI()),"ERROR"))</f>
        <v>ERROR</v>
      </c>
      <c r="T251" s="13" t="e">
        <f>(Data_PLT[[#This Row],[Load (kN)]]*1000)/Data_PLT[[#This Row],[Equiv. Diam. (mm)]]^2</f>
        <v>#VALUE!</v>
      </c>
      <c r="U251" s="13" t="e">
        <f>(Data_PLT[[#This Row],[Equiv. Diam. (mm)]]/50)^0.45</f>
        <v>#VALUE!</v>
      </c>
      <c r="V251" s="13" t="e">
        <f>Data_PLT[[#This Row],[Is (MPa)]]*Data_PLT[[#This Row],[F]]</f>
        <v>#VALUE!</v>
      </c>
      <c r="W251" s="13" t="str">
        <f>Data_PLT[[#This Row],[Failure Validity]]&amp;"-"&amp;Data_PLT[[#This Row],[Test type]]</f>
        <v>-</v>
      </c>
      <c r="X251" s="13" t="e">
        <f>Data_PLT[[#This Row],[Is50 (MPa)]]*VLOOKUP("Min",Table_PLT_Conversion[],2,FALSE)</f>
        <v>#VALUE!</v>
      </c>
      <c r="Y251" s="13" t="e">
        <f>Data_PLT[[#This Row],[Is50 (MPa)]]*VLOOKUP("Avg",Table_PLT_Conversion[],2,FALSE)</f>
        <v>#VALUE!</v>
      </c>
      <c r="Z251" s="13" t="e">
        <f>Data_PLT[[#This Row],[Is50 (MPa)]]*VLOOKUP("Max",Table_PLT_Conversion[],2,FALSE)</f>
        <v>#VALUE!</v>
      </c>
      <c r="AA251" s="62" t="e">
        <f>MATCH(LOOKUP(Data_PLT[[#This Row],[UCS min (MPa)]],Table_FieldStrength[Min UCS]),Table_FieldStrength[Min UCS],0)-1</f>
        <v>#VALUE!</v>
      </c>
      <c r="AB251" s="62" t="e">
        <f>MATCH(LOOKUP(Data_PLT[[#This Row],[UCS avg (MPa)]],Table_FieldStrength[Min UCS]),Table_FieldStrength[Min UCS],0)-1</f>
        <v>#VALUE!</v>
      </c>
      <c r="AC251" s="62" t="e">
        <f>MATCH(LOOKUP(Data_PLT[[#This Row],[UCS max (MPa)]],Table_FieldStrength[Min UCS]),Table_FieldStrength[Min UCS],0)-1</f>
        <v>#VALUE!</v>
      </c>
      <c r="AD251" s="68" t="e">
        <f>Data_PLT[[#This Row],[Test code]]&amp;"-"&amp;Data_PLT[[#This Row],[UCS min code]]</f>
        <v>#VALUE!</v>
      </c>
      <c r="AE251" s="68" t="e">
        <f>Data_PLT[[#This Row],[Test code]]&amp;"-"&amp;Data_PLT[[#This Row],[UCS avg code]]</f>
        <v>#VALUE!</v>
      </c>
      <c r="AF251" s="67" t="e">
        <f>Data_PLT[[#This Row],[Test code]]&amp;"-"&amp;Data_PLT[[#This Row],[UCS max code]]</f>
        <v>#VALUE!</v>
      </c>
      <c r="AG251" s="67" t="e">
        <f>Data_PLT[[#This Row],[Failure type]]&amp;"-"&amp;Data_PLT[[#This Row],[Test type]]&amp;"-"&amp;(IF(Data_PLT[[#This Row],[Is50 (MPa)]]&lt;1,1,IF(Data_PLT[[#This Row],[Is50 (MPa)]]&lt;2,2,IF(Data_PLT[[#This Row],[Is50 (MPa)]]&lt;4,3,IF(Data_PLT[[#This Row],[Is50 (MPa)]]&lt;8,4,5)))))</f>
        <v>#VALUE!</v>
      </c>
    </row>
    <row r="252" spans="1:33" x14ac:dyDescent="0.25">
      <c r="A252" s="14"/>
      <c r="B252" s="88" t="e">
        <f>VLOOKUP(Data_PLT[[#This Row],[Hole ID]],Data_Log[],2,FALSE)</f>
        <v>#N/A</v>
      </c>
      <c r="C252" s="63" t="str">
        <f>IF(Data_PLT[[#This Row],[Hole ID]]="","",
IF(COUNTIF($A$4:A252,Data_PLT[[#This Row],[Hole ID]])=1,1,
IF(A252=A251,C251+1,
COUNTIF($A$4:A252,Data_PLT[[#This Row],[Hole ID]]))))</f>
        <v/>
      </c>
      <c r="D252" s="63" t="str">
        <f>IF(Data_PLT[[#This Row],[Hole ID]]="","",Data_PLT[[#This Row],[Hole ID]]&amp;"_"&amp;Data_PLT[[#This Row],[Sample ID]])</f>
        <v/>
      </c>
      <c r="E252" s="6"/>
      <c r="F252" s="6"/>
      <c r="G252" s="63" t="e" cm="1">
        <f t="array" ref="G252">_xlfn.XLOOKUP(1,(A252=Geotech!$A$4:$A$11100)*(Data_PLT[[#This Row],[Depth (m)]]&gt;=Geotech!$C$4:$C$11100)*(Data_PLT[[#This Row],[Depth (m)]]&lt;Geotech!$D$4:$D$11100),Geotech!$M$4:$M$11100)</f>
        <v>#N/A</v>
      </c>
      <c r="H252" s="6"/>
      <c r="I252" s="63" t="e">
        <f>VLOOKUP(Data_PLT[[#This Row],[Hole ID]],Data_Log[[Hole ID]:[Core size]],20,FALSE)</f>
        <v>#N/A</v>
      </c>
      <c r="J252" s="13" t="e">
        <f>VLOOKUP(Data_PLT[[#This Row],[Core Size]],Table_CoreSize[],2,FALSE)</f>
        <v>#N/A</v>
      </c>
      <c r="K252" s="19"/>
      <c r="L252" s="19"/>
      <c r="M252" s="5"/>
      <c r="N252" s="5"/>
      <c r="O252" s="6"/>
      <c r="P252" s="13" t="str">
        <f>IF(Data_PLT[[#This Row],[Failure type]]="","",IF(OR(Data_PLT[[#This Row],[Failure type]]="Invalid",Data_PLT[[#This Row],[Failure type]]="Chipped",Data_PLT[[#This Row],[Failure type]]="Penetrate",Data_PLT[[#This Row],[Failure type]]="Did not break"),"Invalid","Valid"))</f>
        <v/>
      </c>
      <c r="Q252" s="6"/>
      <c r="R252" s="11"/>
      <c r="S252" s="13" t="str">
        <f>IF(Data_PLT[[#This Row],[Test type]]="Diametral",Data_PLT[[#This Row],[Diameter (mm)]],IF(Data_PLT[[#This Row],[Test type]]="Axial",SQRT(4*Data_PLT[[#This Row],[Diameter (mm)]]*Data_PLT[[#This Row],[Length or width (mm)]]/PI()),"ERROR"))</f>
        <v>ERROR</v>
      </c>
      <c r="T252" s="13" t="e">
        <f>(Data_PLT[[#This Row],[Load (kN)]]*1000)/Data_PLT[[#This Row],[Equiv. Diam. (mm)]]^2</f>
        <v>#VALUE!</v>
      </c>
      <c r="U252" s="13" t="e">
        <f>(Data_PLT[[#This Row],[Equiv. Diam. (mm)]]/50)^0.45</f>
        <v>#VALUE!</v>
      </c>
      <c r="V252" s="13" t="e">
        <f>Data_PLT[[#This Row],[Is (MPa)]]*Data_PLT[[#This Row],[F]]</f>
        <v>#VALUE!</v>
      </c>
      <c r="W252" s="13" t="str">
        <f>Data_PLT[[#This Row],[Failure Validity]]&amp;"-"&amp;Data_PLT[[#This Row],[Test type]]</f>
        <v>-</v>
      </c>
      <c r="X252" s="13" t="e">
        <f>Data_PLT[[#This Row],[Is50 (MPa)]]*VLOOKUP("Min",Table_PLT_Conversion[],2,FALSE)</f>
        <v>#VALUE!</v>
      </c>
      <c r="Y252" s="13" t="e">
        <f>Data_PLT[[#This Row],[Is50 (MPa)]]*VLOOKUP("Avg",Table_PLT_Conversion[],2,FALSE)</f>
        <v>#VALUE!</v>
      </c>
      <c r="Z252" s="13" t="e">
        <f>Data_PLT[[#This Row],[Is50 (MPa)]]*VLOOKUP("Max",Table_PLT_Conversion[],2,FALSE)</f>
        <v>#VALUE!</v>
      </c>
      <c r="AA252" s="62" t="e">
        <f>MATCH(LOOKUP(Data_PLT[[#This Row],[UCS min (MPa)]],Table_FieldStrength[Min UCS]),Table_FieldStrength[Min UCS],0)-1</f>
        <v>#VALUE!</v>
      </c>
      <c r="AB252" s="62" t="e">
        <f>MATCH(LOOKUP(Data_PLT[[#This Row],[UCS avg (MPa)]],Table_FieldStrength[Min UCS]),Table_FieldStrength[Min UCS],0)-1</f>
        <v>#VALUE!</v>
      </c>
      <c r="AC252" s="62" t="e">
        <f>MATCH(LOOKUP(Data_PLT[[#This Row],[UCS max (MPa)]],Table_FieldStrength[Min UCS]),Table_FieldStrength[Min UCS],0)-1</f>
        <v>#VALUE!</v>
      </c>
      <c r="AD252" s="68" t="e">
        <f>Data_PLT[[#This Row],[Test code]]&amp;"-"&amp;Data_PLT[[#This Row],[UCS min code]]</f>
        <v>#VALUE!</v>
      </c>
      <c r="AE252" s="68" t="e">
        <f>Data_PLT[[#This Row],[Test code]]&amp;"-"&amp;Data_PLT[[#This Row],[UCS avg code]]</f>
        <v>#VALUE!</v>
      </c>
      <c r="AF252" s="67" t="e">
        <f>Data_PLT[[#This Row],[Test code]]&amp;"-"&amp;Data_PLT[[#This Row],[UCS max code]]</f>
        <v>#VALUE!</v>
      </c>
      <c r="AG252" s="67" t="e">
        <f>Data_PLT[[#This Row],[Failure type]]&amp;"-"&amp;Data_PLT[[#This Row],[Test type]]&amp;"-"&amp;(IF(Data_PLT[[#This Row],[Is50 (MPa)]]&lt;1,1,IF(Data_PLT[[#This Row],[Is50 (MPa)]]&lt;2,2,IF(Data_PLT[[#This Row],[Is50 (MPa)]]&lt;4,3,IF(Data_PLT[[#This Row],[Is50 (MPa)]]&lt;8,4,5)))))</f>
        <v>#VALUE!</v>
      </c>
    </row>
    <row r="253" spans="1:33" x14ac:dyDescent="0.25">
      <c r="A253" s="14"/>
      <c r="B253" s="88" t="e">
        <f>VLOOKUP(Data_PLT[[#This Row],[Hole ID]],Data_Log[],2,FALSE)</f>
        <v>#N/A</v>
      </c>
      <c r="C253" s="63" t="str">
        <f>IF(Data_PLT[[#This Row],[Hole ID]]="","",
IF(COUNTIF($A$4:A253,Data_PLT[[#This Row],[Hole ID]])=1,1,
IF(A253=A252,C252+1,
COUNTIF($A$4:A253,Data_PLT[[#This Row],[Hole ID]]))))</f>
        <v/>
      </c>
      <c r="D253" s="63" t="str">
        <f>IF(Data_PLT[[#This Row],[Hole ID]]="","",Data_PLT[[#This Row],[Hole ID]]&amp;"_"&amp;Data_PLT[[#This Row],[Sample ID]])</f>
        <v/>
      </c>
      <c r="E253" s="6"/>
      <c r="F253" s="6"/>
      <c r="G253" s="63" t="e" cm="1">
        <f t="array" ref="G253">_xlfn.XLOOKUP(1,(A253=Geotech!$A$4:$A$11100)*(Data_PLT[[#This Row],[Depth (m)]]&gt;=Geotech!$C$4:$C$11100)*(Data_PLT[[#This Row],[Depth (m)]]&lt;Geotech!$D$4:$D$11100),Geotech!$M$4:$M$11100)</f>
        <v>#N/A</v>
      </c>
      <c r="H253" s="6"/>
      <c r="I253" s="63" t="e">
        <f>VLOOKUP(Data_PLT[[#This Row],[Hole ID]],Data_Log[[Hole ID]:[Core size]],20,FALSE)</f>
        <v>#N/A</v>
      </c>
      <c r="J253" s="13" t="e">
        <f>VLOOKUP(Data_PLT[[#This Row],[Core Size]],Table_CoreSize[],2,FALSE)</f>
        <v>#N/A</v>
      </c>
      <c r="K253" s="19"/>
      <c r="L253" s="19"/>
      <c r="M253" s="5"/>
      <c r="N253" s="5"/>
      <c r="O253" s="6"/>
      <c r="P253" s="13" t="str">
        <f>IF(Data_PLT[[#This Row],[Failure type]]="","",IF(OR(Data_PLT[[#This Row],[Failure type]]="Invalid",Data_PLT[[#This Row],[Failure type]]="Chipped",Data_PLT[[#This Row],[Failure type]]="Penetrate",Data_PLT[[#This Row],[Failure type]]="Did not break"),"Invalid","Valid"))</f>
        <v/>
      </c>
      <c r="Q253" s="6"/>
      <c r="R253" s="11"/>
      <c r="S253" s="13" t="str">
        <f>IF(Data_PLT[[#This Row],[Test type]]="Diametral",Data_PLT[[#This Row],[Diameter (mm)]],IF(Data_PLT[[#This Row],[Test type]]="Axial",SQRT(4*Data_PLT[[#This Row],[Diameter (mm)]]*Data_PLT[[#This Row],[Length or width (mm)]]/PI()),"ERROR"))</f>
        <v>ERROR</v>
      </c>
      <c r="T253" s="13" t="e">
        <f>(Data_PLT[[#This Row],[Load (kN)]]*1000)/Data_PLT[[#This Row],[Equiv. Diam. (mm)]]^2</f>
        <v>#VALUE!</v>
      </c>
      <c r="U253" s="13" t="e">
        <f>(Data_PLT[[#This Row],[Equiv. Diam. (mm)]]/50)^0.45</f>
        <v>#VALUE!</v>
      </c>
      <c r="V253" s="13" t="e">
        <f>Data_PLT[[#This Row],[Is (MPa)]]*Data_PLT[[#This Row],[F]]</f>
        <v>#VALUE!</v>
      </c>
      <c r="W253" s="13" t="str">
        <f>Data_PLT[[#This Row],[Failure Validity]]&amp;"-"&amp;Data_PLT[[#This Row],[Test type]]</f>
        <v>-</v>
      </c>
      <c r="X253" s="13" t="e">
        <f>Data_PLT[[#This Row],[Is50 (MPa)]]*VLOOKUP("Min",Table_PLT_Conversion[],2,FALSE)</f>
        <v>#VALUE!</v>
      </c>
      <c r="Y253" s="13" t="e">
        <f>Data_PLT[[#This Row],[Is50 (MPa)]]*VLOOKUP("Avg",Table_PLT_Conversion[],2,FALSE)</f>
        <v>#VALUE!</v>
      </c>
      <c r="Z253" s="13" t="e">
        <f>Data_PLT[[#This Row],[Is50 (MPa)]]*VLOOKUP("Max",Table_PLT_Conversion[],2,FALSE)</f>
        <v>#VALUE!</v>
      </c>
      <c r="AA253" s="62" t="e">
        <f>MATCH(LOOKUP(Data_PLT[[#This Row],[UCS min (MPa)]],Table_FieldStrength[Min UCS]),Table_FieldStrength[Min UCS],0)-1</f>
        <v>#VALUE!</v>
      </c>
      <c r="AB253" s="62" t="e">
        <f>MATCH(LOOKUP(Data_PLT[[#This Row],[UCS avg (MPa)]],Table_FieldStrength[Min UCS]),Table_FieldStrength[Min UCS],0)-1</f>
        <v>#VALUE!</v>
      </c>
      <c r="AC253" s="62" t="e">
        <f>MATCH(LOOKUP(Data_PLT[[#This Row],[UCS max (MPa)]],Table_FieldStrength[Min UCS]),Table_FieldStrength[Min UCS],0)-1</f>
        <v>#VALUE!</v>
      </c>
      <c r="AD253" s="68" t="e">
        <f>Data_PLT[[#This Row],[Test code]]&amp;"-"&amp;Data_PLT[[#This Row],[UCS min code]]</f>
        <v>#VALUE!</v>
      </c>
      <c r="AE253" s="68" t="e">
        <f>Data_PLT[[#This Row],[Test code]]&amp;"-"&amp;Data_PLT[[#This Row],[UCS avg code]]</f>
        <v>#VALUE!</v>
      </c>
      <c r="AF253" s="67" t="e">
        <f>Data_PLT[[#This Row],[Test code]]&amp;"-"&amp;Data_PLT[[#This Row],[UCS max code]]</f>
        <v>#VALUE!</v>
      </c>
      <c r="AG253" s="67" t="e">
        <f>Data_PLT[[#This Row],[Failure type]]&amp;"-"&amp;Data_PLT[[#This Row],[Test type]]&amp;"-"&amp;(IF(Data_PLT[[#This Row],[Is50 (MPa)]]&lt;1,1,IF(Data_PLT[[#This Row],[Is50 (MPa)]]&lt;2,2,IF(Data_PLT[[#This Row],[Is50 (MPa)]]&lt;4,3,IF(Data_PLT[[#This Row],[Is50 (MPa)]]&lt;8,4,5)))))</f>
        <v>#VALUE!</v>
      </c>
    </row>
    <row r="254" spans="1:33" x14ac:dyDescent="0.25">
      <c r="A254" s="14"/>
      <c r="B254" s="88" t="e">
        <f>VLOOKUP(Data_PLT[[#This Row],[Hole ID]],Data_Log[],2,FALSE)</f>
        <v>#N/A</v>
      </c>
      <c r="C254" s="63" t="str">
        <f>IF(Data_PLT[[#This Row],[Hole ID]]="","",
IF(COUNTIF($A$4:A254,Data_PLT[[#This Row],[Hole ID]])=1,1,
IF(A254=A253,C253+1,
COUNTIF($A$4:A254,Data_PLT[[#This Row],[Hole ID]]))))</f>
        <v/>
      </c>
      <c r="D254" s="63" t="str">
        <f>IF(Data_PLT[[#This Row],[Hole ID]]="","",Data_PLT[[#This Row],[Hole ID]]&amp;"_"&amp;Data_PLT[[#This Row],[Sample ID]])</f>
        <v/>
      </c>
      <c r="E254" s="6"/>
      <c r="F254" s="6"/>
      <c r="G254" s="63" t="e" cm="1">
        <f t="array" ref="G254">_xlfn.XLOOKUP(1,(A254=Geotech!$A$4:$A$11100)*(Data_PLT[[#This Row],[Depth (m)]]&gt;=Geotech!$C$4:$C$11100)*(Data_PLT[[#This Row],[Depth (m)]]&lt;Geotech!$D$4:$D$11100),Geotech!$M$4:$M$11100)</f>
        <v>#N/A</v>
      </c>
      <c r="H254" s="6"/>
      <c r="I254" s="63" t="e">
        <f>VLOOKUP(Data_PLT[[#This Row],[Hole ID]],Data_Log[[Hole ID]:[Core size]],20,FALSE)</f>
        <v>#N/A</v>
      </c>
      <c r="J254" s="13" t="e">
        <f>VLOOKUP(Data_PLT[[#This Row],[Core Size]],Table_CoreSize[],2,FALSE)</f>
        <v>#N/A</v>
      </c>
      <c r="K254" s="19"/>
      <c r="L254" s="19"/>
      <c r="M254" s="5"/>
      <c r="N254" s="5"/>
      <c r="O254" s="6"/>
      <c r="P254" s="13" t="str">
        <f>IF(Data_PLT[[#This Row],[Failure type]]="","",IF(OR(Data_PLT[[#This Row],[Failure type]]="Invalid",Data_PLT[[#This Row],[Failure type]]="Chipped",Data_PLT[[#This Row],[Failure type]]="Penetrate",Data_PLT[[#This Row],[Failure type]]="Did not break"),"Invalid","Valid"))</f>
        <v/>
      </c>
      <c r="Q254" s="6"/>
      <c r="R254" s="11"/>
      <c r="S254" s="13" t="str">
        <f>IF(Data_PLT[[#This Row],[Test type]]="Diametral",Data_PLT[[#This Row],[Diameter (mm)]],IF(Data_PLT[[#This Row],[Test type]]="Axial",SQRT(4*Data_PLT[[#This Row],[Diameter (mm)]]*Data_PLT[[#This Row],[Length or width (mm)]]/PI()),"ERROR"))</f>
        <v>ERROR</v>
      </c>
      <c r="T254" s="13" t="e">
        <f>(Data_PLT[[#This Row],[Load (kN)]]*1000)/Data_PLT[[#This Row],[Equiv. Diam. (mm)]]^2</f>
        <v>#VALUE!</v>
      </c>
      <c r="U254" s="13" t="e">
        <f>(Data_PLT[[#This Row],[Equiv. Diam. (mm)]]/50)^0.45</f>
        <v>#VALUE!</v>
      </c>
      <c r="V254" s="13" t="e">
        <f>Data_PLT[[#This Row],[Is (MPa)]]*Data_PLT[[#This Row],[F]]</f>
        <v>#VALUE!</v>
      </c>
      <c r="W254" s="13" t="str">
        <f>Data_PLT[[#This Row],[Failure Validity]]&amp;"-"&amp;Data_PLT[[#This Row],[Test type]]</f>
        <v>-</v>
      </c>
      <c r="X254" s="13" t="e">
        <f>Data_PLT[[#This Row],[Is50 (MPa)]]*VLOOKUP("Min",Table_PLT_Conversion[],2,FALSE)</f>
        <v>#VALUE!</v>
      </c>
      <c r="Y254" s="13" t="e">
        <f>Data_PLT[[#This Row],[Is50 (MPa)]]*VLOOKUP("Avg",Table_PLT_Conversion[],2,FALSE)</f>
        <v>#VALUE!</v>
      </c>
      <c r="Z254" s="13" t="e">
        <f>Data_PLT[[#This Row],[Is50 (MPa)]]*VLOOKUP("Max",Table_PLT_Conversion[],2,FALSE)</f>
        <v>#VALUE!</v>
      </c>
      <c r="AA254" s="62" t="e">
        <f>MATCH(LOOKUP(Data_PLT[[#This Row],[UCS min (MPa)]],Table_FieldStrength[Min UCS]),Table_FieldStrength[Min UCS],0)-1</f>
        <v>#VALUE!</v>
      </c>
      <c r="AB254" s="62" t="e">
        <f>MATCH(LOOKUP(Data_PLT[[#This Row],[UCS avg (MPa)]],Table_FieldStrength[Min UCS]),Table_FieldStrength[Min UCS],0)-1</f>
        <v>#VALUE!</v>
      </c>
      <c r="AC254" s="62" t="e">
        <f>MATCH(LOOKUP(Data_PLT[[#This Row],[UCS max (MPa)]],Table_FieldStrength[Min UCS]),Table_FieldStrength[Min UCS],0)-1</f>
        <v>#VALUE!</v>
      </c>
      <c r="AD254" s="68" t="e">
        <f>Data_PLT[[#This Row],[Test code]]&amp;"-"&amp;Data_PLT[[#This Row],[UCS min code]]</f>
        <v>#VALUE!</v>
      </c>
      <c r="AE254" s="68" t="e">
        <f>Data_PLT[[#This Row],[Test code]]&amp;"-"&amp;Data_PLT[[#This Row],[UCS avg code]]</f>
        <v>#VALUE!</v>
      </c>
      <c r="AF254" s="67" t="e">
        <f>Data_PLT[[#This Row],[Test code]]&amp;"-"&amp;Data_PLT[[#This Row],[UCS max code]]</f>
        <v>#VALUE!</v>
      </c>
      <c r="AG254" s="67" t="e">
        <f>Data_PLT[[#This Row],[Failure type]]&amp;"-"&amp;Data_PLT[[#This Row],[Test type]]&amp;"-"&amp;(IF(Data_PLT[[#This Row],[Is50 (MPa)]]&lt;1,1,IF(Data_PLT[[#This Row],[Is50 (MPa)]]&lt;2,2,IF(Data_PLT[[#This Row],[Is50 (MPa)]]&lt;4,3,IF(Data_PLT[[#This Row],[Is50 (MPa)]]&lt;8,4,5)))))</f>
        <v>#VALUE!</v>
      </c>
    </row>
    <row r="255" spans="1:33" x14ac:dyDescent="0.25">
      <c r="A255" s="14"/>
      <c r="B255" s="88" t="e">
        <f>VLOOKUP(Data_PLT[[#This Row],[Hole ID]],Data_Log[],2,FALSE)</f>
        <v>#N/A</v>
      </c>
      <c r="C255" s="63" t="str">
        <f>IF(Data_PLT[[#This Row],[Hole ID]]="","",
IF(COUNTIF($A$4:A255,Data_PLT[[#This Row],[Hole ID]])=1,1,
IF(A255=A254,C254+1,
COUNTIF($A$4:A255,Data_PLT[[#This Row],[Hole ID]]))))</f>
        <v/>
      </c>
      <c r="D255" s="63" t="str">
        <f>IF(Data_PLT[[#This Row],[Hole ID]]="","",Data_PLT[[#This Row],[Hole ID]]&amp;"_"&amp;Data_PLT[[#This Row],[Sample ID]])</f>
        <v/>
      </c>
      <c r="E255" s="6"/>
      <c r="F255" s="6"/>
      <c r="G255" s="63" t="e" cm="1">
        <f t="array" ref="G255">_xlfn.XLOOKUP(1,(A255=Geotech!$A$4:$A$11100)*(Data_PLT[[#This Row],[Depth (m)]]&gt;=Geotech!$C$4:$C$11100)*(Data_PLT[[#This Row],[Depth (m)]]&lt;Geotech!$D$4:$D$11100),Geotech!$M$4:$M$11100)</f>
        <v>#N/A</v>
      </c>
      <c r="H255" s="6"/>
      <c r="I255" s="63" t="e">
        <f>VLOOKUP(Data_PLT[[#This Row],[Hole ID]],Data_Log[[Hole ID]:[Core size]],20,FALSE)</f>
        <v>#N/A</v>
      </c>
      <c r="J255" s="13" t="e">
        <f>VLOOKUP(Data_PLT[[#This Row],[Core Size]],Table_CoreSize[],2,FALSE)</f>
        <v>#N/A</v>
      </c>
      <c r="K255" s="19"/>
      <c r="L255" s="19"/>
      <c r="M255" s="5"/>
      <c r="N255" s="5"/>
      <c r="O255" s="6"/>
      <c r="P255" s="13" t="str">
        <f>IF(Data_PLT[[#This Row],[Failure type]]="","",IF(OR(Data_PLT[[#This Row],[Failure type]]="Invalid",Data_PLT[[#This Row],[Failure type]]="Chipped",Data_PLT[[#This Row],[Failure type]]="Penetrate",Data_PLT[[#This Row],[Failure type]]="Did not break"),"Invalid","Valid"))</f>
        <v/>
      </c>
      <c r="Q255" s="6"/>
      <c r="R255" s="11"/>
      <c r="S255" s="13" t="str">
        <f>IF(Data_PLT[[#This Row],[Test type]]="Diametral",Data_PLT[[#This Row],[Diameter (mm)]],IF(Data_PLT[[#This Row],[Test type]]="Axial",SQRT(4*Data_PLT[[#This Row],[Diameter (mm)]]*Data_PLT[[#This Row],[Length or width (mm)]]/PI()),"ERROR"))</f>
        <v>ERROR</v>
      </c>
      <c r="T255" s="13" t="e">
        <f>(Data_PLT[[#This Row],[Load (kN)]]*1000)/Data_PLT[[#This Row],[Equiv. Diam. (mm)]]^2</f>
        <v>#VALUE!</v>
      </c>
      <c r="U255" s="13" t="e">
        <f>(Data_PLT[[#This Row],[Equiv. Diam. (mm)]]/50)^0.45</f>
        <v>#VALUE!</v>
      </c>
      <c r="V255" s="13" t="e">
        <f>Data_PLT[[#This Row],[Is (MPa)]]*Data_PLT[[#This Row],[F]]</f>
        <v>#VALUE!</v>
      </c>
      <c r="W255" s="13" t="str">
        <f>Data_PLT[[#This Row],[Failure Validity]]&amp;"-"&amp;Data_PLT[[#This Row],[Test type]]</f>
        <v>-</v>
      </c>
      <c r="X255" s="13" t="e">
        <f>Data_PLT[[#This Row],[Is50 (MPa)]]*VLOOKUP("Min",Table_PLT_Conversion[],2,FALSE)</f>
        <v>#VALUE!</v>
      </c>
      <c r="Y255" s="13" t="e">
        <f>Data_PLT[[#This Row],[Is50 (MPa)]]*VLOOKUP("Avg",Table_PLT_Conversion[],2,FALSE)</f>
        <v>#VALUE!</v>
      </c>
      <c r="Z255" s="13" t="e">
        <f>Data_PLT[[#This Row],[Is50 (MPa)]]*VLOOKUP("Max",Table_PLT_Conversion[],2,FALSE)</f>
        <v>#VALUE!</v>
      </c>
      <c r="AA255" s="62" t="e">
        <f>MATCH(LOOKUP(Data_PLT[[#This Row],[UCS min (MPa)]],Table_FieldStrength[Min UCS]),Table_FieldStrength[Min UCS],0)-1</f>
        <v>#VALUE!</v>
      </c>
      <c r="AB255" s="62" t="e">
        <f>MATCH(LOOKUP(Data_PLT[[#This Row],[UCS avg (MPa)]],Table_FieldStrength[Min UCS]),Table_FieldStrength[Min UCS],0)-1</f>
        <v>#VALUE!</v>
      </c>
      <c r="AC255" s="62" t="e">
        <f>MATCH(LOOKUP(Data_PLT[[#This Row],[UCS max (MPa)]],Table_FieldStrength[Min UCS]),Table_FieldStrength[Min UCS],0)-1</f>
        <v>#VALUE!</v>
      </c>
      <c r="AD255" s="68" t="e">
        <f>Data_PLT[[#This Row],[Test code]]&amp;"-"&amp;Data_PLT[[#This Row],[UCS min code]]</f>
        <v>#VALUE!</v>
      </c>
      <c r="AE255" s="68" t="e">
        <f>Data_PLT[[#This Row],[Test code]]&amp;"-"&amp;Data_PLT[[#This Row],[UCS avg code]]</f>
        <v>#VALUE!</v>
      </c>
      <c r="AF255" s="67" t="e">
        <f>Data_PLT[[#This Row],[Test code]]&amp;"-"&amp;Data_PLT[[#This Row],[UCS max code]]</f>
        <v>#VALUE!</v>
      </c>
      <c r="AG255" s="67" t="e">
        <f>Data_PLT[[#This Row],[Failure type]]&amp;"-"&amp;Data_PLT[[#This Row],[Test type]]&amp;"-"&amp;(IF(Data_PLT[[#This Row],[Is50 (MPa)]]&lt;1,1,IF(Data_PLT[[#This Row],[Is50 (MPa)]]&lt;2,2,IF(Data_PLT[[#This Row],[Is50 (MPa)]]&lt;4,3,IF(Data_PLT[[#This Row],[Is50 (MPa)]]&lt;8,4,5)))))</f>
        <v>#VALUE!</v>
      </c>
    </row>
    <row r="256" spans="1:33" x14ac:dyDescent="0.25">
      <c r="A256" s="14"/>
      <c r="B256" s="88" t="e">
        <f>VLOOKUP(Data_PLT[[#This Row],[Hole ID]],Data_Log[],2,FALSE)</f>
        <v>#N/A</v>
      </c>
      <c r="C256" s="63" t="str">
        <f>IF(Data_PLT[[#This Row],[Hole ID]]="","",
IF(COUNTIF($A$4:A256,Data_PLT[[#This Row],[Hole ID]])=1,1,
IF(A256=A255,C255+1,
COUNTIF($A$4:A256,Data_PLT[[#This Row],[Hole ID]]))))</f>
        <v/>
      </c>
      <c r="D256" s="63" t="str">
        <f>IF(Data_PLT[[#This Row],[Hole ID]]="","",Data_PLT[[#This Row],[Hole ID]]&amp;"_"&amp;Data_PLT[[#This Row],[Sample ID]])</f>
        <v/>
      </c>
      <c r="E256" s="6"/>
      <c r="F256" s="6"/>
      <c r="G256" s="63" t="e" cm="1">
        <f t="array" ref="G256">_xlfn.XLOOKUP(1,(A256=Geotech!$A$4:$A$11100)*(Data_PLT[[#This Row],[Depth (m)]]&gt;=Geotech!$C$4:$C$11100)*(Data_PLT[[#This Row],[Depth (m)]]&lt;Geotech!$D$4:$D$11100),Geotech!$M$4:$M$11100)</f>
        <v>#N/A</v>
      </c>
      <c r="H256" s="6"/>
      <c r="I256" s="63" t="e">
        <f>VLOOKUP(Data_PLT[[#This Row],[Hole ID]],Data_Log[[Hole ID]:[Core size]],20,FALSE)</f>
        <v>#N/A</v>
      </c>
      <c r="J256" s="13" t="e">
        <f>VLOOKUP(Data_PLT[[#This Row],[Core Size]],Table_CoreSize[],2,FALSE)</f>
        <v>#N/A</v>
      </c>
      <c r="K256" s="19"/>
      <c r="L256" s="19"/>
      <c r="M256" s="5"/>
      <c r="N256" s="5"/>
      <c r="O256" s="6"/>
      <c r="P256" s="13" t="str">
        <f>IF(Data_PLT[[#This Row],[Failure type]]="","",IF(OR(Data_PLT[[#This Row],[Failure type]]="Invalid",Data_PLT[[#This Row],[Failure type]]="Chipped",Data_PLT[[#This Row],[Failure type]]="Penetrate",Data_PLT[[#This Row],[Failure type]]="Did not break"),"Invalid","Valid"))</f>
        <v/>
      </c>
      <c r="Q256" s="6"/>
      <c r="R256" s="11"/>
      <c r="S256" s="13" t="str">
        <f>IF(Data_PLT[[#This Row],[Test type]]="Diametral",Data_PLT[[#This Row],[Diameter (mm)]],IF(Data_PLT[[#This Row],[Test type]]="Axial",SQRT(4*Data_PLT[[#This Row],[Diameter (mm)]]*Data_PLT[[#This Row],[Length or width (mm)]]/PI()),"ERROR"))</f>
        <v>ERROR</v>
      </c>
      <c r="T256" s="13" t="e">
        <f>(Data_PLT[[#This Row],[Load (kN)]]*1000)/Data_PLT[[#This Row],[Equiv. Diam. (mm)]]^2</f>
        <v>#VALUE!</v>
      </c>
      <c r="U256" s="13" t="e">
        <f>(Data_PLT[[#This Row],[Equiv. Diam. (mm)]]/50)^0.45</f>
        <v>#VALUE!</v>
      </c>
      <c r="V256" s="13" t="e">
        <f>Data_PLT[[#This Row],[Is (MPa)]]*Data_PLT[[#This Row],[F]]</f>
        <v>#VALUE!</v>
      </c>
      <c r="W256" s="13" t="str">
        <f>Data_PLT[[#This Row],[Failure Validity]]&amp;"-"&amp;Data_PLT[[#This Row],[Test type]]</f>
        <v>-</v>
      </c>
      <c r="X256" s="13" t="e">
        <f>Data_PLT[[#This Row],[Is50 (MPa)]]*VLOOKUP("Min",Table_PLT_Conversion[],2,FALSE)</f>
        <v>#VALUE!</v>
      </c>
      <c r="Y256" s="13" t="e">
        <f>Data_PLT[[#This Row],[Is50 (MPa)]]*VLOOKUP("Avg",Table_PLT_Conversion[],2,FALSE)</f>
        <v>#VALUE!</v>
      </c>
      <c r="Z256" s="13" t="e">
        <f>Data_PLT[[#This Row],[Is50 (MPa)]]*VLOOKUP("Max",Table_PLT_Conversion[],2,FALSE)</f>
        <v>#VALUE!</v>
      </c>
      <c r="AA256" s="62" t="e">
        <f>MATCH(LOOKUP(Data_PLT[[#This Row],[UCS min (MPa)]],Table_FieldStrength[Min UCS]),Table_FieldStrength[Min UCS],0)-1</f>
        <v>#VALUE!</v>
      </c>
      <c r="AB256" s="62" t="e">
        <f>MATCH(LOOKUP(Data_PLT[[#This Row],[UCS avg (MPa)]],Table_FieldStrength[Min UCS]),Table_FieldStrength[Min UCS],0)-1</f>
        <v>#VALUE!</v>
      </c>
      <c r="AC256" s="62" t="e">
        <f>MATCH(LOOKUP(Data_PLT[[#This Row],[UCS max (MPa)]],Table_FieldStrength[Min UCS]),Table_FieldStrength[Min UCS],0)-1</f>
        <v>#VALUE!</v>
      </c>
      <c r="AD256" s="68" t="e">
        <f>Data_PLT[[#This Row],[Test code]]&amp;"-"&amp;Data_PLT[[#This Row],[UCS min code]]</f>
        <v>#VALUE!</v>
      </c>
      <c r="AE256" s="68" t="e">
        <f>Data_PLT[[#This Row],[Test code]]&amp;"-"&amp;Data_PLT[[#This Row],[UCS avg code]]</f>
        <v>#VALUE!</v>
      </c>
      <c r="AF256" s="67" t="e">
        <f>Data_PLT[[#This Row],[Test code]]&amp;"-"&amp;Data_PLT[[#This Row],[UCS max code]]</f>
        <v>#VALUE!</v>
      </c>
      <c r="AG256" s="67" t="e">
        <f>Data_PLT[[#This Row],[Failure type]]&amp;"-"&amp;Data_PLT[[#This Row],[Test type]]&amp;"-"&amp;(IF(Data_PLT[[#This Row],[Is50 (MPa)]]&lt;1,1,IF(Data_PLT[[#This Row],[Is50 (MPa)]]&lt;2,2,IF(Data_PLT[[#This Row],[Is50 (MPa)]]&lt;4,3,IF(Data_PLT[[#This Row],[Is50 (MPa)]]&lt;8,4,5)))))</f>
        <v>#VALUE!</v>
      </c>
    </row>
    <row r="257" spans="1:33" x14ac:dyDescent="0.25">
      <c r="A257" s="14"/>
      <c r="B257" s="88" t="e">
        <f>VLOOKUP(Data_PLT[[#This Row],[Hole ID]],Data_Log[],2,FALSE)</f>
        <v>#N/A</v>
      </c>
      <c r="C257" s="63" t="str">
        <f>IF(Data_PLT[[#This Row],[Hole ID]]="","",
IF(COUNTIF($A$4:A257,Data_PLT[[#This Row],[Hole ID]])=1,1,
IF(A257=A256,C256+1,
COUNTIF($A$4:A257,Data_PLT[[#This Row],[Hole ID]]))))</f>
        <v/>
      </c>
      <c r="D257" s="63" t="str">
        <f>IF(Data_PLT[[#This Row],[Hole ID]]="","",Data_PLT[[#This Row],[Hole ID]]&amp;"_"&amp;Data_PLT[[#This Row],[Sample ID]])</f>
        <v/>
      </c>
      <c r="E257" s="6"/>
      <c r="F257" s="6"/>
      <c r="G257" s="63" t="e" cm="1">
        <f t="array" ref="G257">_xlfn.XLOOKUP(1,(A257=Geotech!$A$4:$A$11100)*(Data_PLT[[#This Row],[Depth (m)]]&gt;=Geotech!$C$4:$C$11100)*(Data_PLT[[#This Row],[Depth (m)]]&lt;Geotech!$D$4:$D$11100),Geotech!$M$4:$M$11100)</f>
        <v>#N/A</v>
      </c>
      <c r="H257" s="6"/>
      <c r="I257" s="63" t="e">
        <f>VLOOKUP(Data_PLT[[#This Row],[Hole ID]],Data_Log[[Hole ID]:[Core size]],20,FALSE)</f>
        <v>#N/A</v>
      </c>
      <c r="J257" s="13" t="e">
        <f>VLOOKUP(Data_PLT[[#This Row],[Core Size]],Table_CoreSize[],2,FALSE)</f>
        <v>#N/A</v>
      </c>
      <c r="K257" s="19"/>
      <c r="L257" s="19"/>
      <c r="M257" s="5"/>
      <c r="N257" s="5"/>
      <c r="O257" s="6"/>
      <c r="P257" s="13" t="str">
        <f>IF(Data_PLT[[#This Row],[Failure type]]="","",IF(OR(Data_PLT[[#This Row],[Failure type]]="Invalid",Data_PLT[[#This Row],[Failure type]]="Chipped",Data_PLT[[#This Row],[Failure type]]="Penetrate",Data_PLT[[#This Row],[Failure type]]="Did not break"),"Invalid","Valid"))</f>
        <v/>
      </c>
      <c r="Q257" s="6"/>
      <c r="R257" s="11"/>
      <c r="S257" s="13" t="str">
        <f>IF(Data_PLT[[#This Row],[Test type]]="Diametral",Data_PLT[[#This Row],[Diameter (mm)]],IF(Data_PLT[[#This Row],[Test type]]="Axial",SQRT(4*Data_PLT[[#This Row],[Diameter (mm)]]*Data_PLT[[#This Row],[Length or width (mm)]]/PI()),"ERROR"))</f>
        <v>ERROR</v>
      </c>
      <c r="T257" s="13" t="e">
        <f>(Data_PLT[[#This Row],[Load (kN)]]*1000)/Data_PLT[[#This Row],[Equiv. Diam. (mm)]]^2</f>
        <v>#VALUE!</v>
      </c>
      <c r="U257" s="13" t="e">
        <f>(Data_PLT[[#This Row],[Equiv. Diam. (mm)]]/50)^0.45</f>
        <v>#VALUE!</v>
      </c>
      <c r="V257" s="13" t="e">
        <f>Data_PLT[[#This Row],[Is (MPa)]]*Data_PLT[[#This Row],[F]]</f>
        <v>#VALUE!</v>
      </c>
      <c r="W257" s="13" t="str">
        <f>Data_PLT[[#This Row],[Failure Validity]]&amp;"-"&amp;Data_PLT[[#This Row],[Test type]]</f>
        <v>-</v>
      </c>
      <c r="X257" s="13" t="e">
        <f>Data_PLT[[#This Row],[Is50 (MPa)]]*VLOOKUP("Min",Table_PLT_Conversion[],2,FALSE)</f>
        <v>#VALUE!</v>
      </c>
      <c r="Y257" s="13" t="e">
        <f>Data_PLT[[#This Row],[Is50 (MPa)]]*VLOOKUP("Avg",Table_PLT_Conversion[],2,FALSE)</f>
        <v>#VALUE!</v>
      </c>
      <c r="Z257" s="13" t="e">
        <f>Data_PLT[[#This Row],[Is50 (MPa)]]*VLOOKUP("Max",Table_PLT_Conversion[],2,FALSE)</f>
        <v>#VALUE!</v>
      </c>
      <c r="AA257" s="62" t="e">
        <f>MATCH(LOOKUP(Data_PLT[[#This Row],[UCS min (MPa)]],Table_FieldStrength[Min UCS]),Table_FieldStrength[Min UCS],0)-1</f>
        <v>#VALUE!</v>
      </c>
      <c r="AB257" s="62" t="e">
        <f>MATCH(LOOKUP(Data_PLT[[#This Row],[UCS avg (MPa)]],Table_FieldStrength[Min UCS]),Table_FieldStrength[Min UCS],0)-1</f>
        <v>#VALUE!</v>
      </c>
      <c r="AC257" s="62" t="e">
        <f>MATCH(LOOKUP(Data_PLT[[#This Row],[UCS max (MPa)]],Table_FieldStrength[Min UCS]),Table_FieldStrength[Min UCS],0)-1</f>
        <v>#VALUE!</v>
      </c>
      <c r="AD257" s="68" t="e">
        <f>Data_PLT[[#This Row],[Test code]]&amp;"-"&amp;Data_PLT[[#This Row],[UCS min code]]</f>
        <v>#VALUE!</v>
      </c>
      <c r="AE257" s="68" t="e">
        <f>Data_PLT[[#This Row],[Test code]]&amp;"-"&amp;Data_PLT[[#This Row],[UCS avg code]]</f>
        <v>#VALUE!</v>
      </c>
      <c r="AF257" s="67" t="e">
        <f>Data_PLT[[#This Row],[Test code]]&amp;"-"&amp;Data_PLT[[#This Row],[UCS max code]]</f>
        <v>#VALUE!</v>
      </c>
      <c r="AG257" s="67" t="e">
        <f>Data_PLT[[#This Row],[Failure type]]&amp;"-"&amp;Data_PLT[[#This Row],[Test type]]&amp;"-"&amp;(IF(Data_PLT[[#This Row],[Is50 (MPa)]]&lt;1,1,IF(Data_PLT[[#This Row],[Is50 (MPa)]]&lt;2,2,IF(Data_PLT[[#This Row],[Is50 (MPa)]]&lt;4,3,IF(Data_PLT[[#This Row],[Is50 (MPa)]]&lt;8,4,5)))))</f>
        <v>#VALUE!</v>
      </c>
    </row>
    <row r="258" spans="1:33" x14ac:dyDescent="0.25">
      <c r="A258" s="14"/>
      <c r="B258" s="88" t="e">
        <f>VLOOKUP(Data_PLT[[#This Row],[Hole ID]],Data_Log[],2,FALSE)</f>
        <v>#N/A</v>
      </c>
      <c r="C258" s="63" t="str">
        <f>IF(Data_PLT[[#This Row],[Hole ID]]="","",
IF(COUNTIF($A$4:A258,Data_PLT[[#This Row],[Hole ID]])=1,1,
IF(A258=A257,C257+1,
COUNTIF($A$4:A258,Data_PLT[[#This Row],[Hole ID]]))))</f>
        <v/>
      </c>
      <c r="D258" s="63" t="str">
        <f>IF(Data_PLT[[#This Row],[Hole ID]]="","",Data_PLT[[#This Row],[Hole ID]]&amp;"_"&amp;Data_PLT[[#This Row],[Sample ID]])</f>
        <v/>
      </c>
      <c r="E258" s="6"/>
      <c r="F258" s="6"/>
      <c r="G258" s="63" t="e" cm="1">
        <f t="array" ref="G258">_xlfn.XLOOKUP(1,(A258=Geotech!$A$4:$A$11100)*(Data_PLT[[#This Row],[Depth (m)]]&gt;=Geotech!$C$4:$C$11100)*(Data_PLT[[#This Row],[Depth (m)]]&lt;Geotech!$D$4:$D$11100),Geotech!$M$4:$M$11100)</f>
        <v>#N/A</v>
      </c>
      <c r="H258" s="6"/>
      <c r="I258" s="63" t="e">
        <f>VLOOKUP(Data_PLT[[#This Row],[Hole ID]],Data_Log[[Hole ID]:[Core size]],20,FALSE)</f>
        <v>#N/A</v>
      </c>
      <c r="J258" s="13" t="e">
        <f>VLOOKUP(Data_PLT[[#This Row],[Core Size]],Table_CoreSize[],2,FALSE)</f>
        <v>#N/A</v>
      </c>
      <c r="K258" s="19"/>
      <c r="L258" s="19"/>
      <c r="M258" s="5"/>
      <c r="N258" s="5"/>
      <c r="O258" s="6"/>
      <c r="P258" s="13" t="str">
        <f>IF(Data_PLT[[#This Row],[Failure type]]="","",IF(OR(Data_PLT[[#This Row],[Failure type]]="Invalid",Data_PLT[[#This Row],[Failure type]]="Chipped",Data_PLT[[#This Row],[Failure type]]="Penetrate",Data_PLT[[#This Row],[Failure type]]="Did not break"),"Invalid","Valid"))</f>
        <v/>
      </c>
      <c r="Q258" s="6"/>
      <c r="R258" s="11"/>
      <c r="S258" s="13" t="str">
        <f>IF(Data_PLT[[#This Row],[Test type]]="Diametral",Data_PLT[[#This Row],[Diameter (mm)]],IF(Data_PLT[[#This Row],[Test type]]="Axial",SQRT(4*Data_PLT[[#This Row],[Diameter (mm)]]*Data_PLT[[#This Row],[Length or width (mm)]]/PI()),"ERROR"))</f>
        <v>ERROR</v>
      </c>
      <c r="T258" s="13" t="e">
        <f>(Data_PLT[[#This Row],[Load (kN)]]*1000)/Data_PLT[[#This Row],[Equiv. Diam. (mm)]]^2</f>
        <v>#VALUE!</v>
      </c>
      <c r="U258" s="13" t="e">
        <f>(Data_PLT[[#This Row],[Equiv. Diam. (mm)]]/50)^0.45</f>
        <v>#VALUE!</v>
      </c>
      <c r="V258" s="13" t="e">
        <f>Data_PLT[[#This Row],[Is (MPa)]]*Data_PLT[[#This Row],[F]]</f>
        <v>#VALUE!</v>
      </c>
      <c r="W258" s="13" t="str">
        <f>Data_PLT[[#This Row],[Failure Validity]]&amp;"-"&amp;Data_PLT[[#This Row],[Test type]]</f>
        <v>-</v>
      </c>
      <c r="X258" s="13" t="e">
        <f>Data_PLT[[#This Row],[Is50 (MPa)]]*VLOOKUP("Min",Table_PLT_Conversion[],2,FALSE)</f>
        <v>#VALUE!</v>
      </c>
      <c r="Y258" s="13" t="e">
        <f>Data_PLT[[#This Row],[Is50 (MPa)]]*VLOOKUP("Avg",Table_PLT_Conversion[],2,FALSE)</f>
        <v>#VALUE!</v>
      </c>
      <c r="Z258" s="13" t="e">
        <f>Data_PLT[[#This Row],[Is50 (MPa)]]*VLOOKUP("Max",Table_PLT_Conversion[],2,FALSE)</f>
        <v>#VALUE!</v>
      </c>
      <c r="AA258" s="62" t="e">
        <f>MATCH(LOOKUP(Data_PLT[[#This Row],[UCS min (MPa)]],Table_FieldStrength[Min UCS]),Table_FieldStrength[Min UCS],0)-1</f>
        <v>#VALUE!</v>
      </c>
      <c r="AB258" s="62" t="e">
        <f>MATCH(LOOKUP(Data_PLT[[#This Row],[UCS avg (MPa)]],Table_FieldStrength[Min UCS]),Table_FieldStrength[Min UCS],0)-1</f>
        <v>#VALUE!</v>
      </c>
      <c r="AC258" s="62" t="e">
        <f>MATCH(LOOKUP(Data_PLT[[#This Row],[UCS max (MPa)]],Table_FieldStrength[Min UCS]),Table_FieldStrength[Min UCS],0)-1</f>
        <v>#VALUE!</v>
      </c>
      <c r="AD258" s="68" t="e">
        <f>Data_PLT[[#This Row],[Test code]]&amp;"-"&amp;Data_PLT[[#This Row],[UCS min code]]</f>
        <v>#VALUE!</v>
      </c>
      <c r="AE258" s="68" t="e">
        <f>Data_PLT[[#This Row],[Test code]]&amp;"-"&amp;Data_PLT[[#This Row],[UCS avg code]]</f>
        <v>#VALUE!</v>
      </c>
      <c r="AF258" s="67" t="e">
        <f>Data_PLT[[#This Row],[Test code]]&amp;"-"&amp;Data_PLT[[#This Row],[UCS max code]]</f>
        <v>#VALUE!</v>
      </c>
      <c r="AG258" s="67" t="e">
        <f>Data_PLT[[#This Row],[Failure type]]&amp;"-"&amp;Data_PLT[[#This Row],[Test type]]&amp;"-"&amp;(IF(Data_PLT[[#This Row],[Is50 (MPa)]]&lt;1,1,IF(Data_PLT[[#This Row],[Is50 (MPa)]]&lt;2,2,IF(Data_PLT[[#This Row],[Is50 (MPa)]]&lt;4,3,IF(Data_PLT[[#This Row],[Is50 (MPa)]]&lt;8,4,5)))))</f>
        <v>#VALUE!</v>
      </c>
    </row>
    <row r="259" spans="1:33" x14ac:dyDescent="0.25">
      <c r="A259" s="14"/>
      <c r="B259" s="88" t="e">
        <f>VLOOKUP(Data_PLT[[#This Row],[Hole ID]],Data_Log[],2,FALSE)</f>
        <v>#N/A</v>
      </c>
      <c r="C259" s="63" t="str">
        <f>IF(Data_PLT[[#This Row],[Hole ID]]="","",
IF(COUNTIF($A$4:A259,Data_PLT[[#This Row],[Hole ID]])=1,1,
IF(A259=A258,C258+1,
COUNTIF($A$4:A259,Data_PLT[[#This Row],[Hole ID]]))))</f>
        <v/>
      </c>
      <c r="D259" s="63" t="str">
        <f>IF(Data_PLT[[#This Row],[Hole ID]]="","",Data_PLT[[#This Row],[Hole ID]]&amp;"_"&amp;Data_PLT[[#This Row],[Sample ID]])</f>
        <v/>
      </c>
      <c r="E259" s="6"/>
      <c r="F259" s="6"/>
      <c r="G259" s="63" t="e" cm="1">
        <f t="array" ref="G259">_xlfn.XLOOKUP(1,(A259=Geotech!$A$4:$A$11100)*(Data_PLT[[#This Row],[Depth (m)]]&gt;=Geotech!$C$4:$C$11100)*(Data_PLT[[#This Row],[Depth (m)]]&lt;Geotech!$D$4:$D$11100),Geotech!$M$4:$M$11100)</f>
        <v>#N/A</v>
      </c>
      <c r="H259" s="6"/>
      <c r="I259" s="63" t="e">
        <f>VLOOKUP(Data_PLT[[#This Row],[Hole ID]],Data_Log[[Hole ID]:[Core size]],20,FALSE)</f>
        <v>#N/A</v>
      </c>
      <c r="J259" s="13" t="e">
        <f>VLOOKUP(Data_PLT[[#This Row],[Core Size]],Table_CoreSize[],2,FALSE)</f>
        <v>#N/A</v>
      </c>
      <c r="K259" s="19"/>
      <c r="L259" s="19"/>
      <c r="M259" s="5"/>
      <c r="N259" s="5"/>
      <c r="O259" s="6"/>
      <c r="P259" s="13" t="str">
        <f>IF(Data_PLT[[#This Row],[Failure type]]="","",IF(OR(Data_PLT[[#This Row],[Failure type]]="Invalid",Data_PLT[[#This Row],[Failure type]]="Chipped",Data_PLT[[#This Row],[Failure type]]="Penetrate",Data_PLT[[#This Row],[Failure type]]="Did not break"),"Invalid","Valid"))</f>
        <v/>
      </c>
      <c r="Q259" s="6"/>
      <c r="R259" s="11"/>
      <c r="S259" s="13" t="str">
        <f>IF(Data_PLT[[#This Row],[Test type]]="Diametral",Data_PLT[[#This Row],[Diameter (mm)]],IF(Data_PLT[[#This Row],[Test type]]="Axial",SQRT(4*Data_PLT[[#This Row],[Diameter (mm)]]*Data_PLT[[#This Row],[Length or width (mm)]]/PI()),"ERROR"))</f>
        <v>ERROR</v>
      </c>
      <c r="T259" s="13" t="e">
        <f>(Data_PLT[[#This Row],[Load (kN)]]*1000)/Data_PLT[[#This Row],[Equiv. Diam. (mm)]]^2</f>
        <v>#VALUE!</v>
      </c>
      <c r="U259" s="13" t="e">
        <f>(Data_PLT[[#This Row],[Equiv. Diam. (mm)]]/50)^0.45</f>
        <v>#VALUE!</v>
      </c>
      <c r="V259" s="13" t="e">
        <f>Data_PLT[[#This Row],[Is (MPa)]]*Data_PLT[[#This Row],[F]]</f>
        <v>#VALUE!</v>
      </c>
      <c r="W259" s="13" t="str">
        <f>Data_PLT[[#This Row],[Failure Validity]]&amp;"-"&amp;Data_PLT[[#This Row],[Test type]]</f>
        <v>-</v>
      </c>
      <c r="X259" s="13" t="e">
        <f>Data_PLT[[#This Row],[Is50 (MPa)]]*VLOOKUP("Min",Table_PLT_Conversion[],2,FALSE)</f>
        <v>#VALUE!</v>
      </c>
      <c r="Y259" s="13" t="e">
        <f>Data_PLT[[#This Row],[Is50 (MPa)]]*VLOOKUP("Avg",Table_PLT_Conversion[],2,FALSE)</f>
        <v>#VALUE!</v>
      </c>
      <c r="Z259" s="13" t="e">
        <f>Data_PLT[[#This Row],[Is50 (MPa)]]*VLOOKUP("Max",Table_PLT_Conversion[],2,FALSE)</f>
        <v>#VALUE!</v>
      </c>
      <c r="AA259" s="62" t="e">
        <f>MATCH(LOOKUP(Data_PLT[[#This Row],[UCS min (MPa)]],Table_FieldStrength[Min UCS]),Table_FieldStrength[Min UCS],0)-1</f>
        <v>#VALUE!</v>
      </c>
      <c r="AB259" s="62" t="e">
        <f>MATCH(LOOKUP(Data_PLT[[#This Row],[UCS avg (MPa)]],Table_FieldStrength[Min UCS]),Table_FieldStrength[Min UCS],0)-1</f>
        <v>#VALUE!</v>
      </c>
      <c r="AC259" s="62" t="e">
        <f>MATCH(LOOKUP(Data_PLT[[#This Row],[UCS max (MPa)]],Table_FieldStrength[Min UCS]),Table_FieldStrength[Min UCS],0)-1</f>
        <v>#VALUE!</v>
      </c>
      <c r="AD259" s="68" t="e">
        <f>Data_PLT[[#This Row],[Test code]]&amp;"-"&amp;Data_PLT[[#This Row],[UCS min code]]</f>
        <v>#VALUE!</v>
      </c>
      <c r="AE259" s="68" t="e">
        <f>Data_PLT[[#This Row],[Test code]]&amp;"-"&amp;Data_PLT[[#This Row],[UCS avg code]]</f>
        <v>#VALUE!</v>
      </c>
      <c r="AF259" s="67" t="e">
        <f>Data_PLT[[#This Row],[Test code]]&amp;"-"&amp;Data_PLT[[#This Row],[UCS max code]]</f>
        <v>#VALUE!</v>
      </c>
      <c r="AG259" s="67" t="e">
        <f>Data_PLT[[#This Row],[Failure type]]&amp;"-"&amp;Data_PLT[[#This Row],[Test type]]&amp;"-"&amp;(IF(Data_PLT[[#This Row],[Is50 (MPa)]]&lt;1,1,IF(Data_PLT[[#This Row],[Is50 (MPa)]]&lt;2,2,IF(Data_PLT[[#This Row],[Is50 (MPa)]]&lt;4,3,IF(Data_PLT[[#This Row],[Is50 (MPa)]]&lt;8,4,5)))))</f>
        <v>#VALUE!</v>
      </c>
    </row>
    <row r="260" spans="1:33" x14ac:dyDescent="0.25">
      <c r="A260" s="14"/>
      <c r="B260" s="88" t="e">
        <f>VLOOKUP(Data_PLT[[#This Row],[Hole ID]],Data_Log[],2,FALSE)</f>
        <v>#N/A</v>
      </c>
      <c r="C260" s="63" t="str">
        <f>IF(Data_PLT[[#This Row],[Hole ID]]="","",
IF(COUNTIF($A$4:A260,Data_PLT[[#This Row],[Hole ID]])=1,1,
IF(A260=A259,C259+1,
COUNTIF($A$4:A260,Data_PLT[[#This Row],[Hole ID]]))))</f>
        <v/>
      </c>
      <c r="D260" s="63" t="str">
        <f>IF(Data_PLT[[#This Row],[Hole ID]]="","",Data_PLT[[#This Row],[Hole ID]]&amp;"_"&amp;Data_PLT[[#This Row],[Sample ID]])</f>
        <v/>
      </c>
      <c r="E260" s="6"/>
      <c r="F260" s="6"/>
      <c r="G260" s="63" t="e" cm="1">
        <f t="array" ref="G260">_xlfn.XLOOKUP(1,(A260=Geotech!$A$4:$A$11100)*(Data_PLT[[#This Row],[Depth (m)]]&gt;=Geotech!$C$4:$C$11100)*(Data_PLT[[#This Row],[Depth (m)]]&lt;Geotech!$D$4:$D$11100),Geotech!$M$4:$M$11100)</f>
        <v>#N/A</v>
      </c>
      <c r="H260" s="6"/>
      <c r="I260" s="63" t="e">
        <f>VLOOKUP(Data_PLT[[#This Row],[Hole ID]],Data_Log[[Hole ID]:[Core size]],20,FALSE)</f>
        <v>#N/A</v>
      </c>
      <c r="J260" s="13" t="e">
        <f>VLOOKUP(Data_PLT[[#This Row],[Core Size]],Table_CoreSize[],2,FALSE)</f>
        <v>#N/A</v>
      </c>
      <c r="K260" s="19"/>
      <c r="L260" s="19"/>
      <c r="M260" s="5"/>
      <c r="N260" s="5"/>
      <c r="O260" s="6"/>
      <c r="P260" s="13" t="str">
        <f>IF(Data_PLT[[#This Row],[Failure type]]="","",IF(OR(Data_PLT[[#This Row],[Failure type]]="Invalid",Data_PLT[[#This Row],[Failure type]]="Chipped",Data_PLT[[#This Row],[Failure type]]="Penetrate",Data_PLT[[#This Row],[Failure type]]="Did not break"),"Invalid","Valid"))</f>
        <v/>
      </c>
      <c r="Q260" s="6"/>
      <c r="R260" s="11"/>
      <c r="S260" s="13" t="str">
        <f>IF(Data_PLT[[#This Row],[Test type]]="Diametral",Data_PLT[[#This Row],[Diameter (mm)]],IF(Data_PLT[[#This Row],[Test type]]="Axial",SQRT(4*Data_PLT[[#This Row],[Diameter (mm)]]*Data_PLT[[#This Row],[Length or width (mm)]]/PI()),"ERROR"))</f>
        <v>ERROR</v>
      </c>
      <c r="T260" s="13" t="e">
        <f>(Data_PLT[[#This Row],[Load (kN)]]*1000)/Data_PLT[[#This Row],[Equiv. Diam. (mm)]]^2</f>
        <v>#VALUE!</v>
      </c>
      <c r="U260" s="13" t="e">
        <f>(Data_PLT[[#This Row],[Equiv. Diam. (mm)]]/50)^0.45</f>
        <v>#VALUE!</v>
      </c>
      <c r="V260" s="13" t="e">
        <f>Data_PLT[[#This Row],[Is (MPa)]]*Data_PLT[[#This Row],[F]]</f>
        <v>#VALUE!</v>
      </c>
      <c r="W260" s="13" t="str">
        <f>Data_PLT[[#This Row],[Failure Validity]]&amp;"-"&amp;Data_PLT[[#This Row],[Test type]]</f>
        <v>-</v>
      </c>
      <c r="X260" s="13" t="e">
        <f>Data_PLT[[#This Row],[Is50 (MPa)]]*VLOOKUP("Min",Table_PLT_Conversion[],2,FALSE)</f>
        <v>#VALUE!</v>
      </c>
      <c r="Y260" s="13" t="e">
        <f>Data_PLT[[#This Row],[Is50 (MPa)]]*VLOOKUP("Avg",Table_PLT_Conversion[],2,FALSE)</f>
        <v>#VALUE!</v>
      </c>
      <c r="Z260" s="13" t="e">
        <f>Data_PLT[[#This Row],[Is50 (MPa)]]*VLOOKUP("Max",Table_PLT_Conversion[],2,FALSE)</f>
        <v>#VALUE!</v>
      </c>
      <c r="AA260" s="62" t="e">
        <f>MATCH(LOOKUP(Data_PLT[[#This Row],[UCS min (MPa)]],Table_FieldStrength[Min UCS]),Table_FieldStrength[Min UCS],0)-1</f>
        <v>#VALUE!</v>
      </c>
      <c r="AB260" s="62" t="e">
        <f>MATCH(LOOKUP(Data_PLT[[#This Row],[UCS avg (MPa)]],Table_FieldStrength[Min UCS]),Table_FieldStrength[Min UCS],0)-1</f>
        <v>#VALUE!</v>
      </c>
      <c r="AC260" s="62" t="e">
        <f>MATCH(LOOKUP(Data_PLT[[#This Row],[UCS max (MPa)]],Table_FieldStrength[Min UCS]),Table_FieldStrength[Min UCS],0)-1</f>
        <v>#VALUE!</v>
      </c>
      <c r="AD260" s="68" t="e">
        <f>Data_PLT[[#This Row],[Test code]]&amp;"-"&amp;Data_PLT[[#This Row],[UCS min code]]</f>
        <v>#VALUE!</v>
      </c>
      <c r="AE260" s="68" t="e">
        <f>Data_PLT[[#This Row],[Test code]]&amp;"-"&amp;Data_PLT[[#This Row],[UCS avg code]]</f>
        <v>#VALUE!</v>
      </c>
      <c r="AF260" s="67" t="e">
        <f>Data_PLT[[#This Row],[Test code]]&amp;"-"&amp;Data_PLT[[#This Row],[UCS max code]]</f>
        <v>#VALUE!</v>
      </c>
      <c r="AG260" s="67" t="e">
        <f>Data_PLT[[#This Row],[Failure type]]&amp;"-"&amp;Data_PLT[[#This Row],[Test type]]&amp;"-"&amp;(IF(Data_PLT[[#This Row],[Is50 (MPa)]]&lt;1,1,IF(Data_PLT[[#This Row],[Is50 (MPa)]]&lt;2,2,IF(Data_PLT[[#This Row],[Is50 (MPa)]]&lt;4,3,IF(Data_PLT[[#This Row],[Is50 (MPa)]]&lt;8,4,5)))))</f>
        <v>#VALUE!</v>
      </c>
    </row>
    <row r="261" spans="1:33" x14ac:dyDescent="0.25">
      <c r="A261" s="14"/>
      <c r="B261" s="88" t="e">
        <f>VLOOKUP(Data_PLT[[#This Row],[Hole ID]],Data_Log[],2,FALSE)</f>
        <v>#N/A</v>
      </c>
      <c r="C261" s="63" t="str">
        <f>IF(Data_PLT[[#This Row],[Hole ID]]="","",
IF(COUNTIF($A$4:A261,Data_PLT[[#This Row],[Hole ID]])=1,1,
IF(A261=A260,C260+1,
COUNTIF($A$4:A261,Data_PLT[[#This Row],[Hole ID]]))))</f>
        <v/>
      </c>
      <c r="D261" s="63" t="str">
        <f>IF(Data_PLT[[#This Row],[Hole ID]]="","",Data_PLT[[#This Row],[Hole ID]]&amp;"_"&amp;Data_PLT[[#This Row],[Sample ID]])</f>
        <v/>
      </c>
      <c r="E261" s="6"/>
      <c r="F261" s="6"/>
      <c r="G261" s="63" t="e" cm="1">
        <f t="array" ref="G261">_xlfn.XLOOKUP(1,(A261=Geotech!$A$4:$A$11100)*(Data_PLT[[#This Row],[Depth (m)]]&gt;=Geotech!$C$4:$C$11100)*(Data_PLT[[#This Row],[Depth (m)]]&lt;Geotech!$D$4:$D$11100),Geotech!$M$4:$M$11100)</f>
        <v>#N/A</v>
      </c>
      <c r="H261" s="6"/>
      <c r="I261" s="63" t="e">
        <f>VLOOKUP(Data_PLT[[#This Row],[Hole ID]],Data_Log[[Hole ID]:[Core size]],20,FALSE)</f>
        <v>#N/A</v>
      </c>
      <c r="J261" s="13" t="e">
        <f>VLOOKUP(Data_PLT[[#This Row],[Core Size]],Table_CoreSize[],2,FALSE)</f>
        <v>#N/A</v>
      </c>
      <c r="K261" s="19"/>
      <c r="L261" s="19"/>
      <c r="M261" s="5"/>
      <c r="N261" s="5"/>
      <c r="O261" s="6"/>
      <c r="P261" s="13" t="str">
        <f>IF(Data_PLT[[#This Row],[Failure type]]="","",IF(OR(Data_PLT[[#This Row],[Failure type]]="Invalid",Data_PLT[[#This Row],[Failure type]]="Chipped",Data_PLT[[#This Row],[Failure type]]="Penetrate",Data_PLT[[#This Row],[Failure type]]="Did not break"),"Invalid","Valid"))</f>
        <v/>
      </c>
      <c r="Q261" s="6"/>
      <c r="R261" s="11"/>
      <c r="S261" s="13" t="str">
        <f>IF(Data_PLT[[#This Row],[Test type]]="Diametral",Data_PLT[[#This Row],[Diameter (mm)]],IF(Data_PLT[[#This Row],[Test type]]="Axial",SQRT(4*Data_PLT[[#This Row],[Diameter (mm)]]*Data_PLT[[#This Row],[Length or width (mm)]]/PI()),"ERROR"))</f>
        <v>ERROR</v>
      </c>
      <c r="T261" s="13" t="e">
        <f>(Data_PLT[[#This Row],[Load (kN)]]*1000)/Data_PLT[[#This Row],[Equiv. Diam. (mm)]]^2</f>
        <v>#VALUE!</v>
      </c>
      <c r="U261" s="13" t="e">
        <f>(Data_PLT[[#This Row],[Equiv. Diam. (mm)]]/50)^0.45</f>
        <v>#VALUE!</v>
      </c>
      <c r="V261" s="13" t="e">
        <f>Data_PLT[[#This Row],[Is (MPa)]]*Data_PLT[[#This Row],[F]]</f>
        <v>#VALUE!</v>
      </c>
      <c r="W261" s="13" t="str">
        <f>Data_PLT[[#This Row],[Failure Validity]]&amp;"-"&amp;Data_PLT[[#This Row],[Test type]]</f>
        <v>-</v>
      </c>
      <c r="X261" s="13" t="e">
        <f>Data_PLT[[#This Row],[Is50 (MPa)]]*VLOOKUP("Min",Table_PLT_Conversion[],2,FALSE)</f>
        <v>#VALUE!</v>
      </c>
      <c r="Y261" s="13" t="e">
        <f>Data_PLT[[#This Row],[Is50 (MPa)]]*VLOOKUP("Avg",Table_PLT_Conversion[],2,FALSE)</f>
        <v>#VALUE!</v>
      </c>
      <c r="Z261" s="13" t="e">
        <f>Data_PLT[[#This Row],[Is50 (MPa)]]*VLOOKUP("Max",Table_PLT_Conversion[],2,FALSE)</f>
        <v>#VALUE!</v>
      </c>
      <c r="AA261" s="62" t="e">
        <f>MATCH(LOOKUP(Data_PLT[[#This Row],[UCS min (MPa)]],Table_FieldStrength[Min UCS]),Table_FieldStrength[Min UCS],0)-1</f>
        <v>#VALUE!</v>
      </c>
      <c r="AB261" s="62" t="e">
        <f>MATCH(LOOKUP(Data_PLT[[#This Row],[UCS avg (MPa)]],Table_FieldStrength[Min UCS]),Table_FieldStrength[Min UCS],0)-1</f>
        <v>#VALUE!</v>
      </c>
      <c r="AC261" s="62" t="e">
        <f>MATCH(LOOKUP(Data_PLT[[#This Row],[UCS max (MPa)]],Table_FieldStrength[Min UCS]),Table_FieldStrength[Min UCS],0)-1</f>
        <v>#VALUE!</v>
      </c>
      <c r="AD261" s="68" t="e">
        <f>Data_PLT[[#This Row],[Test code]]&amp;"-"&amp;Data_PLT[[#This Row],[UCS min code]]</f>
        <v>#VALUE!</v>
      </c>
      <c r="AE261" s="68" t="e">
        <f>Data_PLT[[#This Row],[Test code]]&amp;"-"&amp;Data_PLT[[#This Row],[UCS avg code]]</f>
        <v>#VALUE!</v>
      </c>
      <c r="AF261" s="67" t="e">
        <f>Data_PLT[[#This Row],[Test code]]&amp;"-"&amp;Data_PLT[[#This Row],[UCS max code]]</f>
        <v>#VALUE!</v>
      </c>
      <c r="AG261" s="67" t="e">
        <f>Data_PLT[[#This Row],[Failure type]]&amp;"-"&amp;Data_PLT[[#This Row],[Test type]]&amp;"-"&amp;(IF(Data_PLT[[#This Row],[Is50 (MPa)]]&lt;1,1,IF(Data_PLT[[#This Row],[Is50 (MPa)]]&lt;2,2,IF(Data_PLT[[#This Row],[Is50 (MPa)]]&lt;4,3,IF(Data_PLT[[#This Row],[Is50 (MPa)]]&lt;8,4,5)))))</f>
        <v>#VALUE!</v>
      </c>
    </row>
    <row r="262" spans="1:33" x14ac:dyDescent="0.25">
      <c r="A262" s="14"/>
      <c r="B262" s="88" t="e">
        <f>VLOOKUP(Data_PLT[[#This Row],[Hole ID]],Data_Log[],2,FALSE)</f>
        <v>#N/A</v>
      </c>
      <c r="C262" s="63" t="str">
        <f>IF(Data_PLT[[#This Row],[Hole ID]]="","",
IF(COUNTIF($A$4:A262,Data_PLT[[#This Row],[Hole ID]])=1,1,
IF(A262=A261,C261+1,
COUNTIF($A$4:A262,Data_PLT[[#This Row],[Hole ID]]))))</f>
        <v/>
      </c>
      <c r="D262" s="63" t="str">
        <f>IF(Data_PLT[[#This Row],[Hole ID]]="","",Data_PLT[[#This Row],[Hole ID]]&amp;"_"&amp;Data_PLT[[#This Row],[Sample ID]])</f>
        <v/>
      </c>
      <c r="E262" s="6"/>
      <c r="F262" s="6"/>
      <c r="G262" s="63" t="e" cm="1">
        <f t="array" ref="G262">_xlfn.XLOOKUP(1,(A262=Geotech!$A$4:$A$11100)*(Data_PLT[[#This Row],[Depth (m)]]&gt;=Geotech!$C$4:$C$11100)*(Data_PLT[[#This Row],[Depth (m)]]&lt;Geotech!$D$4:$D$11100),Geotech!$M$4:$M$11100)</f>
        <v>#N/A</v>
      </c>
      <c r="H262" s="6"/>
      <c r="I262" s="63" t="e">
        <f>VLOOKUP(Data_PLT[[#This Row],[Hole ID]],Data_Log[[Hole ID]:[Core size]],20,FALSE)</f>
        <v>#N/A</v>
      </c>
      <c r="J262" s="13" t="e">
        <f>VLOOKUP(Data_PLT[[#This Row],[Core Size]],Table_CoreSize[],2,FALSE)</f>
        <v>#N/A</v>
      </c>
      <c r="K262" s="19"/>
      <c r="L262" s="19"/>
      <c r="M262" s="5"/>
      <c r="N262" s="5"/>
      <c r="O262" s="6"/>
      <c r="P262" s="13" t="str">
        <f>IF(Data_PLT[[#This Row],[Failure type]]="","",IF(OR(Data_PLT[[#This Row],[Failure type]]="Invalid",Data_PLT[[#This Row],[Failure type]]="Chipped",Data_PLT[[#This Row],[Failure type]]="Penetrate",Data_PLT[[#This Row],[Failure type]]="Did not break"),"Invalid","Valid"))</f>
        <v/>
      </c>
      <c r="Q262" s="6"/>
      <c r="R262" s="11"/>
      <c r="S262" s="13" t="str">
        <f>IF(Data_PLT[[#This Row],[Test type]]="Diametral",Data_PLT[[#This Row],[Diameter (mm)]],IF(Data_PLT[[#This Row],[Test type]]="Axial",SQRT(4*Data_PLT[[#This Row],[Diameter (mm)]]*Data_PLT[[#This Row],[Length or width (mm)]]/PI()),"ERROR"))</f>
        <v>ERROR</v>
      </c>
      <c r="T262" s="13" t="e">
        <f>(Data_PLT[[#This Row],[Load (kN)]]*1000)/Data_PLT[[#This Row],[Equiv. Diam. (mm)]]^2</f>
        <v>#VALUE!</v>
      </c>
      <c r="U262" s="13" t="e">
        <f>(Data_PLT[[#This Row],[Equiv. Diam. (mm)]]/50)^0.45</f>
        <v>#VALUE!</v>
      </c>
      <c r="V262" s="13" t="e">
        <f>Data_PLT[[#This Row],[Is (MPa)]]*Data_PLT[[#This Row],[F]]</f>
        <v>#VALUE!</v>
      </c>
      <c r="W262" s="13" t="str">
        <f>Data_PLT[[#This Row],[Failure Validity]]&amp;"-"&amp;Data_PLT[[#This Row],[Test type]]</f>
        <v>-</v>
      </c>
      <c r="X262" s="13" t="e">
        <f>Data_PLT[[#This Row],[Is50 (MPa)]]*VLOOKUP("Min",Table_PLT_Conversion[],2,FALSE)</f>
        <v>#VALUE!</v>
      </c>
      <c r="Y262" s="13" t="e">
        <f>Data_PLT[[#This Row],[Is50 (MPa)]]*VLOOKUP("Avg",Table_PLT_Conversion[],2,FALSE)</f>
        <v>#VALUE!</v>
      </c>
      <c r="Z262" s="13" t="e">
        <f>Data_PLT[[#This Row],[Is50 (MPa)]]*VLOOKUP("Max",Table_PLT_Conversion[],2,FALSE)</f>
        <v>#VALUE!</v>
      </c>
      <c r="AA262" s="62" t="e">
        <f>MATCH(LOOKUP(Data_PLT[[#This Row],[UCS min (MPa)]],Table_FieldStrength[Min UCS]),Table_FieldStrength[Min UCS],0)-1</f>
        <v>#VALUE!</v>
      </c>
      <c r="AB262" s="62" t="e">
        <f>MATCH(LOOKUP(Data_PLT[[#This Row],[UCS avg (MPa)]],Table_FieldStrength[Min UCS]),Table_FieldStrength[Min UCS],0)-1</f>
        <v>#VALUE!</v>
      </c>
      <c r="AC262" s="62" t="e">
        <f>MATCH(LOOKUP(Data_PLT[[#This Row],[UCS max (MPa)]],Table_FieldStrength[Min UCS]),Table_FieldStrength[Min UCS],0)-1</f>
        <v>#VALUE!</v>
      </c>
      <c r="AD262" s="68" t="e">
        <f>Data_PLT[[#This Row],[Test code]]&amp;"-"&amp;Data_PLT[[#This Row],[UCS min code]]</f>
        <v>#VALUE!</v>
      </c>
      <c r="AE262" s="68" t="e">
        <f>Data_PLT[[#This Row],[Test code]]&amp;"-"&amp;Data_PLT[[#This Row],[UCS avg code]]</f>
        <v>#VALUE!</v>
      </c>
      <c r="AF262" s="67" t="e">
        <f>Data_PLT[[#This Row],[Test code]]&amp;"-"&amp;Data_PLT[[#This Row],[UCS max code]]</f>
        <v>#VALUE!</v>
      </c>
      <c r="AG262" s="67" t="e">
        <f>Data_PLT[[#This Row],[Failure type]]&amp;"-"&amp;Data_PLT[[#This Row],[Test type]]&amp;"-"&amp;(IF(Data_PLT[[#This Row],[Is50 (MPa)]]&lt;1,1,IF(Data_PLT[[#This Row],[Is50 (MPa)]]&lt;2,2,IF(Data_PLT[[#This Row],[Is50 (MPa)]]&lt;4,3,IF(Data_PLT[[#This Row],[Is50 (MPa)]]&lt;8,4,5)))))</f>
        <v>#VALUE!</v>
      </c>
    </row>
    <row r="263" spans="1:33" x14ac:dyDescent="0.25">
      <c r="A263" s="14"/>
      <c r="B263" s="88" t="e">
        <f>VLOOKUP(Data_PLT[[#This Row],[Hole ID]],Data_Log[],2,FALSE)</f>
        <v>#N/A</v>
      </c>
      <c r="C263" s="63" t="str">
        <f>IF(Data_PLT[[#This Row],[Hole ID]]="","",
IF(COUNTIF($A$4:A263,Data_PLT[[#This Row],[Hole ID]])=1,1,
IF(A263=A262,C262+1,
COUNTIF($A$4:A263,Data_PLT[[#This Row],[Hole ID]]))))</f>
        <v/>
      </c>
      <c r="D263" s="63" t="str">
        <f>IF(Data_PLT[[#This Row],[Hole ID]]="","",Data_PLT[[#This Row],[Hole ID]]&amp;"_"&amp;Data_PLT[[#This Row],[Sample ID]])</f>
        <v/>
      </c>
      <c r="E263" s="6"/>
      <c r="F263" s="6"/>
      <c r="G263" s="63" t="e" cm="1">
        <f t="array" ref="G263">_xlfn.XLOOKUP(1,(A263=Geotech!$A$4:$A$11100)*(Data_PLT[[#This Row],[Depth (m)]]&gt;=Geotech!$C$4:$C$11100)*(Data_PLT[[#This Row],[Depth (m)]]&lt;Geotech!$D$4:$D$11100),Geotech!$M$4:$M$11100)</f>
        <v>#N/A</v>
      </c>
      <c r="H263" s="6"/>
      <c r="I263" s="63" t="e">
        <f>VLOOKUP(Data_PLT[[#This Row],[Hole ID]],Data_Log[[Hole ID]:[Core size]],20,FALSE)</f>
        <v>#N/A</v>
      </c>
      <c r="J263" s="13" t="e">
        <f>VLOOKUP(Data_PLT[[#This Row],[Core Size]],Table_CoreSize[],2,FALSE)</f>
        <v>#N/A</v>
      </c>
      <c r="K263" s="19"/>
      <c r="L263" s="19"/>
      <c r="M263" s="5"/>
      <c r="N263" s="5"/>
      <c r="O263" s="6"/>
      <c r="P263" s="13" t="str">
        <f>IF(Data_PLT[[#This Row],[Failure type]]="","",IF(OR(Data_PLT[[#This Row],[Failure type]]="Invalid",Data_PLT[[#This Row],[Failure type]]="Chipped",Data_PLT[[#This Row],[Failure type]]="Penetrate",Data_PLT[[#This Row],[Failure type]]="Did not break"),"Invalid","Valid"))</f>
        <v/>
      </c>
      <c r="Q263" s="6"/>
      <c r="R263" s="11"/>
      <c r="S263" s="13" t="str">
        <f>IF(Data_PLT[[#This Row],[Test type]]="Diametral",Data_PLT[[#This Row],[Diameter (mm)]],IF(Data_PLT[[#This Row],[Test type]]="Axial",SQRT(4*Data_PLT[[#This Row],[Diameter (mm)]]*Data_PLT[[#This Row],[Length or width (mm)]]/PI()),"ERROR"))</f>
        <v>ERROR</v>
      </c>
      <c r="T263" s="13" t="e">
        <f>(Data_PLT[[#This Row],[Load (kN)]]*1000)/Data_PLT[[#This Row],[Equiv. Diam. (mm)]]^2</f>
        <v>#VALUE!</v>
      </c>
      <c r="U263" s="13" t="e">
        <f>(Data_PLT[[#This Row],[Equiv. Diam. (mm)]]/50)^0.45</f>
        <v>#VALUE!</v>
      </c>
      <c r="V263" s="13" t="e">
        <f>Data_PLT[[#This Row],[Is (MPa)]]*Data_PLT[[#This Row],[F]]</f>
        <v>#VALUE!</v>
      </c>
      <c r="W263" s="13" t="str">
        <f>Data_PLT[[#This Row],[Failure Validity]]&amp;"-"&amp;Data_PLT[[#This Row],[Test type]]</f>
        <v>-</v>
      </c>
      <c r="X263" s="13" t="e">
        <f>Data_PLT[[#This Row],[Is50 (MPa)]]*VLOOKUP("Min",Table_PLT_Conversion[],2,FALSE)</f>
        <v>#VALUE!</v>
      </c>
      <c r="Y263" s="13" t="e">
        <f>Data_PLT[[#This Row],[Is50 (MPa)]]*VLOOKUP("Avg",Table_PLT_Conversion[],2,FALSE)</f>
        <v>#VALUE!</v>
      </c>
      <c r="Z263" s="13" t="e">
        <f>Data_PLT[[#This Row],[Is50 (MPa)]]*VLOOKUP("Max",Table_PLT_Conversion[],2,FALSE)</f>
        <v>#VALUE!</v>
      </c>
      <c r="AA263" s="62" t="e">
        <f>MATCH(LOOKUP(Data_PLT[[#This Row],[UCS min (MPa)]],Table_FieldStrength[Min UCS]),Table_FieldStrength[Min UCS],0)-1</f>
        <v>#VALUE!</v>
      </c>
      <c r="AB263" s="62" t="e">
        <f>MATCH(LOOKUP(Data_PLT[[#This Row],[UCS avg (MPa)]],Table_FieldStrength[Min UCS]),Table_FieldStrength[Min UCS],0)-1</f>
        <v>#VALUE!</v>
      </c>
      <c r="AC263" s="62" t="e">
        <f>MATCH(LOOKUP(Data_PLT[[#This Row],[UCS max (MPa)]],Table_FieldStrength[Min UCS]),Table_FieldStrength[Min UCS],0)-1</f>
        <v>#VALUE!</v>
      </c>
      <c r="AD263" s="68" t="e">
        <f>Data_PLT[[#This Row],[Test code]]&amp;"-"&amp;Data_PLT[[#This Row],[UCS min code]]</f>
        <v>#VALUE!</v>
      </c>
      <c r="AE263" s="68" t="e">
        <f>Data_PLT[[#This Row],[Test code]]&amp;"-"&amp;Data_PLT[[#This Row],[UCS avg code]]</f>
        <v>#VALUE!</v>
      </c>
      <c r="AF263" s="67" t="e">
        <f>Data_PLT[[#This Row],[Test code]]&amp;"-"&amp;Data_PLT[[#This Row],[UCS max code]]</f>
        <v>#VALUE!</v>
      </c>
      <c r="AG263" s="67" t="e">
        <f>Data_PLT[[#This Row],[Failure type]]&amp;"-"&amp;Data_PLT[[#This Row],[Test type]]&amp;"-"&amp;(IF(Data_PLT[[#This Row],[Is50 (MPa)]]&lt;1,1,IF(Data_PLT[[#This Row],[Is50 (MPa)]]&lt;2,2,IF(Data_PLT[[#This Row],[Is50 (MPa)]]&lt;4,3,IF(Data_PLT[[#This Row],[Is50 (MPa)]]&lt;8,4,5)))))</f>
        <v>#VALUE!</v>
      </c>
    </row>
    <row r="264" spans="1:33" x14ac:dyDescent="0.25">
      <c r="A264" s="14"/>
      <c r="B264" s="88" t="e">
        <f>VLOOKUP(Data_PLT[[#This Row],[Hole ID]],Data_Log[],2,FALSE)</f>
        <v>#N/A</v>
      </c>
      <c r="C264" s="63" t="str">
        <f>IF(Data_PLT[[#This Row],[Hole ID]]="","",
IF(COUNTIF($A$4:A264,Data_PLT[[#This Row],[Hole ID]])=1,1,
IF(A264=A263,C263+1,
COUNTIF($A$4:A264,Data_PLT[[#This Row],[Hole ID]]))))</f>
        <v/>
      </c>
      <c r="D264" s="63" t="str">
        <f>IF(Data_PLT[[#This Row],[Hole ID]]="","",Data_PLT[[#This Row],[Hole ID]]&amp;"_"&amp;Data_PLT[[#This Row],[Sample ID]])</f>
        <v/>
      </c>
      <c r="E264" s="6"/>
      <c r="F264" s="6"/>
      <c r="G264" s="63" t="e" cm="1">
        <f t="array" ref="G264">_xlfn.XLOOKUP(1,(A264=Geotech!$A$4:$A$11100)*(Data_PLT[[#This Row],[Depth (m)]]&gt;=Geotech!$C$4:$C$11100)*(Data_PLT[[#This Row],[Depth (m)]]&lt;Geotech!$D$4:$D$11100),Geotech!$M$4:$M$11100)</f>
        <v>#N/A</v>
      </c>
      <c r="H264" s="6"/>
      <c r="I264" s="63" t="e">
        <f>VLOOKUP(Data_PLT[[#This Row],[Hole ID]],Data_Log[[Hole ID]:[Core size]],20,FALSE)</f>
        <v>#N/A</v>
      </c>
      <c r="J264" s="13" t="e">
        <f>VLOOKUP(Data_PLT[[#This Row],[Core Size]],Table_CoreSize[],2,FALSE)</f>
        <v>#N/A</v>
      </c>
      <c r="K264" s="19"/>
      <c r="L264" s="19"/>
      <c r="M264" s="5"/>
      <c r="N264" s="5"/>
      <c r="O264" s="6"/>
      <c r="P264" s="13" t="str">
        <f>IF(Data_PLT[[#This Row],[Failure type]]="","",IF(OR(Data_PLT[[#This Row],[Failure type]]="Invalid",Data_PLT[[#This Row],[Failure type]]="Chipped",Data_PLT[[#This Row],[Failure type]]="Penetrate",Data_PLT[[#This Row],[Failure type]]="Did not break"),"Invalid","Valid"))</f>
        <v/>
      </c>
      <c r="Q264" s="6"/>
      <c r="R264" s="11"/>
      <c r="S264" s="13" t="str">
        <f>IF(Data_PLT[[#This Row],[Test type]]="Diametral",Data_PLT[[#This Row],[Diameter (mm)]],IF(Data_PLT[[#This Row],[Test type]]="Axial",SQRT(4*Data_PLT[[#This Row],[Diameter (mm)]]*Data_PLT[[#This Row],[Length or width (mm)]]/PI()),"ERROR"))</f>
        <v>ERROR</v>
      </c>
      <c r="T264" s="13" t="e">
        <f>(Data_PLT[[#This Row],[Load (kN)]]*1000)/Data_PLT[[#This Row],[Equiv. Diam. (mm)]]^2</f>
        <v>#VALUE!</v>
      </c>
      <c r="U264" s="13" t="e">
        <f>(Data_PLT[[#This Row],[Equiv. Diam. (mm)]]/50)^0.45</f>
        <v>#VALUE!</v>
      </c>
      <c r="V264" s="13" t="e">
        <f>Data_PLT[[#This Row],[Is (MPa)]]*Data_PLT[[#This Row],[F]]</f>
        <v>#VALUE!</v>
      </c>
      <c r="W264" s="13" t="str">
        <f>Data_PLT[[#This Row],[Failure Validity]]&amp;"-"&amp;Data_PLT[[#This Row],[Test type]]</f>
        <v>-</v>
      </c>
      <c r="X264" s="13" t="e">
        <f>Data_PLT[[#This Row],[Is50 (MPa)]]*VLOOKUP("Min",Table_PLT_Conversion[],2,FALSE)</f>
        <v>#VALUE!</v>
      </c>
      <c r="Y264" s="13" t="e">
        <f>Data_PLT[[#This Row],[Is50 (MPa)]]*VLOOKUP("Avg",Table_PLT_Conversion[],2,FALSE)</f>
        <v>#VALUE!</v>
      </c>
      <c r="Z264" s="13" t="e">
        <f>Data_PLT[[#This Row],[Is50 (MPa)]]*VLOOKUP("Max",Table_PLT_Conversion[],2,FALSE)</f>
        <v>#VALUE!</v>
      </c>
      <c r="AA264" s="62" t="e">
        <f>MATCH(LOOKUP(Data_PLT[[#This Row],[UCS min (MPa)]],Table_FieldStrength[Min UCS]),Table_FieldStrength[Min UCS],0)-1</f>
        <v>#VALUE!</v>
      </c>
      <c r="AB264" s="62" t="e">
        <f>MATCH(LOOKUP(Data_PLT[[#This Row],[UCS avg (MPa)]],Table_FieldStrength[Min UCS]),Table_FieldStrength[Min UCS],0)-1</f>
        <v>#VALUE!</v>
      </c>
      <c r="AC264" s="62" t="e">
        <f>MATCH(LOOKUP(Data_PLT[[#This Row],[UCS max (MPa)]],Table_FieldStrength[Min UCS]),Table_FieldStrength[Min UCS],0)-1</f>
        <v>#VALUE!</v>
      </c>
      <c r="AD264" s="68" t="e">
        <f>Data_PLT[[#This Row],[Test code]]&amp;"-"&amp;Data_PLT[[#This Row],[UCS min code]]</f>
        <v>#VALUE!</v>
      </c>
      <c r="AE264" s="68" t="e">
        <f>Data_PLT[[#This Row],[Test code]]&amp;"-"&amp;Data_PLT[[#This Row],[UCS avg code]]</f>
        <v>#VALUE!</v>
      </c>
      <c r="AF264" s="67" t="e">
        <f>Data_PLT[[#This Row],[Test code]]&amp;"-"&amp;Data_PLT[[#This Row],[UCS max code]]</f>
        <v>#VALUE!</v>
      </c>
      <c r="AG264" s="67" t="e">
        <f>Data_PLT[[#This Row],[Failure type]]&amp;"-"&amp;Data_PLT[[#This Row],[Test type]]&amp;"-"&amp;(IF(Data_PLT[[#This Row],[Is50 (MPa)]]&lt;1,1,IF(Data_PLT[[#This Row],[Is50 (MPa)]]&lt;2,2,IF(Data_PLT[[#This Row],[Is50 (MPa)]]&lt;4,3,IF(Data_PLT[[#This Row],[Is50 (MPa)]]&lt;8,4,5)))))</f>
        <v>#VALUE!</v>
      </c>
    </row>
    <row r="265" spans="1:33" x14ac:dyDescent="0.25">
      <c r="A265" s="14"/>
      <c r="B265" s="88" t="e">
        <f>VLOOKUP(Data_PLT[[#This Row],[Hole ID]],Data_Log[],2,FALSE)</f>
        <v>#N/A</v>
      </c>
      <c r="C265" s="63" t="str">
        <f>IF(Data_PLT[[#This Row],[Hole ID]]="","",
IF(COUNTIF($A$4:A265,Data_PLT[[#This Row],[Hole ID]])=1,1,
IF(A265=A264,C264+1,
COUNTIF($A$4:A265,Data_PLT[[#This Row],[Hole ID]]))))</f>
        <v/>
      </c>
      <c r="D265" s="63" t="str">
        <f>IF(Data_PLT[[#This Row],[Hole ID]]="","",Data_PLT[[#This Row],[Hole ID]]&amp;"_"&amp;Data_PLT[[#This Row],[Sample ID]])</f>
        <v/>
      </c>
      <c r="E265" s="6"/>
      <c r="F265" s="6"/>
      <c r="G265" s="63" t="e" cm="1">
        <f t="array" ref="G265">_xlfn.XLOOKUP(1,(A265=Geotech!$A$4:$A$11100)*(Data_PLT[[#This Row],[Depth (m)]]&gt;=Geotech!$C$4:$C$11100)*(Data_PLT[[#This Row],[Depth (m)]]&lt;Geotech!$D$4:$D$11100),Geotech!$M$4:$M$11100)</f>
        <v>#N/A</v>
      </c>
      <c r="H265" s="6"/>
      <c r="I265" s="63" t="e">
        <f>VLOOKUP(Data_PLT[[#This Row],[Hole ID]],Data_Log[[Hole ID]:[Core size]],20,FALSE)</f>
        <v>#N/A</v>
      </c>
      <c r="J265" s="13" t="e">
        <f>VLOOKUP(Data_PLT[[#This Row],[Core Size]],Table_CoreSize[],2,FALSE)</f>
        <v>#N/A</v>
      </c>
      <c r="K265" s="19"/>
      <c r="L265" s="19"/>
      <c r="M265" s="5"/>
      <c r="N265" s="5"/>
      <c r="O265" s="6"/>
      <c r="P265" s="13" t="str">
        <f>IF(Data_PLT[[#This Row],[Failure type]]="","",IF(OR(Data_PLT[[#This Row],[Failure type]]="Invalid",Data_PLT[[#This Row],[Failure type]]="Chipped",Data_PLT[[#This Row],[Failure type]]="Penetrate",Data_PLT[[#This Row],[Failure type]]="Did not break"),"Invalid","Valid"))</f>
        <v/>
      </c>
      <c r="Q265" s="6"/>
      <c r="R265" s="11"/>
      <c r="S265" s="13" t="str">
        <f>IF(Data_PLT[[#This Row],[Test type]]="Diametral",Data_PLT[[#This Row],[Diameter (mm)]],IF(Data_PLT[[#This Row],[Test type]]="Axial",SQRT(4*Data_PLT[[#This Row],[Diameter (mm)]]*Data_PLT[[#This Row],[Length or width (mm)]]/PI()),"ERROR"))</f>
        <v>ERROR</v>
      </c>
      <c r="T265" s="13" t="e">
        <f>(Data_PLT[[#This Row],[Load (kN)]]*1000)/Data_PLT[[#This Row],[Equiv. Diam. (mm)]]^2</f>
        <v>#VALUE!</v>
      </c>
      <c r="U265" s="13" t="e">
        <f>(Data_PLT[[#This Row],[Equiv. Diam. (mm)]]/50)^0.45</f>
        <v>#VALUE!</v>
      </c>
      <c r="V265" s="13" t="e">
        <f>Data_PLT[[#This Row],[Is (MPa)]]*Data_PLT[[#This Row],[F]]</f>
        <v>#VALUE!</v>
      </c>
      <c r="W265" s="13" t="str">
        <f>Data_PLT[[#This Row],[Failure Validity]]&amp;"-"&amp;Data_PLT[[#This Row],[Test type]]</f>
        <v>-</v>
      </c>
      <c r="X265" s="13" t="e">
        <f>Data_PLT[[#This Row],[Is50 (MPa)]]*VLOOKUP("Min",Table_PLT_Conversion[],2,FALSE)</f>
        <v>#VALUE!</v>
      </c>
      <c r="Y265" s="13" t="e">
        <f>Data_PLT[[#This Row],[Is50 (MPa)]]*VLOOKUP("Avg",Table_PLT_Conversion[],2,FALSE)</f>
        <v>#VALUE!</v>
      </c>
      <c r="Z265" s="13" t="e">
        <f>Data_PLT[[#This Row],[Is50 (MPa)]]*VLOOKUP("Max",Table_PLT_Conversion[],2,FALSE)</f>
        <v>#VALUE!</v>
      </c>
      <c r="AA265" s="62" t="e">
        <f>MATCH(LOOKUP(Data_PLT[[#This Row],[UCS min (MPa)]],Table_FieldStrength[Min UCS]),Table_FieldStrength[Min UCS],0)-1</f>
        <v>#VALUE!</v>
      </c>
      <c r="AB265" s="62" t="e">
        <f>MATCH(LOOKUP(Data_PLT[[#This Row],[UCS avg (MPa)]],Table_FieldStrength[Min UCS]),Table_FieldStrength[Min UCS],0)-1</f>
        <v>#VALUE!</v>
      </c>
      <c r="AC265" s="62" t="e">
        <f>MATCH(LOOKUP(Data_PLT[[#This Row],[UCS max (MPa)]],Table_FieldStrength[Min UCS]),Table_FieldStrength[Min UCS],0)-1</f>
        <v>#VALUE!</v>
      </c>
      <c r="AD265" s="68" t="e">
        <f>Data_PLT[[#This Row],[Test code]]&amp;"-"&amp;Data_PLT[[#This Row],[UCS min code]]</f>
        <v>#VALUE!</v>
      </c>
      <c r="AE265" s="68" t="e">
        <f>Data_PLT[[#This Row],[Test code]]&amp;"-"&amp;Data_PLT[[#This Row],[UCS avg code]]</f>
        <v>#VALUE!</v>
      </c>
      <c r="AF265" s="67" t="e">
        <f>Data_PLT[[#This Row],[Test code]]&amp;"-"&amp;Data_PLT[[#This Row],[UCS max code]]</f>
        <v>#VALUE!</v>
      </c>
      <c r="AG265" s="67" t="e">
        <f>Data_PLT[[#This Row],[Failure type]]&amp;"-"&amp;Data_PLT[[#This Row],[Test type]]&amp;"-"&amp;(IF(Data_PLT[[#This Row],[Is50 (MPa)]]&lt;1,1,IF(Data_PLT[[#This Row],[Is50 (MPa)]]&lt;2,2,IF(Data_PLT[[#This Row],[Is50 (MPa)]]&lt;4,3,IF(Data_PLT[[#This Row],[Is50 (MPa)]]&lt;8,4,5)))))</f>
        <v>#VALUE!</v>
      </c>
    </row>
    <row r="266" spans="1:33" x14ac:dyDescent="0.25">
      <c r="A266" s="14"/>
      <c r="B266" s="88" t="e">
        <f>VLOOKUP(Data_PLT[[#This Row],[Hole ID]],Data_Log[],2,FALSE)</f>
        <v>#N/A</v>
      </c>
      <c r="C266" s="63" t="str">
        <f>IF(Data_PLT[[#This Row],[Hole ID]]="","",
IF(COUNTIF($A$4:A266,Data_PLT[[#This Row],[Hole ID]])=1,1,
IF(A266=A265,C265+1,
COUNTIF($A$4:A266,Data_PLT[[#This Row],[Hole ID]]))))</f>
        <v/>
      </c>
      <c r="D266" s="63" t="str">
        <f>IF(Data_PLT[[#This Row],[Hole ID]]="","",Data_PLT[[#This Row],[Hole ID]]&amp;"_"&amp;Data_PLT[[#This Row],[Sample ID]])</f>
        <v/>
      </c>
      <c r="E266" s="6"/>
      <c r="F266" s="6"/>
      <c r="G266" s="63" t="e" cm="1">
        <f t="array" ref="G266">_xlfn.XLOOKUP(1,(A266=Geotech!$A$4:$A$11100)*(Data_PLT[[#This Row],[Depth (m)]]&gt;=Geotech!$C$4:$C$11100)*(Data_PLT[[#This Row],[Depth (m)]]&lt;Geotech!$D$4:$D$11100),Geotech!$M$4:$M$11100)</f>
        <v>#N/A</v>
      </c>
      <c r="H266" s="6"/>
      <c r="I266" s="63" t="e">
        <f>VLOOKUP(Data_PLT[[#This Row],[Hole ID]],Data_Log[[Hole ID]:[Core size]],20,FALSE)</f>
        <v>#N/A</v>
      </c>
      <c r="J266" s="13" t="e">
        <f>VLOOKUP(Data_PLT[[#This Row],[Core Size]],Table_CoreSize[],2,FALSE)</f>
        <v>#N/A</v>
      </c>
      <c r="K266" s="19"/>
      <c r="L266" s="19"/>
      <c r="M266" s="5"/>
      <c r="N266" s="5"/>
      <c r="O266" s="6"/>
      <c r="P266" s="13" t="str">
        <f>IF(Data_PLT[[#This Row],[Failure type]]="","",IF(OR(Data_PLT[[#This Row],[Failure type]]="Invalid",Data_PLT[[#This Row],[Failure type]]="Chipped",Data_PLT[[#This Row],[Failure type]]="Penetrate",Data_PLT[[#This Row],[Failure type]]="Did not break"),"Invalid","Valid"))</f>
        <v/>
      </c>
      <c r="Q266" s="6"/>
      <c r="R266" s="11"/>
      <c r="S266" s="13" t="str">
        <f>IF(Data_PLT[[#This Row],[Test type]]="Diametral",Data_PLT[[#This Row],[Diameter (mm)]],IF(Data_PLT[[#This Row],[Test type]]="Axial",SQRT(4*Data_PLT[[#This Row],[Diameter (mm)]]*Data_PLT[[#This Row],[Length or width (mm)]]/PI()),"ERROR"))</f>
        <v>ERROR</v>
      </c>
      <c r="T266" s="13" t="e">
        <f>(Data_PLT[[#This Row],[Load (kN)]]*1000)/Data_PLT[[#This Row],[Equiv. Diam. (mm)]]^2</f>
        <v>#VALUE!</v>
      </c>
      <c r="U266" s="13" t="e">
        <f>(Data_PLT[[#This Row],[Equiv. Diam. (mm)]]/50)^0.45</f>
        <v>#VALUE!</v>
      </c>
      <c r="V266" s="13" t="e">
        <f>Data_PLT[[#This Row],[Is (MPa)]]*Data_PLT[[#This Row],[F]]</f>
        <v>#VALUE!</v>
      </c>
      <c r="W266" s="13" t="str">
        <f>Data_PLT[[#This Row],[Failure Validity]]&amp;"-"&amp;Data_PLT[[#This Row],[Test type]]</f>
        <v>-</v>
      </c>
      <c r="X266" s="13" t="e">
        <f>Data_PLT[[#This Row],[Is50 (MPa)]]*VLOOKUP("Min",Table_PLT_Conversion[],2,FALSE)</f>
        <v>#VALUE!</v>
      </c>
      <c r="Y266" s="13" t="e">
        <f>Data_PLT[[#This Row],[Is50 (MPa)]]*VLOOKUP("Avg",Table_PLT_Conversion[],2,FALSE)</f>
        <v>#VALUE!</v>
      </c>
      <c r="Z266" s="13" t="e">
        <f>Data_PLT[[#This Row],[Is50 (MPa)]]*VLOOKUP("Max",Table_PLT_Conversion[],2,FALSE)</f>
        <v>#VALUE!</v>
      </c>
      <c r="AA266" s="62" t="e">
        <f>MATCH(LOOKUP(Data_PLT[[#This Row],[UCS min (MPa)]],Table_FieldStrength[Min UCS]),Table_FieldStrength[Min UCS],0)-1</f>
        <v>#VALUE!</v>
      </c>
      <c r="AB266" s="62" t="e">
        <f>MATCH(LOOKUP(Data_PLT[[#This Row],[UCS avg (MPa)]],Table_FieldStrength[Min UCS]),Table_FieldStrength[Min UCS],0)-1</f>
        <v>#VALUE!</v>
      </c>
      <c r="AC266" s="62" t="e">
        <f>MATCH(LOOKUP(Data_PLT[[#This Row],[UCS max (MPa)]],Table_FieldStrength[Min UCS]),Table_FieldStrength[Min UCS],0)-1</f>
        <v>#VALUE!</v>
      </c>
      <c r="AD266" s="68" t="e">
        <f>Data_PLT[[#This Row],[Test code]]&amp;"-"&amp;Data_PLT[[#This Row],[UCS min code]]</f>
        <v>#VALUE!</v>
      </c>
      <c r="AE266" s="68" t="e">
        <f>Data_PLT[[#This Row],[Test code]]&amp;"-"&amp;Data_PLT[[#This Row],[UCS avg code]]</f>
        <v>#VALUE!</v>
      </c>
      <c r="AF266" s="67" t="e">
        <f>Data_PLT[[#This Row],[Test code]]&amp;"-"&amp;Data_PLT[[#This Row],[UCS max code]]</f>
        <v>#VALUE!</v>
      </c>
      <c r="AG266" s="67" t="e">
        <f>Data_PLT[[#This Row],[Failure type]]&amp;"-"&amp;Data_PLT[[#This Row],[Test type]]&amp;"-"&amp;(IF(Data_PLT[[#This Row],[Is50 (MPa)]]&lt;1,1,IF(Data_PLT[[#This Row],[Is50 (MPa)]]&lt;2,2,IF(Data_PLT[[#This Row],[Is50 (MPa)]]&lt;4,3,IF(Data_PLT[[#This Row],[Is50 (MPa)]]&lt;8,4,5)))))</f>
        <v>#VALUE!</v>
      </c>
    </row>
    <row r="267" spans="1:33" x14ac:dyDescent="0.25">
      <c r="A267" s="14"/>
      <c r="B267" s="88" t="e">
        <f>VLOOKUP(Data_PLT[[#This Row],[Hole ID]],Data_Log[],2,FALSE)</f>
        <v>#N/A</v>
      </c>
      <c r="C267" s="63" t="str">
        <f>IF(Data_PLT[[#This Row],[Hole ID]]="","",
IF(COUNTIF($A$4:A267,Data_PLT[[#This Row],[Hole ID]])=1,1,
IF(A267=A266,C266+1,
COUNTIF($A$4:A267,Data_PLT[[#This Row],[Hole ID]]))))</f>
        <v/>
      </c>
      <c r="D267" s="63" t="str">
        <f>IF(Data_PLT[[#This Row],[Hole ID]]="","",Data_PLT[[#This Row],[Hole ID]]&amp;"_"&amp;Data_PLT[[#This Row],[Sample ID]])</f>
        <v/>
      </c>
      <c r="E267" s="6"/>
      <c r="F267" s="6"/>
      <c r="G267" s="63" t="e" cm="1">
        <f t="array" ref="G267">_xlfn.XLOOKUP(1,(A267=Geotech!$A$4:$A$11100)*(Data_PLT[[#This Row],[Depth (m)]]&gt;=Geotech!$C$4:$C$11100)*(Data_PLT[[#This Row],[Depth (m)]]&lt;Geotech!$D$4:$D$11100),Geotech!$M$4:$M$11100)</f>
        <v>#N/A</v>
      </c>
      <c r="H267" s="6"/>
      <c r="I267" s="63" t="e">
        <f>VLOOKUP(Data_PLT[[#This Row],[Hole ID]],Data_Log[[Hole ID]:[Core size]],20,FALSE)</f>
        <v>#N/A</v>
      </c>
      <c r="J267" s="13" t="e">
        <f>VLOOKUP(Data_PLT[[#This Row],[Core Size]],Table_CoreSize[],2,FALSE)</f>
        <v>#N/A</v>
      </c>
      <c r="K267" s="19"/>
      <c r="L267" s="19"/>
      <c r="M267" s="5"/>
      <c r="N267" s="5"/>
      <c r="O267" s="6"/>
      <c r="P267" s="13" t="str">
        <f>IF(Data_PLT[[#This Row],[Failure type]]="","",IF(OR(Data_PLT[[#This Row],[Failure type]]="Invalid",Data_PLT[[#This Row],[Failure type]]="Chipped",Data_PLT[[#This Row],[Failure type]]="Penetrate",Data_PLT[[#This Row],[Failure type]]="Did not break"),"Invalid","Valid"))</f>
        <v/>
      </c>
      <c r="Q267" s="6"/>
      <c r="R267" s="11"/>
      <c r="S267" s="13" t="str">
        <f>IF(Data_PLT[[#This Row],[Test type]]="Diametral",Data_PLT[[#This Row],[Diameter (mm)]],IF(Data_PLT[[#This Row],[Test type]]="Axial",SQRT(4*Data_PLT[[#This Row],[Diameter (mm)]]*Data_PLT[[#This Row],[Length or width (mm)]]/PI()),"ERROR"))</f>
        <v>ERROR</v>
      </c>
      <c r="T267" s="13" t="e">
        <f>(Data_PLT[[#This Row],[Load (kN)]]*1000)/Data_PLT[[#This Row],[Equiv. Diam. (mm)]]^2</f>
        <v>#VALUE!</v>
      </c>
      <c r="U267" s="13" t="e">
        <f>(Data_PLT[[#This Row],[Equiv. Diam. (mm)]]/50)^0.45</f>
        <v>#VALUE!</v>
      </c>
      <c r="V267" s="13" t="e">
        <f>Data_PLT[[#This Row],[Is (MPa)]]*Data_PLT[[#This Row],[F]]</f>
        <v>#VALUE!</v>
      </c>
      <c r="W267" s="13" t="str">
        <f>Data_PLT[[#This Row],[Failure Validity]]&amp;"-"&amp;Data_PLT[[#This Row],[Test type]]</f>
        <v>-</v>
      </c>
      <c r="X267" s="13" t="e">
        <f>Data_PLT[[#This Row],[Is50 (MPa)]]*VLOOKUP("Min",Table_PLT_Conversion[],2,FALSE)</f>
        <v>#VALUE!</v>
      </c>
      <c r="Y267" s="13" t="e">
        <f>Data_PLT[[#This Row],[Is50 (MPa)]]*VLOOKUP("Avg",Table_PLT_Conversion[],2,FALSE)</f>
        <v>#VALUE!</v>
      </c>
      <c r="Z267" s="13" t="e">
        <f>Data_PLT[[#This Row],[Is50 (MPa)]]*VLOOKUP("Max",Table_PLT_Conversion[],2,FALSE)</f>
        <v>#VALUE!</v>
      </c>
      <c r="AA267" s="62" t="e">
        <f>MATCH(LOOKUP(Data_PLT[[#This Row],[UCS min (MPa)]],Table_FieldStrength[Min UCS]),Table_FieldStrength[Min UCS],0)-1</f>
        <v>#VALUE!</v>
      </c>
      <c r="AB267" s="62" t="e">
        <f>MATCH(LOOKUP(Data_PLT[[#This Row],[UCS avg (MPa)]],Table_FieldStrength[Min UCS]),Table_FieldStrength[Min UCS],0)-1</f>
        <v>#VALUE!</v>
      </c>
      <c r="AC267" s="62" t="e">
        <f>MATCH(LOOKUP(Data_PLT[[#This Row],[UCS max (MPa)]],Table_FieldStrength[Min UCS]),Table_FieldStrength[Min UCS],0)-1</f>
        <v>#VALUE!</v>
      </c>
      <c r="AD267" s="68" t="e">
        <f>Data_PLT[[#This Row],[Test code]]&amp;"-"&amp;Data_PLT[[#This Row],[UCS min code]]</f>
        <v>#VALUE!</v>
      </c>
      <c r="AE267" s="68" t="e">
        <f>Data_PLT[[#This Row],[Test code]]&amp;"-"&amp;Data_PLT[[#This Row],[UCS avg code]]</f>
        <v>#VALUE!</v>
      </c>
      <c r="AF267" s="67" t="e">
        <f>Data_PLT[[#This Row],[Test code]]&amp;"-"&amp;Data_PLT[[#This Row],[UCS max code]]</f>
        <v>#VALUE!</v>
      </c>
      <c r="AG267" s="67" t="e">
        <f>Data_PLT[[#This Row],[Failure type]]&amp;"-"&amp;Data_PLT[[#This Row],[Test type]]&amp;"-"&amp;(IF(Data_PLT[[#This Row],[Is50 (MPa)]]&lt;1,1,IF(Data_PLT[[#This Row],[Is50 (MPa)]]&lt;2,2,IF(Data_PLT[[#This Row],[Is50 (MPa)]]&lt;4,3,IF(Data_PLT[[#This Row],[Is50 (MPa)]]&lt;8,4,5)))))</f>
        <v>#VALUE!</v>
      </c>
    </row>
    <row r="268" spans="1:33" x14ac:dyDescent="0.25">
      <c r="A268" s="14"/>
      <c r="B268" s="88" t="e">
        <f>VLOOKUP(Data_PLT[[#This Row],[Hole ID]],Data_Log[],2,FALSE)</f>
        <v>#N/A</v>
      </c>
      <c r="C268" s="63" t="str">
        <f>IF(Data_PLT[[#This Row],[Hole ID]]="","",
IF(COUNTIF($A$4:A268,Data_PLT[[#This Row],[Hole ID]])=1,1,
IF(A268=A267,C267+1,
COUNTIF($A$4:A268,Data_PLT[[#This Row],[Hole ID]]))))</f>
        <v/>
      </c>
      <c r="D268" s="63" t="str">
        <f>IF(Data_PLT[[#This Row],[Hole ID]]="","",Data_PLT[[#This Row],[Hole ID]]&amp;"_"&amp;Data_PLT[[#This Row],[Sample ID]])</f>
        <v/>
      </c>
      <c r="E268" s="6"/>
      <c r="F268" s="6"/>
      <c r="G268" s="63" t="e" cm="1">
        <f t="array" ref="G268">_xlfn.XLOOKUP(1,(A268=Geotech!$A$4:$A$11100)*(Data_PLT[[#This Row],[Depth (m)]]&gt;=Geotech!$C$4:$C$11100)*(Data_PLT[[#This Row],[Depth (m)]]&lt;Geotech!$D$4:$D$11100),Geotech!$M$4:$M$11100)</f>
        <v>#N/A</v>
      </c>
      <c r="H268" s="6"/>
      <c r="I268" s="63" t="e">
        <f>VLOOKUP(Data_PLT[[#This Row],[Hole ID]],Data_Log[[Hole ID]:[Core size]],20,FALSE)</f>
        <v>#N/A</v>
      </c>
      <c r="J268" s="13" t="e">
        <f>VLOOKUP(Data_PLT[[#This Row],[Core Size]],Table_CoreSize[],2,FALSE)</f>
        <v>#N/A</v>
      </c>
      <c r="K268" s="19"/>
      <c r="L268" s="19"/>
      <c r="M268" s="5"/>
      <c r="N268" s="5"/>
      <c r="O268" s="6"/>
      <c r="P268" s="13" t="str">
        <f>IF(Data_PLT[[#This Row],[Failure type]]="","",IF(OR(Data_PLT[[#This Row],[Failure type]]="Invalid",Data_PLT[[#This Row],[Failure type]]="Chipped",Data_PLT[[#This Row],[Failure type]]="Penetrate",Data_PLT[[#This Row],[Failure type]]="Did not break"),"Invalid","Valid"))</f>
        <v/>
      </c>
      <c r="Q268" s="6"/>
      <c r="R268" s="11"/>
      <c r="S268" s="13" t="str">
        <f>IF(Data_PLT[[#This Row],[Test type]]="Diametral",Data_PLT[[#This Row],[Diameter (mm)]],IF(Data_PLT[[#This Row],[Test type]]="Axial",SQRT(4*Data_PLT[[#This Row],[Diameter (mm)]]*Data_PLT[[#This Row],[Length or width (mm)]]/PI()),"ERROR"))</f>
        <v>ERROR</v>
      </c>
      <c r="T268" s="13" t="e">
        <f>(Data_PLT[[#This Row],[Load (kN)]]*1000)/Data_PLT[[#This Row],[Equiv. Diam. (mm)]]^2</f>
        <v>#VALUE!</v>
      </c>
      <c r="U268" s="13" t="e">
        <f>(Data_PLT[[#This Row],[Equiv. Diam. (mm)]]/50)^0.45</f>
        <v>#VALUE!</v>
      </c>
      <c r="V268" s="13" t="e">
        <f>Data_PLT[[#This Row],[Is (MPa)]]*Data_PLT[[#This Row],[F]]</f>
        <v>#VALUE!</v>
      </c>
      <c r="W268" s="13" t="str">
        <f>Data_PLT[[#This Row],[Failure Validity]]&amp;"-"&amp;Data_PLT[[#This Row],[Test type]]</f>
        <v>-</v>
      </c>
      <c r="X268" s="13" t="e">
        <f>Data_PLT[[#This Row],[Is50 (MPa)]]*VLOOKUP("Min",Table_PLT_Conversion[],2,FALSE)</f>
        <v>#VALUE!</v>
      </c>
      <c r="Y268" s="13" t="e">
        <f>Data_PLT[[#This Row],[Is50 (MPa)]]*VLOOKUP("Avg",Table_PLT_Conversion[],2,FALSE)</f>
        <v>#VALUE!</v>
      </c>
      <c r="Z268" s="13" t="e">
        <f>Data_PLT[[#This Row],[Is50 (MPa)]]*VLOOKUP("Max",Table_PLT_Conversion[],2,FALSE)</f>
        <v>#VALUE!</v>
      </c>
      <c r="AA268" s="62" t="e">
        <f>MATCH(LOOKUP(Data_PLT[[#This Row],[UCS min (MPa)]],Table_FieldStrength[Min UCS]),Table_FieldStrength[Min UCS],0)-1</f>
        <v>#VALUE!</v>
      </c>
      <c r="AB268" s="62" t="e">
        <f>MATCH(LOOKUP(Data_PLT[[#This Row],[UCS avg (MPa)]],Table_FieldStrength[Min UCS]),Table_FieldStrength[Min UCS],0)-1</f>
        <v>#VALUE!</v>
      </c>
      <c r="AC268" s="62" t="e">
        <f>MATCH(LOOKUP(Data_PLT[[#This Row],[UCS max (MPa)]],Table_FieldStrength[Min UCS]),Table_FieldStrength[Min UCS],0)-1</f>
        <v>#VALUE!</v>
      </c>
      <c r="AD268" s="68" t="e">
        <f>Data_PLT[[#This Row],[Test code]]&amp;"-"&amp;Data_PLT[[#This Row],[UCS min code]]</f>
        <v>#VALUE!</v>
      </c>
      <c r="AE268" s="68" t="e">
        <f>Data_PLT[[#This Row],[Test code]]&amp;"-"&amp;Data_PLT[[#This Row],[UCS avg code]]</f>
        <v>#VALUE!</v>
      </c>
      <c r="AF268" s="67" t="e">
        <f>Data_PLT[[#This Row],[Test code]]&amp;"-"&amp;Data_PLT[[#This Row],[UCS max code]]</f>
        <v>#VALUE!</v>
      </c>
      <c r="AG268" s="67" t="e">
        <f>Data_PLT[[#This Row],[Failure type]]&amp;"-"&amp;Data_PLT[[#This Row],[Test type]]&amp;"-"&amp;(IF(Data_PLT[[#This Row],[Is50 (MPa)]]&lt;1,1,IF(Data_PLT[[#This Row],[Is50 (MPa)]]&lt;2,2,IF(Data_PLT[[#This Row],[Is50 (MPa)]]&lt;4,3,IF(Data_PLT[[#This Row],[Is50 (MPa)]]&lt;8,4,5)))))</f>
        <v>#VALUE!</v>
      </c>
    </row>
    <row r="269" spans="1:33" x14ac:dyDescent="0.25">
      <c r="A269" s="14"/>
      <c r="B269" s="88" t="e">
        <f>VLOOKUP(Data_PLT[[#This Row],[Hole ID]],Data_Log[],2,FALSE)</f>
        <v>#N/A</v>
      </c>
      <c r="C269" s="63" t="str">
        <f>IF(Data_PLT[[#This Row],[Hole ID]]="","",
IF(COUNTIF($A$4:A269,Data_PLT[[#This Row],[Hole ID]])=1,1,
IF(A269=A268,C268+1,
COUNTIF($A$4:A269,Data_PLT[[#This Row],[Hole ID]]))))</f>
        <v/>
      </c>
      <c r="D269" s="63" t="str">
        <f>IF(Data_PLT[[#This Row],[Hole ID]]="","",Data_PLT[[#This Row],[Hole ID]]&amp;"_"&amp;Data_PLT[[#This Row],[Sample ID]])</f>
        <v/>
      </c>
      <c r="E269" s="6"/>
      <c r="F269" s="6"/>
      <c r="G269" s="63" t="e" cm="1">
        <f t="array" ref="G269">_xlfn.XLOOKUP(1,(A269=Geotech!$A$4:$A$11100)*(Data_PLT[[#This Row],[Depth (m)]]&gt;=Geotech!$C$4:$C$11100)*(Data_PLT[[#This Row],[Depth (m)]]&lt;Geotech!$D$4:$D$11100),Geotech!$M$4:$M$11100)</f>
        <v>#N/A</v>
      </c>
      <c r="H269" s="6"/>
      <c r="I269" s="63" t="e">
        <f>VLOOKUP(Data_PLT[[#This Row],[Hole ID]],Data_Log[[Hole ID]:[Core size]],20,FALSE)</f>
        <v>#N/A</v>
      </c>
      <c r="J269" s="13" t="e">
        <f>VLOOKUP(Data_PLT[[#This Row],[Core Size]],Table_CoreSize[],2,FALSE)</f>
        <v>#N/A</v>
      </c>
      <c r="K269" s="19"/>
      <c r="L269" s="19"/>
      <c r="M269" s="5"/>
      <c r="N269" s="5"/>
      <c r="O269" s="6"/>
      <c r="P269" s="13" t="str">
        <f>IF(Data_PLT[[#This Row],[Failure type]]="","",IF(OR(Data_PLT[[#This Row],[Failure type]]="Invalid",Data_PLT[[#This Row],[Failure type]]="Chipped",Data_PLT[[#This Row],[Failure type]]="Penetrate",Data_PLT[[#This Row],[Failure type]]="Did not break"),"Invalid","Valid"))</f>
        <v/>
      </c>
      <c r="Q269" s="6"/>
      <c r="R269" s="11"/>
      <c r="S269" s="13" t="str">
        <f>IF(Data_PLT[[#This Row],[Test type]]="Diametral",Data_PLT[[#This Row],[Diameter (mm)]],IF(Data_PLT[[#This Row],[Test type]]="Axial",SQRT(4*Data_PLT[[#This Row],[Diameter (mm)]]*Data_PLT[[#This Row],[Length or width (mm)]]/PI()),"ERROR"))</f>
        <v>ERROR</v>
      </c>
      <c r="T269" s="13" t="e">
        <f>(Data_PLT[[#This Row],[Load (kN)]]*1000)/Data_PLT[[#This Row],[Equiv. Diam. (mm)]]^2</f>
        <v>#VALUE!</v>
      </c>
      <c r="U269" s="13" t="e">
        <f>(Data_PLT[[#This Row],[Equiv. Diam. (mm)]]/50)^0.45</f>
        <v>#VALUE!</v>
      </c>
      <c r="V269" s="13" t="e">
        <f>Data_PLT[[#This Row],[Is (MPa)]]*Data_PLT[[#This Row],[F]]</f>
        <v>#VALUE!</v>
      </c>
      <c r="W269" s="13" t="str">
        <f>Data_PLT[[#This Row],[Failure Validity]]&amp;"-"&amp;Data_PLT[[#This Row],[Test type]]</f>
        <v>-</v>
      </c>
      <c r="X269" s="13" t="e">
        <f>Data_PLT[[#This Row],[Is50 (MPa)]]*VLOOKUP("Min",Table_PLT_Conversion[],2,FALSE)</f>
        <v>#VALUE!</v>
      </c>
      <c r="Y269" s="13" t="e">
        <f>Data_PLT[[#This Row],[Is50 (MPa)]]*VLOOKUP("Avg",Table_PLT_Conversion[],2,FALSE)</f>
        <v>#VALUE!</v>
      </c>
      <c r="Z269" s="13" t="e">
        <f>Data_PLT[[#This Row],[Is50 (MPa)]]*VLOOKUP("Max",Table_PLT_Conversion[],2,FALSE)</f>
        <v>#VALUE!</v>
      </c>
      <c r="AA269" s="62" t="e">
        <f>MATCH(LOOKUP(Data_PLT[[#This Row],[UCS min (MPa)]],Table_FieldStrength[Min UCS]),Table_FieldStrength[Min UCS],0)-1</f>
        <v>#VALUE!</v>
      </c>
      <c r="AB269" s="62" t="e">
        <f>MATCH(LOOKUP(Data_PLT[[#This Row],[UCS avg (MPa)]],Table_FieldStrength[Min UCS]),Table_FieldStrength[Min UCS],0)-1</f>
        <v>#VALUE!</v>
      </c>
      <c r="AC269" s="62" t="e">
        <f>MATCH(LOOKUP(Data_PLT[[#This Row],[UCS max (MPa)]],Table_FieldStrength[Min UCS]),Table_FieldStrength[Min UCS],0)-1</f>
        <v>#VALUE!</v>
      </c>
      <c r="AD269" s="68" t="e">
        <f>Data_PLT[[#This Row],[Test code]]&amp;"-"&amp;Data_PLT[[#This Row],[UCS min code]]</f>
        <v>#VALUE!</v>
      </c>
      <c r="AE269" s="68" t="e">
        <f>Data_PLT[[#This Row],[Test code]]&amp;"-"&amp;Data_PLT[[#This Row],[UCS avg code]]</f>
        <v>#VALUE!</v>
      </c>
      <c r="AF269" s="67" t="e">
        <f>Data_PLT[[#This Row],[Test code]]&amp;"-"&amp;Data_PLT[[#This Row],[UCS max code]]</f>
        <v>#VALUE!</v>
      </c>
      <c r="AG269" s="67" t="e">
        <f>Data_PLT[[#This Row],[Failure type]]&amp;"-"&amp;Data_PLT[[#This Row],[Test type]]&amp;"-"&amp;(IF(Data_PLT[[#This Row],[Is50 (MPa)]]&lt;1,1,IF(Data_PLT[[#This Row],[Is50 (MPa)]]&lt;2,2,IF(Data_PLT[[#This Row],[Is50 (MPa)]]&lt;4,3,IF(Data_PLT[[#This Row],[Is50 (MPa)]]&lt;8,4,5)))))</f>
        <v>#VALUE!</v>
      </c>
    </row>
    <row r="270" spans="1:33" x14ac:dyDescent="0.25">
      <c r="A270" s="14"/>
      <c r="B270" s="88" t="e">
        <f>VLOOKUP(Data_PLT[[#This Row],[Hole ID]],Data_Log[],2,FALSE)</f>
        <v>#N/A</v>
      </c>
      <c r="C270" s="63" t="str">
        <f>IF(Data_PLT[[#This Row],[Hole ID]]="","",
IF(COUNTIF($A$4:A270,Data_PLT[[#This Row],[Hole ID]])=1,1,
IF(A270=A269,C269+1,
COUNTIF($A$4:A270,Data_PLT[[#This Row],[Hole ID]]))))</f>
        <v/>
      </c>
      <c r="D270" s="63" t="str">
        <f>IF(Data_PLT[[#This Row],[Hole ID]]="","",Data_PLT[[#This Row],[Hole ID]]&amp;"_"&amp;Data_PLT[[#This Row],[Sample ID]])</f>
        <v/>
      </c>
      <c r="E270" s="6"/>
      <c r="F270" s="6"/>
      <c r="G270" s="63" t="e" cm="1">
        <f t="array" ref="G270">_xlfn.XLOOKUP(1,(A270=Geotech!$A$4:$A$11100)*(Data_PLT[[#This Row],[Depth (m)]]&gt;=Geotech!$C$4:$C$11100)*(Data_PLT[[#This Row],[Depth (m)]]&lt;Geotech!$D$4:$D$11100),Geotech!$M$4:$M$11100)</f>
        <v>#N/A</v>
      </c>
      <c r="H270" s="6"/>
      <c r="I270" s="63" t="e">
        <f>VLOOKUP(Data_PLT[[#This Row],[Hole ID]],Data_Log[[Hole ID]:[Core size]],20,FALSE)</f>
        <v>#N/A</v>
      </c>
      <c r="J270" s="13" t="e">
        <f>VLOOKUP(Data_PLT[[#This Row],[Core Size]],Table_CoreSize[],2,FALSE)</f>
        <v>#N/A</v>
      </c>
      <c r="K270" s="19"/>
      <c r="L270" s="19"/>
      <c r="M270" s="5"/>
      <c r="N270" s="5"/>
      <c r="O270" s="6"/>
      <c r="P270" s="13" t="str">
        <f>IF(Data_PLT[[#This Row],[Failure type]]="","",IF(OR(Data_PLT[[#This Row],[Failure type]]="Invalid",Data_PLT[[#This Row],[Failure type]]="Chipped",Data_PLT[[#This Row],[Failure type]]="Penetrate",Data_PLT[[#This Row],[Failure type]]="Did not break"),"Invalid","Valid"))</f>
        <v/>
      </c>
      <c r="Q270" s="6"/>
      <c r="R270" s="11"/>
      <c r="S270" s="13" t="str">
        <f>IF(Data_PLT[[#This Row],[Test type]]="Diametral",Data_PLT[[#This Row],[Diameter (mm)]],IF(Data_PLT[[#This Row],[Test type]]="Axial",SQRT(4*Data_PLT[[#This Row],[Diameter (mm)]]*Data_PLT[[#This Row],[Length or width (mm)]]/PI()),"ERROR"))</f>
        <v>ERROR</v>
      </c>
      <c r="T270" s="13" t="e">
        <f>(Data_PLT[[#This Row],[Load (kN)]]*1000)/Data_PLT[[#This Row],[Equiv. Diam. (mm)]]^2</f>
        <v>#VALUE!</v>
      </c>
      <c r="U270" s="13" t="e">
        <f>(Data_PLT[[#This Row],[Equiv. Diam. (mm)]]/50)^0.45</f>
        <v>#VALUE!</v>
      </c>
      <c r="V270" s="13" t="e">
        <f>Data_PLT[[#This Row],[Is (MPa)]]*Data_PLT[[#This Row],[F]]</f>
        <v>#VALUE!</v>
      </c>
      <c r="W270" s="13" t="str">
        <f>Data_PLT[[#This Row],[Failure Validity]]&amp;"-"&amp;Data_PLT[[#This Row],[Test type]]</f>
        <v>-</v>
      </c>
      <c r="X270" s="13" t="e">
        <f>Data_PLT[[#This Row],[Is50 (MPa)]]*VLOOKUP("Min",Table_PLT_Conversion[],2,FALSE)</f>
        <v>#VALUE!</v>
      </c>
      <c r="Y270" s="13" t="e">
        <f>Data_PLT[[#This Row],[Is50 (MPa)]]*VLOOKUP("Avg",Table_PLT_Conversion[],2,FALSE)</f>
        <v>#VALUE!</v>
      </c>
      <c r="Z270" s="13" t="e">
        <f>Data_PLT[[#This Row],[Is50 (MPa)]]*VLOOKUP("Max",Table_PLT_Conversion[],2,FALSE)</f>
        <v>#VALUE!</v>
      </c>
      <c r="AA270" s="62" t="e">
        <f>MATCH(LOOKUP(Data_PLT[[#This Row],[UCS min (MPa)]],Table_FieldStrength[Min UCS]),Table_FieldStrength[Min UCS],0)-1</f>
        <v>#VALUE!</v>
      </c>
      <c r="AB270" s="62" t="e">
        <f>MATCH(LOOKUP(Data_PLT[[#This Row],[UCS avg (MPa)]],Table_FieldStrength[Min UCS]),Table_FieldStrength[Min UCS],0)-1</f>
        <v>#VALUE!</v>
      </c>
      <c r="AC270" s="62" t="e">
        <f>MATCH(LOOKUP(Data_PLT[[#This Row],[UCS max (MPa)]],Table_FieldStrength[Min UCS]),Table_FieldStrength[Min UCS],0)-1</f>
        <v>#VALUE!</v>
      </c>
      <c r="AD270" s="68" t="e">
        <f>Data_PLT[[#This Row],[Test code]]&amp;"-"&amp;Data_PLT[[#This Row],[UCS min code]]</f>
        <v>#VALUE!</v>
      </c>
      <c r="AE270" s="68" t="e">
        <f>Data_PLT[[#This Row],[Test code]]&amp;"-"&amp;Data_PLT[[#This Row],[UCS avg code]]</f>
        <v>#VALUE!</v>
      </c>
      <c r="AF270" s="67" t="e">
        <f>Data_PLT[[#This Row],[Test code]]&amp;"-"&amp;Data_PLT[[#This Row],[UCS max code]]</f>
        <v>#VALUE!</v>
      </c>
      <c r="AG270" s="67" t="e">
        <f>Data_PLT[[#This Row],[Failure type]]&amp;"-"&amp;Data_PLT[[#This Row],[Test type]]&amp;"-"&amp;(IF(Data_PLT[[#This Row],[Is50 (MPa)]]&lt;1,1,IF(Data_PLT[[#This Row],[Is50 (MPa)]]&lt;2,2,IF(Data_PLT[[#This Row],[Is50 (MPa)]]&lt;4,3,IF(Data_PLT[[#This Row],[Is50 (MPa)]]&lt;8,4,5)))))</f>
        <v>#VALUE!</v>
      </c>
    </row>
    <row r="271" spans="1:33" x14ac:dyDescent="0.25">
      <c r="A271" s="14"/>
      <c r="B271" s="88" t="e">
        <f>VLOOKUP(Data_PLT[[#This Row],[Hole ID]],Data_Log[],2,FALSE)</f>
        <v>#N/A</v>
      </c>
      <c r="C271" s="63" t="str">
        <f>IF(Data_PLT[[#This Row],[Hole ID]]="","",
IF(COUNTIF($A$4:A271,Data_PLT[[#This Row],[Hole ID]])=1,1,
IF(A271=A270,C270+1,
COUNTIF($A$4:A271,Data_PLT[[#This Row],[Hole ID]]))))</f>
        <v/>
      </c>
      <c r="D271" s="63" t="str">
        <f>IF(Data_PLT[[#This Row],[Hole ID]]="","",Data_PLT[[#This Row],[Hole ID]]&amp;"_"&amp;Data_PLT[[#This Row],[Sample ID]])</f>
        <v/>
      </c>
      <c r="E271" s="6"/>
      <c r="F271" s="6"/>
      <c r="G271" s="63" t="e" cm="1">
        <f t="array" ref="G271">_xlfn.XLOOKUP(1,(A271=Geotech!$A$4:$A$11100)*(Data_PLT[[#This Row],[Depth (m)]]&gt;=Geotech!$C$4:$C$11100)*(Data_PLT[[#This Row],[Depth (m)]]&lt;Geotech!$D$4:$D$11100),Geotech!$M$4:$M$11100)</f>
        <v>#N/A</v>
      </c>
      <c r="H271" s="6"/>
      <c r="I271" s="63" t="e">
        <f>VLOOKUP(Data_PLT[[#This Row],[Hole ID]],Data_Log[[Hole ID]:[Core size]],20,FALSE)</f>
        <v>#N/A</v>
      </c>
      <c r="J271" s="13" t="e">
        <f>VLOOKUP(Data_PLT[[#This Row],[Core Size]],Table_CoreSize[],2,FALSE)</f>
        <v>#N/A</v>
      </c>
      <c r="K271" s="19"/>
      <c r="L271" s="19"/>
      <c r="M271" s="5"/>
      <c r="N271" s="5"/>
      <c r="O271" s="6"/>
      <c r="P271" s="13" t="str">
        <f>IF(Data_PLT[[#This Row],[Failure type]]="","",IF(OR(Data_PLT[[#This Row],[Failure type]]="Invalid",Data_PLT[[#This Row],[Failure type]]="Chipped",Data_PLT[[#This Row],[Failure type]]="Penetrate",Data_PLT[[#This Row],[Failure type]]="Did not break"),"Invalid","Valid"))</f>
        <v/>
      </c>
      <c r="Q271" s="6"/>
      <c r="R271" s="11"/>
      <c r="S271" s="13" t="str">
        <f>IF(Data_PLT[[#This Row],[Test type]]="Diametral",Data_PLT[[#This Row],[Diameter (mm)]],IF(Data_PLT[[#This Row],[Test type]]="Axial",SQRT(4*Data_PLT[[#This Row],[Diameter (mm)]]*Data_PLT[[#This Row],[Length or width (mm)]]/PI()),"ERROR"))</f>
        <v>ERROR</v>
      </c>
      <c r="T271" s="13" t="e">
        <f>(Data_PLT[[#This Row],[Load (kN)]]*1000)/Data_PLT[[#This Row],[Equiv. Diam. (mm)]]^2</f>
        <v>#VALUE!</v>
      </c>
      <c r="U271" s="13" t="e">
        <f>(Data_PLT[[#This Row],[Equiv. Diam. (mm)]]/50)^0.45</f>
        <v>#VALUE!</v>
      </c>
      <c r="V271" s="13" t="e">
        <f>Data_PLT[[#This Row],[Is (MPa)]]*Data_PLT[[#This Row],[F]]</f>
        <v>#VALUE!</v>
      </c>
      <c r="W271" s="13" t="str">
        <f>Data_PLT[[#This Row],[Failure Validity]]&amp;"-"&amp;Data_PLT[[#This Row],[Test type]]</f>
        <v>-</v>
      </c>
      <c r="X271" s="13" t="e">
        <f>Data_PLT[[#This Row],[Is50 (MPa)]]*VLOOKUP("Min",Table_PLT_Conversion[],2,FALSE)</f>
        <v>#VALUE!</v>
      </c>
      <c r="Y271" s="13" t="e">
        <f>Data_PLT[[#This Row],[Is50 (MPa)]]*VLOOKUP("Avg",Table_PLT_Conversion[],2,FALSE)</f>
        <v>#VALUE!</v>
      </c>
      <c r="Z271" s="13" t="e">
        <f>Data_PLT[[#This Row],[Is50 (MPa)]]*VLOOKUP("Max",Table_PLT_Conversion[],2,FALSE)</f>
        <v>#VALUE!</v>
      </c>
      <c r="AA271" s="62" t="e">
        <f>MATCH(LOOKUP(Data_PLT[[#This Row],[UCS min (MPa)]],Table_FieldStrength[Min UCS]),Table_FieldStrength[Min UCS],0)-1</f>
        <v>#VALUE!</v>
      </c>
      <c r="AB271" s="62" t="e">
        <f>MATCH(LOOKUP(Data_PLT[[#This Row],[UCS avg (MPa)]],Table_FieldStrength[Min UCS]),Table_FieldStrength[Min UCS],0)-1</f>
        <v>#VALUE!</v>
      </c>
      <c r="AC271" s="62" t="e">
        <f>MATCH(LOOKUP(Data_PLT[[#This Row],[UCS max (MPa)]],Table_FieldStrength[Min UCS]),Table_FieldStrength[Min UCS],0)-1</f>
        <v>#VALUE!</v>
      </c>
      <c r="AD271" s="68" t="e">
        <f>Data_PLT[[#This Row],[Test code]]&amp;"-"&amp;Data_PLT[[#This Row],[UCS min code]]</f>
        <v>#VALUE!</v>
      </c>
      <c r="AE271" s="68" t="e">
        <f>Data_PLT[[#This Row],[Test code]]&amp;"-"&amp;Data_PLT[[#This Row],[UCS avg code]]</f>
        <v>#VALUE!</v>
      </c>
      <c r="AF271" s="67" t="e">
        <f>Data_PLT[[#This Row],[Test code]]&amp;"-"&amp;Data_PLT[[#This Row],[UCS max code]]</f>
        <v>#VALUE!</v>
      </c>
      <c r="AG271" s="67" t="e">
        <f>Data_PLT[[#This Row],[Failure type]]&amp;"-"&amp;Data_PLT[[#This Row],[Test type]]&amp;"-"&amp;(IF(Data_PLT[[#This Row],[Is50 (MPa)]]&lt;1,1,IF(Data_PLT[[#This Row],[Is50 (MPa)]]&lt;2,2,IF(Data_PLT[[#This Row],[Is50 (MPa)]]&lt;4,3,IF(Data_PLT[[#This Row],[Is50 (MPa)]]&lt;8,4,5)))))</f>
        <v>#VALUE!</v>
      </c>
    </row>
    <row r="272" spans="1:33" x14ac:dyDescent="0.25">
      <c r="A272" s="14"/>
      <c r="B272" s="88" t="e">
        <f>VLOOKUP(Data_PLT[[#This Row],[Hole ID]],Data_Log[],2,FALSE)</f>
        <v>#N/A</v>
      </c>
      <c r="C272" s="63" t="str">
        <f>IF(Data_PLT[[#This Row],[Hole ID]]="","",
IF(COUNTIF($A$4:A272,Data_PLT[[#This Row],[Hole ID]])=1,1,
IF(A272=A271,C271+1,
COUNTIF($A$4:A272,Data_PLT[[#This Row],[Hole ID]]))))</f>
        <v/>
      </c>
      <c r="D272" s="63" t="str">
        <f>IF(Data_PLT[[#This Row],[Hole ID]]="","",Data_PLT[[#This Row],[Hole ID]]&amp;"_"&amp;Data_PLT[[#This Row],[Sample ID]])</f>
        <v/>
      </c>
      <c r="E272" s="6"/>
      <c r="F272" s="6"/>
      <c r="G272" s="63" t="e" cm="1">
        <f t="array" ref="G272">_xlfn.XLOOKUP(1,(A272=Geotech!$A$4:$A$11100)*(Data_PLT[[#This Row],[Depth (m)]]&gt;=Geotech!$C$4:$C$11100)*(Data_PLT[[#This Row],[Depth (m)]]&lt;Geotech!$D$4:$D$11100),Geotech!$M$4:$M$11100)</f>
        <v>#N/A</v>
      </c>
      <c r="H272" s="6"/>
      <c r="I272" s="63" t="e">
        <f>VLOOKUP(Data_PLT[[#This Row],[Hole ID]],Data_Log[[Hole ID]:[Core size]],20,FALSE)</f>
        <v>#N/A</v>
      </c>
      <c r="J272" s="13" t="e">
        <f>VLOOKUP(Data_PLT[[#This Row],[Core Size]],Table_CoreSize[],2,FALSE)</f>
        <v>#N/A</v>
      </c>
      <c r="K272" s="19"/>
      <c r="L272" s="19"/>
      <c r="M272" s="5"/>
      <c r="N272" s="5"/>
      <c r="O272" s="6"/>
      <c r="P272" s="13" t="str">
        <f>IF(Data_PLT[[#This Row],[Failure type]]="","",IF(OR(Data_PLT[[#This Row],[Failure type]]="Invalid",Data_PLT[[#This Row],[Failure type]]="Chipped",Data_PLT[[#This Row],[Failure type]]="Penetrate",Data_PLT[[#This Row],[Failure type]]="Did not break"),"Invalid","Valid"))</f>
        <v/>
      </c>
      <c r="Q272" s="6"/>
      <c r="R272" s="11"/>
      <c r="S272" s="13" t="str">
        <f>IF(Data_PLT[[#This Row],[Test type]]="Diametral",Data_PLT[[#This Row],[Diameter (mm)]],IF(Data_PLT[[#This Row],[Test type]]="Axial",SQRT(4*Data_PLT[[#This Row],[Diameter (mm)]]*Data_PLT[[#This Row],[Length or width (mm)]]/PI()),"ERROR"))</f>
        <v>ERROR</v>
      </c>
      <c r="T272" s="13" t="e">
        <f>(Data_PLT[[#This Row],[Load (kN)]]*1000)/Data_PLT[[#This Row],[Equiv. Diam. (mm)]]^2</f>
        <v>#VALUE!</v>
      </c>
      <c r="U272" s="13" t="e">
        <f>(Data_PLT[[#This Row],[Equiv. Diam. (mm)]]/50)^0.45</f>
        <v>#VALUE!</v>
      </c>
      <c r="V272" s="13" t="e">
        <f>Data_PLT[[#This Row],[Is (MPa)]]*Data_PLT[[#This Row],[F]]</f>
        <v>#VALUE!</v>
      </c>
      <c r="W272" s="13" t="str">
        <f>Data_PLT[[#This Row],[Failure Validity]]&amp;"-"&amp;Data_PLT[[#This Row],[Test type]]</f>
        <v>-</v>
      </c>
      <c r="X272" s="13" t="e">
        <f>Data_PLT[[#This Row],[Is50 (MPa)]]*VLOOKUP("Min",Table_PLT_Conversion[],2,FALSE)</f>
        <v>#VALUE!</v>
      </c>
      <c r="Y272" s="13" t="e">
        <f>Data_PLT[[#This Row],[Is50 (MPa)]]*VLOOKUP("Avg",Table_PLT_Conversion[],2,FALSE)</f>
        <v>#VALUE!</v>
      </c>
      <c r="Z272" s="13" t="e">
        <f>Data_PLT[[#This Row],[Is50 (MPa)]]*VLOOKUP("Max",Table_PLT_Conversion[],2,FALSE)</f>
        <v>#VALUE!</v>
      </c>
      <c r="AA272" s="62" t="e">
        <f>MATCH(LOOKUP(Data_PLT[[#This Row],[UCS min (MPa)]],Table_FieldStrength[Min UCS]),Table_FieldStrength[Min UCS],0)-1</f>
        <v>#VALUE!</v>
      </c>
      <c r="AB272" s="62" t="e">
        <f>MATCH(LOOKUP(Data_PLT[[#This Row],[UCS avg (MPa)]],Table_FieldStrength[Min UCS]),Table_FieldStrength[Min UCS],0)-1</f>
        <v>#VALUE!</v>
      </c>
      <c r="AC272" s="62" t="e">
        <f>MATCH(LOOKUP(Data_PLT[[#This Row],[UCS max (MPa)]],Table_FieldStrength[Min UCS]),Table_FieldStrength[Min UCS],0)-1</f>
        <v>#VALUE!</v>
      </c>
      <c r="AD272" s="68" t="e">
        <f>Data_PLT[[#This Row],[Test code]]&amp;"-"&amp;Data_PLT[[#This Row],[UCS min code]]</f>
        <v>#VALUE!</v>
      </c>
      <c r="AE272" s="68" t="e">
        <f>Data_PLT[[#This Row],[Test code]]&amp;"-"&amp;Data_PLT[[#This Row],[UCS avg code]]</f>
        <v>#VALUE!</v>
      </c>
      <c r="AF272" s="67" t="e">
        <f>Data_PLT[[#This Row],[Test code]]&amp;"-"&amp;Data_PLT[[#This Row],[UCS max code]]</f>
        <v>#VALUE!</v>
      </c>
      <c r="AG272" s="67" t="e">
        <f>Data_PLT[[#This Row],[Failure type]]&amp;"-"&amp;Data_PLT[[#This Row],[Test type]]&amp;"-"&amp;(IF(Data_PLT[[#This Row],[Is50 (MPa)]]&lt;1,1,IF(Data_PLT[[#This Row],[Is50 (MPa)]]&lt;2,2,IF(Data_PLT[[#This Row],[Is50 (MPa)]]&lt;4,3,IF(Data_PLT[[#This Row],[Is50 (MPa)]]&lt;8,4,5)))))</f>
        <v>#VALUE!</v>
      </c>
    </row>
    <row r="273" spans="1:33" x14ac:dyDescent="0.25">
      <c r="A273" s="14"/>
      <c r="B273" s="88" t="e">
        <f>VLOOKUP(Data_PLT[[#This Row],[Hole ID]],Data_Log[],2,FALSE)</f>
        <v>#N/A</v>
      </c>
      <c r="C273" s="63" t="str">
        <f>IF(Data_PLT[[#This Row],[Hole ID]]="","",
IF(COUNTIF($A$4:A273,Data_PLT[[#This Row],[Hole ID]])=1,1,
IF(A273=A272,C272+1,
COUNTIF($A$4:A273,Data_PLT[[#This Row],[Hole ID]]))))</f>
        <v/>
      </c>
      <c r="D273" s="63" t="str">
        <f>IF(Data_PLT[[#This Row],[Hole ID]]="","",Data_PLT[[#This Row],[Hole ID]]&amp;"_"&amp;Data_PLT[[#This Row],[Sample ID]])</f>
        <v/>
      </c>
      <c r="E273" s="6"/>
      <c r="F273" s="6"/>
      <c r="G273" s="63" t="e" cm="1">
        <f t="array" ref="G273">_xlfn.XLOOKUP(1,(A273=Geotech!$A$4:$A$11100)*(Data_PLT[[#This Row],[Depth (m)]]&gt;=Geotech!$C$4:$C$11100)*(Data_PLT[[#This Row],[Depth (m)]]&lt;Geotech!$D$4:$D$11100),Geotech!$M$4:$M$11100)</f>
        <v>#N/A</v>
      </c>
      <c r="H273" s="6"/>
      <c r="I273" s="63" t="e">
        <f>VLOOKUP(Data_PLT[[#This Row],[Hole ID]],Data_Log[[Hole ID]:[Core size]],20,FALSE)</f>
        <v>#N/A</v>
      </c>
      <c r="J273" s="13" t="e">
        <f>VLOOKUP(Data_PLT[[#This Row],[Core Size]],Table_CoreSize[],2,FALSE)</f>
        <v>#N/A</v>
      </c>
      <c r="K273" s="19"/>
      <c r="L273" s="19"/>
      <c r="M273" s="5"/>
      <c r="N273" s="5"/>
      <c r="O273" s="6"/>
      <c r="P273" s="13" t="str">
        <f>IF(Data_PLT[[#This Row],[Failure type]]="","",IF(OR(Data_PLT[[#This Row],[Failure type]]="Invalid",Data_PLT[[#This Row],[Failure type]]="Chipped",Data_PLT[[#This Row],[Failure type]]="Penetrate",Data_PLT[[#This Row],[Failure type]]="Did not break"),"Invalid","Valid"))</f>
        <v/>
      </c>
      <c r="Q273" s="6"/>
      <c r="R273" s="11"/>
      <c r="S273" s="13" t="str">
        <f>IF(Data_PLT[[#This Row],[Test type]]="Diametral",Data_PLT[[#This Row],[Diameter (mm)]],IF(Data_PLT[[#This Row],[Test type]]="Axial",SQRT(4*Data_PLT[[#This Row],[Diameter (mm)]]*Data_PLT[[#This Row],[Length or width (mm)]]/PI()),"ERROR"))</f>
        <v>ERROR</v>
      </c>
      <c r="T273" s="13" t="e">
        <f>(Data_PLT[[#This Row],[Load (kN)]]*1000)/Data_PLT[[#This Row],[Equiv. Diam. (mm)]]^2</f>
        <v>#VALUE!</v>
      </c>
      <c r="U273" s="13" t="e">
        <f>(Data_PLT[[#This Row],[Equiv. Diam. (mm)]]/50)^0.45</f>
        <v>#VALUE!</v>
      </c>
      <c r="V273" s="13" t="e">
        <f>Data_PLT[[#This Row],[Is (MPa)]]*Data_PLT[[#This Row],[F]]</f>
        <v>#VALUE!</v>
      </c>
      <c r="W273" s="13" t="str">
        <f>Data_PLT[[#This Row],[Failure Validity]]&amp;"-"&amp;Data_PLT[[#This Row],[Test type]]</f>
        <v>-</v>
      </c>
      <c r="X273" s="13" t="e">
        <f>Data_PLT[[#This Row],[Is50 (MPa)]]*VLOOKUP("Min",Table_PLT_Conversion[],2,FALSE)</f>
        <v>#VALUE!</v>
      </c>
      <c r="Y273" s="13" t="e">
        <f>Data_PLT[[#This Row],[Is50 (MPa)]]*VLOOKUP("Avg",Table_PLT_Conversion[],2,FALSE)</f>
        <v>#VALUE!</v>
      </c>
      <c r="Z273" s="13" t="e">
        <f>Data_PLT[[#This Row],[Is50 (MPa)]]*VLOOKUP("Max",Table_PLT_Conversion[],2,FALSE)</f>
        <v>#VALUE!</v>
      </c>
      <c r="AA273" s="62" t="e">
        <f>MATCH(LOOKUP(Data_PLT[[#This Row],[UCS min (MPa)]],Table_FieldStrength[Min UCS]),Table_FieldStrength[Min UCS],0)-1</f>
        <v>#VALUE!</v>
      </c>
      <c r="AB273" s="62" t="e">
        <f>MATCH(LOOKUP(Data_PLT[[#This Row],[UCS avg (MPa)]],Table_FieldStrength[Min UCS]),Table_FieldStrength[Min UCS],0)-1</f>
        <v>#VALUE!</v>
      </c>
      <c r="AC273" s="62" t="e">
        <f>MATCH(LOOKUP(Data_PLT[[#This Row],[UCS max (MPa)]],Table_FieldStrength[Min UCS]),Table_FieldStrength[Min UCS],0)-1</f>
        <v>#VALUE!</v>
      </c>
      <c r="AD273" s="68" t="e">
        <f>Data_PLT[[#This Row],[Test code]]&amp;"-"&amp;Data_PLT[[#This Row],[UCS min code]]</f>
        <v>#VALUE!</v>
      </c>
      <c r="AE273" s="68" t="e">
        <f>Data_PLT[[#This Row],[Test code]]&amp;"-"&amp;Data_PLT[[#This Row],[UCS avg code]]</f>
        <v>#VALUE!</v>
      </c>
      <c r="AF273" s="67" t="e">
        <f>Data_PLT[[#This Row],[Test code]]&amp;"-"&amp;Data_PLT[[#This Row],[UCS max code]]</f>
        <v>#VALUE!</v>
      </c>
      <c r="AG273" s="67" t="e">
        <f>Data_PLT[[#This Row],[Failure type]]&amp;"-"&amp;Data_PLT[[#This Row],[Test type]]&amp;"-"&amp;(IF(Data_PLT[[#This Row],[Is50 (MPa)]]&lt;1,1,IF(Data_PLT[[#This Row],[Is50 (MPa)]]&lt;2,2,IF(Data_PLT[[#This Row],[Is50 (MPa)]]&lt;4,3,IF(Data_PLT[[#This Row],[Is50 (MPa)]]&lt;8,4,5)))))</f>
        <v>#VALUE!</v>
      </c>
    </row>
    <row r="274" spans="1:33" x14ac:dyDescent="0.25">
      <c r="A274" s="14"/>
      <c r="B274" s="88" t="e">
        <f>VLOOKUP(Data_PLT[[#This Row],[Hole ID]],Data_Log[],2,FALSE)</f>
        <v>#N/A</v>
      </c>
      <c r="C274" s="63" t="str">
        <f>IF(Data_PLT[[#This Row],[Hole ID]]="","",
IF(COUNTIF($A$4:A274,Data_PLT[[#This Row],[Hole ID]])=1,1,
IF(A274=A273,C273+1,
COUNTIF($A$4:A274,Data_PLT[[#This Row],[Hole ID]]))))</f>
        <v/>
      </c>
      <c r="D274" s="63" t="str">
        <f>IF(Data_PLT[[#This Row],[Hole ID]]="","",Data_PLT[[#This Row],[Hole ID]]&amp;"_"&amp;Data_PLT[[#This Row],[Sample ID]])</f>
        <v/>
      </c>
      <c r="E274" s="6"/>
      <c r="F274" s="6"/>
      <c r="G274" s="63" t="e" cm="1">
        <f t="array" ref="G274">_xlfn.XLOOKUP(1,(A274=Geotech!$A$4:$A$11100)*(Data_PLT[[#This Row],[Depth (m)]]&gt;=Geotech!$C$4:$C$11100)*(Data_PLT[[#This Row],[Depth (m)]]&lt;Geotech!$D$4:$D$11100),Geotech!$M$4:$M$11100)</f>
        <v>#N/A</v>
      </c>
      <c r="H274" s="6"/>
      <c r="I274" s="63" t="e">
        <f>VLOOKUP(Data_PLT[[#This Row],[Hole ID]],Data_Log[[Hole ID]:[Core size]],20,FALSE)</f>
        <v>#N/A</v>
      </c>
      <c r="J274" s="13" t="e">
        <f>VLOOKUP(Data_PLT[[#This Row],[Core Size]],Table_CoreSize[],2,FALSE)</f>
        <v>#N/A</v>
      </c>
      <c r="K274" s="19"/>
      <c r="L274" s="19"/>
      <c r="M274" s="5"/>
      <c r="N274" s="5"/>
      <c r="O274" s="6"/>
      <c r="P274" s="13" t="str">
        <f>IF(Data_PLT[[#This Row],[Failure type]]="","",IF(OR(Data_PLT[[#This Row],[Failure type]]="Invalid",Data_PLT[[#This Row],[Failure type]]="Chipped",Data_PLT[[#This Row],[Failure type]]="Penetrate",Data_PLT[[#This Row],[Failure type]]="Did not break"),"Invalid","Valid"))</f>
        <v/>
      </c>
      <c r="Q274" s="6"/>
      <c r="R274" s="11"/>
      <c r="S274" s="13" t="str">
        <f>IF(Data_PLT[[#This Row],[Test type]]="Diametral",Data_PLT[[#This Row],[Diameter (mm)]],IF(Data_PLT[[#This Row],[Test type]]="Axial",SQRT(4*Data_PLT[[#This Row],[Diameter (mm)]]*Data_PLT[[#This Row],[Length or width (mm)]]/PI()),"ERROR"))</f>
        <v>ERROR</v>
      </c>
      <c r="T274" s="13" t="e">
        <f>(Data_PLT[[#This Row],[Load (kN)]]*1000)/Data_PLT[[#This Row],[Equiv. Diam. (mm)]]^2</f>
        <v>#VALUE!</v>
      </c>
      <c r="U274" s="13" t="e">
        <f>(Data_PLT[[#This Row],[Equiv. Diam. (mm)]]/50)^0.45</f>
        <v>#VALUE!</v>
      </c>
      <c r="V274" s="13" t="e">
        <f>Data_PLT[[#This Row],[Is (MPa)]]*Data_PLT[[#This Row],[F]]</f>
        <v>#VALUE!</v>
      </c>
      <c r="W274" s="13" t="str">
        <f>Data_PLT[[#This Row],[Failure Validity]]&amp;"-"&amp;Data_PLT[[#This Row],[Test type]]</f>
        <v>-</v>
      </c>
      <c r="X274" s="13" t="e">
        <f>Data_PLT[[#This Row],[Is50 (MPa)]]*VLOOKUP("Min",Table_PLT_Conversion[],2,FALSE)</f>
        <v>#VALUE!</v>
      </c>
      <c r="Y274" s="13" t="e">
        <f>Data_PLT[[#This Row],[Is50 (MPa)]]*VLOOKUP("Avg",Table_PLT_Conversion[],2,FALSE)</f>
        <v>#VALUE!</v>
      </c>
      <c r="Z274" s="13" t="e">
        <f>Data_PLT[[#This Row],[Is50 (MPa)]]*VLOOKUP("Max",Table_PLT_Conversion[],2,FALSE)</f>
        <v>#VALUE!</v>
      </c>
      <c r="AA274" s="62" t="e">
        <f>MATCH(LOOKUP(Data_PLT[[#This Row],[UCS min (MPa)]],Table_FieldStrength[Min UCS]),Table_FieldStrength[Min UCS],0)-1</f>
        <v>#VALUE!</v>
      </c>
      <c r="AB274" s="62" t="e">
        <f>MATCH(LOOKUP(Data_PLT[[#This Row],[UCS avg (MPa)]],Table_FieldStrength[Min UCS]),Table_FieldStrength[Min UCS],0)-1</f>
        <v>#VALUE!</v>
      </c>
      <c r="AC274" s="62" t="e">
        <f>MATCH(LOOKUP(Data_PLT[[#This Row],[UCS max (MPa)]],Table_FieldStrength[Min UCS]),Table_FieldStrength[Min UCS],0)-1</f>
        <v>#VALUE!</v>
      </c>
      <c r="AD274" s="68" t="e">
        <f>Data_PLT[[#This Row],[Test code]]&amp;"-"&amp;Data_PLT[[#This Row],[UCS min code]]</f>
        <v>#VALUE!</v>
      </c>
      <c r="AE274" s="68" t="e">
        <f>Data_PLT[[#This Row],[Test code]]&amp;"-"&amp;Data_PLT[[#This Row],[UCS avg code]]</f>
        <v>#VALUE!</v>
      </c>
      <c r="AF274" s="67" t="e">
        <f>Data_PLT[[#This Row],[Test code]]&amp;"-"&amp;Data_PLT[[#This Row],[UCS max code]]</f>
        <v>#VALUE!</v>
      </c>
      <c r="AG274" s="67" t="e">
        <f>Data_PLT[[#This Row],[Failure type]]&amp;"-"&amp;Data_PLT[[#This Row],[Test type]]&amp;"-"&amp;(IF(Data_PLT[[#This Row],[Is50 (MPa)]]&lt;1,1,IF(Data_PLT[[#This Row],[Is50 (MPa)]]&lt;2,2,IF(Data_PLT[[#This Row],[Is50 (MPa)]]&lt;4,3,IF(Data_PLT[[#This Row],[Is50 (MPa)]]&lt;8,4,5)))))</f>
        <v>#VALUE!</v>
      </c>
    </row>
    <row r="275" spans="1:33" x14ac:dyDescent="0.25">
      <c r="A275" s="14"/>
      <c r="B275" s="88" t="e">
        <f>VLOOKUP(Data_PLT[[#This Row],[Hole ID]],Data_Log[],2,FALSE)</f>
        <v>#N/A</v>
      </c>
      <c r="C275" s="63" t="str">
        <f>IF(Data_PLT[[#This Row],[Hole ID]]="","",
IF(COUNTIF($A$4:A275,Data_PLT[[#This Row],[Hole ID]])=1,1,
IF(A275=A274,C274+1,
COUNTIF($A$4:A275,Data_PLT[[#This Row],[Hole ID]]))))</f>
        <v/>
      </c>
      <c r="D275" s="63" t="str">
        <f>IF(Data_PLT[[#This Row],[Hole ID]]="","",Data_PLT[[#This Row],[Hole ID]]&amp;"_"&amp;Data_PLT[[#This Row],[Sample ID]])</f>
        <v/>
      </c>
      <c r="E275" s="6"/>
      <c r="F275" s="6"/>
      <c r="G275" s="63" t="e" cm="1">
        <f t="array" ref="G275">_xlfn.XLOOKUP(1,(A275=Geotech!$A$4:$A$11100)*(Data_PLT[[#This Row],[Depth (m)]]&gt;=Geotech!$C$4:$C$11100)*(Data_PLT[[#This Row],[Depth (m)]]&lt;Geotech!$D$4:$D$11100),Geotech!$M$4:$M$11100)</f>
        <v>#N/A</v>
      </c>
      <c r="H275" s="6"/>
      <c r="I275" s="63" t="e">
        <f>VLOOKUP(Data_PLT[[#This Row],[Hole ID]],Data_Log[[Hole ID]:[Core size]],20,FALSE)</f>
        <v>#N/A</v>
      </c>
      <c r="J275" s="13" t="e">
        <f>VLOOKUP(Data_PLT[[#This Row],[Core Size]],Table_CoreSize[],2,FALSE)</f>
        <v>#N/A</v>
      </c>
      <c r="K275" s="19"/>
      <c r="L275" s="19"/>
      <c r="M275" s="5"/>
      <c r="N275" s="5"/>
      <c r="O275" s="6"/>
      <c r="P275" s="13" t="str">
        <f>IF(Data_PLT[[#This Row],[Failure type]]="","",IF(OR(Data_PLT[[#This Row],[Failure type]]="Invalid",Data_PLT[[#This Row],[Failure type]]="Chipped",Data_PLT[[#This Row],[Failure type]]="Penetrate",Data_PLT[[#This Row],[Failure type]]="Did not break"),"Invalid","Valid"))</f>
        <v/>
      </c>
      <c r="Q275" s="6"/>
      <c r="R275" s="11"/>
      <c r="S275" s="13" t="str">
        <f>IF(Data_PLT[[#This Row],[Test type]]="Diametral",Data_PLT[[#This Row],[Diameter (mm)]],IF(Data_PLT[[#This Row],[Test type]]="Axial",SQRT(4*Data_PLT[[#This Row],[Diameter (mm)]]*Data_PLT[[#This Row],[Length or width (mm)]]/PI()),"ERROR"))</f>
        <v>ERROR</v>
      </c>
      <c r="T275" s="13" t="e">
        <f>(Data_PLT[[#This Row],[Load (kN)]]*1000)/Data_PLT[[#This Row],[Equiv. Diam. (mm)]]^2</f>
        <v>#VALUE!</v>
      </c>
      <c r="U275" s="13" t="e">
        <f>(Data_PLT[[#This Row],[Equiv. Diam. (mm)]]/50)^0.45</f>
        <v>#VALUE!</v>
      </c>
      <c r="V275" s="13" t="e">
        <f>Data_PLT[[#This Row],[Is (MPa)]]*Data_PLT[[#This Row],[F]]</f>
        <v>#VALUE!</v>
      </c>
      <c r="W275" s="13" t="str">
        <f>Data_PLT[[#This Row],[Failure Validity]]&amp;"-"&amp;Data_PLT[[#This Row],[Test type]]</f>
        <v>-</v>
      </c>
      <c r="X275" s="13" t="e">
        <f>Data_PLT[[#This Row],[Is50 (MPa)]]*VLOOKUP("Min",Table_PLT_Conversion[],2,FALSE)</f>
        <v>#VALUE!</v>
      </c>
      <c r="Y275" s="13" t="e">
        <f>Data_PLT[[#This Row],[Is50 (MPa)]]*VLOOKUP("Avg",Table_PLT_Conversion[],2,FALSE)</f>
        <v>#VALUE!</v>
      </c>
      <c r="Z275" s="13" t="e">
        <f>Data_PLT[[#This Row],[Is50 (MPa)]]*VLOOKUP("Max",Table_PLT_Conversion[],2,FALSE)</f>
        <v>#VALUE!</v>
      </c>
      <c r="AA275" s="62" t="e">
        <f>MATCH(LOOKUP(Data_PLT[[#This Row],[UCS min (MPa)]],Table_FieldStrength[Min UCS]),Table_FieldStrength[Min UCS],0)-1</f>
        <v>#VALUE!</v>
      </c>
      <c r="AB275" s="62" t="e">
        <f>MATCH(LOOKUP(Data_PLT[[#This Row],[UCS avg (MPa)]],Table_FieldStrength[Min UCS]),Table_FieldStrength[Min UCS],0)-1</f>
        <v>#VALUE!</v>
      </c>
      <c r="AC275" s="62" t="e">
        <f>MATCH(LOOKUP(Data_PLT[[#This Row],[UCS max (MPa)]],Table_FieldStrength[Min UCS]),Table_FieldStrength[Min UCS],0)-1</f>
        <v>#VALUE!</v>
      </c>
      <c r="AD275" s="68" t="e">
        <f>Data_PLT[[#This Row],[Test code]]&amp;"-"&amp;Data_PLT[[#This Row],[UCS min code]]</f>
        <v>#VALUE!</v>
      </c>
      <c r="AE275" s="68" t="e">
        <f>Data_PLT[[#This Row],[Test code]]&amp;"-"&amp;Data_PLT[[#This Row],[UCS avg code]]</f>
        <v>#VALUE!</v>
      </c>
      <c r="AF275" s="67" t="e">
        <f>Data_PLT[[#This Row],[Test code]]&amp;"-"&amp;Data_PLT[[#This Row],[UCS max code]]</f>
        <v>#VALUE!</v>
      </c>
      <c r="AG275" s="67" t="e">
        <f>Data_PLT[[#This Row],[Failure type]]&amp;"-"&amp;Data_PLT[[#This Row],[Test type]]&amp;"-"&amp;(IF(Data_PLT[[#This Row],[Is50 (MPa)]]&lt;1,1,IF(Data_PLT[[#This Row],[Is50 (MPa)]]&lt;2,2,IF(Data_PLT[[#This Row],[Is50 (MPa)]]&lt;4,3,IF(Data_PLT[[#This Row],[Is50 (MPa)]]&lt;8,4,5)))))</f>
        <v>#VALUE!</v>
      </c>
    </row>
    <row r="276" spans="1:33" x14ac:dyDescent="0.25">
      <c r="A276" s="14"/>
      <c r="B276" s="88" t="e">
        <f>VLOOKUP(Data_PLT[[#This Row],[Hole ID]],Data_Log[],2,FALSE)</f>
        <v>#N/A</v>
      </c>
      <c r="C276" s="63" t="str">
        <f>IF(Data_PLT[[#This Row],[Hole ID]]="","",
IF(COUNTIF($A$4:A276,Data_PLT[[#This Row],[Hole ID]])=1,1,
IF(A276=A275,C275+1,
COUNTIF($A$4:A276,Data_PLT[[#This Row],[Hole ID]]))))</f>
        <v/>
      </c>
      <c r="D276" s="63" t="str">
        <f>IF(Data_PLT[[#This Row],[Hole ID]]="","",Data_PLT[[#This Row],[Hole ID]]&amp;"_"&amp;Data_PLT[[#This Row],[Sample ID]])</f>
        <v/>
      </c>
      <c r="E276" s="6"/>
      <c r="F276" s="6"/>
      <c r="G276" s="63" t="e" cm="1">
        <f t="array" ref="G276">_xlfn.XLOOKUP(1,(A276=Geotech!$A$4:$A$11100)*(Data_PLT[[#This Row],[Depth (m)]]&gt;=Geotech!$C$4:$C$11100)*(Data_PLT[[#This Row],[Depth (m)]]&lt;Geotech!$D$4:$D$11100),Geotech!$M$4:$M$11100)</f>
        <v>#N/A</v>
      </c>
      <c r="H276" s="6"/>
      <c r="I276" s="63" t="e">
        <f>VLOOKUP(Data_PLT[[#This Row],[Hole ID]],Data_Log[[Hole ID]:[Core size]],20,FALSE)</f>
        <v>#N/A</v>
      </c>
      <c r="J276" s="13" t="e">
        <f>VLOOKUP(Data_PLT[[#This Row],[Core Size]],Table_CoreSize[],2,FALSE)</f>
        <v>#N/A</v>
      </c>
      <c r="K276" s="19"/>
      <c r="L276" s="19"/>
      <c r="M276" s="5"/>
      <c r="N276" s="5"/>
      <c r="O276" s="6"/>
      <c r="P276" s="13" t="str">
        <f>IF(Data_PLT[[#This Row],[Failure type]]="","",IF(OR(Data_PLT[[#This Row],[Failure type]]="Invalid",Data_PLT[[#This Row],[Failure type]]="Chipped",Data_PLT[[#This Row],[Failure type]]="Penetrate",Data_PLT[[#This Row],[Failure type]]="Did not break"),"Invalid","Valid"))</f>
        <v/>
      </c>
      <c r="Q276" s="6"/>
      <c r="R276" s="11"/>
      <c r="S276" s="13" t="str">
        <f>IF(Data_PLT[[#This Row],[Test type]]="Diametral",Data_PLT[[#This Row],[Diameter (mm)]],IF(Data_PLT[[#This Row],[Test type]]="Axial",SQRT(4*Data_PLT[[#This Row],[Diameter (mm)]]*Data_PLT[[#This Row],[Length or width (mm)]]/PI()),"ERROR"))</f>
        <v>ERROR</v>
      </c>
      <c r="T276" s="13" t="e">
        <f>(Data_PLT[[#This Row],[Load (kN)]]*1000)/Data_PLT[[#This Row],[Equiv. Diam. (mm)]]^2</f>
        <v>#VALUE!</v>
      </c>
      <c r="U276" s="13" t="e">
        <f>(Data_PLT[[#This Row],[Equiv. Diam. (mm)]]/50)^0.45</f>
        <v>#VALUE!</v>
      </c>
      <c r="V276" s="13" t="e">
        <f>Data_PLT[[#This Row],[Is (MPa)]]*Data_PLT[[#This Row],[F]]</f>
        <v>#VALUE!</v>
      </c>
      <c r="W276" s="13" t="str">
        <f>Data_PLT[[#This Row],[Failure Validity]]&amp;"-"&amp;Data_PLT[[#This Row],[Test type]]</f>
        <v>-</v>
      </c>
      <c r="X276" s="13" t="e">
        <f>Data_PLT[[#This Row],[Is50 (MPa)]]*VLOOKUP("Min",Table_PLT_Conversion[],2,FALSE)</f>
        <v>#VALUE!</v>
      </c>
      <c r="Y276" s="13" t="e">
        <f>Data_PLT[[#This Row],[Is50 (MPa)]]*VLOOKUP("Avg",Table_PLT_Conversion[],2,FALSE)</f>
        <v>#VALUE!</v>
      </c>
      <c r="Z276" s="13" t="e">
        <f>Data_PLT[[#This Row],[Is50 (MPa)]]*VLOOKUP("Max",Table_PLT_Conversion[],2,FALSE)</f>
        <v>#VALUE!</v>
      </c>
      <c r="AA276" s="62" t="e">
        <f>MATCH(LOOKUP(Data_PLT[[#This Row],[UCS min (MPa)]],Table_FieldStrength[Min UCS]),Table_FieldStrength[Min UCS],0)-1</f>
        <v>#VALUE!</v>
      </c>
      <c r="AB276" s="62" t="e">
        <f>MATCH(LOOKUP(Data_PLT[[#This Row],[UCS avg (MPa)]],Table_FieldStrength[Min UCS]),Table_FieldStrength[Min UCS],0)-1</f>
        <v>#VALUE!</v>
      </c>
      <c r="AC276" s="62" t="e">
        <f>MATCH(LOOKUP(Data_PLT[[#This Row],[UCS max (MPa)]],Table_FieldStrength[Min UCS]),Table_FieldStrength[Min UCS],0)-1</f>
        <v>#VALUE!</v>
      </c>
      <c r="AD276" s="68" t="e">
        <f>Data_PLT[[#This Row],[Test code]]&amp;"-"&amp;Data_PLT[[#This Row],[UCS min code]]</f>
        <v>#VALUE!</v>
      </c>
      <c r="AE276" s="68" t="e">
        <f>Data_PLT[[#This Row],[Test code]]&amp;"-"&amp;Data_PLT[[#This Row],[UCS avg code]]</f>
        <v>#VALUE!</v>
      </c>
      <c r="AF276" s="67" t="e">
        <f>Data_PLT[[#This Row],[Test code]]&amp;"-"&amp;Data_PLT[[#This Row],[UCS max code]]</f>
        <v>#VALUE!</v>
      </c>
      <c r="AG276" s="67" t="e">
        <f>Data_PLT[[#This Row],[Failure type]]&amp;"-"&amp;Data_PLT[[#This Row],[Test type]]&amp;"-"&amp;(IF(Data_PLT[[#This Row],[Is50 (MPa)]]&lt;1,1,IF(Data_PLT[[#This Row],[Is50 (MPa)]]&lt;2,2,IF(Data_PLT[[#This Row],[Is50 (MPa)]]&lt;4,3,IF(Data_PLT[[#This Row],[Is50 (MPa)]]&lt;8,4,5)))))</f>
        <v>#VALUE!</v>
      </c>
    </row>
    <row r="277" spans="1:33" x14ac:dyDescent="0.25">
      <c r="A277" s="14"/>
      <c r="B277" s="88" t="e">
        <f>VLOOKUP(Data_PLT[[#This Row],[Hole ID]],Data_Log[],2,FALSE)</f>
        <v>#N/A</v>
      </c>
      <c r="C277" s="63" t="str">
        <f>IF(Data_PLT[[#This Row],[Hole ID]]="","",
IF(COUNTIF($A$4:A277,Data_PLT[[#This Row],[Hole ID]])=1,1,
IF(A277=A276,C276+1,
COUNTIF($A$4:A277,Data_PLT[[#This Row],[Hole ID]]))))</f>
        <v/>
      </c>
      <c r="D277" s="63" t="str">
        <f>IF(Data_PLT[[#This Row],[Hole ID]]="","",Data_PLT[[#This Row],[Hole ID]]&amp;"_"&amp;Data_PLT[[#This Row],[Sample ID]])</f>
        <v/>
      </c>
      <c r="E277" s="6"/>
      <c r="F277" s="6"/>
      <c r="G277" s="63" t="e" cm="1">
        <f t="array" ref="G277">_xlfn.XLOOKUP(1,(A277=Geotech!$A$4:$A$11100)*(Data_PLT[[#This Row],[Depth (m)]]&gt;=Geotech!$C$4:$C$11100)*(Data_PLT[[#This Row],[Depth (m)]]&lt;Geotech!$D$4:$D$11100),Geotech!$M$4:$M$11100)</f>
        <v>#N/A</v>
      </c>
      <c r="H277" s="6"/>
      <c r="I277" s="63" t="e">
        <f>VLOOKUP(Data_PLT[[#This Row],[Hole ID]],Data_Log[[Hole ID]:[Core size]],20,FALSE)</f>
        <v>#N/A</v>
      </c>
      <c r="J277" s="13" t="e">
        <f>VLOOKUP(Data_PLT[[#This Row],[Core Size]],Table_CoreSize[],2,FALSE)</f>
        <v>#N/A</v>
      </c>
      <c r="K277" s="19"/>
      <c r="L277" s="19"/>
      <c r="M277" s="5"/>
      <c r="N277" s="5"/>
      <c r="O277" s="6"/>
      <c r="P277" s="13" t="str">
        <f>IF(Data_PLT[[#This Row],[Failure type]]="","",IF(OR(Data_PLT[[#This Row],[Failure type]]="Invalid",Data_PLT[[#This Row],[Failure type]]="Chipped",Data_PLT[[#This Row],[Failure type]]="Penetrate",Data_PLT[[#This Row],[Failure type]]="Did not break"),"Invalid","Valid"))</f>
        <v/>
      </c>
      <c r="Q277" s="6"/>
      <c r="R277" s="11"/>
      <c r="S277" s="13" t="str">
        <f>IF(Data_PLT[[#This Row],[Test type]]="Diametral",Data_PLT[[#This Row],[Diameter (mm)]],IF(Data_PLT[[#This Row],[Test type]]="Axial",SQRT(4*Data_PLT[[#This Row],[Diameter (mm)]]*Data_PLT[[#This Row],[Length or width (mm)]]/PI()),"ERROR"))</f>
        <v>ERROR</v>
      </c>
      <c r="T277" s="13" t="e">
        <f>(Data_PLT[[#This Row],[Load (kN)]]*1000)/Data_PLT[[#This Row],[Equiv. Diam. (mm)]]^2</f>
        <v>#VALUE!</v>
      </c>
      <c r="U277" s="13" t="e">
        <f>(Data_PLT[[#This Row],[Equiv. Diam. (mm)]]/50)^0.45</f>
        <v>#VALUE!</v>
      </c>
      <c r="V277" s="13" t="e">
        <f>Data_PLT[[#This Row],[Is (MPa)]]*Data_PLT[[#This Row],[F]]</f>
        <v>#VALUE!</v>
      </c>
      <c r="W277" s="13" t="str">
        <f>Data_PLT[[#This Row],[Failure Validity]]&amp;"-"&amp;Data_PLT[[#This Row],[Test type]]</f>
        <v>-</v>
      </c>
      <c r="X277" s="13" t="e">
        <f>Data_PLT[[#This Row],[Is50 (MPa)]]*VLOOKUP("Min",Table_PLT_Conversion[],2,FALSE)</f>
        <v>#VALUE!</v>
      </c>
      <c r="Y277" s="13" t="e">
        <f>Data_PLT[[#This Row],[Is50 (MPa)]]*VLOOKUP("Avg",Table_PLT_Conversion[],2,FALSE)</f>
        <v>#VALUE!</v>
      </c>
      <c r="Z277" s="13" t="e">
        <f>Data_PLT[[#This Row],[Is50 (MPa)]]*VLOOKUP("Max",Table_PLT_Conversion[],2,FALSE)</f>
        <v>#VALUE!</v>
      </c>
      <c r="AA277" s="62" t="e">
        <f>MATCH(LOOKUP(Data_PLT[[#This Row],[UCS min (MPa)]],Table_FieldStrength[Min UCS]),Table_FieldStrength[Min UCS],0)-1</f>
        <v>#VALUE!</v>
      </c>
      <c r="AB277" s="62" t="e">
        <f>MATCH(LOOKUP(Data_PLT[[#This Row],[UCS avg (MPa)]],Table_FieldStrength[Min UCS]),Table_FieldStrength[Min UCS],0)-1</f>
        <v>#VALUE!</v>
      </c>
      <c r="AC277" s="62" t="e">
        <f>MATCH(LOOKUP(Data_PLT[[#This Row],[UCS max (MPa)]],Table_FieldStrength[Min UCS]),Table_FieldStrength[Min UCS],0)-1</f>
        <v>#VALUE!</v>
      </c>
      <c r="AD277" s="68" t="e">
        <f>Data_PLT[[#This Row],[Test code]]&amp;"-"&amp;Data_PLT[[#This Row],[UCS min code]]</f>
        <v>#VALUE!</v>
      </c>
      <c r="AE277" s="68" t="e">
        <f>Data_PLT[[#This Row],[Test code]]&amp;"-"&amp;Data_PLT[[#This Row],[UCS avg code]]</f>
        <v>#VALUE!</v>
      </c>
      <c r="AF277" s="67" t="e">
        <f>Data_PLT[[#This Row],[Test code]]&amp;"-"&amp;Data_PLT[[#This Row],[UCS max code]]</f>
        <v>#VALUE!</v>
      </c>
      <c r="AG277" s="67" t="e">
        <f>Data_PLT[[#This Row],[Failure type]]&amp;"-"&amp;Data_PLT[[#This Row],[Test type]]&amp;"-"&amp;(IF(Data_PLT[[#This Row],[Is50 (MPa)]]&lt;1,1,IF(Data_PLT[[#This Row],[Is50 (MPa)]]&lt;2,2,IF(Data_PLT[[#This Row],[Is50 (MPa)]]&lt;4,3,IF(Data_PLT[[#This Row],[Is50 (MPa)]]&lt;8,4,5)))))</f>
        <v>#VALUE!</v>
      </c>
    </row>
    <row r="278" spans="1:33" x14ac:dyDescent="0.25">
      <c r="A278" s="14"/>
      <c r="B278" s="88" t="e">
        <f>VLOOKUP(Data_PLT[[#This Row],[Hole ID]],Data_Log[],2,FALSE)</f>
        <v>#N/A</v>
      </c>
      <c r="C278" s="63" t="str">
        <f>IF(Data_PLT[[#This Row],[Hole ID]]="","",
IF(COUNTIF($A$4:A278,Data_PLT[[#This Row],[Hole ID]])=1,1,
IF(A278=A277,C277+1,
COUNTIF($A$4:A278,Data_PLT[[#This Row],[Hole ID]]))))</f>
        <v/>
      </c>
      <c r="D278" s="63" t="str">
        <f>IF(Data_PLT[[#This Row],[Hole ID]]="","",Data_PLT[[#This Row],[Hole ID]]&amp;"_"&amp;Data_PLT[[#This Row],[Sample ID]])</f>
        <v/>
      </c>
      <c r="E278" s="6"/>
      <c r="F278" s="6"/>
      <c r="G278" s="63" t="e" cm="1">
        <f t="array" ref="G278">_xlfn.XLOOKUP(1,(A278=Geotech!$A$4:$A$11100)*(Data_PLT[[#This Row],[Depth (m)]]&gt;=Geotech!$C$4:$C$11100)*(Data_PLT[[#This Row],[Depth (m)]]&lt;Geotech!$D$4:$D$11100),Geotech!$M$4:$M$11100)</f>
        <v>#N/A</v>
      </c>
      <c r="H278" s="6"/>
      <c r="I278" s="63" t="e">
        <f>VLOOKUP(Data_PLT[[#This Row],[Hole ID]],Data_Log[[Hole ID]:[Core size]],20,FALSE)</f>
        <v>#N/A</v>
      </c>
      <c r="J278" s="13" t="e">
        <f>VLOOKUP(Data_PLT[[#This Row],[Core Size]],Table_CoreSize[],2,FALSE)</f>
        <v>#N/A</v>
      </c>
      <c r="K278" s="19"/>
      <c r="L278" s="19"/>
      <c r="M278" s="5"/>
      <c r="N278" s="5"/>
      <c r="O278" s="6"/>
      <c r="P278" s="13" t="str">
        <f>IF(Data_PLT[[#This Row],[Failure type]]="","",IF(OR(Data_PLT[[#This Row],[Failure type]]="Invalid",Data_PLT[[#This Row],[Failure type]]="Chipped",Data_PLT[[#This Row],[Failure type]]="Penetrate",Data_PLT[[#This Row],[Failure type]]="Did not break"),"Invalid","Valid"))</f>
        <v/>
      </c>
      <c r="Q278" s="6"/>
      <c r="R278" s="11"/>
      <c r="S278" s="13" t="str">
        <f>IF(Data_PLT[[#This Row],[Test type]]="Diametral",Data_PLT[[#This Row],[Diameter (mm)]],IF(Data_PLT[[#This Row],[Test type]]="Axial",SQRT(4*Data_PLT[[#This Row],[Diameter (mm)]]*Data_PLT[[#This Row],[Length or width (mm)]]/PI()),"ERROR"))</f>
        <v>ERROR</v>
      </c>
      <c r="T278" s="13" t="e">
        <f>(Data_PLT[[#This Row],[Load (kN)]]*1000)/Data_PLT[[#This Row],[Equiv. Diam. (mm)]]^2</f>
        <v>#VALUE!</v>
      </c>
      <c r="U278" s="13" t="e">
        <f>(Data_PLT[[#This Row],[Equiv. Diam. (mm)]]/50)^0.45</f>
        <v>#VALUE!</v>
      </c>
      <c r="V278" s="13" t="e">
        <f>Data_PLT[[#This Row],[Is (MPa)]]*Data_PLT[[#This Row],[F]]</f>
        <v>#VALUE!</v>
      </c>
      <c r="W278" s="13" t="str">
        <f>Data_PLT[[#This Row],[Failure Validity]]&amp;"-"&amp;Data_PLT[[#This Row],[Test type]]</f>
        <v>-</v>
      </c>
      <c r="X278" s="13" t="e">
        <f>Data_PLT[[#This Row],[Is50 (MPa)]]*VLOOKUP("Min",Table_PLT_Conversion[],2,FALSE)</f>
        <v>#VALUE!</v>
      </c>
      <c r="Y278" s="13" t="e">
        <f>Data_PLT[[#This Row],[Is50 (MPa)]]*VLOOKUP("Avg",Table_PLT_Conversion[],2,FALSE)</f>
        <v>#VALUE!</v>
      </c>
      <c r="Z278" s="13" t="e">
        <f>Data_PLT[[#This Row],[Is50 (MPa)]]*VLOOKUP("Max",Table_PLT_Conversion[],2,FALSE)</f>
        <v>#VALUE!</v>
      </c>
      <c r="AA278" s="62" t="e">
        <f>MATCH(LOOKUP(Data_PLT[[#This Row],[UCS min (MPa)]],Table_FieldStrength[Min UCS]),Table_FieldStrength[Min UCS],0)-1</f>
        <v>#VALUE!</v>
      </c>
      <c r="AB278" s="62" t="e">
        <f>MATCH(LOOKUP(Data_PLT[[#This Row],[UCS avg (MPa)]],Table_FieldStrength[Min UCS]),Table_FieldStrength[Min UCS],0)-1</f>
        <v>#VALUE!</v>
      </c>
      <c r="AC278" s="62" t="e">
        <f>MATCH(LOOKUP(Data_PLT[[#This Row],[UCS max (MPa)]],Table_FieldStrength[Min UCS]),Table_FieldStrength[Min UCS],0)-1</f>
        <v>#VALUE!</v>
      </c>
      <c r="AD278" s="68" t="e">
        <f>Data_PLT[[#This Row],[Test code]]&amp;"-"&amp;Data_PLT[[#This Row],[UCS min code]]</f>
        <v>#VALUE!</v>
      </c>
      <c r="AE278" s="68" t="e">
        <f>Data_PLT[[#This Row],[Test code]]&amp;"-"&amp;Data_PLT[[#This Row],[UCS avg code]]</f>
        <v>#VALUE!</v>
      </c>
      <c r="AF278" s="67" t="e">
        <f>Data_PLT[[#This Row],[Test code]]&amp;"-"&amp;Data_PLT[[#This Row],[UCS max code]]</f>
        <v>#VALUE!</v>
      </c>
      <c r="AG278" s="67" t="e">
        <f>Data_PLT[[#This Row],[Failure type]]&amp;"-"&amp;Data_PLT[[#This Row],[Test type]]&amp;"-"&amp;(IF(Data_PLT[[#This Row],[Is50 (MPa)]]&lt;1,1,IF(Data_PLT[[#This Row],[Is50 (MPa)]]&lt;2,2,IF(Data_PLT[[#This Row],[Is50 (MPa)]]&lt;4,3,IF(Data_PLT[[#This Row],[Is50 (MPa)]]&lt;8,4,5)))))</f>
        <v>#VALUE!</v>
      </c>
    </row>
    <row r="279" spans="1:33" x14ac:dyDescent="0.25">
      <c r="A279" s="14"/>
      <c r="B279" s="88" t="e">
        <f>VLOOKUP(Data_PLT[[#This Row],[Hole ID]],Data_Log[],2,FALSE)</f>
        <v>#N/A</v>
      </c>
      <c r="C279" s="63" t="str">
        <f>IF(Data_PLT[[#This Row],[Hole ID]]="","",
IF(COUNTIF($A$4:A279,Data_PLT[[#This Row],[Hole ID]])=1,1,
IF(A279=A278,C278+1,
COUNTIF($A$4:A279,Data_PLT[[#This Row],[Hole ID]]))))</f>
        <v/>
      </c>
      <c r="D279" s="63" t="str">
        <f>IF(Data_PLT[[#This Row],[Hole ID]]="","",Data_PLT[[#This Row],[Hole ID]]&amp;"_"&amp;Data_PLT[[#This Row],[Sample ID]])</f>
        <v/>
      </c>
      <c r="E279" s="6"/>
      <c r="F279" s="6"/>
      <c r="G279" s="63" t="e" cm="1">
        <f t="array" ref="G279">_xlfn.XLOOKUP(1,(A279=Geotech!$A$4:$A$11100)*(Data_PLT[[#This Row],[Depth (m)]]&gt;=Geotech!$C$4:$C$11100)*(Data_PLT[[#This Row],[Depth (m)]]&lt;Geotech!$D$4:$D$11100),Geotech!$M$4:$M$11100)</f>
        <v>#N/A</v>
      </c>
      <c r="H279" s="6"/>
      <c r="I279" s="63" t="e">
        <f>VLOOKUP(Data_PLT[[#This Row],[Hole ID]],Data_Log[[Hole ID]:[Core size]],20,FALSE)</f>
        <v>#N/A</v>
      </c>
      <c r="J279" s="13" t="e">
        <f>VLOOKUP(Data_PLT[[#This Row],[Core Size]],Table_CoreSize[],2,FALSE)</f>
        <v>#N/A</v>
      </c>
      <c r="K279" s="19"/>
      <c r="L279" s="19"/>
      <c r="M279" s="5"/>
      <c r="N279" s="5"/>
      <c r="O279" s="6"/>
      <c r="P279" s="13" t="str">
        <f>IF(Data_PLT[[#This Row],[Failure type]]="","",IF(OR(Data_PLT[[#This Row],[Failure type]]="Invalid",Data_PLT[[#This Row],[Failure type]]="Chipped",Data_PLT[[#This Row],[Failure type]]="Penetrate",Data_PLT[[#This Row],[Failure type]]="Did not break"),"Invalid","Valid"))</f>
        <v/>
      </c>
      <c r="Q279" s="6"/>
      <c r="R279" s="11"/>
      <c r="S279" s="13" t="str">
        <f>IF(Data_PLT[[#This Row],[Test type]]="Diametral",Data_PLT[[#This Row],[Diameter (mm)]],IF(Data_PLT[[#This Row],[Test type]]="Axial",SQRT(4*Data_PLT[[#This Row],[Diameter (mm)]]*Data_PLT[[#This Row],[Length or width (mm)]]/PI()),"ERROR"))</f>
        <v>ERROR</v>
      </c>
      <c r="T279" s="13" t="e">
        <f>(Data_PLT[[#This Row],[Load (kN)]]*1000)/Data_PLT[[#This Row],[Equiv. Diam. (mm)]]^2</f>
        <v>#VALUE!</v>
      </c>
      <c r="U279" s="13" t="e">
        <f>(Data_PLT[[#This Row],[Equiv. Diam. (mm)]]/50)^0.45</f>
        <v>#VALUE!</v>
      </c>
      <c r="V279" s="13" t="e">
        <f>Data_PLT[[#This Row],[Is (MPa)]]*Data_PLT[[#This Row],[F]]</f>
        <v>#VALUE!</v>
      </c>
      <c r="W279" s="13" t="str">
        <f>Data_PLT[[#This Row],[Failure Validity]]&amp;"-"&amp;Data_PLT[[#This Row],[Test type]]</f>
        <v>-</v>
      </c>
      <c r="X279" s="13" t="e">
        <f>Data_PLT[[#This Row],[Is50 (MPa)]]*VLOOKUP("Min",Table_PLT_Conversion[],2,FALSE)</f>
        <v>#VALUE!</v>
      </c>
      <c r="Y279" s="13" t="e">
        <f>Data_PLT[[#This Row],[Is50 (MPa)]]*VLOOKUP("Avg",Table_PLT_Conversion[],2,FALSE)</f>
        <v>#VALUE!</v>
      </c>
      <c r="Z279" s="13" t="e">
        <f>Data_PLT[[#This Row],[Is50 (MPa)]]*VLOOKUP("Max",Table_PLT_Conversion[],2,FALSE)</f>
        <v>#VALUE!</v>
      </c>
      <c r="AA279" s="62" t="e">
        <f>MATCH(LOOKUP(Data_PLT[[#This Row],[UCS min (MPa)]],Table_FieldStrength[Min UCS]),Table_FieldStrength[Min UCS],0)-1</f>
        <v>#VALUE!</v>
      </c>
      <c r="AB279" s="62" t="e">
        <f>MATCH(LOOKUP(Data_PLT[[#This Row],[UCS avg (MPa)]],Table_FieldStrength[Min UCS]),Table_FieldStrength[Min UCS],0)-1</f>
        <v>#VALUE!</v>
      </c>
      <c r="AC279" s="62" t="e">
        <f>MATCH(LOOKUP(Data_PLT[[#This Row],[UCS max (MPa)]],Table_FieldStrength[Min UCS]),Table_FieldStrength[Min UCS],0)-1</f>
        <v>#VALUE!</v>
      </c>
      <c r="AD279" s="68" t="e">
        <f>Data_PLT[[#This Row],[Test code]]&amp;"-"&amp;Data_PLT[[#This Row],[UCS min code]]</f>
        <v>#VALUE!</v>
      </c>
      <c r="AE279" s="68" t="e">
        <f>Data_PLT[[#This Row],[Test code]]&amp;"-"&amp;Data_PLT[[#This Row],[UCS avg code]]</f>
        <v>#VALUE!</v>
      </c>
      <c r="AF279" s="67" t="e">
        <f>Data_PLT[[#This Row],[Test code]]&amp;"-"&amp;Data_PLT[[#This Row],[UCS max code]]</f>
        <v>#VALUE!</v>
      </c>
      <c r="AG279" s="67" t="e">
        <f>Data_PLT[[#This Row],[Failure type]]&amp;"-"&amp;Data_PLT[[#This Row],[Test type]]&amp;"-"&amp;(IF(Data_PLT[[#This Row],[Is50 (MPa)]]&lt;1,1,IF(Data_PLT[[#This Row],[Is50 (MPa)]]&lt;2,2,IF(Data_PLT[[#This Row],[Is50 (MPa)]]&lt;4,3,IF(Data_PLT[[#This Row],[Is50 (MPa)]]&lt;8,4,5)))))</f>
        <v>#VALUE!</v>
      </c>
    </row>
    <row r="280" spans="1:33" x14ac:dyDescent="0.25">
      <c r="A280" s="14"/>
      <c r="B280" s="88" t="e">
        <f>VLOOKUP(Data_PLT[[#This Row],[Hole ID]],Data_Log[],2,FALSE)</f>
        <v>#N/A</v>
      </c>
      <c r="C280" s="63" t="str">
        <f>IF(Data_PLT[[#This Row],[Hole ID]]="","",
IF(COUNTIF($A$4:A280,Data_PLT[[#This Row],[Hole ID]])=1,1,
IF(A280=A279,C279+1,
COUNTIF($A$4:A280,Data_PLT[[#This Row],[Hole ID]]))))</f>
        <v/>
      </c>
      <c r="D280" s="63" t="str">
        <f>IF(Data_PLT[[#This Row],[Hole ID]]="","",Data_PLT[[#This Row],[Hole ID]]&amp;"_"&amp;Data_PLT[[#This Row],[Sample ID]])</f>
        <v/>
      </c>
      <c r="E280" s="6"/>
      <c r="F280" s="6"/>
      <c r="G280" s="63" t="e" cm="1">
        <f t="array" ref="G280">_xlfn.XLOOKUP(1,(A280=Geotech!$A$4:$A$11100)*(Data_PLT[[#This Row],[Depth (m)]]&gt;=Geotech!$C$4:$C$11100)*(Data_PLT[[#This Row],[Depth (m)]]&lt;Geotech!$D$4:$D$11100),Geotech!$M$4:$M$11100)</f>
        <v>#N/A</v>
      </c>
      <c r="H280" s="6"/>
      <c r="I280" s="63" t="e">
        <f>VLOOKUP(Data_PLT[[#This Row],[Hole ID]],Data_Log[[Hole ID]:[Core size]],20,FALSE)</f>
        <v>#N/A</v>
      </c>
      <c r="J280" s="13" t="e">
        <f>VLOOKUP(Data_PLT[[#This Row],[Core Size]],Table_CoreSize[],2,FALSE)</f>
        <v>#N/A</v>
      </c>
      <c r="K280" s="19"/>
      <c r="L280" s="19"/>
      <c r="M280" s="5"/>
      <c r="N280" s="5"/>
      <c r="O280" s="6"/>
      <c r="P280" s="13" t="str">
        <f>IF(Data_PLT[[#This Row],[Failure type]]="","",IF(OR(Data_PLT[[#This Row],[Failure type]]="Invalid",Data_PLT[[#This Row],[Failure type]]="Chipped",Data_PLT[[#This Row],[Failure type]]="Penetrate",Data_PLT[[#This Row],[Failure type]]="Did not break"),"Invalid","Valid"))</f>
        <v/>
      </c>
      <c r="Q280" s="6"/>
      <c r="R280" s="11"/>
      <c r="S280" s="13" t="str">
        <f>IF(Data_PLT[[#This Row],[Test type]]="Diametral",Data_PLT[[#This Row],[Diameter (mm)]],IF(Data_PLT[[#This Row],[Test type]]="Axial",SQRT(4*Data_PLT[[#This Row],[Diameter (mm)]]*Data_PLT[[#This Row],[Length or width (mm)]]/PI()),"ERROR"))</f>
        <v>ERROR</v>
      </c>
      <c r="T280" s="13" t="e">
        <f>(Data_PLT[[#This Row],[Load (kN)]]*1000)/Data_PLT[[#This Row],[Equiv. Diam. (mm)]]^2</f>
        <v>#VALUE!</v>
      </c>
      <c r="U280" s="13" t="e">
        <f>(Data_PLT[[#This Row],[Equiv. Diam. (mm)]]/50)^0.45</f>
        <v>#VALUE!</v>
      </c>
      <c r="V280" s="13" t="e">
        <f>Data_PLT[[#This Row],[Is (MPa)]]*Data_PLT[[#This Row],[F]]</f>
        <v>#VALUE!</v>
      </c>
      <c r="W280" s="13" t="str">
        <f>Data_PLT[[#This Row],[Failure Validity]]&amp;"-"&amp;Data_PLT[[#This Row],[Test type]]</f>
        <v>-</v>
      </c>
      <c r="X280" s="13" t="e">
        <f>Data_PLT[[#This Row],[Is50 (MPa)]]*VLOOKUP("Min",Table_PLT_Conversion[],2,FALSE)</f>
        <v>#VALUE!</v>
      </c>
      <c r="Y280" s="13" t="e">
        <f>Data_PLT[[#This Row],[Is50 (MPa)]]*VLOOKUP("Avg",Table_PLT_Conversion[],2,FALSE)</f>
        <v>#VALUE!</v>
      </c>
      <c r="Z280" s="13" t="e">
        <f>Data_PLT[[#This Row],[Is50 (MPa)]]*VLOOKUP("Max",Table_PLT_Conversion[],2,FALSE)</f>
        <v>#VALUE!</v>
      </c>
      <c r="AA280" s="62" t="e">
        <f>MATCH(LOOKUP(Data_PLT[[#This Row],[UCS min (MPa)]],Table_FieldStrength[Min UCS]),Table_FieldStrength[Min UCS],0)-1</f>
        <v>#VALUE!</v>
      </c>
      <c r="AB280" s="62" t="e">
        <f>MATCH(LOOKUP(Data_PLT[[#This Row],[UCS avg (MPa)]],Table_FieldStrength[Min UCS]),Table_FieldStrength[Min UCS],0)-1</f>
        <v>#VALUE!</v>
      </c>
      <c r="AC280" s="62" t="e">
        <f>MATCH(LOOKUP(Data_PLT[[#This Row],[UCS max (MPa)]],Table_FieldStrength[Min UCS]),Table_FieldStrength[Min UCS],0)-1</f>
        <v>#VALUE!</v>
      </c>
      <c r="AD280" s="68" t="e">
        <f>Data_PLT[[#This Row],[Test code]]&amp;"-"&amp;Data_PLT[[#This Row],[UCS min code]]</f>
        <v>#VALUE!</v>
      </c>
      <c r="AE280" s="68" t="e">
        <f>Data_PLT[[#This Row],[Test code]]&amp;"-"&amp;Data_PLT[[#This Row],[UCS avg code]]</f>
        <v>#VALUE!</v>
      </c>
      <c r="AF280" s="67" t="e">
        <f>Data_PLT[[#This Row],[Test code]]&amp;"-"&amp;Data_PLT[[#This Row],[UCS max code]]</f>
        <v>#VALUE!</v>
      </c>
      <c r="AG280" s="67" t="e">
        <f>Data_PLT[[#This Row],[Failure type]]&amp;"-"&amp;Data_PLT[[#This Row],[Test type]]&amp;"-"&amp;(IF(Data_PLT[[#This Row],[Is50 (MPa)]]&lt;1,1,IF(Data_PLT[[#This Row],[Is50 (MPa)]]&lt;2,2,IF(Data_PLT[[#This Row],[Is50 (MPa)]]&lt;4,3,IF(Data_PLT[[#This Row],[Is50 (MPa)]]&lt;8,4,5)))))</f>
        <v>#VALUE!</v>
      </c>
    </row>
    <row r="281" spans="1:33" x14ac:dyDescent="0.25">
      <c r="A281" s="14"/>
      <c r="B281" s="88" t="e">
        <f>VLOOKUP(Data_PLT[[#This Row],[Hole ID]],Data_Log[],2,FALSE)</f>
        <v>#N/A</v>
      </c>
      <c r="C281" s="63" t="str">
        <f>IF(Data_PLT[[#This Row],[Hole ID]]="","",
IF(COUNTIF($A$4:A281,Data_PLT[[#This Row],[Hole ID]])=1,1,
IF(A281=A280,C280+1,
COUNTIF($A$4:A281,Data_PLT[[#This Row],[Hole ID]]))))</f>
        <v/>
      </c>
      <c r="D281" s="63" t="str">
        <f>IF(Data_PLT[[#This Row],[Hole ID]]="","",Data_PLT[[#This Row],[Hole ID]]&amp;"_"&amp;Data_PLT[[#This Row],[Sample ID]])</f>
        <v/>
      </c>
      <c r="E281" s="6"/>
      <c r="F281" s="6"/>
      <c r="G281" s="63" t="e" cm="1">
        <f t="array" ref="G281">_xlfn.XLOOKUP(1,(A281=Geotech!$A$4:$A$11100)*(Data_PLT[[#This Row],[Depth (m)]]&gt;=Geotech!$C$4:$C$11100)*(Data_PLT[[#This Row],[Depth (m)]]&lt;Geotech!$D$4:$D$11100),Geotech!$M$4:$M$11100)</f>
        <v>#N/A</v>
      </c>
      <c r="H281" s="6"/>
      <c r="I281" s="63" t="e">
        <f>VLOOKUP(Data_PLT[[#This Row],[Hole ID]],Data_Log[[Hole ID]:[Core size]],20,FALSE)</f>
        <v>#N/A</v>
      </c>
      <c r="J281" s="13" t="e">
        <f>VLOOKUP(Data_PLT[[#This Row],[Core Size]],Table_CoreSize[],2,FALSE)</f>
        <v>#N/A</v>
      </c>
      <c r="K281" s="19"/>
      <c r="L281" s="19"/>
      <c r="M281" s="5"/>
      <c r="N281" s="5"/>
      <c r="O281" s="6"/>
      <c r="P281" s="13" t="str">
        <f>IF(Data_PLT[[#This Row],[Failure type]]="","",IF(OR(Data_PLT[[#This Row],[Failure type]]="Invalid",Data_PLT[[#This Row],[Failure type]]="Chipped",Data_PLT[[#This Row],[Failure type]]="Penetrate",Data_PLT[[#This Row],[Failure type]]="Did not break"),"Invalid","Valid"))</f>
        <v/>
      </c>
      <c r="Q281" s="6"/>
      <c r="R281" s="11"/>
      <c r="S281" s="13" t="str">
        <f>IF(Data_PLT[[#This Row],[Test type]]="Diametral",Data_PLT[[#This Row],[Diameter (mm)]],IF(Data_PLT[[#This Row],[Test type]]="Axial",SQRT(4*Data_PLT[[#This Row],[Diameter (mm)]]*Data_PLT[[#This Row],[Length or width (mm)]]/PI()),"ERROR"))</f>
        <v>ERROR</v>
      </c>
      <c r="T281" s="13" t="e">
        <f>(Data_PLT[[#This Row],[Load (kN)]]*1000)/Data_PLT[[#This Row],[Equiv. Diam. (mm)]]^2</f>
        <v>#VALUE!</v>
      </c>
      <c r="U281" s="13" t="e">
        <f>(Data_PLT[[#This Row],[Equiv. Diam. (mm)]]/50)^0.45</f>
        <v>#VALUE!</v>
      </c>
      <c r="V281" s="13" t="e">
        <f>Data_PLT[[#This Row],[Is (MPa)]]*Data_PLT[[#This Row],[F]]</f>
        <v>#VALUE!</v>
      </c>
      <c r="W281" s="13" t="str">
        <f>Data_PLT[[#This Row],[Failure Validity]]&amp;"-"&amp;Data_PLT[[#This Row],[Test type]]</f>
        <v>-</v>
      </c>
      <c r="X281" s="13" t="e">
        <f>Data_PLT[[#This Row],[Is50 (MPa)]]*VLOOKUP("Min",Table_PLT_Conversion[],2,FALSE)</f>
        <v>#VALUE!</v>
      </c>
      <c r="Y281" s="13" t="e">
        <f>Data_PLT[[#This Row],[Is50 (MPa)]]*VLOOKUP("Avg",Table_PLT_Conversion[],2,FALSE)</f>
        <v>#VALUE!</v>
      </c>
      <c r="Z281" s="13" t="e">
        <f>Data_PLT[[#This Row],[Is50 (MPa)]]*VLOOKUP("Max",Table_PLT_Conversion[],2,FALSE)</f>
        <v>#VALUE!</v>
      </c>
      <c r="AA281" s="62" t="e">
        <f>MATCH(LOOKUP(Data_PLT[[#This Row],[UCS min (MPa)]],Table_FieldStrength[Min UCS]),Table_FieldStrength[Min UCS],0)-1</f>
        <v>#VALUE!</v>
      </c>
      <c r="AB281" s="62" t="e">
        <f>MATCH(LOOKUP(Data_PLT[[#This Row],[UCS avg (MPa)]],Table_FieldStrength[Min UCS]),Table_FieldStrength[Min UCS],0)-1</f>
        <v>#VALUE!</v>
      </c>
      <c r="AC281" s="62" t="e">
        <f>MATCH(LOOKUP(Data_PLT[[#This Row],[UCS max (MPa)]],Table_FieldStrength[Min UCS]),Table_FieldStrength[Min UCS],0)-1</f>
        <v>#VALUE!</v>
      </c>
      <c r="AD281" s="68" t="e">
        <f>Data_PLT[[#This Row],[Test code]]&amp;"-"&amp;Data_PLT[[#This Row],[UCS min code]]</f>
        <v>#VALUE!</v>
      </c>
      <c r="AE281" s="68" t="e">
        <f>Data_PLT[[#This Row],[Test code]]&amp;"-"&amp;Data_PLT[[#This Row],[UCS avg code]]</f>
        <v>#VALUE!</v>
      </c>
      <c r="AF281" s="67" t="e">
        <f>Data_PLT[[#This Row],[Test code]]&amp;"-"&amp;Data_PLT[[#This Row],[UCS max code]]</f>
        <v>#VALUE!</v>
      </c>
      <c r="AG281" s="67" t="e">
        <f>Data_PLT[[#This Row],[Failure type]]&amp;"-"&amp;Data_PLT[[#This Row],[Test type]]&amp;"-"&amp;(IF(Data_PLT[[#This Row],[Is50 (MPa)]]&lt;1,1,IF(Data_PLT[[#This Row],[Is50 (MPa)]]&lt;2,2,IF(Data_PLT[[#This Row],[Is50 (MPa)]]&lt;4,3,IF(Data_PLT[[#This Row],[Is50 (MPa)]]&lt;8,4,5)))))</f>
        <v>#VALUE!</v>
      </c>
    </row>
    <row r="282" spans="1:33" x14ac:dyDescent="0.25">
      <c r="A282" s="14"/>
      <c r="B282" s="88" t="e">
        <f>VLOOKUP(Data_PLT[[#This Row],[Hole ID]],Data_Log[],2,FALSE)</f>
        <v>#N/A</v>
      </c>
      <c r="C282" s="63" t="str">
        <f>IF(Data_PLT[[#This Row],[Hole ID]]="","",
IF(COUNTIF($A$4:A282,Data_PLT[[#This Row],[Hole ID]])=1,1,
IF(A282=A281,C281+1,
COUNTIF($A$4:A282,Data_PLT[[#This Row],[Hole ID]]))))</f>
        <v/>
      </c>
      <c r="D282" s="63" t="str">
        <f>IF(Data_PLT[[#This Row],[Hole ID]]="","",Data_PLT[[#This Row],[Hole ID]]&amp;"_"&amp;Data_PLT[[#This Row],[Sample ID]])</f>
        <v/>
      </c>
      <c r="E282" s="6"/>
      <c r="F282" s="6"/>
      <c r="G282" s="63" t="e" cm="1">
        <f t="array" ref="G282">_xlfn.XLOOKUP(1,(A282=Geotech!$A$4:$A$11100)*(Data_PLT[[#This Row],[Depth (m)]]&gt;=Geotech!$C$4:$C$11100)*(Data_PLT[[#This Row],[Depth (m)]]&lt;Geotech!$D$4:$D$11100),Geotech!$M$4:$M$11100)</f>
        <v>#N/A</v>
      </c>
      <c r="H282" s="6"/>
      <c r="I282" s="63" t="e">
        <f>VLOOKUP(Data_PLT[[#This Row],[Hole ID]],Data_Log[[Hole ID]:[Core size]],20,FALSE)</f>
        <v>#N/A</v>
      </c>
      <c r="J282" s="13" t="e">
        <f>VLOOKUP(Data_PLT[[#This Row],[Core Size]],Table_CoreSize[],2,FALSE)</f>
        <v>#N/A</v>
      </c>
      <c r="K282" s="19"/>
      <c r="L282" s="19"/>
      <c r="M282" s="5"/>
      <c r="N282" s="5"/>
      <c r="O282" s="6"/>
      <c r="P282" s="13" t="str">
        <f>IF(Data_PLT[[#This Row],[Failure type]]="","",IF(OR(Data_PLT[[#This Row],[Failure type]]="Invalid",Data_PLT[[#This Row],[Failure type]]="Chipped",Data_PLT[[#This Row],[Failure type]]="Penetrate",Data_PLT[[#This Row],[Failure type]]="Did not break"),"Invalid","Valid"))</f>
        <v/>
      </c>
      <c r="Q282" s="6"/>
      <c r="R282" s="11"/>
      <c r="S282" s="13" t="str">
        <f>IF(Data_PLT[[#This Row],[Test type]]="Diametral",Data_PLT[[#This Row],[Diameter (mm)]],IF(Data_PLT[[#This Row],[Test type]]="Axial",SQRT(4*Data_PLT[[#This Row],[Diameter (mm)]]*Data_PLT[[#This Row],[Length or width (mm)]]/PI()),"ERROR"))</f>
        <v>ERROR</v>
      </c>
      <c r="T282" s="13" t="e">
        <f>(Data_PLT[[#This Row],[Load (kN)]]*1000)/Data_PLT[[#This Row],[Equiv. Diam. (mm)]]^2</f>
        <v>#VALUE!</v>
      </c>
      <c r="U282" s="13" t="e">
        <f>(Data_PLT[[#This Row],[Equiv. Diam. (mm)]]/50)^0.45</f>
        <v>#VALUE!</v>
      </c>
      <c r="V282" s="13" t="e">
        <f>Data_PLT[[#This Row],[Is (MPa)]]*Data_PLT[[#This Row],[F]]</f>
        <v>#VALUE!</v>
      </c>
      <c r="W282" s="13" t="str">
        <f>Data_PLT[[#This Row],[Failure Validity]]&amp;"-"&amp;Data_PLT[[#This Row],[Test type]]</f>
        <v>-</v>
      </c>
      <c r="X282" s="13" t="e">
        <f>Data_PLT[[#This Row],[Is50 (MPa)]]*VLOOKUP("Min",Table_PLT_Conversion[],2,FALSE)</f>
        <v>#VALUE!</v>
      </c>
      <c r="Y282" s="13" t="e">
        <f>Data_PLT[[#This Row],[Is50 (MPa)]]*VLOOKUP("Avg",Table_PLT_Conversion[],2,FALSE)</f>
        <v>#VALUE!</v>
      </c>
      <c r="Z282" s="13" t="e">
        <f>Data_PLT[[#This Row],[Is50 (MPa)]]*VLOOKUP("Max",Table_PLT_Conversion[],2,FALSE)</f>
        <v>#VALUE!</v>
      </c>
      <c r="AA282" s="62" t="e">
        <f>MATCH(LOOKUP(Data_PLT[[#This Row],[UCS min (MPa)]],Table_FieldStrength[Min UCS]),Table_FieldStrength[Min UCS],0)-1</f>
        <v>#VALUE!</v>
      </c>
      <c r="AB282" s="62" t="e">
        <f>MATCH(LOOKUP(Data_PLT[[#This Row],[UCS avg (MPa)]],Table_FieldStrength[Min UCS]),Table_FieldStrength[Min UCS],0)-1</f>
        <v>#VALUE!</v>
      </c>
      <c r="AC282" s="62" t="e">
        <f>MATCH(LOOKUP(Data_PLT[[#This Row],[UCS max (MPa)]],Table_FieldStrength[Min UCS]),Table_FieldStrength[Min UCS],0)-1</f>
        <v>#VALUE!</v>
      </c>
      <c r="AD282" s="68" t="e">
        <f>Data_PLT[[#This Row],[Test code]]&amp;"-"&amp;Data_PLT[[#This Row],[UCS min code]]</f>
        <v>#VALUE!</v>
      </c>
      <c r="AE282" s="68" t="e">
        <f>Data_PLT[[#This Row],[Test code]]&amp;"-"&amp;Data_PLT[[#This Row],[UCS avg code]]</f>
        <v>#VALUE!</v>
      </c>
      <c r="AF282" s="67" t="e">
        <f>Data_PLT[[#This Row],[Test code]]&amp;"-"&amp;Data_PLT[[#This Row],[UCS max code]]</f>
        <v>#VALUE!</v>
      </c>
      <c r="AG282" s="67" t="e">
        <f>Data_PLT[[#This Row],[Failure type]]&amp;"-"&amp;Data_PLT[[#This Row],[Test type]]&amp;"-"&amp;(IF(Data_PLT[[#This Row],[Is50 (MPa)]]&lt;1,1,IF(Data_PLT[[#This Row],[Is50 (MPa)]]&lt;2,2,IF(Data_PLT[[#This Row],[Is50 (MPa)]]&lt;4,3,IF(Data_PLT[[#This Row],[Is50 (MPa)]]&lt;8,4,5)))))</f>
        <v>#VALUE!</v>
      </c>
    </row>
    <row r="283" spans="1:33" x14ac:dyDescent="0.25">
      <c r="A283" s="14"/>
      <c r="B283" s="88" t="e">
        <f>VLOOKUP(Data_PLT[[#This Row],[Hole ID]],Data_Log[],2,FALSE)</f>
        <v>#N/A</v>
      </c>
      <c r="C283" s="63" t="str">
        <f>IF(Data_PLT[[#This Row],[Hole ID]]="","",
IF(COUNTIF($A$4:A283,Data_PLT[[#This Row],[Hole ID]])=1,1,
IF(A283=A282,C282+1,
COUNTIF($A$4:A283,Data_PLT[[#This Row],[Hole ID]]))))</f>
        <v/>
      </c>
      <c r="D283" s="63" t="str">
        <f>IF(Data_PLT[[#This Row],[Hole ID]]="","",Data_PLT[[#This Row],[Hole ID]]&amp;"_"&amp;Data_PLT[[#This Row],[Sample ID]])</f>
        <v/>
      </c>
      <c r="E283" s="6"/>
      <c r="F283" s="6"/>
      <c r="G283" s="63" t="e" cm="1">
        <f t="array" ref="G283">_xlfn.XLOOKUP(1,(A283=Geotech!$A$4:$A$11100)*(Data_PLT[[#This Row],[Depth (m)]]&gt;=Geotech!$C$4:$C$11100)*(Data_PLT[[#This Row],[Depth (m)]]&lt;Geotech!$D$4:$D$11100),Geotech!$M$4:$M$11100)</f>
        <v>#N/A</v>
      </c>
      <c r="H283" s="6"/>
      <c r="I283" s="63" t="e">
        <f>VLOOKUP(Data_PLT[[#This Row],[Hole ID]],Data_Log[[Hole ID]:[Core size]],20,FALSE)</f>
        <v>#N/A</v>
      </c>
      <c r="J283" s="13" t="e">
        <f>VLOOKUP(Data_PLT[[#This Row],[Core Size]],Table_CoreSize[],2,FALSE)</f>
        <v>#N/A</v>
      </c>
      <c r="K283" s="19"/>
      <c r="L283" s="19"/>
      <c r="M283" s="5"/>
      <c r="N283" s="5"/>
      <c r="O283" s="6"/>
      <c r="P283" s="13" t="str">
        <f>IF(Data_PLT[[#This Row],[Failure type]]="","",IF(OR(Data_PLT[[#This Row],[Failure type]]="Invalid",Data_PLT[[#This Row],[Failure type]]="Chipped",Data_PLT[[#This Row],[Failure type]]="Penetrate",Data_PLT[[#This Row],[Failure type]]="Did not break"),"Invalid","Valid"))</f>
        <v/>
      </c>
      <c r="Q283" s="6"/>
      <c r="R283" s="11"/>
      <c r="S283" s="13" t="str">
        <f>IF(Data_PLT[[#This Row],[Test type]]="Diametral",Data_PLT[[#This Row],[Diameter (mm)]],IF(Data_PLT[[#This Row],[Test type]]="Axial",SQRT(4*Data_PLT[[#This Row],[Diameter (mm)]]*Data_PLT[[#This Row],[Length or width (mm)]]/PI()),"ERROR"))</f>
        <v>ERROR</v>
      </c>
      <c r="T283" s="13" t="e">
        <f>(Data_PLT[[#This Row],[Load (kN)]]*1000)/Data_PLT[[#This Row],[Equiv. Diam. (mm)]]^2</f>
        <v>#VALUE!</v>
      </c>
      <c r="U283" s="13" t="e">
        <f>(Data_PLT[[#This Row],[Equiv. Diam. (mm)]]/50)^0.45</f>
        <v>#VALUE!</v>
      </c>
      <c r="V283" s="13" t="e">
        <f>Data_PLT[[#This Row],[Is (MPa)]]*Data_PLT[[#This Row],[F]]</f>
        <v>#VALUE!</v>
      </c>
      <c r="W283" s="13" t="str">
        <f>Data_PLT[[#This Row],[Failure Validity]]&amp;"-"&amp;Data_PLT[[#This Row],[Test type]]</f>
        <v>-</v>
      </c>
      <c r="X283" s="13" t="e">
        <f>Data_PLT[[#This Row],[Is50 (MPa)]]*VLOOKUP("Min",Table_PLT_Conversion[],2,FALSE)</f>
        <v>#VALUE!</v>
      </c>
      <c r="Y283" s="13" t="e">
        <f>Data_PLT[[#This Row],[Is50 (MPa)]]*VLOOKUP("Avg",Table_PLT_Conversion[],2,FALSE)</f>
        <v>#VALUE!</v>
      </c>
      <c r="Z283" s="13" t="e">
        <f>Data_PLT[[#This Row],[Is50 (MPa)]]*VLOOKUP("Max",Table_PLT_Conversion[],2,FALSE)</f>
        <v>#VALUE!</v>
      </c>
      <c r="AA283" s="62" t="e">
        <f>MATCH(LOOKUP(Data_PLT[[#This Row],[UCS min (MPa)]],Table_FieldStrength[Min UCS]),Table_FieldStrength[Min UCS],0)-1</f>
        <v>#VALUE!</v>
      </c>
      <c r="AB283" s="62" t="e">
        <f>MATCH(LOOKUP(Data_PLT[[#This Row],[UCS avg (MPa)]],Table_FieldStrength[Min UCS]),Table_FieldStrength[Min UCS],0)-1</f>
        <v>#VALUE!</v>
      </c>
      <c r="AC283" s="62" t="e">
        <f>MATCH(LOOKUP(Data_PLT[[#This Row],[UCS max (MPa)]],Table_FieldStrength[Min UCS]),Table_FieldStrength[Min UCS],0)-1</f>
        <v>#VALUE!</v>
      </c>
      <c r="AD283" s="68" t="e">
        <f>Data_PLT[[#This Row],[Test code]]&amp;"-"&amp;Data_PLT[[#This Row],[UCS min code]]</f>
        <v>#VALUE!</v>
      </c>
      <c r="AE283" s="68" t="e">
        <f>Data_PLT[[#This Row],[Test code]]&amp;"-"&amp;Data_PLT[[#This Row],[UCS avg code]]</f>
        <v>#VALUE!</v>
      </c>
      <c r="AF283" s="67" t="e">
        <f>Data_PLT[[#This Row],[Test code]]&amp;"-"&amp;Data_PLT[[#This Row],[UCS max code]]</f>
        <v>#VALUE!</v>
      </c>
      <c r="AG283" s="67" t="e">
        <f>Data_PLT[[#This Row],[Failure type]]&amp;"-"&amp;Data_PLT[[#This Row],[Test type]]&amp;"-"&amp;(IF(Data_PLT[[#This Row],[Is50 (MPa)]]&lt;1,1,IF(Data_PLT[[#This Row],[Is50 (MPa)]]&lt;2,2,IF(Data_PLT[[#This Row],[Is50 (MPa)]]&lt;4,3,IF(Data_PLT[[#This Row],[Is50 (MPa)]]&lt;8,4,5)))))</f>
        <v>#VALUE!</v>
      </c>
    </row>
    <row r="284" spans="1:33" x14ac:dyDescent="0.25">
      <c r="A284" s="14"/>
      <c r="B284" s="88" t="e">
        <f>VLOOKUP(Data_PLT[[#This Row],[Hole ID]],Data_Log[],2,FALSE)</f>
        <v>#N/A</v>
      </c>
      <c r="C284" s="63" t="str">
        <f>IF(Data_PLT[[#This Row],[Hole ID]]="","",
IF(COUNTIF($A$4:A284,Data_PLT[[#This Row],[Hole ID]])=1,1,
IF(A284=A283,C283+1,
COUNTIF($A$4:A284,Data_PLT[[#This Row],[Hole ID]]))))</f>
        <v/>
      </c>
      <c r="D284" s="63" t="str">
        <f>IF(Data_PLT[[#This Row],[Hole ID]]="","",Data_PLT[[#This Row],[Hole ID]]&amp;"_"&amp;Data_PLT[[#This Row],[Sample ID]])</f>
        <v/>
      </c>
      <c r="E284" s="6"/>
      <c r="F284" s="6"/>
      <c r="G284" s="63" t="e" cm="1">
        <f t="array" ref="G284">_xlfn.XLOOKUP(1,(A284=Geotech!$A$4:$A$11100)*(Data_PLT[[#This Row],[Depth (m)]]&gt;=Geotech!$C$4:$C$11100)*(Data_PLT[[#This Row],[Depth (m)]]&lt;Geotech!$D$4:$D$11100),Geotech!$M$4:$M$11100)</f>
        <v>#N/A</v>
      </c>
      <c r="H284" s="6"/>
      <c r="I284" s="63" t="e">
        <f>VLOOKUP(Data_PLT[[#This Row],[Hole ID]],Data_Log[[Hole ID]:[Core size]],20,FALSE)</f>
        <v>#N/A</v>
      </c>
      <c r="J284" s="13" t="e">
        <f>VLOOKUP(Data_PLT[[#This Row],[Core Size]],Table_CoreSize[],2,FALSE)</f>
        <v>#N/A</v>
      </c>
      <c r="K284" s="19"/>
      <c r="L284" s="19"/>
      <c r="M284" s="5"/>
      <c r="N284" s="5"/>
      <c r="O284" s="6"/>
      <c r="P284" s="13" t="str">
        <f>IF(Data_PLT[[#This Row],[Failure type]]="","",IF(OR(Data_PLT[[#This Row],[Failure type]]="Invalid",Data_PLT[[#This Row],[Failure type]]="Chipped",Data_PLT[[#This Row],[Failure type]]="Penetrate",Data_PLT[[#This Row],[Failure type]]="Did not break"),"Invalid","Valid"))</f>
        <v/>
      </c>
      <c r="Q284" s="6"/>
      <c r="R284" s="11"/>
      <c r="S284" s="13" t="str">
        <f>IF(Data_PLT[[#This Row],[Test type]]="Diametral",Data_PLT[[#This Row],[Diameter (mm)]],IF(Data_PLT[[#This Row],[Test type]]="Axial",SQRT(4*Data_PLT[[#This Row],[Diameter (mm)]]*Data_PLT[[#This Row],[Length or width (mm)]]/PI()),"ERROR"))</f>
        <v>ERROR</v>
      </c>
      <c r="T284" s="13" t="e">
        <f>(Data_PLT[[#This Row],[Load (kN)]]*1000)/Data_PLT[[#This Row],[Equiv. Diam. (mm)]]^2</f>
        <v>#VALUE!</v>
      </c>
      <c r="U284" s="13" t="e">
        <f>(Data_PLT[[#This Row],[Equiv. Diam. (mm)]]/50)^0.45</f>
        <v>#VALUE!</v>
      </c>
      <c r="V284" s="13" t="e">
        <f>Data_PLT[[#This Row],[Is (MPa)]]*Data_PLT[[#This Row],[F]]</f>
        <v>#VALUE!</v>
      </c>
      <c r="W284" s="13" t="str">
        <f>Data_PLT[[#This Row],[Failure Validity]]&amp;"-"&amp;Data_PLT[[#This Row],[Test type]]</f>
        <v>-</v>
      </c>
      <c r="X284" s="13" t="e">
        <f>Data_PLT[[#This Row],[Is50 (MPa)]]*VLOOKUP("Min",Table_PLT_Conversion[],2,FALSE)</f>
        <v>#VALUE!</v>
      </c>
      <c r="Y284" s="13" t="e">
        <f>Data_PLT[[#This Row],[Is50 (MPa)]]*VLOOKUP("Avg",Table_PLT_Conversion[],2,FALSE)</f>
        <v>#VALUE!</v>
      </c>
      <c r="Z284" s="13" t="e">
        <f>Data_PLT[[#This Row],[Is50 (MPa)]]*VLOOKUP("Max",Table_PLT_Conversion[],2,FALSE)</f>
        <v>#VALUE!</v>
      </c>
      <c r="AA284" s="62" t="e">
        <f>MATCH(LOOKUP(Data_PLT[[#This Row],[UCS min (MPa)]],Table_FieldStrength[Min UCS]),Table_FieldStrength[Min UCS],0)-1</f>
        <v>#VALUE!</v>
      </c>
      <c r="AB284" s="62" t="e">
        <f>MATCH(LOOKUP(Data_PLT[[#This Row],[UCS avg (MPa)]],Table_FieldStrength[Min UCS]),Table_FieldStrength[Min UCS],0)-1</f>
        <v>#VALUE!</v>
      </c>
      <c r="AC284" s="62" t="e">
        <f>MATCH(LOOKUP(Data_PLT[[#This Row],[UCS max (MPa)]],Table_FieldStrength[Min UCS]),Table_FieldStrength[Min UCS],0)-1</f>
        <v>#VALUE!</v>
      </c>
      <c r="AD284" s="68" t="e">
        <f>Data_PLT[[#This Row],[Test code]]&amp;"-"&amp;Data_PLT[[#This Row],[UCS min code]]</f>
        <v>#VALUE!</v>
      </c>
      <c r="AE284" s="68" t="e">
        <f>Data_PLT[[#This Row],[Test code]]&amp;"-"&amp;Data_PLT[[#This Row],[UCS avg code]]</f>
        <v>#VALUE!</v>
      </c>
      <c r="AF284" s="67" t="e">
        <f>Data_PLT[[#This Row],[Test code]]&amp;"-"&amp;Data_PLT[[#This Row],[UCS max code]]</f>
        <v>#VALUE!</v>
      </c>
      <c r="AG284" s="67" t="e">
        <f>Data_PLT[[#This Row],[Failure type]]&amp;"-"&amp;Data_PLT[[#This Row],[Test type]]&amp;"-"&amp;(IF(Data_PLT[[#This Row],[Is50 (MPa)]]&lt;1,1,IF(Data_PLT[[#This Row],[Is50 (MPa)]]&lt;2,2,IF(Data_PLT[[#This Row],[Is50 (MPa)]]&lt;4,3,IF(Data_PLT[[#This Row],[Is50 (MPa)]]&lt;8,4,5)))))</f>
        <v>#VALUE!</v>
      </c>
    </row>
    <row r="285" spans="1:33" x14ac:dyDescent="0.25">
      <c r="A285" s="14"/>
      <c r="B285" s="88" t="e">
        <f>VLOOKUP(Data_PLT[[#This Row],[Hole ID]],Data_Log[],2,FALSE)</f>
        <v>#N/A</v>
      </c>
      <c r="C285" s="63" t="str">
        <f>IF(Data_PLT[[#This Row],[Hole ID]]="","",
IF(COUNTIF($A$4:A285,Data_PLT[[#This Row],[Hole ID]])=1,1,
IF(A285=A284,C284+1,
COUNTIF($A$4:A285,Data_PLT[[#This Row],[Hole ID]]))))</f>
        <v/>
      </c>
      <c r="D285" s="63" t="str">
        <f>IF(Data_PLT[[#This Row],[Hole ID]]="","",Data_PLT[[#This Row],[Hole ID]]&amp;"_"&amp;Data_PLT[[#This Row],[Sample ID]])</f>
        <v/>
      </c>
      <c r="E285" s="6"/>
      <c r="F285" s="6"/>
      <c r="G285" s="63" t="e" cm="1">
        <f t="array" ref="G285">_xlfn.XLOOKUP(1,(A285=Geotech!$A$4:$A$11100)*(Data_PLT[[#This Row],[Depth (m)]]&gt;=Geotech!$C$4:$C$11100)*(Data_PLT[[#This Row],[Depth (m)]]&lt;Geotech!$D$4:$D$11100),Geotech!$M$4:$M$11100)</f>
        <v>#N/A</v>
      </c>
      <c r="H285" s="6"/>
      <c r="I285" s="63" t="e">
        <f>VLOOKUP(Data_PLT[[#This Row],[Hole ID]],Data_Log[[Hole ID]:[Core size]],20,FALSE)</f>
        <v>#N/A</v>
      </c>
      <c r="J285" s="13" t="e">
        <f>VLOOKUP(Data_PLT[[#This Row],[Core Size]],Table_CoreSize[],2,FALSE)</f>
        <v>#N/A</v>
      </c>
      <c r="K285" s="19"/>
      <c r="L285" s="19"/>
      <c r="M285" s="5"/>
      <c r="N285" s="5"/>
      <c r="O285" s="6"/>
      <c r="P285" s="13" t="str">
        <f>IF(Data_PLT[[#This Row],[Failure type]]="","",IF(OR(Data_PLT[[#This Row],[Failure type]]="Invalid",Data_PLT[[#This Row],[Failure type]]="Chipped",Data_PLT[[#This Row],[Failure type]]="Penetrate",Data_PLT[[#This Row],[Failure type]]="Did not break"),"Invalid","Valid"))</f>
        <v/>
      </c>
      <c r="Q285" s="6"/>
      <c r="R285" s="11"/>
      <c r="S285" s="13" t="str">
        <f>IF(Data_PLT[[#This Row],[Test type]]="Diametral",Data_PLT[[#This Row],[Diameter (mm)]],IF(Data_PLT[[#This Row],[Test type]]="Axial",SQRT(4*Data_PLT[[#This Row],[Diameter (mm)]]*Data_PLT[[#This Row],[Length or width (mm)]]/PI()),"ERROR"))</f>
        <v>ERROR</v>
      </c>
      <c r="T285" s="13" t="e">
        <f>(Data_PLT[[#This Row],[Load (kN)]]*1000)/Data_PLT[[#This Row],[Equiv. Diam. (mm)]]^2</f>
        <v>#VALUE!</v>
      </c>
      <c r="U285" s="13" t="e">
        <f>(Data_PLT[[#This Row],[Equiv. Diam. (mm)]]/50)^0.45</f>
        <v>#VALUE!</v>
      </c>
      <c r="V285" s="13" t="e">
        <f>Data_PLT[[#This Row],[Is (MPa)]]*Data_PLT[[#This Row],[F]]</f>
        <v>#VALUE!</v>
      </c>
      <c r="W285" s="13" t="str">
        <f>Data_PLT[[#This Row],[Failure Validity]]&amp;"-"&amp;Data_PLT[[#This Row],[Test type]]</f>
        <v>-</v>
      </c>
      <c r="X285" s="13" t="e">
        <f>Data_PLT[[#This Row],[Is50 (MPa)]]*VLOOKUP("Min",Table_PLT_Conversion[],2,FALSE)</f>
        <v>#VALUE!</v>
      </c>
      <c r="Y285" s="13" t="e">
        <f>Data_PLT[[#This Row],[Is50 (MPa)]]*VLOOKUP("Avg",Table_PLT_Conversion[],2,FALSE)</f>
        <v>#VALUE!</v>
      </c>
      <c r="Z285" s="13" t="e">
        <f>Data_PLT[[#This Row],[Is50 (MPa)]]*VLOOKUP("Max",Table_PLT_Conversion[],2,FALSE)</f>
        <v>#VALUE!</v>
      </c>
      <c r="AA285" s="62" t="e">
        <f>MATCH(LOOKUP(Data_PLT[[#This Row],[UCS min (MPa)]],Table_FieldStrength[Min UCS]),Table_FieldStrength[Min UCS],0)-1</f>
        <v>#VALUE!</v>
      </c>
      <c r="AB285" s="62" t="e">
        <f>MATCH(LOOKUP(Data_PLT[[#This Row],[UCS avg (MPa)]],Table_FieldStrength[Min UCS]),Table_FieldStrength[Min UCS],0)-1</f>
        <v>#VALUE!</v>
      </c>
      <c r="AC285" s="62" t="e">
        <f>MATCH(LOOKUP(Data_PLT[[#This Row],[UCS max (MPa)]],Table_FieldStrength[Min UCS]),Table_FieldStrength[Min UCS],0)-1</f>
        <v>#VALUE!</v>
      </c>
      <c r="AD285" s="68" t="e">
        <f>Data_PLT[[#This Row],[Test code]]&amp;"-"&amp;Data_PLT[[#This Row],[UCS min code]]</f>
        <v>#VALUE!</v>
      </c>
      <c r="AE285" s="68" t="e">
        <f>Data_PLT[[#This Row],[Test code]]&amp;"-"&amp;Data_PLT[[#This Row],[UCS avg code]]</f>
        <v>#VALUE!</v>
      </c>
      <c r="AF285" s="67" t="e">
        <f>Data_PLT[[#This Row],[Test code]]&amp;"-"&amp;Data_PLT[[#This Row],[UCS max code]]</f>
        <v>#VALUE!</v>
      </c>
      <c r="AG285" s="67" t="e">
        <f>Data_PLT[[#This Row],[Failure type]]&amp;"-"&amp;Data_PLT[[#This Row],[Test type]]&amp;"-"&amp;(IF(Data_PLT[[#This Row],[Is50 (MPa)]]&lt;1,1,IF(Data_PLT[[#This Row],[Is50 (MPa)]]&lt;2,2,IF(Data_PLT[[#This Row],[Is50 (MPa)]]&lt;4,3,IF(Data_PLT[[#This Row],[Is50 (MPa)]]&lt;8,4,5)))))</f>
        <v>#VALUE!</v>
      </c>
    </row>
    <row r="286" spans="1:33" x14ac:dyDescent="0.25">
      <c r="A286" s="14"/>
      <c r="B286" s="88" t="e">
        <f>VLOOKUP(Data_PLT[[#This Row],[Hole ID]],Data_Log[],2,FALSE)</f>
        <v>#N/A</v>
      </c>
      <c r="C286" s="63" t="str">
        <f>IF(Data_PLT[[#This Row],[Hole ID]]="","",
IF(COUNTIF($A$4:A286,Data_PLT[[#This Row],[Hole ID]])=1,1,
IF(A286=A285,C285+1,
COUNTIF($A$4:A286,Data_PLT[[#This Row],[Hole ID]]))))</f>
        <v/>
      </c>
      <c r="D286" s="63" t="str">
        <f>IF(Data_PLT[[#This Row],[Hole ID]]="","",Data_PLT[[#This Row],[Hole ID]]&amp;"_"&amp;Data_PLT[[#This Row],[Sample ID]])</f>
        <v/>
      </c>
      <c r="E286" s="6"/>
      <c r="F286" s="6"/>
      <c r="G286" s="63" t="e" cm="1">
        <f t="array" ref="G286">_xlfn.XLOOKUP(1,(A286=Geotech!$A$4:$A$11100)*(Data_PLT[[#This Row],[Depth (m)]]&gt;=Geotech!$C$4:$C$11100)*(Data_PLT[[#This Row],[Depth (m)]]&lt;Geotech!$D$4:$D$11100),Geotech!$M$4:$M$11100)</f>
        <v>#N/A</v>
      </c>
      <c r="H286" s="6"/>
      <c r="I286" s="63" t="e">
        <f>VLOOKUP(Data_PLT[[#This Row],[Hole ID]],Data_Log[[Hole ID]:[Core size]],20,FALSE)</f>
        <v>#N/A</v>
      </c>
      <c r="J286" s="13" t="e">
        <f>VLOOKUP(Data_PLT[[#This Row],[Core Size]],Table_CoreSize[],2,FALSE)</f>
        <v>#N/A</v>
      </c>
      <c r="K286" s="19"/>
      <c r="L286" s="19"/>
      <c r="M286" s="5"/>
      <c r="N286" s="5"/>
      <c r="O286" s="6"/>
      <c r="P286" s="13" t="str">
        <f>IF(Data_PLT[[#This Row],[Failure type]]="","",IF(OR(Data_PLT[[#This Row],[Failure type]]="Invalid",Data_PLT[[#This Row],[Failure type]]="Chipped",Data_PLT[[#This Row],[Failure type]]="Penetrate",Data_PLT[[#This Row],[Failure type]]="Did not break"),"Invalid","Valid"))</f>
        <v/>
      </c>
      <c r="Q286" s="6"/>
      <c r="R286" s="11"/>
      <c r="S286" s="13" t="str">
        <f>IF(Data_PLT[[#This Row],[Test type]]="Diametral",Data_PLT[[#This Row],[Diameter (mm)]],IF(Data_PLT[[#This Row],[Test type]]="Axial",SQRT(4*Data_PLT[[#This Row],[Diameter (mm)]]*Data_PLT[[#This Row],[Length or width (mm)]]/PI()),"ERROR"))</f>
        <v>ERROR</v>
      </c>
      <c r="T286" s="13" t="e">
        <f>(Data_PLT[[#This Row],[Load (kN)]]*1000)/Data_PLT[[#This Row],[Equiv. Diam. (mm)]]^2</f>
        <v>#VALUE!</v>
      </c>
      <c r="U286" s="13" t="e">
        <f>(Data_PLT[[#This Row],[Equiv. Diam. (mm)]]/50)^0.45</f>
        <v>#VALUE!</v>
      </c>
      <c r="V286" s="13" t="e">
        <f>Data_PLT[[#This Row],[Is (MPa)]]*Data_PLT[[#This Row],[F]]</f>
        <v>#VALUE!</v>
      </c>
      <c r="W286" s="13" t="str">
        <f>Data_PLT[[#This Row],[Failure Validity]]&amp;"-"&amp;Data_PLT[[#This Row],[Test type]]</f>
        <v>-</v>
      </c>
      <c r="X286" s="13" t="e">
        <f>Data_PLT[[#This Row],[Is50 (MPa)]]*VLOOKUP("Min",Table_PLT_Conversion[],2,FALSE)</f>
        <v>#VALUE!</v>
      </c>
      <c r="Y286" s="13" t="e">
        <f>Data_PLT[[#This Row],[Is50 (MPa)]]*VLOOKUP("Avg",Table_PLT_Conversion[],2,FALSE)</f>
        <v>#VALUE!</v>
      </c>
      <c r="Z286" s="13" t="e">
        <f>Data_PLT[[#This Row],[Is50 (MPa)]]*VLOOKUP("Max",Table_PLT_Conversion[],2,FALSE)</f>
        <v>#VALUE!</v>
      </c>
      <c r="AA286" s="62" t="e">
        <f>MATCH(LOOKUP(Data_PLT[[#This Row],[UCS min (MPa)]],Table_FieldStrength[Min UCS]),Table_FieldStrength[Min UCS],0)-1</f>
        <v>#VALUE!</v>
      </c>
      <c r="AB286" s="62" t="e">
        <f>MATCH(LOOKUP(Data_PLT[[#This Row],[UCS avg (MPa)]],Table_FieldStrength[Min UCS]),Table_FieldStrength[Min UCS],0)-1</f>
        <v>#VALUE!</v>
      </c>
      <c r="AC286" s="62" t="e">
        <f>MATCH(LOOKUP(Data_PLT[[#This Row],[UCS max (MPa)]],Table_FieldStrength[Min UCS]),Table_FieldStrength[Min UCS],0)-1</f>
        <v>#VALUE!</v>
      </c>
      <c r="AD286" s="68" t="e">
        <f>Data_PLT[[#This Row],[Test code]]&amp;"-"&amp;Data_PLT[[#This Row],[UCS min code]]</f>
        <v>#VALUE!</v>
      </c>
      <c r="AE286" s="68" t="e">
        <f>Data_PLT[[#This Row],[Test code]]&amp;"-"&amp;Data_PLT[[#This Row],[UCS avg code]]</f>
        <v>#VALUE!</v>
      </c>
      <c r="AF286" s="67" t="e">
        <f>Data_PLT[[#This Row],[Test code]]&amp;"-"&amp;Data_PLT[[#This Row],[UCS max code]]</f>
        <v>#VALUE!</v>
      </c>
      <c r="AG286" s="67" t="e">
        <f>Data_PLT[[#This Row],[Failure type]]&amp;"-"&amp;Data_PLT[[#This Row],[Test type]]&amp;"-"&amp;(IF(Data_PLT[[#This Row],[Is50 (MPa)]]&lt;1,1,IF(Data_PLT[[#This Row],[Is50 (MPa)]]&lt;2,2,IF(Data_PLT[[#This Row],[Is50 (MPa)]]&lt;4,3,IF(Data_PLT[[#This Row],[Is50 (MPa)]]&lt;8,4,5)))))</f>
        <v>#VALUE!</v>
      </c>
    </row>
    <row r="287" spans="1:33" x14ac:dyDescent="0.25">
      <c r="A287" s="14"/>
      <c r="B287" s="88" t="e">
        <f>VLOOKUP(Data_PLT[[#This Row],[Hole ID]],Data_Log[],2,FALSE)</f>
        <v>#N/A</v>
      </c>
      <c r="C287" s="63" t="str">
        <f>IF(Data_PLT[[#This Row],[Hole ID]]="","",
IF(COUNTIF($A$4:A287,Data_PLT[[#This Row],[Hole ID]])=1,1,
IF(A287=A286,C286+1,
COUNTIF($A$4:A287,Data_PLT[[#This Row],[Hole ID]]))))</f>
        <v/>
      </c>
      <c r="D287" s="63" t="str">
        <f>IF(Data_PLT[[#This Row],[Hole ID]]="","",Data_PLT[[#This Row],[Hole ID]]&amp;"_"&amp;Data_PLT[[#This Row],[Sample ID]])</f>
        <v/>
      </c>
      <c r="E287" s="6"/>
      <c r="F287" s="6"/>
      <c r="G287" s="63" t="e" cm="1">
        <f t="array" ref="G287">_xlfn.XLOOKUP(1,(A287=Geotech!$A$4:$A$11100)*(Data_PLT[[#This Row],[Depth (m)]]&gt;=Geotech!$C$4:$C$11100)*(Data_PLT[[#This Row],[Depth (m)]]&lt;Geotech!$D$4:$D$11100),Geotech!$M$4:$M$11100)</f>
        <v>#N/A</v>
      </c>
      <c r="H287" s="6"/>
      <c r="I287" s="63" t="e">
        <f>VLOOKUP(Data_PLT[[#This Row],[Hole ID]],Data_Log[[Hole ID]:[Core size]],20,FALSE)</f>
        <v>#N/A</v>
      </c>
      <c r="J287" s="13" t="e">
        <f>VLOOKUP(Data_PLT[[#This Row],[Core Size]],Table_CoreSize[],2,FALSE)</f>
        <v>#N/A</v>
      </c>
      <c r="K287" s="19"/>
      <c r="L287" s="19"/>
      <c r="M287" s="5"/>
      <c r="N287" s="5"/>
      <c r="O287" s="6"/>
      <c r="P287" s="13" t="str">
        <f>IF(Data_PLT[[#This Row],[Failure type]]="","",IF(OR(Data_PLT[[#This Row],[Failure type]]="Invalid",Data_PLT[[#This Row],[Failure type]]="Chipped",Data_PLT[[#This Row],[Failure type]]="Penetrate",Data_PLT[[#This Row],[Failure type]]="Did not break"),"Invalid","Valid"))</f>
        <v/>
      </c>
      <c r="Q287" s="6"/>
      <c r="R287" s="11"/>
      <c r="S287" s="13" t="str">
        <f>IF(Data_PLT[[#This Row],[Test type]]="Diametral",Data_PLT[[#This Row],[Diameter (mm)]],IF(Data_PLT[[#This Row],[Test type]]="Axial",SQRT(4*Data_PLT[[#This Row],[Diameter (mm)]]*Data_PLT[[#This Row],[Length or width (mm)]]/PI()),"ERROR"))</f>
        <v>ERROR</v>
      </c>
      <c r="T287" s="13" t="e">
        <f>(Data_PLT[[#This Row],[Load (kN)]]*1000)/Data_PLT[[#This Row],[Equiv. Diam. (mm)]]^2</f>
        <v>#VALUE!</v>
      </c>
      <c r="U287" s="13" t="e">
        <f>(Data_PLT[[#This Row],[Equiv. Diam. (mm)]]/50)^0.45</f>
        <v>#VALUE!</v>
      </c>
      <c r="V287" s="13" t="e">
        <f>Data_PLT[[#This Row],[Is (MPa)]]*Data_PLT[[#This Row],[F]]</f>
        <v>#VALUE!</v>
      </c>
      <c r="W287" s="13" t="str">
        <f>Data_PLT[[#This Row],[Failure Validity]]&amp;"-"&amp;Data_PLT[[#This Row],[Test type]]</f>
        <v>-</v>
      </c>
      <c r="X287" s="13" t="e">
        <f>Data_PLT[[#This Row],[Is50 (MPa)]]*VLOOKUP("Min",Table_PLT_Conversion[],2,FALSE)</f>
        <v>#VALUE!</v>
      </c>
      <c r="Y287" s="13" t="e">
        <f>Data_PLT[[#This Row],[Is50 (MPa)]]*VLOOKUP("Avg",Table_PLT_Conversion[],2,FALSE)</f>
        <v>#VALUE!</v>
      </c>
      <c r="Z287" s="13" t="e">
        <f>Data_PLT[[#This Row],[Is50 (MPa)]]*VLOOKUP("Max",Table_PLT_Conversion[],2,FALSE)</f>
        <v>#VALUE!</v>
      </c>
      <c r="AA287" s="62" t="e">
        <f>MATCH(LOOKUP(Data_PLT[[#This Row],[UCS min (MPa)]],Table_FieldStrength[Min UCS]),Table_FieldStrength[Min UCS],0)-1</f>
        <v>#VALUE!</v>
      </c>
      <c r="AB287" s="62" t="e">
        <f>MATCH(LOOKUP(Data_PLT[[#This Row],[UCS avg (MPa)]],Table_FieldStrength[Min UCS]),Table_FieldStrength[Min UCS],0)-1</f>
        <v>#VALUE!</v>
      </c>
      <c r="AC287" s="62" t="e">
        <f>MATCH(LOOKUP(Data_PLT[[#This Row],[UCS max (MPa)]],Table_FieldStrength[Min UCS]),Table_FieldStrength[Min UCS],0)-1</f>
        <v>#VALUE!</v>
      </c>
      <c r="AD287" s="68" t="e">
        <f>Data_PLT[[#This Row],[Test code]]&amp;"-"&amp;Data_PLT[[#This Row],[UCS min code]]</f>
        <v>#VALUE!</v>
      </c>
      <c r="AE287" s="68" t="e">
        <f>Data_PLT[[#This Row],[Test code]]&amp;"-"&amp;Data_PLT[[#This Row],[UCS avg code]]</f>
        <v>#VALUE!</v>
      </c>
      <c r="AF287" s="67" t="e">
        <f>Data_PLT[[#This Row],[Test code]]&amp;"-"&amp;Data_PLT[[#This Row],[UCS max code]]</f>
        <v>#VALUE!</v>
      </c>
      <c r="AG287" s="67" t="e">
        <f>Data_PLT[[#This Row],[Failure type]]&amp;"-"&amp;Data_PLT[[#This Row],[Test type]]&amp;"-"&amp;(IF(Data_PLT[[#This Row],[Is50 (MPa)]]&lt;1,1,IF(Data_PLT[[#This Row],[Is50 (MPa)]]&lt;2,2,IF(Data_PLT[[#This Row],[Is50 (MPa)]]&lt;4,3,IF(Data_PLT[[#This Row],[Is50 (MPa)]]&lt;8,4,5)))))</f>
        <v>#VALUE!</v>
      </c>
    </row>
    <row r="288" spans="1:33" x14ac:dyDescent="0.25">
      <c r="A288" s="14"/>
      <c r="B288" s="88" t="e">
        <f>VLOOKUP(Data_PLT[[#This Row],[Hole ID]],Data_Log[],2,FALSE)</f>
        <v>#N/A</v>
      </c>
      <c r="C288" s="63" t="str">
        <f>IF(Data_PLT[[#This Row],[Hole ID]]="","",
IF(COUNTIF($A$4:A288,Data_PLT[[#This Row],[Hole ID]])=1,1,
IF(A288=A287,C287+1,
COUNTIF($A$4:A288,Data_PLT[[#This Row],[Hole ID]]))))</f>
        <v/>
      </c>
      <c r="D288" s="63" t="str">
        <f>IF(Data_PLT[[#This Row],[Hole ID]]="","",Data_PLT[[#This Row],[Hole ID]]&amp;"_"&amp;Data_PLT[[#This Row],[Sample ID]])</f>
        <v/>
      </c>
      <c r="E288" s="6"/>
      <c r="F288" s="6"/>
      <c r="G288" s="63" t="e" cm="1">
        <f t="array" ref="G288">_xlfn.XLOOKUP(1,(A288=Geotech!$A$4:$A$11100)*(Data_PLT[[#This Row],[Depth (m)]]&gt;=Geotech!$C$4:$C$11100)*(Data_PLT[[#This Row],[Depth (m)]]&lt;Geotech!$D$4:$D$11100),Geotech!$M$4:$M$11100)</f>
        <v>#N/A</v>
      </c>
      <c r="H288" s="6"/>
      <c r="I288" s="63" t="e">
        <f>VLOOKUP(Data_PLT[[#This Row],[Hole ID]],Data_Log[[Hole ID]:[Core size]],20,FALSE)</f>
        <v>#N/A</v>
      </c>
      <c r="J288" s="13" t="e">
        <f>VLOOKUP(Data_PLT[[#This Row],[Core Size]],Table_CoreSize[],2,FALSE)</f>
        <v>#N/A</v>
      </c>
      <c r="K288" s="19"/>
      <c r="L288" s="19"/>
      <c r="M288" s="5"/>
      <c r="N288" s="5"/>
      <c r="O288" s="6"/>
      <c r="P288" s="13" t="str">
        <f>IF(Data_PLT[[#This Row],[Failure type]]="","",IF(OR(Data_PLT[[#This Row],[Failure type]]="Invalid",Data_PLT[[#This Row],[Failure type]]="Chipped",Data_PLT[[#This Row],[Failure type]]="Penetrate",Data_PLT[[#This Row],[Failure type]]="Did not break"),"Invalid","Valid"))</f>
        <v/>
      </c>
      <c r="Q288" s="6"/>
      <c r="R288" s="11"/>
      <c r="S288" s="13" t="str">
        <f>IF(Data_PLT[[#This Row],[Test type]]="Diametral",Data_PLT[[#This Row],[Diameter (mm)]],IF(Data_PLT[[#This Row],[Test type]]="Axial",SQRT(4*Data_PLT[[#This Row],[Diameter (mm)]]*Data_PLT[[#This Row],[Length or width (mm)]]/PI()),"ERROR"))</f>
        <v>ERROR</v>
      </c>
      <c r="T288" s="13" t="e">
        <f>(Data_PLT[[#This Row],[Load (kN)]]*1000)/Data_PLT[[#This Row],[Equiv. Diam. (mm)]]^2</f>
        <v>#VALUE!</v>
      </c>
      <c r="U288" s="13" t="e">
        <f>(Data_PLT[[#This Row],[Equiv. Diam. (mm)]]/50)^0.45</f>
        <v>#VALUE!</v>
      </c>
      <c r="V288" s="13" t="e">
        <f>Data_PLT[[#This Row],[Is (MPa)]]*Data_PLT[[#This Row],[F]]</f>
        <v>#VALUE!</v>
      </c>
      <c r="W288" s="13" t="str">
        <f>Data_PLT[[#This Row],[Failure Validity]]&amp;"-"&amp;Data_PLT[[#This Row],[Test type]]</f>
        <v>-</v>
      </c>
      <c r="X288" s="13" t="e">
        <f>Data_PLT[[#This Row],[Is50 (MPa)]]*VLOOKUP("Min",Table_PLT_Conversion[],2,FALSE)</f>
        <v>#VALUE!</v>
      </c>
      <c r="Y288" s="13" t="e">
        <f>Data_PLT[[#This Row],[Is50 (MPa)]]*VLOOKUP("Avg",Table_PLT_Conversion[],2,FALSE)</f>
        <v>#VALUE!</v>
      </c>
      <c r="Z288" s="13" t="e">
        <f>Data_PLT[[#This Row],[Is50 (MPa)]]*VLOOKUP("Max",Table_PLT_Conversion[],2,FALSE)</f>
        <v>#VALUE!</v>
      </c>
      <c r="AA288" s="62" t="e">
        <f>MATCH(LOOKUP(Data_PLT[[#This Row],[UCS min (MPa)]],Table_FieldStrength[Min UCS]),Table_FieldStrength[Min UCS],0)-1</f>
        <v>#VALUE!</v>
      </c>
      <c r="AB288" s="62" t="e">
        <f>MATCH(LOOKUP(Data_PLT[[#This Row],[UCS avg (MPa)]],Table_FieldStrength[Min UCS]),Table_FieldStrength[Min UCS],0)-1</f>
        <v>#VALUE!</v>
      </c>
      <c r="AC288" s="62" t="e">
        <f>MATCH(LOOKUP(Data_PLT[[#This Row],[UCS max (MPa)]],Table_FieldStrength[Min UCS]),Table_FieldStrength[Min UCS],0)-1</f>
        <v>#VALUE!</v>
      </c>
      <c r="AD288" s="68" t="e">
        <f>Data_PLT[[#This Row],[Test code]]&amp;"-"&amp;Data_PLT[[#This Row],[UCS min code]]</f>
        <v>#VALUE!</v>
      </c>
      <c r="AE288" s="68" t="e">
        <f>Data_PLT[[#This Row],[Test code]]&amp;"-"&amp;Data_PLT[[#This Row],[UCS avg code]]</f>
        <v>#VALUE!</v>
      </c>
      <c r="AF288" s="67" t="e">
        <f>Data_PLT[[#This Row],[Test code]]&amp;"-"&amp;Data_PLT[[#This Row],[UCS max code]]</f>
        <v>#VALUE!</v>
      </c>
      <c r="AG288" s="67" t="e">
        <f>Data_PLT[[#This Row],[Failure type]]&amp;"-"&amp;Data_PLT[[#This Row],[Test type]]&amp;"-"&amp;(IF(Data_PLT[[#This Row],[Is50 (MPa)]]&lt;1,1,IF(Data_PLT[[#This Row],[Is50 (MPa)]]&lt;2,2,IF(Data_PLT[[#This Row],[Is50 (MPa)]]&lt;4,3,IF(Data_PLT[[#This Row],[Is50 (MPa)]]&lt;8,4,5)))))</f>
        <v>#VALUE!</v>
      </c>
    </row>
    <row r="289" spans="1:33" x14ac:dyDescent="0.25">
      <c r="A289" s="14"/>
      <c r="B289" s="88" t="e">
        <f>VLOOKUP(Data_PLT[[#This Row],[Hole ID]],Data_Log[],2,FALSE)</f>
        <v>#N/A</v>
      </c>
      <c r="C289" s="63" t="str">
        <f>IF(Data_PLT[[#This Row],[Hole ID]]="","",
IF(COUNTIF($A$4:A289,Data_PLT[[#This Row],[Hole ID]])=1,1,
IF(A289=A288,C288+1,
COUNTIF($A$4:A289,Data_PLT[[#This Row],[Hole ID]]))))</f>
        <v/>
      </c>
      <c r="D289" s="63" t="str">
        <f>IF(Data_PLT[[#This Row],[Hole ID]]="","",Data_PLT[[#This Row],[Hole ID]]&amp;"_"&amp;Data_PLT[[#This Row],[Sample ID]])</f>
        <v/>
      </c>
      <c r="E289" s="6"/>
      <c r="F289" s="6"/>
      <c r="G289" s="63" t="e" cm="1">
        <f t="array" ref="G289">_xlfn.XLOOKUP(1,(A289=Geotech!$A$4:$A$11100)*(Data_PLT[[#This Row],[Depth (m)]]&gt;=Geotech!$C$4:$C$11100)*(Data_PLT[[#This Row],[Depth (m)]]&lt;Geotech!$D$4:$D$11100),Geotech!$M$4:$M$11100)</f>
        <v>#N/A</v>
      </c>
      <c r="H289" s="6"/>
      <c r="I289" s="63" t="e">
        <f>VLOOKUP(Data_PLT[[#This Row],[Hole ID]],Data_Log[[Hole ID]:[Core size]],20,FALSE)</f>
        <v>#N/A</v>
      </c>
      <c r="J289" s="13" t="e">
        <f>VLOOKUP(Data_PLT[[#This Row],[Core Size]],Table_CoreSize[],2,FALSE)</f>
        <v>#N/A</v>
      </c>
      <c r="K289" s="19"/>
      <c r="L289" s="19"/>
      <c r="M289" s="5"/>
      <c r="N289" s="5"/>
      <c r="O289" s="6"/>
      <c r="P289" s="13" t="str">
        <f>IF(Data_PLT[[#This Row],[Failure type]]="","",IF(OR(Data_PLT[[#This Row],[Failure type]]="Invalid",Data_PLT[[#This Row],[Failure type]]="Chipped",Data_PLT[[#This Row],[Failure type]]="Penetrate",Data_PLT[[#This Row],[Failure type]]="Did not break"),"Invalid","Valid"))</f>
        <v/>
      </c>
      <c r="Q289" s="6"/>
      <c r="R289" s="11"/>
      <c r="S289" s="13" t="str">
        <f>IF(Data_PLT[[#This Row],[Test type]]="Diametral",Data_PLT[[#This Row],[Diameter (mm)]],IF(Data_PLT[[#This Row],[Test type]]="Axial",SQRT(4*Data_PLT[[#This Row],[Diameter (mm)]]*Data_PLT[[#This Row],[Length or width (mm)]]/PI()),"ERROR"))</f>
        <v>ERROR</v>
      </c>
      <c r="T289" s="13" t="e">
        <f>(Data_PLT[[#This Row],[Load (kN)]]*1000)/Data_PLT[[#This Row],[Equiv. Diam. (mm)]]^2</f>
        <v>#VALUE!</v>
      </c>
      <c r="U289" s="13" t="e">
        <f>(Data_PLT[[#This Row],[Equiv. Diam. (mm)]]/50)^0.45</f>
        <v>#VALUE!</v>
      </c>
      <c r="V289" s="13" t="e">
        <f>Data_PLT[[#This Row],[Is (MPa)]]*Data_PLT[[#This Row],[F]]</f>
        <v>#VALUE!</v>
      </c>
      <c r="W289" s="13" t="str">
        <f>Data_PLT[[#This Row],[Failure Validity]]&amp;"-"&amp;Data_PLT[[#This Row],[Test type]]</f>
        <v>-</v>
      </c>
      <c r="X289" s="13" t="e">
        <f>Data_PLT[[#This Row],[Is50 (MPa)]]*VLOOKUP("Min",Table_PLT_Conversion[],2,FALSE)</f>
        <v>#VALUE!</v>
      </c>
      <c r="Y289" s="13" t="e">
        <f>Data_PLT[[#This Row],[Is50 (MPa)]]*VLOOKUP("Avg",Table_PLT_Conversion[],2,FALSE)</f>
        <v>#VALUE!</v>
      </c>
      <c r="Z289" s="13" t="e">
        <f>Data_PLT[[#This Row],[Is50 (MPa)]]*VLOOKUP("Max",Table_PLT_Conversion[],2,FALSE)</f>
        <v>#VALUE!</v>
      </c>
      <c r="AA289" s="62" t="e">
        <f>MATCH(LOOKUP(Data_PLT[[#This Row],[UCS min (MPa)]],Table_FieldStrength[Min UCS]),Table_FieldStrength[Min UCS],0)-1</f>
        <v>#VALUE!</v>
      </c>
      <c r="AB289" s="62" t="e">
        <f>MATCH(LOOKUP(Data_PLT[[#This Row],[UCS avg (MPa)]],Table_FieldStrength[Min UCS]),Table_FieldStrength[Min UCS],0)-1</f>
        <v>#VALUE!</v>
      </c>
      <c r="AC289" s="62" t="e">
        <f>MATCH(LOOKUP(Data_PLT[[#This Row],[UCS max (MPa)]],Table_FieldStrength[Min UCS]),Table_FieldStrength[Min UCS],0)-1</f>
        <v>#VALUE!</v>
      </c>
      <c r="AD289" s="68" t="e">
        <f>Data_PLT[[#This Row],[Test code]]&amp;"-"&amp;Data_PLT[[#This Row],[UCS min code]]</f>
        <v>#VALUE!</v>
      </c>
      <c r="AE289" s="68" t="e">
        <f>Data_PLT[[#This Row],[Test code]]&amp;"-"&amp;Data_PLT[[#This Row],[UCS avg code]]</f>
        <v>#VALUE!</v>
      </c>
      <c r="AF289" s="67" t="e">
        <f>Data_PLT[[#This Row],[Test code]]&amp;"-"&amp;Data_PLT[[#This Row],[UCS max code]]</f>
        <v>#VALUE!</v>
      </c>
      <c r="AG289" s="67" t="e">
        <f>Data_PLT[[#This Row],[Failure type]]&amp;"-"&amp;Data_PLT[[#This Row],[Test type]]&amp;"-"&amp;(IF(Data_PLT[[#This Row],[Is50 (MPa)]]&lt;1,1,IF(Data_PLT[[#This Row],[Is50 (MPa)]]&lt;2,2,IF(Data_PLT[[#This Row],[Is50 (MPa)]]&lt;4,3,IF(Data_PLT[[#This Row],[Is50 (MPa)]]&lt;8,4,5)))))</f>
        <v>#VALUE!</v>
      </c>
    </row>
    <row r="290" spans="1:33" x14ac:dyDescent="0.25">
      <c r="A290" s="14"/>
      <c r="B290" s="88" t="e">
        <f>VLOOKUP(Data_PLT[[#This Row],[Hole ID]],Data_Log[],2,FALSE)</f>
        <v>#N/A</v>
      </c>
      <c r="C290" s="63" t="str">
        <f>IF(Data_PLT[[#This Row],[Hole ID]]="","",
IF(COUNTIF($A$4:A290,Data_PLT[[#This Row],[Hole ID]])=1,1,
IF(A290=A289,C289+1,
COUNTIF($A$4:A290,Data_PLT[[#This Row],[Hole ID]]))))</f>
        <v/>
      </c>
      <c r="D290" s="63" t="str">
        <f>IF(Data_PLT[[#This Row],[Hole ID]]="","",Data_PLT[[#This Row],[Hole ID]]&amp;"_"&amp;Data_PLT[[#This Row],[Sample ID]])</f>
        <v/>
      </c>
      <c r="E290" s="6"/>
      <c r="F290" s="6"/>
      <c r="G290" s="63" t="e" cm="1">
        <f t="array" ref="G290">_xlfn.XLOOKUP(1,(A290=Geotech!$A$4:$A$11100)*(Data_PLT[[#This Row],[Depth (m)]]&gt;=Geotech!$C$4:$C$11100)*(Data_PLT[[#This Row],[Depth (m)]]&lt;Geotech!$D$4:$D$11100),Geotech!$M$4:$M$11100)</f>
        <v>#N/A</v>
      </c>
      <c r="H290" s="6"/>
      <c r="I290" s="63" t="e">
        <f>VLOOKUP(Data_PLT[[#This Row],[Hole ID]],Data_Log[[Hole ID]:[Core size]],20,FALSE)</f>
        <v>#N/A</v>
      </c>
      <c r="J290" s="13" t="e">
        <f>VLOOKUP(Data_PLT[[#This Row],[Core Size]],Table_CoreSize[],2,FALSE)</f>
        <v>#N/A</v>
      </c>
      <c r="K290" s="19"/>
      <c r="L290" s="19"/>
      <c r="M290" s="5"/>
      <c r="N290" s="5"/>
      <c r="O290" s="6"/>
      <c r="P290" s="13" t="str">
        <f>IF(Data_PLT[[#This Row],[Failure type]]="","",IF(OR(Data_PLT[[#This Row],[Failure type]]="Invalid",Data_PLT[[#This Row],[Failure type]]="Chipped",Data_PLT[[#This Row],[Failure type]]="Penetrate",Data_PLT[[#This Row],[Failure type]]="Did not break"),"Invalid","Valid"))</f>
        <v/>
      </c>
      <c r="Q290" s="6"/>
      <c r="R290" s="11"/>
      <c r="S290" s="13" t="str">
        <f>IF(Data_PLT[[#This Row],[Test type]]="Diametral",Data_PLT[[#This Row],[Diameter (mm)]],IF(Data_PLT[[#This Row],[Test type]]="Axial",SQRT(4*Data_PLT[[#This Row],[Diameter (mm)]]*Data_PLT[[#This Row],[Length or width (mm)]]/PI()),"ERROR"))</f>
        <v>ERROR</v>
      </c>
      <c r="T290" s="13" t="e">
        <f>(Data_PLT[[#This Row],[Load (kN)]]*1000)/Data_PLT[[#This Row],[Equiv. Diam. (mm)]]^2</f>
        <v>#VALUE!</v>
      </c>
      <c r="U290" s="13" t="e">
        <f>(Data_PLT[[#This Row],[Equiv. Diam. (mm)]]/50)^0.45</f>
        <v>#VALUE!</v>
      </c>
      <c r="V290" s="13" t="e">
        <f>Data_PLT[[#This Row],[Is (MPa)]]*Data_PLT[[#This Row],[F]]</f>
        <v>#VALUE!</v>
      </c>
      <c r="W290" s="13" t="str">
        <f>Data_PLT[[#This Row],[Failure Validity]]&amp;"-"&amp;Data_PLT[[#This Row],[Test type]]</f>
        <v>-</v>
      </c>
      <c r="X290" s="13" t="e">
        <f>Data_PLT[[#This Row],[Is50 (MPa)]]*VLOOKUP("Min",Table_PLT_Conversion[],2,FALSE)</f>
        <v>#VALUE!</v>
      </c>
      <c r="Y290" s="13" t="e">
        <f>Data_PLT[[#This Row],[Is50 (MPa)]]*VLOOKUP("Avg",Table_PLT_Conversion[],2,FALSE)</f>
        <v>#VALUE!</v>
      </c>
      <c r="Z290" s="13" t="e">
        <f>Data_PLT[[#This Row],[Is50 (MPa)]]*VLOOKUP("Max",Table_PLT_Conversion[],2,FALSE)</f>
        <v>#VALUE!</v>
      </c>
      <c r="AA290" s="62" t="e">
        <f>MATCH(LOOKUP(Data_PLT[[#This Row],[UCS min (MPa)]],Table_FieldStrength[Min UCS]),Table_FieldStrength[Min UCS],0)-1</f>
        <v>#VALUE!</v>
      </c>
      <c r="AB290" s="62" t="e">
        <f>MATCH(LOOKUP(Data_PLT[[#This Row],[UCS avg (MPa)]],Table_FieldStrength[Min UCS]),Table_FieldStrength[Min UCS],0)-1</f>
        <v>#VALUE!</v>
      </c>
      <c r="AC290" s="62" t="e">
        <f>MATCH(LOOKUP(Data_PLT[[#This Row],[UCS max (MPa)]],Table_FieldStrength[Min UCS]),Table_FieldStrength[Min UCS],0)-1</f>
        <v>#VALUE!</v>
      </c>
      <c r="AD290" s="68" t="e">
        <f>Data_PLT[[#This Row],[Test code]]&amp;"-"&amp;Data_PLT[[#This Row],[UCS min code]]</f>
        <v>#VALUE!</v>
      </c>
      <c r="AE290" s="68" t="e">
        <f>Data_PLT[[#This Row],[Test code]]&amp;"-"&amp;Data_PLT[[#This Row],[UCS avg code]]</f>
        <v>#VALUE!</v>
      </c>
      <c r="AF290" s="67" t="e">
        <f>Data_PLT[[#This Row],[Test code]]&amp;"-"&amp;Data_PLT[[#This Row],[UCS max code]]</f>
        <v>#VALUE!</v>
      </c>
      <c r="AG290" s="67" t="e">
        <f>Data_PLT[[#This Row],[Failure type]]&amp;"-"&amp;Data_PLT[[#This Row],[Test type]]&amp;"-"&amp;(IF(Data_PLT[[#This Row],[Is50 (MPa)]]&lt;1,1,IF(Data_PLT[[#This Row],[Is50 (MPa)]]&lt;2,2,IF(Data_PLT[[#This Row],[Is50 (MPa)]]&lt;4,3,IF(Data_PLT[[#This Row],[Is50 (MPa)]]&lt;8,4,5)))))</f>
        <v>#VALUE!</v>
      </c>
    </row>
    <row r="291" spans="1:33" x14ac:dyDescent="0.25">
      <c r="A291" s="14"/>
      <c r="B291" s="88" t="e">
        <f>VLOOKUP(Data_PLT[[#This Row],[Hole ID]],Data_Log[],2,FALSE)</f>
        <v>#N/A</v>
      </c>
      <c r="C291" s="63" t="str">
        <f>IF(Data_PLT[[#This Row],[Hole ID]]="","",
IF(COUNTIF($A$4:A291,Data_PLT[[#This Row],[Hole ID]])=1,1,
IF(A291=A290,C290+1,
COUNTIF($A$4:A291,Data_PLT[[#This Row],[Hole ID]]))))</f>
        <v/>
      </c>
      <c r="D291" s="63" t="str">
        <f>IF(Data_PLT[[#This Row],[Hole ID]]="","",Data_PLT[[#This Row],[Hole ID]]&amp;"_"&amp;Data_PLT[[#This Row],[Sample ID]])</f>
        <v/>
      </c>
      <c r="E291" s="6"/>
      <c r="F291" s="6"/>
      <c r="G291" s="63" t="e" cm="1">
        <f t="array" ref="G291">_xlfn.XLOOKUP(1,(A291=Geotech!$A$4:$A$11100)*(Data_PLT[[#This Row],[Depth (m)]]&gt;=Geotech!$C$4:$C$11100)*(Data_PLT[[#This Row],[Depth (m)]]&lt;Geotech!$D$4:$D$11100),Geotech!$M$4:$M$11100)</f>
        <v>#N/A</v>
      </c>
      <c r="H291" s="6"/>
      <c r="I291" s="63" t="e">
        <f>VLOOKUP(Data_PLT[[#This Row],[Hole ID]],Data_Log[[Hole ID]:[Core size]],20,FALSE)</f>
        <v>#N/A</v>
      </c>
      <c r="J291" s="13" t="e">
        <f>VLOOKUP(Data_PLT[[#This Row],[Core Size]],Table_CoreSize[],2,FALSE)</f>
        <v>#N/A</v>
      </c>
      <c r="K291" s="19"/>
      <c r="L291" s="19"/>
      <c r="M291" s="5"/>
      <c r="N291" s="5"/>
      <c r="O291" s="6"/>
      <c r="P291" s="13" t="str">
        <f>IF(Data_PLT[[#This Row],[Failure type]]="","",IF(OR(Data_PLT[[#This Row],[Failure type]]="Invalid",Data_PLT[[#This Row],[Failure type]]="Chipped",Data_PLT[[#This Row],[Failure type]]="Penetrate",Data_PLT[[#This Row],[Failure type]]="Did not break"),"Invalid","Valid"))</f>
        <v/>
      </c>
      <c r="Q291" s="6"/>
      <c r="R291" s="11"/>
      <c r="S291" s="13" t="str">
        <f>IF(Data_PLT[[#This Row],[Test type]]="Diametral",Data_PLT[[#This Row],[Diameter (mm)]],IF(Data_PLT[[#This Row],[Test type]]="Axial",SQRT(4*Data_PLT[[#This Row],[Diameter (mm)]]*Data_PLT[[#This Row],[Length or width (mm)]]/PI()),"ERROR"))</f>
        <v>ERROR</v>
      </c>
      <c r="T291" s="13" t="e">
        <f>(Data_PLT[[#This Row],[Load (kN)]]*1000)/Data_PLT[[#This Row],[Equiv. Diam. (mm)]]^2</f>
        <v>#VALUE!</v>
      </c>
      <c r="U291" s="13" t="e">
        <f>(Data_PLT[[#This Row],[Equiv. Diam. (mm)]]/50)^0.45</f>
        <v>#VALUE!</v>
      </c>
      <c r="V291" s="13" t="e">
        <f>Data_PLT[[#This Row],[Is (MPa)]]*Data_PLT[[#This Row],[F]]</f>
        <v>#VALUE!</v>
      </c>
      <c r="W291" s="13" t="str">
        <f>Data_PLT[[#This Row],[Failure Validity]]&amp;"-"&amp;Data_PLT[[#This Row],[Test type]]</f>
        <v>-</v>
      </c>
      <c r="X291" s="13" t="e">
        <f>Data_PLT[[#This Row],[Is50 (MPa)]]*VLOOKUP("Min",Table_PLT_Conversion[],2,FALSE)</f>
        <v>#VALUE!</v>
      </c>
      <c r="Y291" s="13" t="e">
        <f>Data_PLT[[#This Row],[Is50 (MPa)]]*VLOOKUP("Avg",Table_PLT_Conversion[],2,FALSE)</f>
        <v>#VALUE!</v>
      </c>
      <c r="Z291" s="13" t="e">
        <f>Data_PLT[[#This Row],[Is50 (MPa)]]*VLOOKUP("Max",Table_PLT_Conversion[],2,FALSE)</f>
        <v>#VALUE!</v>
      </c>
      <c r="AA291" s="62" t="e">
        <f>MATCH(LOOKUP(Data_PLT[[#This Row],[UCS min (MPa)]],Table_FieldStrength[Min UCS]),Table_FieldStrength[Min UCS],0)-1</f>
        <v>#VALUE!</v>
      </c>
      <c r="AB291" s="62" t="e">
        <f>MATCH(LOOKUP(Data_PLT[[#This Row],[UCS avg (MPa)]],Table_FieldStrength[Min UCS]),Table_FieldStrength[Min UCS],0)-1</f>
        <v>#VALUE!</v>
      </c>
      <c r="AC291" s="62" t="e">
        <f>MATCH(LOOKUP(Data_PLT[[#This Row],[UCS max (MPa)]],Table_FieldStrength[Min UCS]),Table_FieldStrength[Min UCS],0)-1</f>
        <v>#VALUE!</v>
      </c>
      <c r="AD291" s="68" t="e">
        <f>Data_PLT[[#This Row],[Test code]]&amp;"-"&amp;Data_PLT[[#This Row],[UCS min code]]</f>
        <v>#VALUE!</v>
      </c>
      <c r="AE291" s="68" t="e">
        <f>Data_PLT[[#This Row],[Test code]]&amp;"-"&amp;Data_PLT[[#This Row],[UCS avg code]]</f>
        <v>#VALUE!</v>
      </c>
      <c r="AF291" s="67" t="e">
        <f>Data_PLT[[#This Row],[Test code]]&amp;"-"&amp;Data_PLT[[#This Row],[UCS max code]]</f>
        <v>#VALUE!</v>
      </c>
      <c r="AG291" s="67" t="e">
        <f>Data_PLT[[#This Row],[Failure type]]&amp;"-"&amp;Data_PLT[[#This Row],[Test type]]&amp;"-"&amp;(IF(Data_PLT[[#This Row],[Is50 (MPa)]]&lt;1,1,IF(Data_PLT[[#This Row],[Is50 (MPa)]]&lt;2,2,IF(Data_PLT[[#This Row],[Is50 (MPa)]]&lt;4,3,IF(Data_PLT[[#This Row],[Is50 (MPa)]]&lt;8,4,5)))))</f>
        <v>#VALUE!</v>
      </c>
    </row>
    <row r="292" spans="1:33" x14ac:dyDescent="0.25">
      <c r="A292" s="14"/>
      <c r="B292" s="88" t="e">
        <f>VLOOKUP(Data_PLT[[#This Row],[Hole ID]],Data_Log[],2,FALSE)</f>
        <v>#N/A</v>
      </c>
      <c r="C292" s="63" t="str">
        <f>IF(Data_PLT[[#This Row],[Hole ID]]="","",
IF(COUNTIF($A$4:A292,Data_PLT[[#This Row],[Hole ID]])=1,1,
IF(A292=A291,C291+1,
COUNTIF($A$4:A292,Data_PLT[[#This Row],[Hole ID]]))))</f>
        <v/>
      </c>
      <c r="D292" s="63" t="str">
        <f>IF(Data_PLT[[#This Row],[Hole ID]]="","",Data_PLT[[#This Row],[Hole ID]]&amp;"_"&amp;Data_PLT[[#This Row],[Sample ID]])</f>
        <v/>
      </c>
      <c r="E292" s="6"/>
      <c r="F292" s="6"/>
      <c r="G292" s="63" t="e" cm="1">
        <f t="array" ref="G292">_xlfn.XLOOKUP(1,(A292=Geotech!$A$4:$A$11100)*(Data_PLT[[#This Row],[Depth (m)]]&gt;=Geotech!$C$4:$C$11100)*(Data_PLT[[#This Row],[Depth (m)]]&lt;Geotech!$D$4:$D$11100),Geotech!$M$4:$M$11100)</f>
        <v>#N/A</v>
      </c>
      <c r="H292" s="6"/>
      <c r="I292" s="63" t="e">
        <f>VLOOKUP(Data_PLT[[#This Row],[Hole ID]],Data_Log[[Hole ID]:[Core size]],20,FALSE)</f>
        <v>#N/A</v>
      </c>
      <c r="J292" s="13" t="e">
        <f>VLOOKUP(Data_PLT[[#This Row],[Core Size]],Table_CoreSize[],2,FALSE)</f>
        <v>#N/A</v>
      </c>
      <c r="K292" s="19"/>
      <c r="L292" s="19"/>
      <c r="M292" s="5"/>
      <c r="N292" s="5"/>
      <c r="O292" s="6"/>
      <c r="P292" s="13" t="str">
        <f>IF(Data_PLT[[#This Row],[Failure type]]="","",IF(OR(Data_PLT[[#This Row],[Failure type]]="Invalid",Data_PLT[[#This Row],[Failure type]]="Chipped",Data_PLT[[#This Row],[Failure type]]="Penetrate",Data_PLT[[#This Row],[Failure type]]="Did not break"),"Invalid","Valid"))</f>
        <v/>
      </c>
      <c r="Q292" s="6"/>
      <c r="R292" s="11"/>
      <c r="S292" s="13" t="str">
        <f>IF(Data_PLT[[#This Row],[Test type]]="Diametral",Data_PLT[[#This Row],[Diameter (mm)]],IF(Data_PLT[[#This Row],[Test type]]="Axial",SQRT(4*Data_PLT[[#This Row],[Diameter (mm)]]*Data_PLT[[#This Row],[Length or width (mm)]]/PI()),"ERROR"))</f>
        <v>ERROR</v>
      </c>
      <c r="T292" s="13" t="e">
        <f>(Data_PLT[[#This Row],[Load (kN)]]*1000)/Data_PLT[[#This Row],[Equiv. Diam. (mm)]]^2</f>
        <v>#VALUE!</v>
      </c>
      <c r="U292" s="13" t="e">
        <f>(Data_PLT[[#This Row],[Equiv. Diam. (mm)]]/50)^0.45</f>
        <v>#VALUE!</v>
      </c>
      <c r="V292" s="13" t="e">
        <f>Data_PLT[[#This Row],[Is (MPa)]]*Data_PLT[[#This Row],[F]]</f>
        <v>#VALUE!</v>
      </c>
      <c r="W292" s="13" t="str">
        <f>Data_PLT[[#This Row],[Failure Validity]]&amp;"-"&amp;Data_PLT[[#This Row],[Test type]]</f>
        <v>-</v>
      </c>
      <c r="X292" s="13" t="e">
        <f>Data_PLT[[#This Row],[Is50 (MPa)]]*VLOOKUP("Min",Table_PLT_Conversion[],2,FALSE)</f>
        <v>#VALUE!</v>
      </c>
      <c r="Y292" s="13" t="e">
        <f>Data_PLT[[#This Row],[Is50 (MPa)]]*VLOOKUP("Avg",Table_PLT_Conversion[],2,FALSE)</f>
        <v>#VALUE!</v>
      </c>
      <c r="Z292" s="13" t="e">
        <f>Data_PLT[[#This Row],[Is50 (MPa)]]*VLOOKUP("Max",Table_PLT_Conversion[],2,FALSE)</f>
        <v>#VALUE!</v>
      </c>
      <c r="AA292" s="62" t="e">
        <f>MATCH(LOOKUP(Data_PLT[[#This Row],[UCS min (MPa)]],Table_FieldStrength[Min UCS]),Table_FieldStrength[Min UCS],0)-1</f>
        <v>#VALUE!</v>
      </c>
      <c r="AB292" s="62" t="e">
        <f>MATCH(LOOKUP(Data_PLT[[#This Row],[UCS avg (MPa)]],Table_FieldStrength[Min UCS]),Table_FieldStrength[Min UCS],0)-1</f>
        <v>#VALUE!</v>
      </c>
      <c r="AC292" s="62" t="e">
        <f>MATCH(LOOKUP(Data_PLT[[#This Row],[UCS max (MPa)]],Table_FieldStrength[Min UCS]),Table_FieldStrength[Min UCS],0)-1</f>
        <v>#VALUE!</v>
      </c>
      <c r="AD292" s="68" t="e">
        <f>Data_PLT[[#This Row],[Test code]]&amp;"-"&amp;Data_PLT[[#This Row],[UCS min code]]</f>
        <v>#VALUE!</v>
      </c>
      <c r="AE292" s="68" t="e">
        <f>Data_PLT[[#This Row],[Test code]]&amp;"-"&amp;Data_PLT[[#This Row],[UCS avg code]]</f>
        <v>#VALUE!</v>
      </c>
      <c r="AF292" s="67" t="e">
        <f>Data_PLT[[#This Row],[Test code]]&amp;"-"&amp;Data_PLT[[#This Row],[UCS max code]]</f>
        <v>#VALUE!</v>
      </c>
      <c r="AG292" s="67" t="e">
        <f>Data_PLT[[#This Row],[Failure type]]&amp;"-"&amp;Data_PLT[[#This Row],[Test type]]&amp;"-"&amp;(IF(Data_PLT[[#This Row],[Is50 (MPa)]]&lt;1,1,IF(Data_PLT[[#This Row],[Is50 (MPa)]]&lt;2,2,IF(Data_PLT[[#This Row],[Is50 (MPa)]]&lt;4,3,IF(Data_PLT[[#This Row],[Is50 (MPa)]]&lt;8,4,5)))))</f>
        <v>#VALUE!</v>
      </c>
    </row>
    <row r="293" spans="1:33" x14ac:dyDescent="0.25">
      <c r="A293" s="14"/>
      <c r="B293" s="88" t="e">
        <f>VLOOKUP(Data_PLT[[#This Row],[Hole ID]],Data_Log[],2,FALSE)</f>
        <v>#N/A</v>
      </c>
      <c r="C293" s="63" t="str">
        <f>IF(Data_PLT[[#This Row],[Hole ID]]="","",
IF(COUNTIF($A$4:A293,Data_PLT[[#This Row],[Hole ID]])=1,1,
IF(A293=A292,C292+1,
COUNTIF($A$4:A293,Data_PLT[[#This Row],[Hole ID]]))))</f>
        <v/>
      </c>
      <c r="D293" s="63" t="str">
        <f>IF(Data_PLT[[#This Row],[Hole ID]]="","",Data_PLT[[#This Row],[Hole ID]]&amp;"_"&amp;Data_PLT[[#This Row],[Sample ID]])</f>
        <v/>
      </c>
      <c r="E293" s="6"/>
      <c r="F293" s="6"/>
      <c r="G293" s="63" t="e" cm="1">
        <f t="array" ref="G293">_xlfn.XLOOKUP(1,(A293=Geotech!$A$4:$A$11100)*(Data_PLT[[#This Row],[Depth (m)]]&gt;=Geotech!$C$4:$C$11100)*(Data_PLT[[#This Row],[Depth (m)]]&lt;Geotech!$D$4:$D$11100),Geotech!$M$4:$M$11100)</f>
        <v>#N/A</v>
      </c>
      <c r="H293" s="6"/>
      <c r="I293" s="63" t="e">
        <f>VLOOKUP(Data_PLT[[#This Row],[Hole ID]],Data_Log[[Hole ID]:[Core size]],20,FALSE)</f>
        <v>#N/A</v>
      </c>
      <c r="J293" s="13" t="e">
        <f>VLOOKUP(Data_PLT[[#This Row],[Core Size]],Table_CoreSize[],2,FALSE)</f>
        <v>#N/A</v>
      </c>
      <c r="K293" s="19"/>
      <c r="L293" s="19"/>
      <c r="M293" s="5"/>
      <c r="N293" s="5"/>
      <c r="O293" s="6"/>
      <c r="P293" s="13" t="str">
        <f>IF(Data_PLT[[#This Row],[Failure type]]="","",IF(OR(Data_PLT[[#This Row],[Failure type]]="Invalid",Data_PLT[[#This Row],[Failure type]]="Chipped",Data_PLT[[#This Row],[Failure type]]="Penetrate",Data_PLT[[#This Row],[Failure type]]="Did not break"),"Invalid","Valid"))</f>
        <v/>
      </c>
      <c r="Q293" s="6"/>
      <c r="R293" s="11"/>
      <c r="S293" s="13" t="str">
        <f>IF(Data_PLT[[#This Row],[Test type]]="Diametral",Data_PLT[[#This Row],[Diameter (mm)]],IF(Data_PLT[[#This Row],[Test type]]="Axial",SQRT(4*Data_PLT[[#This Row],[Diameter (mm)]]*Data_PLT[[#This Row],[Length or width (mm)]]/PI()),"ERROR"))</f>
        <v>ERROR</v>
      </c>
      <c r="T293" s="13" t="e">
        <f>(Data_PLT[[#This Row],[Load (kN)]]*1000)/Data_PLT[[#This Row],[Equiv. Diam. (mm)]]^2</f>
        <v>#VALUE!</v>
      </c>
      <c r="U293" s="13" t="e">
        <f>(Data_PLT[[#This Row],[Equiv. Diam. (mm)]]/50)^0.45</f>
        <v>#VALUE!</v>
      </c>
      <c r="V293" s="13" t="e">
        <f>Data_PLT[[#This Row],[Is (MPa)]]*Data_PLT[[#This Row],[F]]</f>
        <v>#VALUE!</v>
      </c>
      <c r="W293" s="13" t="str">
        <f>Data_PLT[[#This Row],[Failure Validity]]&amp;"-"&amp;Data_PLT[[#This Row],[Test type]]</f>
        <v>-</v>
      </c>
      <c r="X293" s="13" t="e">
        <f>Data_PLT[[#This Row],[Is50 (MPa)]]*VLOOKUP("Min",Table_PLT_Conversion[],2,FALSE)</f>
        <v>#VALUE!</v>
      </c>
      <c r="Y293" s="13" t="e">
        <f>Data_PLT[[#This Row],[Is50 (MPa)]]*VLOOKUP("Avg",Table_PLT_Conversion[],2,FALSE)</f>
        <v>#VALUE!</v>
      </c>
      <c r="Z293" s="13" t="e">
        <f>Data_PLT[[#This Row],[Is50 (MPa)]]*VLOOKUP("Max",Table_PLT_Conversion[],2,FALSE)</f>
        <v>#VALUE!</v>
      </c>
      <c r="AA293" s="62" t="e">
        <f>MATCH(LOOKUP(Data_PLT[[#This Row],[UCS min (MPa)]],Table_FieldStrength[Min UCS]),Table_FieldStrength[Min UCS],0)-1</f>
        <v>#VALUE!</v>
      </c>
      <c r="AB293" s="62" t="e">
        <f>MATCH(LOOKUP(Data_PLT[[#This Row],[UCS avg (MPa)]],Table_FieldStrength[Min UCS]),Table_FieldStrength[Min UCS],0)-1</f>
        <v>#VALUE!</v>
      </c>
      <c r="AC293" s="62" t="e">
        <f>MATCH(LOOKUP(Data_PLT[[#This Row],[UCS max (MPa)]],Table_FieldStrength[Min UCS]),Table_FieldStrength[Min UCS],0)-1</f>
        <v>#VALUE!</v>
      </c>
      <c r="AD293" s="68" t="e">
        <f>Data_PLT[[#This Row],[Test code]]&amp;"-"&amp;Data_PLT[[#This Row],[UCS min code]]</f>
        <v>#VALUE!</v>
      </c>
      <c r="AE293" s="68" t="e">
        <f>Data_PLT[[#This Row],[Test code]]&amp;"-"&amp;Data_PLT[[#This Row],[UCS avg code]]</f>
        <v>#VALUE!</v>
      </c>
      <c r="AF293" s="67" t="e">
        <f>Data_PLT[[#This Row],[Test code]]&amp;"-"&amp;Data_PLT[[#This Row],[UCS max code]]</f>
        <v>#VALUE!</v>
      </c>
      <c r="AG293" s="67" t="e">
        <f>Data_PLT[[#This Row],[Failure type]]&amp;"-"&amp;Data_PLT[[#This Row],[Test type]]&amp;"-"&amp;(IF(Data_PLT[[#This Row],[Is50 (MPa)]]&lt;1,1,IF(Data_PLT[[#This Row],[Is50 (MPa)]]&lt;2,2,IF(Data_PLT[[#This Row],[Is50 (MPa)]]&lt;4,3,IF(Data_PLT[[#This Row],[Is50 (MPa)]]&lt;8,4,5)))))</f>
        <v>#VALUE!</v>
      </c>
    </row>
    <row r="294" spans="1:33" x14ac:dyDescent="0.25">
      <c r="A294" s="14"/>
      <c r="B294" s="88" t="e">
        <f>VLOOKUP(Data_PLT[[#This Row],[Hole ID]],Data_Log[],2,FALSE)</f>
        <v>#N/A</v>
      </c>
      <c r="C294" s="63" t="str">
        <f>IF(Data_PLT[[#This Row],[Hole ID]]="","",
IF(COUNTIF($A$4:A294,Data_PLT[[#This Row],[Hole ID]])=1,1,
IF(A294=A293,C293+1,
COUNTIF($A$4:A294,Data_PLT[[#This Row],[Hole ID]]))))</f>
        <v/>
      </c>
      <c r="D294" s="63" t="str">
        <f>IF(Data_PLT[[#This Row],[Hole ID]]="","",Data_PLT[[#This Row],[Hole ID]]&amp;"_"&amp;Data_PLT[[#This Row],[Sample ID]])</f>
        <v/>
      </c>
      <c r="E294" s="6"/>
      <c r="F294" s="6"/>
      <c r="G294" s="63" t="e" cm="1">
        <f t="array" ref="G294">_xlfn.XLOOKUP(1,(A294=Geotech!$A$4:$A$11100)*(Data_PLT[[#This Row],[Depth (m)]]&gt;=Geotech!$C$4:$C$11100)*(Data_PLT[[#This Row],[Depth (m)]]&lt;Geotech!$D$4:$D$11100),Geotech!$M$4:$M$11100)</f>
        <v>#N/A</v>
      </c>
      <c r="H294" s="6"/>
      <c r="I294" s="63" t="e">
        <f>VLOOKUP(Data_PLT[[#This Row],[Hole ID]],Data_Log[[Hole ID]:[Core size]],20,FALSE)</f>
        <v>#N/A</v>
      </c>
      <c r="J294" s="13" t="e">
        <f>VLOOKUP(Data_PLT[[#This Row],[Core Size]],Table_CoreSize[],2,FALSE)</f>
        <v>#N/A</v>
      </c>
      <c r="K294" s="19"/>
      <c r="L294" s="19"/>
      <c r="M294" s="5"/>
      <c r="N294" s="5"/>
      <c r="O294" s="6"/>
      <c r="P294" s="13" t="str">
        <f>IF(Data_PLT[[#This Row],[Failure type]]="","",IF(OR(Data_PLT[[#This Row],[Failure type]]="Invalid",Data_PLT[[#This Row],[Failure type]]="Chipped",Data_PLT[[#This Row],[Failure type]]="Penetrate",Data_PLT[[#This Row],[Failure type]]="Did not break"),"Invalid","Valid"))</f>
        <v/>
      </c>
      <c r="Q294" s="6"/>
      <c r="R294" s="11"/>
      <c r="S294" s="13" t="str">
        <f>IF(Data_PLT[[#This Row],[Test type]]="Diametral",Data_PLT[[#This Row],[Diameter (mm)]],IF(Data_PLT[[#This Row],[Test type]]="Axial",SQRT(4*Data_PLT[[#This Row],[Diameter (mm)]]*Data_PLT[[#This Row],[Length or width (mm)]]/PI()),"ERROR"))</f>
        <v>ERROR</v>
      </c>
      <c r="T294" s="13" t="e">
        <f>(Data_PLT[[#This Row],[Load (kN)]]*1000)/Data_PLT[[#This Row],[Equiv. Diam. (mm)]]^2</f>
        <v>#VALUE!</v>
      </c>
      <c r="U294" s="13" t="e">
        <f>(Data_PLT[[#This Row],[Equiv. Diam. (mm)]]/50)^0.45</f>
        <v>#VALUE!</v>
      </c>
      <c r="V294" s="13" t="e">
        <f>Data_PLT[[#This Row],[Is (MPa)]]*Data_PLT[[#This Row],[F]]</f>
        <v>#VALUE!</v>
      </c>
      <c r="W294" s="13" t="str">
        <f>Data_PLT[[#This Row],[Failure Validity]]&amp;"-"&amp;Data_PLT[[#This Row],[Test type]]</f>
        <v>-</v>
      </c>
      <c r="X294" s="13" t="e">
        <f>Data_PLT[[#This Row],[Is50 (MPa)]]*VLOOKUP("Min",Table_PLT_Conversion[],2,FALSE)</f>
        <v>#VALUE!</v>
      </c>
      <c r="Y294" s="13" t="e">
        <f>Data_PLT[[#This Row],[Is50 (MPa)]]*VLOOKUP("Avg",Table_PLT_Conversion[],2,FALSE)</f>
        <v>#VALUE!</v>
      </c>
      <c r="Z294" s="13" t="e">
        <f>Data_PLT[[#This Row],[Is50 (MPa)]]*VLOOKUP("Max",Table_PLT_Conversion[],2,FALSE)</f>
        <v>#VALUE!</v>
      </c>
      <c r="AA294" s="62" t="e">
        <f>MATCH(LOOKUP(Data_PLT[[#This Row],[UCS min (MPa)]],Table_FieldStrength[Min UCS]),Table_FieldStrength[Min UCS],0)-1</f>
        <v>#VALUE!</v>
      </c>
      <c r="AB294" s="62" t="e">
        <f>MATCH(LOOKUP(Data_PLT[[#This Row],[UCS avg (MPa)]],Table_FieldStrength[Min UCS]),Table_FieldStrength[Min UCS],0)-1</f>
        <v>#VALUE!</v>
      </c>
      <c r="AC294" s="62" t="e">
        <f>MATCH(LOOKUP(Data_PLT[[#This Row],[UCS max (MPa)]],Table_FieldStrength[Min UCS]),Table_FieldStrength[Min UCS],0)-1</f>
        <v>#VALUE!</v>
      </c>
      <c r="AD294" s="68" t="e">
        <f>Data_PLT[[#This Row],[Test code]]&amp;"-"&amp;Data_PLT[[#This Row],[UCS min code]]</f>
        <v>#VALUE!</v>
      </c>
      <c r="AE294" s="68" t="e">
        <f>Data_PLT[[#This Row],[Test code]]&amp;"-"&amp;Data_PLT[[#This Row],[UCS avg code]]</f>
        <v>#VALUE!</v>
      </c>
      <c r="AF294" s="67" t="e">
        <f>Data_PLT[[#This Row],[Test code]]&amp;"-"&amp;Data_PLT[[#This Row],[UCS max code]]</f>
        <v>#VALUE!</v>
      </c>
      <c r="AG294" s="67" t="e">
        <f>Data_PLT[[#This Row],[Failure type]]&amp;"-"&amp;Data_PLT[[#This Row],[Test type]]&amp;"-"&amp;(IF(Data_PLT[[#This Row],[Is50 (MPa)]]&lt;1,1,IF(Data_PLT[[#This Row],[Is50 (MPa)]]&lt;2,2,IF(Data_PLT[[#This Row],[Is50 (MPa)]]&lt;4,3,IF(Data_PLT[[#This Row],[Is50 (MPa)]]&lt;8,4,5)))))</f>
        <v>#VALUE!</v>
      </c>
    </row>
    <row r="295" spans="1:33" x14ac:dyDescent="0.25">
      <c r="A295" s="14"/>
      <c r="B295" s="88" t="e">
        <f>VLOOKUP(Data_PLT[[#This Row],[Hole ID]],Data_Log[],2,FALSE)</f>
        <v>#N/A</v>
      </c>
      <c r="C295" s="63" t="str">
        <f>IF(Data_PLT[[#This Row],[Hole ID]]="","",
IF(COUNTIF($A$4:A295,Data_PLT[[#This Row],[Hole ID]])=1,1,
IF(A295=A294,C294+1,
COUNTIF($A$4:A295,Data_PLT[[#This Row],[Hole ID]]))))</f>
        <v/>
      </c>
      <c r="D295" s="63" t="str">
        <f>IF(Data_PLT[[#This Row],[Hole ID]]="","",Data_PLT[[#This Row],[Hole ID]]&amp;"_"&amp;Data_PLT[[#This Row],[Sample ID]])</f>
        <v/>
      </c>
      <c r="E295" s="6"/>
      <c r="F295" s="6"/>
      <c r="G295" s="63" t="e" cm="1">
        <f t="array" ref="G295">_xlfn.XLOOKUP(1,(A295=Geotech!$A$4:$A$11100)*(Data_PLT[[#This Row],[Depth (m)]]&gt;=Geotech!$C$4:$C$11100)*(Data_PLT[[#This Row],[Depth (m)]]&lt;Geotech!$D$4:$D$11100),Geotech!$M$4:$M$11100)</f>
        <v>#N/A</v>
      </c>
      <c r="H295" s="6"/>
      <c r="I295" s="63" t="e">
        <f>VLOOKUP(Data_PLT[[#This Row],[Hole ID]],Data_Log[[Hole ID]:[Core size]],20,FALSE)</f>
        <v>#N/A</v>
      </c>
      <c r="J295" s="13" t="e">
        <f>VLOOKUP(Data_PLT[[#This Row],[Core Size]],Table_CoreSize[],2,FALSE)</f>
        <v>#N/A</v>
      </c>
      <c r="K295" s="19"/>
      <c r="L295" s="19"/>
      <c r="M295" s="5"/>
      <c r="N295" s="5"/>
      <c r="O295" s="6"/>
      <c r="P295" s="13" t="str">
        <f>IF(Data_PLT[[#This Row],[Failure type]]="","",IF(OR(Data_PLT[[#This Row],[Failure type]]="Invalid",Data_PLT[[#This Row],[Failure type]]="Chipped",Data_PLT[[#This Row],[Failure type]]="Penetrate",Data_PLT[[#This Row],[Failure type]]="Did not break"),"Invalid","Valid"))</f>
        <v/>
      </c>
      <c r="Q295" s="6"/>
      <c r="R295" s="11"/>
      <c r="S295" s="13" t="str">
        <f>IF(Data_PLT[[#This Row],[Test type]]="Diametral",Data_PLT[[#This Row],[Diameter (mm)]],IF(Data_PLT[[#This Row],[Test type]]="Axial",SQRT(4*Data_PLT[[#This Row],[Diameter (mm)]]*Data_PLT[[#This Row],[Length or width (mm)]]/PI()),"ERROR"))</f>
        <v>ERROR</v>
      </c>
      <c r="T295" s="13" t="e">
        <f>(Data_PLT[[#This Row],[Load (kN)]]*1000)/Data_PLT[[#This Row],[Equiv. Diam. (mm)]]^2</f>
        <v>#VALUE!</v>
      </c>
      <c r="U295" s="13" t="e">
        <f>(Data_PLT[[#This Row],[Equiv. Diam. (mm)]]/50)^0.45</f>
        <v>#VALUE!</v>
      </c>
      <c r="V295" s="13" t="e">
        <f>Data_PLT[[#This Row],[Is (MPa)]]*Data_PLT[[#This Row],[F]]</f>
        <v>#VALUE!</v>
      </c>
      <c r="W295" s="13" t="str">
        <f>Data_PLT[[#This Row],[Failure Validity]]&amp;"-"&amp;Data_PLT[[#This Row],[Test type]]</f>
        <v>-</v>
      </c>
      <c r="X295" s="13" t="e">
        <f>Data_PLT[[#This Row],[Is50 (MPa)]]*VLOOKUP("Min",Table_PLT_Conversion[],2,FALSE)</f>
        <v>#VALUE!</v>
      </c>
      <c r="Y295" s="13" t="e">
        <f>Data_PLT[[#This Row],[Is50 (MPa)]]*VLOOKUP("Avg",Table_PLT_Conversion[],2,FALSE)</f>
        <v>#VALUE!</v>
      </c>
      <c r="Z295" s="13" t="e">
        <f>Data_PLT[[#This Row],[Is50 (MPa)]]*VLOOKUP("Max",Table_PLT_Conversion[],2,FALSE)</f>
        <v>#VALUE!</v>
      </c>
      <c r="AA295" s="62" t="e">
        <f>MATCH(LOOKUP(Data_PLT[[#This Row],[UCS min (MPa)]],Table_FieldStrength[Min UCS]),Table_FieldStrength[Min UCS],0)-1</f>
        <v>#VALUE!</v>
      </c>
      <c r="AB295" s="62" t="e">
        <f>MATCH(LOOKUP(Data_PLT[[#This Row],[UCS avg (MPa)]],Table_FieldStrength[Min UCS]),Table_FieldStrength[Min UCS],0)-1</f>
        <v>#VALUE!</v>
      </c>
      <c r="AC295" s="62" t="e">
        <f>MATCH(LOOKUP(Data_PLT[[#This Row],[UCS max (MPa)]],Table_FieldStrength[Min UCS]),Table_FieldStrength[Min UCS],0)-1</f>
        <v>#VALUE!</v>
      </c>
      <c r="AD295" s="68" t="e">
        <f>Data_PLT[[#This Row],[Test code]]&amp;"-"&amp;Data_PLT[[#This Row],[UCS min code]]</f>
        <v>#VALUE!</v>
      </c>
      <c r="AE295" s="68" t="e">
        <f>Data_PLT[[#This Row],[Test code]]&amp;"-"&amp;Data_PLT[[#This Row],[UCS avg code]]</f>
        <v>#VALUE!</v>
      </c>
      <c r="AF295" s="67" t="e">
        <f>Data_PLT[[#This Row],[Test code]]&amp;"-"&amp;Data_PLT[[#This Row],[UCS max code]]</f>
        <v>#VALUE!</v>
      </c>
      <c r="AG295" s="67" t="e">
        <f>Data_PLT[[#This Row],[Failure type]]&amp;"-"&amp;Data_PLT[[#This Row],[Test type]]&amp;"-"&amp;(IF(Data_PLT[[#This Row],[Is50 (MPa)]]&lt;1,1,IF(Data_PLT[[#This Row],[Is50 (MPa)]]&lt;2,2,IF(Data_PLT[[#This Row],[Is50 (MPa)]]&lt;4,3,IF(Data_PLT[[#This Row],[Is50 (MPa)]]&lt;8,4,5)))))</f>
        <v>#VALUE!</v>
      </c>
    </row>
    <row r="296" spans="1:33" x14ac:dyDescent="0.25">
      <c r="A296" s="14"/>
      <c r="B296" s="88" t="e">
        <f>VLOOKUP(Data_PLT[[#This Row],[Hole ID]],Data_Log[],2,FALSE)</f>
        <v>#N/A</v>
      </c>
      <c r="C296" s="63" t="str">
        <f>IF(Data_PLT[[#This Row],[Hole ID]]="","",
IF(COUNTIF($A$4:A296,Data_PLT[[#This Row],[Hole ID]])=1,1,
IF(A296=A295,C295+1,
COUNTIF($A$4:A296,Data_PLT[[#This Row],[Hole ID]]))))</f>
        <v/>
      </c>
      <c r="D296" s="63" t="str">
        <f>IF(Data_PLT[[#This Row],[Hole ID]]="","",Data_PLT[[#This Row],[Hole ID]]&amp;"_"&amp;Data_PLT[[#This Row],[Sample ID]])</f>
        <v/>
      </c>
      <c r="E296" s="6"/>
      <c r="F296" s="6"/>
      <c r="G296" s="63" t="e" cm="1">
        <f t="array" ref="G296">_xlfn.XLOOKUP(1,(A296=Geotech!$A$4:$A$11100)*(Data_PLT[[#This Row],[Depth (m)]]&gt;=Geotech!$C$4:$C$11100)*(Data_PLT[[#This Row],[Depth (m)]]&lt;Geotech!$D$4:$D$11100),Geotech!$M$4:$M$11100)</f>
        <v>#N/A</v>
      </c>
      <c r="H296" s="6"/>
      <c r="I296" s="63" t="e">
        <f>VLOOKUP(Data_PLT[[#This Row],[Hole ID]],Data_Log[[Hole ID]:[Core size]],20,FALSE)</f>
        <v>#N/A</v>
      </c>
      <c r="J296" s="13" t="e">
        <f>VLOOKUP(Data_PLT[[#This Row],[Core Size]],Table_CoreSize[],2,FALSE)</f>
        <v>#N/A</v>
      </c>
      <c r="K296" s="19"/>
      <c r="L296" s="19"/>
      <c r="M296" s="5"/>
      <c r="N296" s="5"/>
      <c r="O296" s="6"/>
      <c r="P296" s="13" t="str">
        <f>IF(Data_PLT[[#This Row],[Failure type]]="","",IF(OR(Data_PLT[[#This Row],[Failure type]]="Invalid",Data_PLT[[#This Row],[Failure type]]="Chipped",Data_PLT[[#This Row],[Failure type]]="Penetrate",Data_PLT[[#This Row],[Failure type]]="Did not break"),"Invalid","Valid"))</f>
        <v/>
      </c>
      <c r="Q296" s="6"/>
      <c r="R296" s="11"/>
      <c r="S296" s="13" t="str">
        <f>IF(Data_PLT[[#This Row],[Test type]]="Diametral",Data_PLT[[#This Row],[Diameter (mm)]],IF(Data_PLT[[#This Row],[Test type]]="Axial",SQRT(4*Data_PLT[[#This Row],[Diameter (mm)]]*Data_PLT[[#This Row],[Length or width (mm)]]/PI()),"ERROR"))</f>
        <v>ERROR</v>
      </c>
      <c r="T296" s="13" t="e">
        <f>(Data_PLT[[#This Row],[Load (kN)]]*1000)/Data_PLT[[#This Row],[Equiv. Diam. (mm)]]^2</f>
        <v>#VALUE!</v>
      </c>
      <c r="U296" s="13" t="e">
        <f>(Data_PLT[[#This Row],[Equiv. Diam. (mm)]]/50)^0.45</f>
        <v>#VALUE!</v>
      </c>
      <c r="V296" s="13" t="e">
        <f>Data_PLT[[#This Row],[Is (MPa)]]*Data_PLT[[#This Row],[F]]</f>
        <v>#VALUE!</v>
      </c>
      <c r="W296" s="13" t="str">
        <f>Data_PLT[[#This Row],[Failure Validity]]&amp;"-"&amp;Data_PLT[[#This Row],[Test type]]</f>
        <v>-</v>
      </c>
      <c r="X296" s="13" t="e">
        <f>Data_PLT[[#This Row],[Is50 (MPa)]]*VLOOKUP("Min",Table_PLT_Conversion[],2,FALSE)</f>
        <v>#VALUE!</v>
      </c>
      <c r="Y296" s="13" t="e">
        <f>Data_PLT[[#This Row],[Is50 (MPa)]]*VLOOKUP("Avg",Table_PLT_Conversion[],2,FALSE)</f>
        <v>#VALUE!</v>
      </c>
      <c r="Z296" s="13" t="e">
        <f>Data_PLT[[#This Row],[Is50 (MPa)]]*VLOOKUP("Max",Table_PLT_Conversion[],2,FALSE)</f>
        <v>#VALUE!</v>
      </c>
      <c r="AA296" s="62" t="e">
        <f>MATCH(LOOKUP(Data_PLT[[#This Row],[UCS min (MPa)]],Table_FieldStrength[Min UCS]),Table_FieldStrength[Min UCS],0)-1</f>
        <v>#VALUE!</v>
      </c>
      <c r="AB296" s="62" t="e">
        <f>MATCH(LOOKUP(Data_PLT[[#This Row],[UCS avg (MPa)]],Table_FieldStrength[Min UCS]),Table_FieldStrength[Min UCS],0)-1</f>
        <v>#VALUE!</v>
      </c>
      <c r="AC296" s="62" t="e">
        <f>MATCH(LOOKUP(Data_PLT[[#This Row],[UCS max (MPa)]],Table_FieldStrength[Min UCS]),Table_FieldStrength[Min UCS],0)-1</f>
        <v>#VALUE!</v>
      </c>
      <c r="AD296" s="68" t="e">
        <f>Data_PLT[[#This Row],[Test code]]&amp;"-"&amp;Data_PLT[[#This Row],[UCS min code]]</f>
        <v>#VALUE!</v>
      </c>
      <c r="AE296" s="68" t="e">
        <f>Data_PLT[[#This Row],[Test code]]&amp;"-"&amp;Data_PLT[[#This Row],[UCS avg code]]</f>
        <v>#VALUE!</v>
      </c>
      <c r="AF296" s="67" t="e">
        <f>Data_PLT[[#This Row],[Test code]]&amp;"-"&amp;Data_PLT[[#This Row],[UCS max code]]</f>
        <v>#VALUE!</v>
      </c>
      <c r="AG296" s="67" t="e">
        <f>Data_PLT[[#This Row],[Failure type]]&amp;"-"&amp;Data_PLT[[#This Row],[Test type]]&amp;"-"&amp;(IF(Data_PLT[[#This Row],[Is50 (MPa)]]&lt;1,1,IF(Data_PLT[[#This Row],[Is50 (MPa)]]&lt;2,2,IF(Data_PLT[[#This Row],[Is50 (MPa)]]&lt;4,3,IF(Data_PLT[[#This Row],[Is50 (MPa)]]&lt;8,4,5)))))</f>
        <v>#VALUE!</v>
      </c>
    </row>
    <row r="297" spans="1:33" x14ac:dyDescent="0.25">
      <c r="A297" s="14"/>
      <c r="B297" s="88" t="e">
        <f>VLOOKUP(Data_PLT[[#This Row],[Hole ID]],Data_Log[],2,FALSE)</f>
        <v>#N/A</v>
      </c>
      <c r="C297" s="63" t="str">
        <f>IF(Data_PLT[[#This Row],[Hole ID]]="","",
IF(COUNTIF($A$4:A297,Data_PLT[[#This Row],[Hole ID]])=1,1,
IF(A297=A296,C296+1,
COUNTIF($A$4:A297,Data_PLT[[#This Row],[Hole ID]]))))</f>
        <v/>
      </c>
      <c r="D297" s="63" t="str">
        <f>IF(Data_PLT[[#This Row],[Hole ID]]="","",Data_PLT[[#This Row],[Hole ID]]&amp;"_"&amp;Data_PLT[[#This Row],[Sample ID]])</f>
        <v/>
      </c>
      <c r="E297" s="6"/>
      <c r="F297" s="6"/>
      <c r="G297" s="63" t="e" cm="1">
        <f t="array" ref="G297">_xlfn.XLOOKUP(1,(A297=Geotech!$A$4:$A$11100)*(Data_PLT[[#This Row],[Depth (m)]]&gt;=Geotech!$C$4:$C$11100)*(Data_PLT[[#This Row],[Depth (m)]]&lt;Geotech!$D$4:$D$11100),Geotech!$M$4:$M$11100)</f>
        <v>#N/A</v>
      </c>
      <c r="H297" s="6"/>
      <c r="I297" s="63" t="e">
        <f>VLOOKUP(Data_PLT[[#This Row],[Hole ID]],Data_Log[[Hole ID]:[Core size]],20,FALSE)</f>
        <v>#N/A</v>
      </c>
      <c r="J297" s="13" t="e">
        <f>VLOOKUP(Data_PLT[[#This Row],[Core Size]],Table_CoreSize[],2,FALSE)</f>
        <v>#N/A</v>
      </c>
      <c r="K297" s="19"/>
      <c r="L297" s="19"/>
      <c r="M297" s="5"/>
      <c r="N297" s="5"/>
      <c r="O297" s="6"/>
      <c r="P297" s="13" t="str">
        <f>IF(Data_PLT[[#This Row],[Failure type]]="","",IF(OR(Data_PLT[[#This Row],[Failure type]]="Invalid",Data_PLT[[#This Row],[Failure type]]="Chipped",Data_PLT[[#This Row],[Failure type]]="Penetrate",Data_PLT[[#This Row],[Failure type]]="Did not break"),"Invalid","Valid"))</f>
        <v/>
      </c>
      <c r="Q297" s="6"/>
      <c r="R297" s="11"/>
      <c r="S297" s="13" t="str">
        <f>IF(Data_PLT[[#This Row],[Test type]]="Diametral",Data_PLT[[#This Row],[Diameter (mm)]],IF(Data_PLT[[#This Row],[Test type]]="Axial",SQRT(4*Data_PLT[[#This Row],[Diameter (mm)]]*Data_PLT[[#This Row],[Length or width (mm)]]/PI()),"ERROR"))</f>
        <v>ERROR</v>
      </c>
      <c r="T297" s="13" t="e">
        <f>(Data_PLT[[#This Row],[Load (kN)]]*1000)/Data_PLT[[#This Row],[Equiv. Diam. (mm)]]^2</f>
        <v>#VALUE!</v>
      </c>
      <c r="U297" s="13" t="e">
        <f>(Data_PLT[[#This Row],[Equiv. Diam. (mm)]]/50)^0.45</f>
        <v>#VALUE!</v>
      </c>
      <c r="V297" s="13" t="e">
        <f>Data_PLT[[#This Row],[Is (MPa)]]*Data_PLT[[#This Row],[F]]</f>
        <v>#VALUE!</v>
      </c>
      <c r="W297" s="13" t="str">
        <f>Data_PLT[[#This Row],[Failure Validity]]&amp;"-"&amp;Data_PLT[[#This Row],[Test type]]</f>
        <v>-</v>
      </c>
      <c r="X297" s="13" t="e">
        <f>Data_PLT[[#This Row],[Is50 (MPa)]]*VLOOKUP("Min",Table_PLT_Conversion[],2,FALSE)</f>
        <v>#VALUE!</v>
      </c>
      <c r="Y297" s="13" t="e">
        <f>Data_PLT[[#This Row],[Is50 (MPa)]]*VLOOKUP("Avg",Table_PLT_Conversion[],2,FALSE)</f>
        <v>#VALUE!</v>
      </c>
      <c r="Z297" s="13" t="e">
        <f>Data_PLT[[#This Row],[Is50 (MPa)]]*VLOOKUP("Max",Table_PLT_Conversion[],2,FALSE)</f>
        <v>#VALUE!</v>
      </c>
      <c r="AA297" s="62" t="e">
        <f>MATCH(LOOKUP(Data_PLT[[#This Row],[UCS min (MPa)]],Table_FieldStrength[Min UCS]),Table_FieldStrength[Min UCS],0)-1</f>
        <v>#VALUE!</v>
      </c>
      <c r="AB297" s="62" t="e">
        <f>MATCH(LOOKUP(Data_PLT[[#This Row],[UCS avg (MPa)]],Table_FieldStrength[Min UCS]),Table_FieldStrength[Min UCS],0)-1</f>
        <v>#VALUE!</v>
      </c>
      <c r="AC297" s="62" t="e">
        <f>MATCH(LOOKUP(Data_PLT[[#This Row],[UCS max (MPa)]],Table_FieldStrength[Min UCS]),Table_FieldStrength[Min UCS],0)-1</f>
        <v>#VALUE!</v>
      </c>
      <c r="AD297" s="68" t="e">
        <f>Data_PLT[[#This Row],[Test code]]&amp;"-"&amp;Data_PLT[[#This Row],[UCS min code]]</f>
        <v>#VALUE!</v>
      </c>
      <c r="AE297" s="68" t="e">
        <f>Data_PLT[[#This Row],[Test code]]&amp;"-"&amp;Data_PLT[[#This Row],[UCS avg code]]</f>
        <v>#VALUE!</v>
      </c>
      <c r="AF297" s="67" t="e">
        <f>Data_PLT[[#This Row],[Test code]]&amp;"-"&amp;Data_PLT[[#This Row],[UCS max code]]</f>
        <v>#VALUE!</v>
      </c>
      <c r="AG297" s="67" t="e">
        <f>Data_PLT[[#This Row],[Failure type]]&amp;"-"&amp;Data_PLT[[#This Row],[Test type]]&amp;"-"&amp;(IF(Data_PLT[[#This Row],[Is50 (MPa)]]&lt;1,1,IF(Data_PLT[[#This Row],[Is50 (MPa)]]&lt;2,2,IF(Data_PLT[[#This Row],[Is50 (MPa)]]&lt;4,3,IF(Data_PLT[[#This Row],[Is50 (MPa)]]&lt;8,4,5)))))</f>
        <v>#VALUE!</v>
      </c>
    </row>
    <row r="298" spans="1:33" x14ac:dyDescent="0.25">
      <c r="A298" s="14"/>
      <c r="B298" s="88" t="e">
        <f>VLOOKUP(Data_PLT[[#This Row],[Hole ID]],Data_Log[],2,FALSE)</f>
        <v>#N/A</v>
      </c>
      <c r="C298" s="63" t="str">
        <f>IF(Data_PLT[[#This Row],[Hole ID]]="","",
IF(COUNTIF($A$4:A298,Data_PLT[[#This Row],[Hole ID]])=1,1,
IF(A298=A297,C297+1,
COUNTIF($A$4:A298,Data_PLT[[#This Row],[Hole ID]]))))</f>
        <v/>
      </c>
      <c r="D298" s="63" t="str">
        <f>IF(Data_PLT[[#This Row],[Hole ID]]="","",Data_PLT[[#This Row],[Hole ID]]&amp;"_"&amp;Data_PLT[[#This Row],[Sample ID]])</f>
        <v/>
      </c>
      <c r="E298" s="6"/>
      <c r="F298" s="6"/>
      <c r="G298" s="63" t="e" cm="1">
        <f t="array" ref="G298">_xlfn.XLOOKUP(1,(A298=Geotech!$A$4:$A$11100)*(Data_PLT[[#This Row],[Depth (m)]]&gt;=Geotech!$C$4:$C$11100)*(Data_PLT[[#This Row],[Depth (m)]]&lt;Geotech!$D$4:$D$11100),Geotech!$M$4:$M$11100)</f>
        <v>#N/A</v>
      </c>
      <c r="H298" s="6"/>
      <c r="I298" s="63" t="e">
        <f>VLOOKUP(Data_PLT[[#This Row],[Hole ID]],Data_Log[[Hole ID]:[Core size]],20,FALSE)</f>
        <v>#N/A</v>
      </c>
      <c r="J298" s="13" t="e">
        <f>VLOOKUP(Data_PLT[[#This Row],[Core Size]],Table_CoreSize[],2,FALSE)</f>
        <v>#N/A</v>
      </c>
      <c r="K298" s="19"/>
      <c r="L298" s="19"/>
      <c r="M298" s="5"/>
      <c r="N298" s="5"/>
      <c r="O298" s="6"/>
      <c r="P298" s="13" t="str">
        <f>IF(Data_PLT[[#This Row],[Failure type]]="","",IF(OR(Data_PLT[[#This Row],[Failure type]]="Invalid",Data_PLT[[#This Row],[Failure type]]="Chipped",Data_PLT[[#This Row],[Failure type]]="Penetrate",Data_PLT[[#This Row],[Failure type]]="Did not break"),"Invalid","Valid"))</f>
        <v/>
      </c>
      <c r="Q298" s="6"/>
      <c r="R298" s="11"/>
      <c r="S298" s="13" t="str">
        <f>IF(Data_PLT[[#This Row],[Test type]]="Diametral",Data_PLT[[#This Row],[Diameter (mm)]],IF(Data_PLT[[#This Row],[Test type]]="Axial",SQRT(4*Data_PLT[[#This Row],[Diameter (mm)]]*Data_PLT[[#This Row],[Length or width (mm)]]/PI()),"ERROR"))</f>
        <v>ERROR</v>
      </c>
      <c r="T298" s="13" t="e">
        <f>(Data_PLT[[#This Row],[Load (kN)]]*1000)/Data_PLT[[#This Row],[Equiv. Diam. (mm)]]^2</f>
        <v>#VALUE!</v>
      </c>
      <c r="U298" s="13" t="e">
        <f>(Data_PLT[[#This Row],[Equiv. Diam. (mm)]]/50)^0.45</f>
        <v>#VALUE!</v>
      </c>
      <c r="V298" s="13" t="e">
        <f>Data_PLT[[#This Row],[Is (MPa)]]*Data_PLT[[#This Row],[F]]</f>
        <v>#VALUE!</v>
      </c>
      <c r="W298" s="13" t="str">
        <f>Data_PLT[[#This Row],[Failure Validity]]&amp;"-"&amp;Data_PLT[[#This Row],[Test type]]</f>
        <v>-</v>
      </c>
      <c r="X298" s="13" t="e">
        <f>Data_PLT[[#This Row],[Is50 (MPa)]]*VLOOKUP("Min",Table_PLT_Conversion[],2,FALSE)</f>
        <v>#VALUE!</v>
      </c>
      <c r="Y298" s="13" t="e">
        <f>Data_PLT[[#This Row],[Is50 (MPa)]]*VLOOKUP("Avg",Table_PLT_Conversion[],2,FALSE)</f>
        <v>#VALUE!</v>
      </c>
      <c r="Z298" s="13" t="e">
        <f>Data_PLT[[#This Row],[Is50 (MPa)]]*VLOOKUP("Max",Table_PLT_Conversion[],2,FALSE)</f>
        <v>#VALUE!</v>
      </c>
      <c r="AA298" s="62" t="e">
        <f>MATCH(LOOKUP(Data_PLT[[#This Row],[UCS min (MPa)]],Table_FieldStrength[Min UCS]),Table_FieldStrength[Min UCS],0)-1</f>
        <v>#VALUE!</v>
      </c>
      <c r="AB298" s="62" t="e">
        <f>MATCH(LOOKUP(Data_PLT[[#This Row],[UCS avg (MPa)]],Table_FieldStrength[Min UCS]),Table_FieldStrength[Min UCS],0)-1</f>
        <v>#VALUE!</v>
      </c>
      <c r="AC298" s="62" t="e">
        <f>MATCH(LOOKUP(Data_PLT[[#This Row],[UCS max (MPa)]],Table_FieldStrength[Min UCS]),Table_FieldStrength[Min UCS],0)-1</f>
        <v>#VALUE!</v>
      </c>
      <c r="AD298" s="68" t="e">
        <f>Data_PLT[[#This Row],[Test code]]&amp;"-"&amp;Data_PLT[[#This Row],[UCS min code]]</f>
        <v>#VALUE!</v>
      </c>
      <c r="AE298" s="68" t="e">
        <f>Data_PLT[[#This Row],[Test code]]&amp;"-"&amp;Data_PLT[[#This Row],[UCS avg code]]</f>
        <v>#VALUE!</v>
      </c>
      <c r="AF298" s="67" t="e">
        <f>Data_PLT[[#This Row],[Test code]]&amp;"-"&amp;Data_PLT[[#This Row],[UCS max code]]</f>
        <v>#VALUE!</v>
      </c>
      <c r="AG298" s="67" t="e">
        <f>Data_PLT[[#This Row],[Failure type]]&amp;"-"&amp;Data_PLT[[#This Row],[Test type]]&amp;"-"&amp;(IF(Data_PLT[[#This Row],[Is50 (MPa)]]&lt;1,1,IF(Data_PLT[[#This Row],[Is50 (MPa)]]&lt;2,2,IF(Data_PLT[[#This Row],[Is50 (MPa)]]&lt;4,3,IF(Data_PLT[[#This Row],[Is50 (MPa)]]&lt;8,4,5)))))</f>
        <v>#VALUE!</v>
      </c>
    </row>
    <row r="299" spans="1:33" x14ac:dyDescent="0.25">
      <c r="A299" s="14"/>
      <c r="B299" s="88" t="e">
        <f>VLOOKUP(Data_PLT[[#This Row],[Hole ID]],Data_Log[],2,FALSE)</f>
        <v>#N/A</v>
      </c>
      <c r="C299" s="63" t="str">
        <f>IF(Data_PLT[[#This Row],[Hole ID]]="","",
IF(COUNTIF($A$4:A299,Data_PLT[[#This Row],[Hole ID]])=1,1,
IF(A299=A298,C298+1,
COUNTIF($A$4:A299,Data_PLT[[#This Row],[Hole ID]]))))</f>
        <v/>
      </c>
      <c r="D299" s="63" t="str">
        <f>IF(Data_PLT[[#This Row],[Hole ID]]="","",Data_PLT[[#This Row],[Hole ID]]&amp;"_"&amp;Data_PLT[[#This Row],[Sample ID]])</f>
        <v/>
      </c>
      <c r="E299" s="6"/>
      <c r="F299" s="6"/>
      <c r="G299" s="63" t="e" cm="1">
        <f t="array" ref="G299">_xlfn.XLOOKUP(1,(A299=Geotech!$A$4:$A$11100)*(Data_PLT[[#This Row],[Depth (m)]]&gt;=Geotech!$C$4:$C$11100)*(Data_PLT[[#This Row],[Depth (m)]]&lt;Geotech!$D$4:$D$11100),Geotech!$M$4:$M$11100)</f>
        <v>#N/A</v>
      </c>
      <c r="H299" s="6"/>
      <c r="I299" s="63" t="e">
        <f>VLOOKUP(Data_PLT[[#This Row],[Hole ID]],Data_Log[[Hole ID]:[Core size]],20,FALSE)</f>
        <v>#N/A</v>
      </c>
      <c r="J299" s="13" t="e">
        <f>VLOOKUP(Data_PLT[[#This Row],[Core Size]],Table_CoreSize[],2,FALSE)</f>
        <v>#N/A</v>
      </c>
      <c r="K299" s="19"/>
      <c r="L299" s="19"/>
      <c r="M299" s="5"/>
      <c r="N299" s="5"/>
      <c r="O299" s="6"/>
      <c r="P299" s="13" t="str">
        <f>IF(Data_PLT[[#This Row],[Failure type]]="","",IF(OR(Data_PLT[[#This Row],[Failure type]]="Invalid",Data_PLT[[#This Row],[Failure type]]="Chipped",Data_PLT[[#This Row],[Failure type]]="Penetrate",Data_PLT[[#This Row],[Failure type]]="Did not break"),"Invalid","Valid"))</f>
        <v/>
      </c>
      <c r="Q299" s="6"/>
      <c r="R299" s="11"/>
      <c r="S299" s="13" t="str">
        <f>IF(Data_PLT[[#This Row],[Test type]]="Diametral",Data_PLT[[#This Row],[Diameter (mm)]],IF(Data_PLT[[#This Row],[Test type]]="Axial",SQRT(4*Data_PLT[[#This Row],[Diameter (mm)]]*Data_PLT[[#This Row],[Length or width (mm)]]/PI()),"ERROR"))</f>
        <v>ERROR</v>
      </c>
      <c r="T299" s="13" t="e">
        <f>(Data_PLT[[#This Row],[Load (kN)]]*1000)/Data_PLT[[#This Row],[Equiv. Diam. (mm)]]^2</f>
        <v>#VALUE!</v>
      </c>
      <c r="U299" s="13" t="e">
        <f>(Data_PLT[[#This Row],[Equiv. Diam. (mm)]]/50)^0.45</f>
        <v>#VALUE!</v>
      </c>
      <c r="V299" s="13" t="e">
        <f>Data_PLT[[#This Row],[Is (MPa)]]*Data_PLT[[#This Row],[F]]</f>
        <v>#VALUE!</v>
      </c>
      <c r="W299" s="13" t="str">
        <f>Data_PLT[[#This Row],[Failure Validity]]&amp;"-"&amp;Data_PLT[[#This Row],[Test type]]</f>
        <v>-</v>
      </c>
      <c r="X299" s="13" t="e">
        <f>Data_PLT[[#This Row],[Is50 (MPa)]]*VLOOKUP("Min",Table_PLT_Conversion[],2,FALSE)</f>
        <v>#VALUE!</v>
      </c>
      <c r="Y299" s="13" t="e">
        <f>Data_PLT[[#This Row],[Is50 (MPa)]]*VLOOKUP("Avg",Table_PLT_Conversion[],2,FALSE)</f>
        <v>#VALUE!</v>
      </c>
      <c r="Z299" s="13" t="e">
        <f>Data_PLT[[#This Row],[Is50 (MPa)]]*VLOOKUP("Max",Table_PLT_Conversion[],2,FALSE)</f>
        <v>#VALUE!</v>
      </c>
      <c r="AA299" s="62" t="e">
        <f>MATCH(LOOKUP(Data_PLT[[#This Row],[UCS min (MPa)]],Table_FieldStrength[Min UCS]),Table_FieldStrength[Min UCS],0)-1</f>
        <v>#VALUE!</v>
      </c>
      <c r="AB299" s="62" t="e">
        <f>MATCH(LOOKUP(Data_PLT[[#This Row],[UCS avg (MPa)]],Table_FieldStrength[Min UCS]),Table_FieldStrength[Min UCS],0)-1</f>
        <v>#VALUE!</v>
      </c>
      <c r="AC299" s="62" t="e">
        <f>MATCH(LOOKUP(Data_PLT[[#This Row],[UCS max (MPa)]],Table_FieldStrength[Min UCS]),Table_FieldStrength[Min UCS],0)-1</f>
        <v>#VALUE!</v>
      </c>
      <c r="AD299" s="68" t="e">
        <f>Data_PLT[[#This Row],[Test code]]&amp;"-"&amp;Data_PLT[[#This Row],[UCS min code]]</f>
        <v>#VALUE!</v>
      </c>
      <c r="AE299" s="68" t="e">
        <f>Data_PLT[[#This Row],[Test code]]&amp;"-"&amp;Data_PLT[[#This Row],[UCS avg code]]</f>
        <v>#VALUE!</v>
      </c>
      <c r="AF299" s="67" t="e">
        <f>Data_PLT[[#This Row],[Test code]]&amp;"-"&amp;Data_PLT[[#This Row],[UCS max code]]</f>
        <v>#VALUE!</v>
      </c>
      <c r="AG299" s="67" t="e">
        <f>Data_PLT[[#This Row],[Failure type]]&amp;"-"&amp;Data_PLT[[#This Row],[Test type]]&amp;"-"&amp;(IF(Data_PLT[[#This Row],[Is50 (MPa)]]&lt;1,1,IF(Data_PLT[[#This Row],[Is50 (MPa)]]&lt;2,2,IF(Data_PLT[[#This Row],[Is50 (MPa)]]&lt;4,3,IF(Data_PLT[[#This Row],[Is50 (MPa)]]&lt;8,4,5)))))</f>
        <v>#VALUE!</v>
      </c>
    </row>
    <row r="300" spans="1:33" x14ac:dyDescent="0.25">
      <c r="A300" s="14"/>
      <c r="B300" s="88" t="e">
        <f>VLOOKUP(Data_PLT[[#This Row],[Hole ID]],Data_Log[],2,FALSE)</f>
        <v>#N/A</v>
      </c>
      <c r="C300" s="63" t="str">
        <f>IF(Data_PLT[[#This Row],[Hole ID]]="","",
IF(COUNTIF($A$4:A300,Data_PLT[[#This Row],[Hole ID]])=1,1,
IF(A300=A299,C299+1,
COUNTIF($A$4:A300,Data_PLT[[#This Row],[Hole ID]]))))</f>
        <v/>
      </c>
      <c r="D300" s="63" t="str">
        <f>IF(Data_PLT[[#This Row],[Hole ID]]="","",Data_PLT[[#This Row],[Hole ID]]&amp;"_"&amp;Data_PLT[[#This Row],[Sample ID]])</f>
        <v/>
      </c>
      <c r="E300" s="6"/>
      <c r="F300" s="6"/>
      <c r="G300" s="63" t="e" cm="1">
        <f t="array" ref="G300">_xlfn.XLOOKUP(1,(A300=Geotech!$A$4:$A$11100)*(Data_PLT[[#This Row],[Depth (m)]]&gt;=Geotech!$C$4:$C$11100)*(Data_PLT[[#This Row],[Depth (m)]]&lt;Geotech!$D$4:$D$11100),Geotech!$M$4:$M$11100)</f>
        <v>#N/A</v>
      </c>
      <c r="H300" s="6"/>
      <c r="I300" s="63" t="e">
        <f>VLOOKUP(Data_PLT[[#This Row],[Hole ID]],Data_Log[[Hole ID]:[Core size]],20,FALSE)</f>
        <v>#N/A</v>
      </c>
      <c r="J300" s="13" t="e">
        <f>VLOOKUP(Data_PLT[[#This Row],[Core Size]],Table_CoreSize[],2,FALSE)</f>
        <v>#N/A</v>
      </c>
      <c r="K300" s="19"/>
      <c r="L300" s="19"/>
      <c r="M300" s="5"/>
      <c r="N300" s="5"/>
      <c r="O300" s="6"/>
      <c r="P300" s="13" t="str">
        <f>IF(Data_PLT[[#This Row],[Failure type]]="","",IF(OR(Data_PLT[[#This Row],[Failure type]]="Invalid",Data_PLT[[#This Row],[Failure type]]="Chipped",Data_PLT[[#This Row],[Failure type]]="Penetrate",Data_PLT[[#This Row],[Failure type]]="Did not break"),"Invalid","Valid"))</f>
        <v/>
      </c>
      <c r="Q300" s="6"/>
      <c r="R300" s="11"/>
      <c r="S300" s="13" t="str">
        <f>IF(Data_PLT[[#This Row],[Test type]]="Diametral",Data_PLT[[#This Row],[Diameter (mm)]],IF(Data_PLT[[#This Row],[Test type]]="Axial",SQRT(4*Data_PLT[[#This Row],[Diameter (mm)]]*Data_PLT[[#This Row],[Length or width (mm)]]/PI()),"ERROR"))</f>
        <v>ERROR</v>
      </c>
      <c r="T300" s="13" t="e">
        <f>(Data_PLT[[#This Row],[Load (kN)]]*1000)/Data_PLT[[#This Row],[Equiv. Diam. (mm)]]^2</f>
        <v>#VALUE!</v>
      </c>
      <c r="U300" s="13" t="e">
        <f>(Data_PLT[[#This Row],[Equiv. Diam. (mm)]]/50)^0.45</f>
        <v>#VALUE!</v>
      </c>
      <c r="V300" s="13" t="e">
        <f>Data_PLT[[#This Row],[Is (MPa)]]*Data_PLT[[#This Row],[F]]</f>
        <v>#VALUE!</v>
      </c>
      <c r="W300" s="13" t="str">
        <f>Data_PLT[[#This Row],[Failure Validity]]&amp;"-"&amp;Data_PLT[[#This Row],[Test type]]</f>
        <v>-</v>
      </c>
      <c r="X300" s="13" t="e">
        <f>Data_PLT[[#This Row],[Is50 (MPa)]]*VLOOKUP("Min",Table_PLT_Conversion[],2,FALSE)</f>
        <v>#VALUE!</v>
      </c>
      <c r="Y300" s="13" t="e">
        <f>Data_PLT[[#This Row],[Is50 (MPa)]]*VLOOKUP("Avg",Table_PLT_Conversion[],2,FALSE)</f>
        <v>#VALUE!</v>
      </c>
      <c r="Z300" s="13" t="e">
        <f>Data_PLT[[#This Row],[Is50 (MPa)]]*VLOOKUP("Max",Table_PLT_Conversion[],2,FALSE)</f>
        <v>#VALUE!</v>
      </c>
      <c r="AA300" s="62" t="e">
        <f>MATCH(LOOKUP(Data_PLT[[#This Row],[UCS min (MPa)]],Table_FieldStrength[Min UCS]),Table_FieldStrength[Min UCS],0)-1</f>
        <v>#VALUE!</v>
      </c>
      <c r="AB300" s="62" t="e">
        <f>MATCH(LOOKUP(Data_PLT[[#This Row],[UCS avg (MPa)]],Table_FieldStrength[Min UCS]),Table_FieldStrength[Min UCS],0)-1</f>
        <v>#VALUE!</v>
      </c>
      <c r="AC300" s="62" t="e">
        <f>MATCH(LOOKUP(Data_PLT[[#This Row],[UCS max (MPa)]],Table_FieldStrength[Min UCS]),Table_FieldStrength[Min UCS],0)-1</f>
        <v>#VALUE!</v>
      </c>
      <c r="AD300" s="68" t="e">
        <f>Data_PLT[[#This Row],[Test code]]&amp;"-"&amp;Data_PLT[[#This Row],[UCS min code]]</f>
        <v>#VALUE!</v>
      </c>
      <c r="AE300" s="68" t="e">
        <f>Data_PLT[[#This Row],[Test code]]&amp;"-"&amp;Data_PLT[[#This Row],[UCS avg code]]</f>
        <v>#VALUE!</v>
      </c>
      <c r="AF300" s="67" t="e">
        <f>Data_PLT[[#This Row],[Test code]]&amp;"-"&amp;Data_PLT[[#This Row],[UCS max code]]</f>
        <v>#VALUE!</v>
      </c>
      <c r="AG300" s="67" t="e">
        <f>Data_PLT[[#This Row],[Failure type]]&amp;"-"&amp;Data_PLT[[#This Row],[Test type]]&amp;"-"&amp;(IF(Data_PLT[[#This Row],[Is50 (MPa)]]&lt;1,1,IF(Data_PLT[[#This Row],[Is50 (MPa)]]&lt;2,2,IF(Data_PLT[[#This Row],[Is50 (MPa)]]&lt;4,3,IF(Data_PLT[[#This Row],[Is50 (MPa)]]&lt;8,4,5)))))</f>
        <v>#VALUE!</v>
      </c>
    </row>
    <row r="301" spans="1:33" x14ac:dyDescent="0.25">
      <c r="A301" s="14"/>
      <c r="B301" s="88" t="e">
        <f>VLOOKUP(Data_PLT[[#This Row],[Hole ID]],Data_Log[],2,FALSE)</f>
        <v>#N/A</v>
      </c>
      <c r="C301" s="63" t="str">
        <f>IF(Data_PLT[[#This Row],[Hole ID]]="","",
IF(COUNTIF($A$4:A301,Data_PLT[[#This Row],[Hole ID]])=1,1,
IF(A301=A300,C300+1,
COUNTIF($A$4:A301,Data_PLT[[#This Row],[Hole ID]]))))</f>
        <v/>
      </c>
      <c r="D301" s="63" t="str">
        <f>IF(Data_PLT[[#This Row],[Hole ID]]="","",Data_PLT[[#This Row],[Hole ID]]&amp;"_"&amp;Data_PLT[[#This Row],[Sample ID]])</f>
        <v/>
      </c>
      <c r="E301" s="6"/>
      <c r="F301" s="6"/>
      <c r="G301" s="63" t="e" cm="1">
        <f t="array" ref="G301">_xlfn.XLOOKUP(1,(A301=Geotech!$A$4:$A$11100)*(Data_PLT[[#This Row],[Depth (m)]]&gt;=Geotech!$C$4:$C$11100)*(Data_PLT[[#This Row],[Depth (m)]]&lt;Geotech!$D$4:$D$11100),Geotech!$M$4:$M$11100)</f>
        <v>#N/A</v>
      </c>
      <c r="H301" s="6"/>
      <c r="I301" s="63" t="e">
        <f>VLOOKUP(Data_PLT[[#This Row],[Hole ID]],Data_Log[[Hole ID]:[Core size]],20,FALSE)</f>
        <v>#N/A</v>
      </c>
      <c r="J301" s="13" t="e">
        <f>VLOOKUP(Data_PLT[[#This Row],[Core Size]],Table_CoreSize[],2,FALSE)</f>
        <v>#N/A</v>
      </c>
      <c r="K301" s="19"/>
      <c r="L301" s="19"/>
      <c r="M301" s="5"/>
      <c r="N301" s="5"/>
      <c r="O301" s="6"/>
      <c r="P301" s="13" t="str">
        <f>IF(Data_PLT[[#This Row],[Failure type]]="","",IF(OR(Data_PLT[[#This Row],[Failure type]]="Invalid",Data_PLT[[#This Row],[Failure type]]="Chipped",Data_PLT[[#This Row],[Failure type]]="Penetrate",Data_PLT[[#This Row],[Failure type]]="Did not break"),"Invalid","Valid"))</f>
        <v/>
      </c>
      <c r="Q301" s="6"/>
      <c r="R301" s="11"/>
      <c r="S301" s="13" t="str">
        <f>IF(Data_PLT[[#This Row],[Test type]]="Diametral",Data_PLT[[#This Row],[Diameter (mm)]],IF(Data_PLT[[#This Row],[Test type]]="Axial",SQRT(4*Data_PLT[[#This Row],[Diameter (mm)]]*Data_PLT[[#This Row],[Length or width (mm)]]/PI()),"ERROR"))</f>
        <v>ERROR</v>
      </c>
      <c r="T301" s="13" t="e">
        <f>(Data_PLT[[#This Row],[Load (kN)]]*1000)/Data_PLT[[#This Row],[Equiv. Diam. (mm)]]^2</f>
        <v>#VALUE!</v>
      </c>
      <c r="U301" s="13" t="e">
        <f>(Data_PLT[[#This Row],[Equiv. Diam. (mm)]]/50)^0.45</f>
        <v>#VALUE!</v>
      </c>
      <c r="V301" s="13" t="e">
        <f>Data_PLT[[#This Row],[Is (MPa)]]*Data_PLT[[#This Row],[F]]</f>
        <v>#VALUE!</v>
      </c>
      <c r="W301" s="13" t="str">
        <f>Data_PLT[[#This Row],[Failure Validity]]&amp;"-"&amp;Data_PLT[[#This Row],[Test type]]</f>
        <v>-</v>
      </c>
      <c r="X301" s="13" t="e">
        <f>Data_PLT[[#This Row],[Is50 (MPa)]]*VLOOKUP("Min",Table_PLT_Conversion[],2,FALSE)</f>
        <v>#VALUE!</v>
      </c>
      <c r="Y301" s="13" t="e">
        <f>Data_PLT[[#This Row],[Is50 (MPa)]]*VLOOKUP("Avg",Table_PLT_Conversion[],2,FALSE)</f>
        <v>#VALUE!</v>
      </c>
      <c r="Z301" s="13" t="e">
        <f>Data_PLT[[#This Row],[Is50 (MPa)]]*VLOOKUP("Max",Table_PLT_Conversion[],2,FALSE)</f>
        <v>#VALUE!</v>
      </c>
      <c r="AA301" s="62" t="e">
        <f>MATCH(LOOKUP(Data_PLT[[#This Row],[UCS min (MPa)]],Table_FieldStrength[Min UCS]),Table_FieldStrength[Min UCS],0)-1</f>
        <v>#VALUE!</v>
      </c>
      <c r="AB301" s="62" t="e">
        <f>MATCH(LOOKUP(Data_PLT[[#This Row],[UCS avg (MPa)]],Table_FieldStrength[Min UCS]),Table_FieldStrength[Min UCS],0)-1</f>
        <v>#VALUE!</v>
      </c>
      <c r="AC301" s="62" t="e">
        <f>MATCH(LOOKUP(Data_PLT[[#This Row],[UCS max (MPa)]],Table_FieldStrength[Min UCS]),Table_FieldStrength[Min UCS],0)-1</f>
        <v>#VALUE!</v>
      </c>
      <c r="AD301" s="68" t="e">
        <f>Data_PLT[[#This Row],[Test code]]&amp;"-"&amp;Data_PLT[[#This Row],[UCS min code]]</f>
        <v>#VALUE!</v>
      </c>
      <c r="AE301" s="68" t="e">
        <f>Data_PLT[[#This Row],[Test code]]&amp;"-"&amp;Data_PLT[[#This Row],[UCS avg code]]</f>
        <v>#VALUE!</v>
      </c>
      <c r="AF301" s="67" t="e">
        <f>Data_PLT[[#This Row],[Test code]]&amp;"-"&amp;Data_PLT[[#This Row],[UCS max code]]</f>
        <v>#VALUE!</v>
      </c>
      <c r="AG301" s="67" t="e">
        <f>Data_PLT[[#This Row],[Failure type]]&amp;"-"&amp;Data_PLT[[#This Row],[Test type]]&amp;"-"&amp;(IF(Data_PLT[[#This Row],[Is50 (MPa)]]&lt;1,1,IF(Data_PLT[[#This Row],[Is50 (MPa)]]&lt;2,2,IF(Data_PLT[[#This Row],[Is50 (MPa)]]&lt;4,3,IF(Data_PLT[[#This Row],[Is50 (MPa)]]&lt;8,4,5)))))</f>
        <v>#VALUE!</v>
      </c>
    </row>
    <row r="302" spans="1:33" x14ac:dyDescent="0.25">
      <c r="B302" s="88" t="e">
        <f>VLOOKUP(Data_PLT[[#This Row],[Hole ID]],Data_Log[],2,FALSE)</f>
        <v>#N/A</v>
      </c>
      <c r="C302" s="63" t="str">
        <f>IF(Data_PLT[[#This Row],[Hole ID]]="","",
IF(COUNTIF($A$4:A302,Data_PLT[[#This Row],[Hole ID]])=1,1,
IF(A302=A301,C301+1,
COUNTIF($A$4:A302,Data_PLT[[#This Row],[Hole ID]]))))</f>
        <v/>
      </c>
      <c r="D302" s="63" t="str">
        <f>IF(Data_PLT[[#This Row],[Hole ID]]="","",Data_PLT[[#This Row],[Hole ID]]&amp;"_"&amp;Data_PLT[[#This Row],[Sample ID]])</f>
        <v/>
      </c>
      <c r="E302" s="6"/>
      <c r="F302" s="6"/>
      <c r="G302" s="63" t="e" cm="1">
        <f t="array" ref="G302">_xlfn.XLOOKUP(1,(A302=Geotech!$A$4:$A$11100)*(Data_PLT[[#This Row],[Depth (m)]]&gt;=Geotech!$C$4:$C$11100)*(Data_PLT[[#This Row],[Depth (m)]]&lt;Geotech!$D$4:$D$11100),Geotech!$M$4:$M$11100)</f>
        <v>#N/A</v>
      </c>
      <c r="H302" s="6"/>
      <c r="I302" s="63" t="e">
        <f>VLOOKUP(Data_PLT[[#This Row],[Hole ID]],Data_Log[[Hole ID]:[Core size]],20,FALSE)</f>
        <v>#N/A</v>
      </c>
      <c r="J302" s="13" t="e">
        <f>VLOOKUP(Data_PLT[[#This Row],[Core Size]],Table_CoreSize[],2,FALSE)</f>
        <v>#N/A</v>
      </c>
      <c r="K302" s="19"/>
      <c r="L302" s="19"/>
      <c r="M302" s="5"/>
      <c r="N302" s="5"/>
      <c r="O302" s="6"/>
      <c r="P302" s="13" t="str">
        <f>IF(Data_PLT[[#This Row],[Failure type]]="","",IF(OR(Data_PLT[[#This Row],[Failure type]]="Invalid",Data_PLT[[#This Row],[Failure type]]="Chipped",Data_PLT[[#This Row],[Failure type]]="Penetrate",Data_PLT[[#This Row],[Failure type]]="Did not break"),"Invalid","Valid"))</f>
        <v/>
      </c>
      <c r="Q302" s="6"/>
      <c r="R302" s="11"/>
      <c r="S302" s="13" t="str">
        <f>IF(Data_PLT[[#This Row],[Test type]]="Diametral",Data_PLT[[#This Row],[Diameter (mm)]],IF(Data_PLT[[#This Row],[Test type]]="Axial",SQRT(4*Data_PLT[[#This Row],[Diameter (mm)]]*Data_PLT[[#This Row],[Length or width (mm)]]/PI()),"ERROR"))</f>
        <v>ERROR</v>
      </c>
      <c r="T302" s="13" t="e">
        <f>(Data_PLT[[#This Row],[Load (kN)]]*1000)/Data_PLT[[#This Row],[Equiv. Diam. (mm)]]^2</f>
        <v>#VALUE!</v>
      </c>
      <c r="U302" s="13" t="e">
        <f>(Data_PLT[[#This Row],[Equiv. Diam. (mm)]]/50)^0.45</f>
        <v>#VALUE!</v>
      </c>
      <c r="V302" s="13" t="e">
        <f>Data_PLT[[#This Row],[Is (MPa)]]*Data_PLT[[#This Row],[F]]</f>
        <v>#VALUE!</v>
      </c>
      <c r="W302" s="13" t="str">
        <f>Data_PLT[[#This Row],[Failure Validity]]&amp;"-"&amp;Data_PLT[[#This Row],[Test type]]</f>
        <v>-</v>
      </c>
      <c r="X302" s="13" t="e">
        <f>Data_PLT[[#This Row],[Is50 (MPa)]]*VLOOKUP("Min",Table_PLT_Conversion[],2,FALSE)</f>
        <v>#VALUE!</v>
      </c>
      <c r="Y302" s="13" t="e">
        <f>Data_PLT[[#This Row],[Is50 (MPa)]]*VLOOKUP("Avg",Table_PLT_Conversion[],2,FALSE)</f>
        <v>#VALUE!</v>
      </c>
      <c r="Z302" s="13" t="e">
        <f>Data_PLT[[#This Row],[Is50 (MPa)]]*VLOOKUP("Max",Table_PLT_Conversion[],2,FALSE)</f>
        <v>#VALUE!</v>
      </c>
      <c r="AA302" s="62" t="e">
        <f>MATCH(LOOKUP(Data_PLT[[#This Row],[UCS min (MPa)]],Table_FieldStrength[Min UCS]),Table_FieldStrength[Min UCS],0)-1</f>
        <v>#VALUE!</v>
      </c>
      <c r="AB302" s="62" t="e">
        <f>MATCH(LOOKUP(Data_PLT[[#This Row],[UCS avg (MPa)]],Table_FieldStrength[Min UCS]),Table_FieldStrength[Min UCS],0)-1</f>
        <v>#VALUE!</v>
      </c>
      <c r="AC302" s="62" t="e">
        <f>MATCH(LOOKUP(Data_PLT[[#This Row],[UCS max (MPa)]],Table_FieldStrength[Min UCS]),Table_FieldStrength[Min UCS],0)-1</f>
        <v>#VALUE!</v>
      </c>
      <c r="AD302" s="68" t="e">
        <f>Data_PLT[[#This Row],[Test code]]&amp;"-"&amp;Data_PLT[[#This Row],[UCS min code]]</f>
        <v>#VALUE!</v>
      </c>
      <c r="AE302" s="68" t="e">
        <f>Data_PLT[[#This Row],[Test code]]&amp;"-"&amp;Data_PLT[[#This Row],[UCS avg code]]</f>
        <v>#VALUE!</v>
      </c>
      <c r="AF302" s="67" t="e">
        <f>Data_PLT[[#This Row],[Test code]]&amp;"-"&amp;Data_PLT[[#This Row],[UCS max code]]</f>
        <v>#VALUE!</v>
      </c>
      <c r="AG302" s="67" t="e">
        <f>Data_PLT[[#This Row],[Failure type]]&amp;"-"&amp;Data_PLT[[#This Row],[Test type]]&amp;"-"&amp;(IF(Data_PLT[[#This Row],[Is50 (MPa)]]&lt;1,1,IF(Data_PLT[[#This Row],[Is50 (MPa)]]&lt;2,2,IF(Data_PLT[[#This Row],[Is50 (MPa)]]&lt;4,3,IF(Data_PLT[[#This Row],[Is50 (MPa)]]&lt;8,4,5)))))</f>
        <v>#VALUE!</v>
      </c>
    </row>
    <row r="303" spans="1:33" x14ac:dyDescent="0.25">
      <c r="B303" s="88" t="e">
        <f>VLOOKUP(Data_PLT[[#This Row],[Hole ID]],Data_Log[],2,FALSE)</f>
        <v>#N/A</v>
      </c>
      <c r="C303" s="63" t="str">
        <f>IF(Data_PLT[[#This Row],[Hole ID]]="","",
IF(COUNTIF($A$4:A303,Data_PLT[[#This Row],[Hole ID]])=1,1,
IF(A303=A302,C302+1,
COUNTIF($A$4:A303,Data_PLT[[#This Row],[Hole ID]]))))</f>
        <v/>
      </c>
      <c r="D303" s="63" t="str">
        <f>IF(Data_PLT[[#This Row],[Hole ID]]="","",Data_PLT[[#This Row],[Hole ID]]&amp;"_"&amp;Data_PLT[[#This Row],[Sample ID]])</f>
        <v/>
      </c>
      <c r="E303" s="6"/>
      <c r="F303" s="6"/>
      <c r="G303" s="63" t="e" cm="1">
        <f t="array" ref="G303">_xlfn.XLOOKUP(1,(A303=Geotech!$A$4:$A$11100)*(Data_PLT[[#This Row],[Depth (m)]]&gt;=Geotech!$C$4:$C$11100)*(Data_PLT[[#This Row],[Depth (m)]]&lt;Geotech!$D$4:$D$11100),Geotech!$M$4:$M$11100)</f>
        <v>#N/A</v>
      </c>
      <c r="H303" s="6"/>
      <c r="I303" s="63" t="e">
        <f>VLOOKUP(Data_PLT[[#This Row],[Hole ID]],Data_Log[[Hole ID]:[Core size]],20,FALSE)</f>
        <v>#N/A</v>
      </c>
      <c r="J303" s="13" t="e">
        <f>VLOOKUP(Data_PLT[[#This Row],[Core Size]],Table_CoreSize[],2,FALSE)</f>
        <v>#N/A</v>
      </c>
      <c r="K303" s="19"/>
      <c r="L303" s="19"/>
      <c r="M303" s="5"/>
      <c r="N303" s="5"/>
      <c r="O303" s="6"/>
      <c r="P303" s="13" t="str">
        <f>IF(Data_PLT[[#This Row],[Failure type]]="","",IF(OR(Data_PLT[[#This Row],[Failure type]]="Invalid",Data_PLT[[#This Row],[Failure type]]="Chipped",Data_PLT[[#This Row],[Failure type]]="Penetrate",Data_PLT[[#This Row],[Failure type]]="Did not break"),"Invalid","Valid"))</f>
        <v/>
      </c>
      <c r="Q303" s="6"/>
      <c r="R303" s="11"/>
      <c r="S303" s="13" t="str">
        <f>IF(Data_PLT[[#This Row],[Test type]]="Diametral",Data_PLT[[#This Row],[Diameter (mm)]],IF(Data_PLT[[#This Row],[Test type]]="Axial",SQRT(4*Data_PLT[[#This Row],[Diameter (mm)]]*Data_PLT[[#This Row],[Length or width (mm)]]/PI()),"ERROR"))</f>
        <v>ERROR</v>
      </c>
      <c r="T303" s="13" t="e">
        <f>(Data_PLT[[#This Row],[Load (kN)]]*1000)/Data_PLT[[#This Row],[Equiv. Diam. (mm)]]^2</f>
        <v>#VALUE!</v>
      </c>
      <c r="U303" s="13" t="e">
        <f>(Data_PLT[[#This Row],[Equiv. Diam. (mm)]]/50)^0.45</f>
        <v>#VALUE!</v>
      </c>
      <c r="V303" s="13" t="e">
        <f>Data_PLT[[#This Row],[Is (MPa)]]*Data_PLT[[#This Row],[F]]</f>
        <v>#VALUE!</v>
      </c>
      <c r="W303" s="13" t="str">
        <f>Data_PLT[[#This Row],[Failure Validity]]&amp;"-"&amp;Data_PLT[[#This Row],[Test type]]</f>
        <v>-</v>
      </c>
      <c r="X303" s="13" t="e">
        <f>Data_PLT[[#This Row],[Is50 (MPa)]]*VLOOKUP("Min",Table_PLT_Conversion[],2,FALSE)</f>
        <v>#VALUE!</v>
      </c>
      <c r="Y303" s="13" t="e">
        <f>Data_PLT[[#This Row],[Is50 (MPa)]]*VLOOKUP("Avg",Table_PLT_Conversion[],2,FALSE)</f>
        <v>#VALUE!</v>
      </c>
      <c r="Z303" s="13" t="e">
        <f>Data_PLT[[#This Row],[Is50 (MPa)]]*VLOOKUP("Max",Table_PLT_Conversion[],2,FALSE)</f>
        <v>#VALUE!</v>
      </c>
      <c r="AA303" s="62" t="e">
        <f>MATCH(LOOKUP(Data_PLT[[#This Row],[UCS min (MPa)]],Table_FieldStrength[Min UCS]),Table_FieldStrength[Min UCS],0)-1</f>
        <v>#VALUE!</v>
      </c>
      <c r="AB303" s="62" t="e">
        <f>MATCH(LOOKUP(Data_PLT[[#This Row],[UCS avg (MPa)]],Table_FieldStrength[Min UCS]),Table_FieldStrength[Min UCS],0)-1</f>
        <v>#VALUE!</v>
      </c>
      <c r="AC303" s="62" t="e">
        <f>MATCH(LOOKUP(Data_PLT[[#This Row],[UCS max (MPa)]],Table_FieldStrength[Min UCS]),Table_FieldStrength[Min UCS],0)-1</f>
        <v>#VALUE!</v>
      </c>
      <c r="AD303" s="68" t="e">
        <f>Data_PLT[[#This Row],[Test code]]&amp;"-"&amp;Data_PLT[[#This Row],[UCS min code]]</f>
        <v>#VALUE!</v>
      </c>
      <c r="AE303" s="68" t="e">
        <f>Data_PLT[[#This Row],[Test code]]&amp;"-"&amp;Data_PLT[[#This Row],[UCS avg code]]</f>
        <v>#VALUE!</v>
      </c>
      <c r="AF303" s="67" t="e">
        <f>Data_PLT[[#This Row],[Test code]]&amp;"-"&amp;Data_PLT[[#This Row],[UCS max code]]</f>
        <v>#VALUE!</v>
      </c>
      <c r="AG303" s="67" t="e">
        <f>Data_PLT[[#This Row],[Failure type]]&amp;"-"&amp;Data_PLT[[#This Row],[Test type]]&amp;"-"&amp;(IF(Data_PLT[[#This Row],[Is50 (MPa)]]&lt;1,1,IF(Data_PLT[[#This Row],[Is50 (MPa)]]&lt;2,2,IF(Data_PLT[[#This Row],[Is50 (MPa)]]&lt;4,3,IF(Data_PLT[[#This Row],[Is50 (MPa)]]&lt;8,4,5)))))</f>
        <v>#VALUE!</v>
      </c>
    </row>
    <row r="304" spans="1:33" x14ac:dyDescent="0.25">
      <c r="B304" s="88" t="e">
        <f>VLOOKUP(Data_PLT[[#This Row],[Hole ID]],Data_Log[],2,FALSE)</f>
        <v>#N/A</v>
      </c>
      <c r="C304" s="63" t="str">
        <f>IF(Data_PLT[[#This Row],[Hole ID]]="","",
IF(COUNTIF($A$4:A304,Data_PLT[[#This Row],[Hole ID]])=1,1,
IF(A304=A303,C303+1,
COUNTIF($A$4:A304,Data_PLT[[#This Row],[Hole ID]]))))</f>
        <v/>
      </c>
      <c r="D304" s="63" t="str">
        <f>IF(Data_PLT[[#This Row],[Hole ID]]="","",Data_PLT[[#This Row],[Hole ID]]&amp;"_"&amp;Data_PLT[[#This Row],[Sample ID]])</f>
        <v/>
      </c>
      <c r="E304" s="6"/>
      <c r="F304" s="6"/>
      <c r="G304" s="63" t="e" cm="1">
        <f t="array" ref="G304">_xlfn.XLOOKUP(1,(A304=Geotech!$A$4:$A$11100)*(Data_PLT[[#This Row],[Depth (m)]]&gt;=Geotech!$C$4:$C$11100)*(Data_PLT[[#This Row],[Depth (m)]]&lt;Geotech!$D$4:$D$11100),Geotech!$M$4:$M$11100)</f>
        <v>#N/A</v>
      </c>
      <c r="H304" s="6"/>
      <c r="I304" s="63" t="e">
        <f>VLOOKUP(Data_PLT[[#This Row],[Hole ID]],Data_Log[[Hole ID]:[Core size]],20,FALSE)</f>
        <v>#N/A</v>
      </c>
      <c r="J304" s="13" t="e">
        <f>VLOOKUP(Data_PLT[[#This Row],[Core Size]],Table_CoreSize[],2,FALSE)</f>
        <v>#N/A</v>
      </c>
      <c r="K304" s="19"/>
      <c r="L304" s="19"/>
      <c r="M304" s="5"/>
      <c r="N304" s="5"/>
      <c r="O304" s="6"/>
      <c r="P304" s="13" t="str">
        <f>IF(Data_PLT[[#This Row],[Failure type]]="","",IF(OR(Data_PLT[[#This Row],[Failure type]]="Invalid",Data_PLT[[#This Row],[Failure type]]="Chipped",Data_PLT[[#This Row],[Failure type]]="Penetrate",Data_PLT[[#This Row],[Failure type]]="Did not break"),"Invalid","Valid"))</f>
        <v/>
      </c>
      <c r="Q304" s="6"/>
      <c r="R304" s="11"/>
      <c r="S304" s="13" t="str">
        <f>IF(Data_PLT[[#This Row],[Test type]]="Diametral",Data_PLT[[#This Row],[Diameter (mm)]],IF(Data_PLT[[#This Row],[Test type]]="Axial",SQRT(4*Data_PLT[[#This Row],[Diameter (mm)]]*Data_PLT[[#This Row],[Length or width (mm)]]/PI()),"ERROR"))</f>
        <v>ERROR</v>
      </c>
      <c r="T304" s="13" t="e">
        <f>(Data_PLT[[#This Row],[Load (kN)]]*1000)/Data_PLT[[#This Row],[Equiv. Diam. (mm)]]^2</f>
        <v>#VALUE!</v>
      </c>
      <c r="U304" s="13" t="e">
        <f>(Data_PLT[[#This Row],[Equiv. Diam. (mm)]]/50)^0.45</f>
        <v>#VALUE!</v>
      </c>
      <c r="V304" s="13" t="e">
        <f>Data_PLT[[#This Row],[Is (MPa)]]*Data_PLT[[#This Row],[F]]</f>
        <v>#VALUE!</v>
      </c>
      <c r="W304" s="13" t="str">
        <f>Data_PLT[[#This Row],[Failure Validity]]&amp;"-"&amp;Data_PLT[[#This Row],[Test type]]</f>
        <v>-</v>
      </c>
      <c r="X304" s="13" t="e">
        <f>Data_PLT[[#This Row],[Is50 (MPa)]]*VLOOKUP("Min",Table_PLT_Conversion[],2,FALSE)</f>
        <v>#VALUE!</v>
      </c>
      <c r="Y304" s="13" t="e">
        <f>Data_PLT[[#This Row],[Is50 (MPa)]]*VLOOKUP("Avg",Table_PLT_Conversion[],2,FALSE)</f>
        <v>#VALUE!</v>
      </c>
      <c r="Z304" s="13" t="e">
        <f>Data_PLT[[#This Row],[Is50 (MPa)]]*VLOOKUP("Max",Table_PLT_Conversion[],2,FALSE)</f>
        <v>#VALUE!</v>
      </c>
      <c r="AA304" s="62" t="e">
        <f>MATCH(LOOKUP(Data_PLT[[#This Row],[UCS min (MPa)]],Table_FieldStrength[Min UCS]),Table_FieldStrength[Min UCS],0)-1</f>
        <v>#VALUE!</v>
      </c>
      <c r="AB304" s="62" t="e">
        <f>MATCH(LOOKUP(Data_PLT[[#This Row],[UCS avg (MPa)]],Table_FieldStrength[Min UCS]),Table_FieldStrength[Min UCS],0)-1</f>
        <v>#VALUE!</v>
      </c>
      <c r="AC304" s="62" t="e">
        <f>MATCH(LOOKUP(Data_PLT[[#This Row],[UCS max (MPa)]],Table_FieldStrength[Min UCS]),Table_FieldStrength[Min UCS],0)-1</f>
        <v>#VALUE!</v>
      </c>
      <c r="AD304" s="68" t="e">
        <f>Data_PLT[[#This Row],[Test code]]&amp;"-"&amp;Data_PLT[[#This Row],[UCS min code]]</f>
        <v>#VALUE!</v>
      </c>
      <c r="AE304" s="68" t="e">
        <f>Data_PLT[[#This Row],[Test code]]&amp;"-"&amp;Data_PLT[[#This Row],[UCS avg code]]</f>
        <v>#VALUE!</v>
      </c>
      <c r="AF304" s="67" t="e">
        <f>Data_PLT[[#This Row],[Test code]]&amp;"-"&amp;Data_PLT[[#This Row],[UCS max code]]</f>
        <v>#VALUE!</v>
      </c>
      <c r="AG304" s="67" t="e">
        <f>Data_PLT[[#This Row],[Failure type]]&amp;"-"&amp;Data_PLT[[#This Row],[Test type]]&amp;"-"&amp;(IF(Data_PLT[[#This Row],[Is50 (MPa)]]&lt;1,1,IF(Data_PLT[[#This Row],[Is50 (MPa)]]&lt;2,2,IF(Data_PLT[[#This Row],[Is50 (MPa)]]&lt;4,3,IF(Data_PLT[[#This Row],[Is50 (MPa)]]&lt;8,4,5)))))</f>
        <v>#VALUE!</v>
      </c>
    </row>
    <row r="305" spans="2:33" x14ac:dyDescent="0.25">
      <c r="B305" s="88" t="e">
        <f>VLOOKUP(Data_PLT[[#This Row],[Hole ID]],Data_Log[],2,FALSE)</f>
        <v>#N/A</v>
      </c>
      <c r="C305" s="63" t="str">
        <f>IF(Data_PLT[[#This Row],[Hole ID]]="","",
IF(COUNTIF($A$4:A305,Data_PLT[[#This Row],[Hole ID]])=1,1,
IF(A305=A304,C304+1,
COUNTIF($A$4:A305,Data_PLT[[#This Row],[Hole ID]]))))</f>
        <v/>
      </c>
      <c r="D305" s="63" t="str">
        <f>IF(Data_PLT[[#This Row],[Hole ID]]="","",Data_PLT[[#This Row],[Hole ID]]&amp;"_"&amp;Data_PLT[[#This Row],[Sample ID]])</f>
        <v/>
      </c>
      <c r="E305" s="6"/>
      <c r="F305" s="6"/>
      <c r="G305" s="63" t="e" cm="1">
        <f t="array" ref="G305">_xlfn.XLOOKUP(1,(A305=Geotech!$A$4:$A$11100)*(Data_PLT[[#This Row],[Depth (m)]]&gt;=Geotech!$C$4:$C$11100)*(Data_PLT[[#This Row],[Depth (m)]]&lt;Geotech!$D$4:$D$11100),Geotech!$M$4:$M$11100)</f>
        <v>#N/A</v>
      </c>
      <c r="H305" s="6"/>
      <c r="I305" s="63" t="e">
        <f>VLOOKUP(Data_PLT[[#This Row],[Hole ID]],Data_Log[[Hole ID]:[Core size]],20,FALSE)</f>
        <v>#N/A</v>
      </c>
      <c r="J305" s="13" t="e">
        <f>VLOOKUP(Data_PLT[[#This Row],[Core Size]],Table_CoreSize[],2,FALSE)</f>
        <v>#N/A</v>
      </c>
      <c r="K305" s="19"/>
      <c r="L305" s="19"/>
      <c r="M305" s="5"/>
      <c r="N305" s="5"/>
      <c r="O305" s="6"/>
      <c r="P305" s="13" t="str">
        <f>IF(Data_PLT[[#This Row],[Failure type]]="","",IF(OR(Data_PLT[[#This Row],[Failure type]]="Invalid",Data_PLT[[#This Row],[Failure type]]="Chipped",Data_PLT[[#This Row],[Failure type]]="Penetrate",Data_PLT[[#This Row],[Failure type]]="Did not break"),"Invalid","Valid"))</f>
        <v/>
      </c>
      <c r="Q305" s="6"/>
      <c r="R305" s="11"/>
      <c r="S305" s="13" t="str">
        <f>IF(Data_PLT[[#This Row],[Test type]]="Diametral",Data_PLT[[#This Row],[Diameter (mm)]],IF(Data_PLT[[#This Row],[Test type]]="Axial",SQRT(4*Data_PLT[[#This Row],[Diameter (mm)]]*Data_PLT[[#This Row],[Length or width (mm)]]/PI()),"ERROR"))</f>
        <v>ERROR</v>
      </c>
      <c r="T305" s="13" t="e">
        <f>(Data_PLT[[#This Row],[Load (kN)]]*1000)/Data_PLT[[#This Row],[Equiv. Diam. (mm)]]^2</f>
        <v>#VALUE!</v>
      </c>
      <c r="U305" s="13" t="e">
        <f>(Data_PLT[[#This Row],[Equiv. Diam. (mm)]]/50)^0.45</f>
        <v>#VALUE!</v>
      </c>
      <c r="V305" s="13" t="e">
        <f>Data_PLT[[#This Row],[Is (MPa)]]*Data_PLT[[#This Row],[F]]</f>
        <v>#VALUE!</v>
      </c>
      <c r="W305" s="13" t="str">
        <f>Data_PLT[[#This Row],[Failure Validity]]&amp;"-"&amp;Data_PLT[[#This Row],[Test type]]</f>
        <v>-</v>
      </c>
      <c r="X305" s="13" t="e">
        <f>Data_PLT[[#This Row],[Is50 (MPa)]]*VLOOKUP("Min",Table_PLT_Conversion[],2,FALSE)</f>
        <v>#VALUE!</v>
      </c>
      <c r="Y305" s="13" t="e">
        <f>Data_PLT[[#This Row],[Is50 (MPa)]]*VLOOKUP("Avg",Table_PLT_Conversion[],2,FALSE)</f>
        <v>#VALUE!</v>
      </c>
      <c r="Z305" s="13" t="e">
        <f>Data_PLT[[#This Row],[Is50 (MPa)]]*VLOOKUP("Max",Table_PLT_Conversion[],2,FALSE)</f>
        <v>#VALUE!</v>
      </c>
      <c r="AA305" s="62" t="e">
        <f>MATCH(LOOKUP(Data_PLT[[#This Row],[UCS min (MPa)]],Table_FieldStrength[Min UCS]),Table_FieldStrength[Min UCS],0)-1</f>
        <v>#VALUE!</v>
      </c>
      <c r="AB305" s="62" t="e">
        <f>MATCH(LOOKUP(Data_PLT[[#This Row],[UCS avg (MPa)]],Table_FieldStrength[Min UCS]),Table_FieldStrength[Min UCS],0)-1</f>
        <v>#VALUE!</v>
      </c>
      <c r="AC305" s="62" t="e">
        <f>MATCH(LOOKUP(Data_PLT[[#This Row],[UCS max (MPa)]],Table_FieldStrength[Min UCS]),Table_FieldStrength[Min UCS],0)-1</f>
        <v>#VALUE!</v>
      </c>
      <c r="AD305" s="68" t="e">
        <f>Data_PLT[[#This Row],[Test code]]&amp;"-"&amp;Data_PLT[[#This Row],[UCS min code]]</f>
        <v>#VALUE!</v>
      </c>
      <c r="AE305" s="68" t="e">
        <f>Data_PLT[[#This Row],[Test code]]&amp;"-"&amp;Data_PLT[[#This Row],[UCS avg code]]</f>
        <v>#VALUE!</v>
      </c>
      <c r="AF305" s="67" t="e">
        <f>Data_PLT[[#This Row],[Test code]]&amp;"-"&amp;Data_PLT[[#This Row],[UCS max code]]</f>
        <v>#VALUE!</v>
      </c>
      <c r="AG305" s="67" t="e">
        <f>Data_PLT[[#This Row],[Failure type]]&amp;"-"&amp;Data_PLT[[#This Row],[Test type]]&amp;"-"&amp;(IF(Data_PLT[[#This Row],[Is50 (MPa)]]&lt;1,1,IF(Data_PLT[[#This Row],[Is50 (MPa)]]&lt;2,2,IF(Data_PLT[[#This Row],[Is50 (MPa)]]&lt;4,3,IF(Data_PLT[[#This Row],[Is50 (MPa)]]&lt;8,4,5)))))</f>
        <v>#VALUE!</v>
      </c>
    </row>
    <row r="306" spans="2:33" x14ac:dyDescent="0.25">
      <c r="B306" s="88" t="e">
        <f>VLOOKUP(Data_PLT[[#This Row],[Hole ID]],Data_Log[],2,FALSE)</f>
        <v>#N/A</v>
      </c>
      <c r="C306" s="63" t="str">
        <f>IF(Data_PLT[[#This Row],[Hole ID]]="","",
IF(COUNTIF($A$4:A306,Data_PLT[[#This Row],[Hole ID]])=1,1,
IF(A306=A305,C305+1,
COUNTIF($A$4:A306,Data_PLT[[#This Row],[Hole ID]]))))</f>
        <v/>
      </c>
      <c r="D306" s="63" t="str">
        <f>IF(Data_PLT[[#This Row],[Hole ID]]="","",Data_PLT[[#This Row],[Hole ID]]&amp;"_"&amp;Data_PLT[[#This Row],[Sample ID]])</f>
        <v/>
      </c>
      <c r="E306" s="6"/>
      <c r="F306" s="6"/>
      <c r="G306" s="63" t="e" cm="1">
        <f t="array" ref="G306">_xlfn.XLOOKUP(1,(A306=Geotech!$A$4:$A$11100)*(Data_PLT[[#This Row],[Depth (m)]]&gt;=Geotech!$C$4:$C$11100)*(Data_PLT[[#This Row],[Depth (m)]]&lt;Geotech!$D$4:$D$11100),Geotech!$M$4:$M$11100)</f>
        <v>#N/A</v>
      </c>
      <c r="H306" s="6"/>
      <c r="I306" s="63" t="e">
        <f>VLOOKUP(Data_PLT[[#This Row],[Hole ID]],Data_Log[[Hole ID]:[Core size]],20,FALSE)</f>
        <v>#N/A</v>
      </c>
      <c r="J306" s="13" t="e">
        <f>VLOOKUP(Data_PLT[[#This Row],[Core Size]],Table_CoreSize[],2,FALSE)</f>
        <v>#N/A</v>
      </c>
      <c r="K306" s="19"/>
      <c r="L306" s="19"/>
      <c r="M306" s="5"/>
      <c r="N306" s="5"/>
      <c r="O306" s="6"/>
      <c r="P306" s="13" t="str">
        <f>IF(Data_PLT[[#This Row],[Failure type]]="","",IF(OR(Data_PLT[[#This Row],[Failure type]]="Invalid",Data_PLT[[#This Row],[Failure type]]="Chipped",Data_PLT[[#This Row],[Failure type]]="Penetrate",Data_PLT[[#This Row],[Failure type]]="Did not break"),"Invalid","Valid"))</f>
        <v/>
      </c>
      <c r="Q306" s="6"/>
      <c r="R306" s="11"/>
      <c r="S306" s="13" t="str">
        <f>IF(Data_PLT[[#This Row],[Test type]]="Diametral",Data_PLT[[#This Row],[Diameter (mm)]],IF(Data_PLT[[#This Row],[Test type]]="Axial",SQRT(4*Data_PLT[[#This Row],[Diameter (mm)]]*Data_PLT[[#This Row],[Length or width (mm)]]/PI()),"ERROR"))</f>
        <v>ERROR</v>
      </c>
      <c r="T306" s="13" t="e">
        <f>(Data_PLT[[#This Row],[Load (kN)]]*1000)/Data_PLT[[#This Row],[Equiv. Diam. (mm)]]^2</f>
        <v>#VALUE!</v>
      </c>
      <c r="U306" s="13" t="e">
        <f>(Data_PLT[[#This Row],[Equiv. Diam. (mm)]]/50)^0.45</f>
        <v>#VALUE!</v>
      </c>
      <c r="V306" s="13" t="e">
        <f>Data_PLT[[#This Row],[Is (MPa)]]*Data_PLT[[#This Row],[F]]</f>
        <v>#VALUE!</v>
      </c>
      <c r="W306" s="13" t="str">
        <f>Data_PLT[[#This Row],[Failure Validity]]&amp;"-"&amp;Data_PLT[[#This Row],[Test type]]</f>
        <v>-</v>
      </c>
      <c r="X306" s="13" t="e">
        <f>Data_PLT[[#This Row],[Is50 (MPa)]]*VLOOKUP("Min",Table_PLT_Conversion[],2,FALSE)</f>
        <v>#VALUE!</v>
      </c>
      <c r="Y306" s="13" t="e">
        <f>Data_PLT[[#This Row],[Is50 (MPa)]]*VLOOKUP("Avg",Table_PLT_Conversion[],2,FALSE)</f>
        <v>#VALUE!</v>
      </c>
      <c r="Z306" s="13" t="e">
        <f>Data_PLT[[#This Row],[Is50 (MPa)]]*VLOOKUP("Max",Table_PLT_Conversion[],2,FALSE)</f>
        <v>#VALUE!</v>
      </c>
      <c r="AA306" s="62" t="e">
        <f>MATCH(LOOKUP(Data_PLT[[#This Row],[UCS min (MPa)]],Table_FieldStrength[Min UCS]),Table_FieldStrength[Min UCS],0)-1</f>
        <v>#VALUE!</v>
      </c>
      <c r="AB306" s="62" t="e">
        <f>MATCH(LOOKUP(Data_PLT[[#This Row],[UCS avg (MPa)]],Table_FieldStrength[Min UCS]),Table_FieldStrength[Min UCS],0)-1</f>
        <v>#VALUE!</v>
      </c>
      <c r="AC306" s="62" t="e">
        <f>MATCH(LOOKUP(Data_PLT[[#This Row],[UCS max (MPa)]],Table_FieldStrength[Min UCS]),Table_FieldStrength[Min UCS],0)-1</f>
        <v>#VALUE!</v>
      </c>
      <c r="AD306" s="68" t="e">
        <f>Data_PLT[[#This Row],[Test code]]&amp;"-"&amp;Data_PLT[[#This Row],[UCS min code]]</f>
        <v>#VALUE!</v>
      </c>
      <c r="AE306" s="68" t="e">
        <f>Data_PLT[[#This Row],[Test code]]&amp;"-"&amp;Data_PLT[[#This Row],[UCS avg code]]</f>
        <v>#VALUE!</v>
      </c>
      <c r="AF306" s="67" t="e">
        <f>Data_PLT[[#This Row],[Test code]]&amp;"-"&amp;Data_PLT[[#This Row],[UCS max code]]</f>
        <v>#VALUE!</v>
      </c>
      <c r="AG306" s="67" t="e">
        <f>Data_PLT[[#This Row],[Failure type]]&amp;"-"&amp;Data_PLT[[#This Row],[Test type]]&amp;"-"&amp;(IF(Data_PLT[[#This Row],[Is50 (MPa)]]&lt;1,1,IF(Data_PLT[[#This Row],[Is50 (MPa)]]&lt;2,2,IF(Data_PLT[[#This Row],[Is50 (MPa)]]&lt;4,3,IF(Data_PLT[[#This Row],[Is50 (MPa)]]&lt;8,4,5)))))</f>
        <v>#VALUE!</v>
      </c>
    </row>
    <row r="307" spans="2:33" x14ac:dyDescent="0.25">
      <c r="B307" s="88" t="e">
        <f>VLOOKUP(Data_PLT[[#This Row],[Hole ID]],Data_Log[],2,FALSE)</f>
        <v>#N/A</v>
      </c>
      <c r="C307" s="63" t="str">
        <f>IF(Data_PLT[[#This Row],[Hole ID]]="","",
IF(COUNTIF($A$4:A307,Data_PLT[[#This Row],[Hole ID]])=1,1,
IF(A307=A306,C306+1,
COUNTIF($A$4:A307,Data_PLT[[#This Row],[Hole ID]]))))</f>
        <v/>
      </c>
      <c r="D307" s="63" t="str">
        <f>IF(Data_PLT[[#This Row],[Hole ID]]="","",Data_PLT[[#This Row],[Hole ID]]&amp;"_"&amp;Data_PLT[[#This Row],[Sample ID]])</f>
        <v/>
      </c>
      <c r="E307" s="6"/>
      <c r="F307" s="6"/>
      <c r="G307" s="63" t="e" cm="1">
        <f t="array" ref="G307">_xlfn.XLOOKUP(1,(A307=Geotech!$A$4:$A$11100)*(Data_PLT[[#This Row],[Depth (m)]]&gt;=Geotech!$C$4:$C$11100)*(Data_PLT[[#This Row],[Depth (m)]]&lt;Geotech!$D$4:$D$11100),Geotech!$M$4:$M$11100)</f>
        <v>#N/A</v>
      </c>
      <c r="H307" s="6"/>
      <c r="I307" s="63" t="e">
        <f>VLOOKUP(Data_PLT[[#This Row],[Hole ID]],Data_Log[[Hole ID]:[Core size]],20,FALSE)</f>
        <v>#N/A</v>
      </c>
      <c r="J307" s="13" t="e">
        <f>VLOOKUP(Data_PLT[[#This Row],[Core Size]],Table_CoreSize[],2,FALSE)</f>
        <v>#N/A</v>
      </c>
      <c r="K307" s="19"/>
      <c r="L307" s="19"/>
      <c r="M307" s="5"/>
      <c r="N307" s="5"/>
      <c r="O307" s="6"/>
      <c r="P307" s="13" t="str">
        <f>IF(Data_PLT[[#This Row],[Failure type]]="","",IF(OR(Data_PLT[[#This Row],[Failure type]]="Invalid",Data_PLT[[#This Row],[Failure type]]="Chipped",Data_PLT[[#This Row],[Failure type]]="Penetrate",Data_PLT[[#This Row],[Failure type]]="Did not break"),"Invalid","Valid"))</f>
        <v/>
      </c>
      <c r="Q307" s="6"/>
      <c r="R307" s="11"/>
      <c r="S307" s="13" t="str">
        <f>IF(Data_PLT[[#This Row],[Test type]]="Diametral",Data_PLT[[#This Row],[Diameter (mm)]],IF(Data_PLT[[#This Row],[Test type]]="Axial",SQRT(4*Data_PLT[[#This Row],[Diameter (mm)]]*Data_PLT[[#This Row],[Length or width (mm)]]/PI()),"ERROR"))</f>
        <v>ERROR</v>
      </c>
      <c r="T307" s="13" t="e">
        <f>(Data_PLT[[#This Row],[Load (kN)]]*1000)/Data_PLT[[#This Row],[Equiv. Diam. (mm)]]^2</f>
        <v>#VALUE!</v>
      </c>
      <c r="U307" s="13" t="e">
        <f>(Data_PLT[[#This Row],[Equiv. Diam. (mm)]]/50)^0.45</f>
        <v>#VALUE!</v>
      </c>
      <c r="V307" s="13" t="e">
        <f>Data_PLT[[#This Row],[Is (MPa)]]*Data_PLT[[#This Row],[F]]</f>
        <v>#VALUE!</v>
      </c>
      <c r="W307" s="13" t="str">
        <f>Data_PLT[[#This Row],[Failure Validity]]&amp;"-"&amp;Data_PLT[[#This Row],[Test type]]</f>
        <v>-</v>
      </c>
      <c r="X307" s="13" t="e">
        <f>Data_PLT[[#This Row],[Is50 (MPa)]]*VLOOKUP("Min",Table_PLT_Conversion[],2,FALSE)</f>
        <v>#VALUE!</v>
      </c>
      <c r="Y307" s="13" t="e">
        <f>Data_PLT[[#This Row],[Is50 (MPa)]]*VLOOKUP("Avg",Table_PLT_Conversion[],2,FALSE)</f>
        <v>#VALUE!</v>
      </c>
      <c r="Z307" s="13" t="e">
        <f>Data_PLT[[#This Row],[Is50 (MPa)]]*VLOOKUP("Max",Table_PLT_Conversion[],2,FALSE)</f>
        <v>#VALUE!</v>
      </c>
      <c r="AA307" s="62" t="e">
        <f>MATCH(LOOKUP(Data_PLT[[#This Row],[UCS min (MPa)]],Table_FieldStrength[Min UCS]),Table_FieldStrength[Min UCS],0)-1</f>
        <v>#VALUE!</v>
      </c>
      <c r="AB307" s="62" t="e">
        <f>MATCH(LOOKUP(Data_PLT[[#This Row],[UCS avg (MPa)]],Table_FieldStrength[Min UCS]),Table_FieldStrength[Min UCS],0)-1</f>
        <v>#VALUE!</v>
      </c>
      <c r="AC307" s="62" t="e">
        <f>MATCH(LOOKUP(Data_PLT[[#This Row],[UCS max (MPa)]],Table_FieldStrength[Min UCS]),Table_FieldStrength[Min UCS],0)-1</f>
        <v>#VALUE!</v>
      </c>
      <c r="AD307" s="68" t="e">
        <f>Data_PLT[[#This Row],[Test code]]&amp;"-"&amp;Data_PLT[[#This Row],[UCS min code]]</f>
        <v>#VALUE!</v>
      </c>
      <c r="AE307" s="68" t="e">
        <f>Data_PLT[[#This Row],[Test code]]&amp;"-"&amp;Data_PLT[[#This Row],[UCS avg code]]</f>
        <v>#VALUE!</v>
      </c>
      <c r="AF307" s="67" t="e">
        <f>Data_PLT[[#This Row],[Test code]]&amp;"-"&amp;Data_PLT[[#This Row],[UCS max code]]</f>
        <v>#VALUE!</v>
      </c>
      <c r="AG307" s="67" t="e">
        <f>Data_PLT[[#This Row],[Failure type]]&amp;"-"&amp;Data_PLT[[#This Row],[Test type]]&amp;"-"&amp;(IF(Data_PLT[[#This Row],[Is50 (MPa)]]&lt;1,1,IF(Data_PLT[[#This Row],[Is50 (MPa)]]&lt;2,2,IF(Data_PLT[[#This Row],[Is50 (MPa)]]&lt;4,3,IF(Data_PLT[[#This Row],[Is50 (MPa)]]&lt;8,4,5)))))</f>
        <v>#VALUE!</v>
      </c>
    </row>
    <row r="308" spans="2:33" x14ac:dyDescent="0.25">
      <c r="B308" s="88" t="e">
        <f>VLOOKUP(Data_PLT[[#This Row],[Hole ID]],Data_Log[],2,FALSE)</f>
        <v>#N/A</v>
      </c>
      <c r="C308" s="63" t="str">
        <f>IF(Data_PLT[[#This Row],[Hole ID]]="","",
IF(COUNTIF($A$4:A308,Data_PLT[[#This Row],[Hole ID]])=1,1,
IF(A308=A307,C307+1,
COUNTIF($A$4:A308,Data_PLT[[#This Row],[Hole ID]]))))</f>
        <v/>
      </c>
      <c r="D308" s="63" t="str">
        <f>IF(Data_PLT[[#This Row],[Hole ID]]="","",Data_PLT[[#This Row],[Hole ID]]&amp;"_"&amp;Data_PLT[[#This Row],[Sample ID]])</f>
        <v/>
      </c>
      <c r="E308" s="6"/>
      <c r="F308" s="6"/>
      <c r="G308" s="63" t="e" cm="1">
        <f t="array" ref="G308">_xlfn.XLOOKUP(1,(A308=Geotech!$A$4:$A$11100)*(Data_PLT[[#This Row],[Depth (m)]]&gt;=Geotech!$C$4:$C$11100)*(Data_PLT[[#This Row],[Depth (m)]]&lt;Geotech!$D$4:$D$11100),Geotech!$M$4:$M$11100)</f>
        <v>#N/A</v>
      </c>
      <c r="H308" s="6"/>
      <c r="I308" s="63" t="e">
        <f>VLOOKUP(Data_PLT[[#This Row],[Hole ID]],Data_Log[[Hole ID]:[Core size]],20,FALSE)</f>
        <v>#N/A</v>
      </c>
      <c r="J308" s="13" t="e">
        <f>VLOOKUP(Data_PLT[[#This Row],[Core Size]],Table_CoreSize[],2,FALSE)</f>
        <v>#N/A</v>
      </c>
      <c r="K308" s="19"/>
      <c r="L308" s="19"/>
      <c r="M308" s="5"/>
      <c r="N308" s="5"/>
      <c r="O308" s="6"/>
      <c r="P308" s="13" t="str">
        <f>IF(Data_PLT[[#This Row],[Failure type]]="","",IF(OR(Data_PLT[[#This Row],[Failure type]]="Invalid",Data_PLT[[#This Row],[Failure type]]="Chipped",Data_PLT[[#This Row],[Failure type]]="Penetrate",Data_PLT[[#This Row],[Failure type]]="Did not break"),"Invalid","Valid"))</f>
        <v/>
      </c>
      <c r="Q308" s="6"/>
      <c r="R308" s="11"/>
      <c r="S308" s="13" t="str">
        <f>IF(Data_PLT[[#This Row],[Test type]]="Diametral",Data_PLT[[#This Row],[Diameter (mm)]],IF(Data_PLT[[#This Row],[Test type]]="Axial",SQRT(4*Data_PLT[[#This Row],[Diameter (mm)]]*Data_PLT[[#This Row],[Length or width (mm)]]/PI()),"ERROR"))</f>
        <v>ERROR</v>
      </c>
      <c r="T308" s="13" t="e">
        <f>(Data_PLT[[#This Row],[Load (kN)]]*1000)/Data_PLT[[#This Row],[Equiv. Diam. (mm)]]^2</f>
        <v>#VALUE!</v>
      </c>
      <c r="U308" s="13" t="e">
        <f>(Data_PLT[[#This Row],[Equiv. Diam. (mm)]]/50)^0.45</f>
        <v>#VALUE!</v>
      </c>
      <c r="V308" s="13" t="e">
        <f>Data_PLT[[#This Row],[Is (MPa)]]*Data_PLT[[#This Row],[F]]</f>
        <v>#VALUE!</v>
      </c>
      <c r="W308" s="13" t="str">
        <f>Data_PLT[[#This Row],[Failure Validity]]&amp;"-"&amp;Data_PLT[[#This Row],[Test type]]</f>
        <v>-</v>
      </c>
      <c r="X308" s="13" t="e">
        <f>Data_PLT[[#This Row],[Is50 (MPa)]]*VLOOKUP("Min",Table_PLT_Conversion[],2,FALSE)</f>
        <v>#VALUE!</v>
      </c>
      <c r="Y308" s="13" t="e">
        <f>Data_PLT[[#This Row],[Is50 (MPa)]]*VLOOKUP("Avg",Table_PLT_Conversion[],2,FALSE)</f>
        <v>#VALUE!</v>
      </c>
      <c r="Z308" s="13" t="e">
        <f>Data_PLT[[#This Row],[Is50 (MPa)]]*VLOOKUP("Max",Table_PLT_Conversion[],2,FALSE)</f>
        <v>#VALUE!</v>
      </c>
      <c r="AA308" s="62" t="e">
        <f>MATCH(LOOKUP(Data_PLT[[#This Row],[UCS min (MPa)]],Table_FieldStrength[Min UCS]),Table_FieldStrength[Min UCS],0)-1</f>
        <v>#VALUE!</v>
      </c>
      <c r="AB308" s="62" t="e">
        <f>MATCH(LOOKUP(Data_PLT[[#This Row],[UCS avg (MPa)]],Table_FieldStrength[Min UCS]),Table_FieldStrength[Min UCS],0)-1</f>
        <v>#VALUE!</v>
      </c>
      <c r="AC308" s="62" t="e">
        <f>MATCH(LOOKUP(Data_PLT[[#This Row],[UCS max (MPa)]],Table_FieldStrength[Min UCS]),Table_FieldStrength[Min UCS],0)-1</f>
        <v>#VALUE!</v>
      </c>
      <c r="AD308" s="68" t="e">
        <f>Data_PLT[[#This Row],[Test code]]&amp;"-"&amp;Data_PLT[[#This Row],[UCS min code]]</f>
        <v>#VALUE!</v>
      </c>
      <c r="AE308" s="68" t="e">
        <f>Data_PLT[[#This Row],[Test code]]&amp;"-"&amp;Data_PLT[[#This Row],[UCS avg code]]</f>
        <v>#VALUE!</v>
      </c>
      <c r="AF308" s="67" t="e">
        <f>Data_PLT[[#This Row],[Test code]]&amp;"-"&amp;Data_PLT[[#This Row],[UCS max code]]</f>
        <v>#VALUE!</v>
      </c>
      <c r="AG308" s="67" t="e">
        <f>Data_PLT[[#This Row],[Failure type]]&amp;"-"&amp;Data_PLT[[#This Row],[Test type]]&amp;"-"&amp;(IF(Data_PLT[[#This Row],[Is50 (MPa)]]&lt;1,1,IF(Data_PLT[[#This Row],[Is50 (MPa)]]&lt;2,2,IF(Data_PLT[[#This Row],[Is50 (MPa)]]&lt;4,3,IF(Data_PLT[[#This Row],[Is50 (MPa)]]&lt;8,4,5)))))</f>
        <v>#VALUE!</v>
      </c>
    </row>
    <row r="309" spans="2:33" x14ac:dyDescent="0.25">
      <c r="B309" s="88" t="e">
        <f>VLOOKUP(Data_PLT[[#This Row],[Hole ID]],Data_Log[],2,FALSE)</f>
        <v>#N/A</v>
      </c>
      <c r="C309" s="63" t="str">
        <f>IF(Data_PLT[[#This Row],[Hole ID]]="","",
IF(COUNTIF($A$4:A309,Data_PLT[[#This Row],[Hole ID]])=1,1,
IF(A309=A308,C308+1,
COUNTIF($A$4:A309,Data_PLT[[#This Row],[Hole ID]]))))</f>
        <v/>
      </c>
      <c r="D309" s="63" t="str">
        <f>IF(Data_PLT[[#This Row],[Hole ID]]="","",Data_PLT[[#This Row],[Hole ID]]&amp;"_"&amp;Data_PLT[[#This Row],[Sample ID]])</f>
        <v/>
      </c>
      <c r="E309" s="6"/>
      <c r="F309" s="6"/>
      <c r="G309" s="63" t="e" cm="1">
        <f t="array" ref="G309">_xlfn.XLOOKUP(1,(A309=Geotech!$A$4:$A$11100)*(Data_PLT[[#This Row],[Depth (m)]]&gt;=Geotech!$C$4:$C$11100)*(Data_PLT[[#This Row],[Depth (m)]]&lt;Geotech!$D$4:$D$11100),Geotech!$M$4:$M$11100)</f>
        <v>#N/A</v>
      </c>
      <c r="H309" s="6"/>
      <c r="I309" s="63" t="e">
        <f>VLOOKUP(Data_PLT[[#This Row],[Hole ID]],Data_Log[[Hole ID]:[Core size]],20,FALSE)</f>
        <v>#N/A</v>
      </c>
      <c r="J309" s="13" t="e">
        <f>VLOOKUP(Data_PLT[[#This Row],[Core Size]],Table_CoreSize[],2,FALSE)</f>
        <v>#N/A</v>
      </c>
      <c r="K309" s="19"/>
      <c r="L309" s="19"/>
      <c r="M309" s="5"/>
      <c r="N309" s="5"/>
      <c r="O309" s="6"/>
      <c r="P309" s="13" t="str">
        <f>IF(Data_PLT[[#This Row],[Failure type]]="","",IF(OR(Data_PLT[[#This Row],[Failure type]]="Invalid",Data_PLT[[#This Row],[Failure type]]="Chipped",Data_PLT[[#This Row],[Failure type]]="Penetrate",Data_PLT[[#This Row],[Failure type]]="Did not break"),"Invalid","Valid"))</f>
        <v/>
      </c>
      <c r="Q309" s="6"/>
      <c r="R309" s="11"/>
      <c r="S309" s="13" t="str">
        <f>IF(Data_PLT[[#This Row],[Test type]]="Diametral",Data_PLT[[#This Row],[Diameter (mm)]],IF(Data_PLT[[#This Row],[Test type]]="Axial",SQRT(4*Data_PLT[[#This Row],[Diameter (mm)]]*Data_PLT[[#This Row],[Length or width (mm)]]/PI()),"ERROR"))</f>
        <v>ERROR</v>
      </c>
      <c r="T309" s="13" t="e">
        <f>(Data_PLT[[#This Row],[Load (kN)]]*1000)/Data_PLT[[#This Row],[Equiv. Diam. (mm)]]^2</f>
        <v>#VALUE!</v>
      </c>
      <c r="U309" s="13" t="e">
        <f>(Data_PLT[[#This Row],[Equiv. Diam. (mm)]]/50)^0.45</f>
        <v>#VALUE!</v>
      </c>
      <c r="V309" s="13" t="e">
        <f>Data_PLT[[#This Row],[Is (MPa)]]*Data_PLT[[#This Row],[F]]</f>
        <v>#VALUE!</v>
      </c>
      <c r="W309" s="13" t="str">
        <f>Data_PLT[[#This Row],[Failure Validity]]&amp;"-"&amp;Data_PLT[[#This Row],[Test type]]</f>
        <v>-</v>
      </c>
      <c r="X309" s="13" t="e">
        <f>Data_PLT[[#This Row],[Is50 (MPa)]]*VLOOKUP("Min",Table_PLT_Conversion[],2,FALSE)</f>
        <v>#VALUE!</v>
      </c>
      <c r="Y309" s="13" t="e">
        <f>Data_PLT[[#This Row],[Is50 (MPa)]]*VLOOKUP("Avg",Table_PLT_Conversion[],2,FALSE)</f>
        <v>#VALUE!</v>
      </c>
      <c r="Z309" s="13" t="e">
        <f>Data_PLT[[#This Row],[Is50 (MPa)]]*VLOOKUP("Max",Table_PLT_Conversion[],2,FALSE)</f>
        <v>#VALUE!</v>
      </c>
      <c r="AA309" s="62" t="e">
        <f>MATCH(LOOKUP(Data_PLT[[#This Row],[UCS min (MPa)]],Table_FieldStrength[Min UCS]),Table_FieldStrength[Min UCS],0)-1</f>
        <v>#VALUE!</v>
      </c>
      <c r="AB309" s="62" t="e">
        <f>MATCH(LOOKUP(Data_PLT[[#This Row],[UCS avg (MPa)]],Table_FieldStrength[Min UCS]),Table_FieldStrength[Min UCS],0)-1</f>
        <v>#VALUE!</v>
      </c>
      <c r="AC309" s="62" t="e">
        <f>MATCH(LOOKUP(Data_PLT[[#This Row],[UCS max (MPa)]],Table_FieldStrength[Min UCS]),Table_FieldStrength[Min UCS],0)-1</f>
        <v>#VALUE!</v>
      </c>
      <c r="AD309" s="68" t="e">
        <f>Data_PLT[[#This Row],[Test code]]&amp;"-"&amp;Data_PLT[[#This Row],[UCS min code]]</f>
        <v>#VALUE!</v>
      </c>
      <c r="AE309" s="68" t="e">
        <f>Data_PLT[[#This Row],[Test code]]&amp;"-"&amp;Data_PLT[[#This Row],[UCS avg code]]</f>
        <v>#VALUE!</v>
      </c>
      <c r="AF309" s="67" t="e">
        <f>Data_PLT[[#This Row],[Test code]]&amp;"-"&amp;Data_PLT[[#This Row],[UCS max code]]</f>
        <v>#VALUE!</v>
      </c>
      <c r="AG309" s="67" t="e">
        <f>Data_PLT[[#This Row],[Failure type]]&amp;"-"&amp;Data_PLT[[#This Row],[Test type]]&amp;"-"&amp;(IF(Data_PLT[[#This Row],[Is50 (MPa)]]&lt;1,1,IF(Data_PLT[[#This Row],[Is50 (MPa)]]&lt;2,2,IF(Data_PLT[[#This Row],[Is50 (MPa)]]&lt;4,3,IF(Data_PLT[[#This Row],[Is50 (MPa)]]&lt;8,4,5)))))</f>
        <v>#VALUE!</v>
      </c>
    </row>
    <row r="310" spans="2:33" x14ac:dyDescent="0.25">
      <c r="B310" s="88" t="e">
        <f>VLOOKUP(Data_PLT[[#This Row],[Hole ID]],Data_Log[],2,FALSE)</f>
        <v>#N/A</v>
      </c>
      <c r="C310" s="63" t="str">
        <f>IF(Data_PLT[[#This Row],[Hole ID]]="","",
IF(COUNTIF($A$4:A310,Data_PLT[[#This Row],[Hole ID]])=1,1,
IF(A310=A309,C309+1,
COUNTIF($A$4:A310,Data_PLT[[#This Row],[Hole ID]]))))</f>
        <v/>
      </c>
      <c r="D310" s="63" t="str">
        <f>IF(Data_PLT[[#This Row],[Hole ID]]="","",Data_PLT[[#This Row],[Hole ID]]&amp;"_"&amp;Data_PLT[[#This Row],[Sample ID]])</f>
        <v/>
      </c>
      <c r="E310" s="6"/>
      <c r="F310" s="6"/>
      <c r="G310" s="63" t="e" cm="1">
        <f t="array" ref="G310">_xlfn.XLOOKUP(1,(A310=Geotech!$A$4:$A$11100)*(Data_PLT[[#This Row],[Depth (m)]]&gt;=Geotech!$C$4:$C$11100)*(Data_PLT[[#This Row],[Depth (m)]]&lt;Geotech!$D$4:$D$11100),Geotech!$M$4:$M$11100)</f>
        <v>#N/A</v>
      </c>
      <c r="H310" s="6"/>
      <c r="I310" s="63" t="e">
        <f>VLOOKUP(Data_PLT[[#This Row],[Hole ID]],Data_Log[[Hole ID]:[Core size]],20,FALSE)</f>
        <v>#N/A</v>
      </c>
      <c r="J310" s="13" t="e">
        <f>VLOOKUP(Data_PLT[[#This Row],[Core Size]],Table_CoreSize[],2,FALSE)</f>
        <v>#N/A</v>
      </c>
      <c r="K310" s="19"/>
      <c r="L310" s="19"/>
      <c r="M310" s="5"/>
      <c r="N310" s="5"/>
      <c r="O310" s="6"/>
      <c r="P310" s="13" t="str">
        <f>IF(Data_PLT[[#This Row],[Failure type]]="","",IF(OR(Data_PLT[[#This Row],[Failure type]]="Invalid",Data_PLT[[#This Row],[Failure type]]="Chipped",Data_PLT[[#This Row],[Failure type]]="Penetrate",Data_PLT[[#This Row],[Failure type]]="Did not break"),"Invalid","Valid"))</f>
        <v/>
      </c>
      <c r="Q310" s="6"/>
      <c r="R310" s="11"/>
      <c r="S310" s="13" t="str">
        <f>IF(Data_PLT[[#This Row],[Test type]]="Diametral",Data_PLT[[#This Row],[Diameter (mm)]],IF(Data_PLT[[#This Row],[Test type]]="Axial",SQRT(4*Data_PLT[[#This Row],[Diameter (mm)]]*Data_PLT[[#This Row],[Length or width (mm)]]/PI()),"ERROR"))</f>
        <v>ERROR</v>
      </c>
      <c r="T310" s="13" t="e">
        <f>(Data_PLT[[#This Row],[Load (kN)]]*1000)/Data_PLT[[#This Row],[Equiv. Diam. (mm)]]^2</f>
        <v>#VALUE!</v>
      </c>
      <c r="U310" s="13" t="e">
        <f>(Data_PLT[[#This Row],[Equiv. Diam. (mm)]]/50)^0.45</f>
        <v>#VALUE!</v>
      </c>
      <c r="V310" s="13" t="e">
        <f>Data_PLT[[#This Row],[Is (MPa)]]*Data_PLT[[#This Row],[F]]</f>
        <v>#VALUE!</v>
      </c>
      <c r="W310" s="13" t="str">
        <f>Data_PLT[[#This Row],[Failure Validity]]&amp;"-"&amp;Data_PLT[[#This Row],[Test type]]</f>
        <v>-</v>
      </c>
      <c r="X310" s="13" t="e">
        <f>Data_PLT[[#This Row],[Is50 (MPa)]]*VLOOKUP("Min",Table_PLT_Conversion[],2,FALSE)</f>
        <v>#VALUE!</v>
      </c>
      <c r="Y310" s="13" t="e">
        <f>Data_PLT[[#This Row],[Is50 (MPa)]]*VLOOKUP("Avg",Table_PLT_Conversion[],2,FALSE)</f>
        <v>#VALUE!</v>
      </c>
      <c r="Z310" s="13" t="e">
        <f>Data_PLT[[#This Row],[Is50 (MPa)]]*VLOOKUP("Max",Table_PLT_Conversion[],2,FALSE)</f>
        <v>#VALUE!</v>
      </c>
      <c r="AA310" s="62" t="e">
        <f>MATCH(LOOKUP(Data_PLT[[#This Row],[UCS min (MPa)]],Table_FieldStrength[Min UCS]),Table_FieldStrength[Min UCS],0)-1</f>
        <v>#VALUE!</v>
      </c>
      <c r="AB310" s="62" t="e">
        <f>MATCH(LOOKUP(Data_PLT[[#This Row],[UCS avg (MPa)]],Table_FieldStrength[Min UCS]),Table_FieldStrength[Min UCS],0)-1</f>
        <v>#VALUE!</v>
      </c>
      <c r="AC310" s="62" t="e">
        <f>MATCH(LOOKUP(Data_PLT[[#This Row],[UCS max (MPa)]],Table_FieldStrength[Min UCS]),Table_FieldStrength[Min UCS],0)-1</f>
        <v>#VALUE!</v>
      </c>
      <c r="AD310" s="68" t="e">
        <f>Data_PLT[[#This Row],[Test code]]&amp;"-"&amp;Data_PLT[[#This Row],[UCS min code]]</f>
        <v>#VALUE!</v>
      </c>
      <c r="AE310" s="68" t="e">
        <f>Data_PLT[[#This Row],[Test code]]&amp;"-"&amp;Data_PLT[[#This Row],[UCS avg code]]</f>
        <v>#VALUE!</v>
      </c>
      <c r="AF310" s="67" t="e">
        <f>Data_PLT[[#This Row],[Test code]]&amp;"-"&amp;Data_PLT[[#This Row],[UCS max code]]</f>
        <v>#VALUE!</v>
      </c>
      <c r="AG310" s="67" t="e">
        <f>Data_PLT[[#This Row],[Failure type]]&amp;"-"&amp;Data_PLT[[#This Row],[Test type]]&amp;"-"&amp;(IF(Data_PLT[[#This Row],[Is50 (MPa)]]&lt;1,1,IF(Data_PLT[[#This Row],[Is50 (MPa)]]&lt;2,2,IF(Data_PLT[[#This Row],[Is50 (MPa)]]&lt;4,3,IF(Data_PLT[[#This Row],[Is50 (MPa)]]&lt;8,4,5)))))</f>
        <v>#VALUE!</v>
      </c>
    </row>
    <row r="311" spans="2:33" x14ac:dyDescent="0.25">
      <c r="B311" s="88" t="e">
        <f>VLOOKUP(Data_PLT[[#This Row],[Hole ID]],Data_Log[],2,FALSE)</f>
        <v>#N/A</v>
      </c>
      <c r="C311" s="63" t="str">
        <f>IF(Data_PLT[[#This Row],[Hole ID]]="","",
IF(COUNTIF($A$4:A311,Data_PLT[[#This Row],[Hole ID]])=1,1,
IF(A311=A310,C310+1,
COUNTIF($A$4:A311,Data_PLT[[#This Row],[Hole ID]]))))</f>
        <v/>
      </c>
      <c r="D311" s="63" t="str">
        <f>IF(Data_PLT[[#This Row],[Hole ID]]="","",Data_PLT[[#This Row],[Hole ID]]&amp;"_"&amp;Data_PLT[[#This Row],[Sample ID]])</f>
        <v/>
      </c>
      <c r="E311" s="6"/>
      <c r="F311" s="6"/>
      <c r="G311" s="63" t="e" cm="1">
        <f t="array" ref="G311">_xlfn.XLOOKUP(1,(A311=Geotech!$A$4:$A$11100)*(Data_PLT[[#This Row],[Depth (m)]]&gt;=Geotech!$C$4:$C$11100)*(Data_PLT[[#This Row],[Depth (m)]]&lt;Geotech!$D$4:$D$11100),Geotech!$M$4:$M$11100)</f>
        <v>#N/A</v>
      </c>
      <c r="H311" s="6"/>
      <c r="I311" s="63" t="e">
        <f>VLOOKUP(Data_PLT[[#This Row],[Hole ID]],Data_Log[[Hole ID]:[Core size]],20,FALSE)</f>
        <v>#N/A</v>
      </c>
      <c r="J311" s="13" t="e">
        <f>VLOOKUP(Data_PLT[[#This Row],[Core Size]],Table_CoreSize[],2,FALSE)</f>
        <v>#N/A</v>
      </c>
      <c r="K311" s="19"/>
      <c r="L311" s="19"/>
      <c r="M311" s="5"/>
      <c r="N311" s="5"/>
      <c r="O311" s="6"/>
      <c r="P311" s="13" t="str">
        <f>IF(Data_PLT[[#This Row],[Failure type]]="","",IF(OR(Data_PLT[[#This Row],[Failure type]]="Invalid",Data_PLT[[#This Row],[Failure type]]="Chipped",Data_PLT[[#This Row],[Failure type]]="Penetrate",Data_PLT[[#This Row],[Failure type]]="Did not break"),"Invalid","Valid"))</f>
        <v/>
      </c>
      <c r="Q311" s="6"/>
      <c r="R311" s="11"/>
      <c r="S311" s="13" t="str">
        <f>IF(Data_PLT[[#This Row],[Test type]]="Diametral",Data_PLT[[#This Row],[Diameter (mm)]],IF(Data_PLT[[#This Row],[Test type]]="Axial",SQRT(4*Data_PLT[[#This Row],[Diameter (mm)]]*Data_PLT[[#This Row],[Length or width (mm)]]/PI()),"ERROR"))</f>
        <v>ERROR</v>
      </c>
      <c r="T311" s="13" t="e">
        <f>(Data_PLT[[#This Row],[Load (kN)]]*1000)/Data_PLT[[#This Row],[Equiv. Diam. (mm)]]^2</f>
        <v>#VALUE!</v>
      </c>
      <c r="U311" s="13" t="e">
        <f>(Data_PLT[[#This Row],[Equiv. Diam. (mm)]]/50)^0.45</f>
        <v>#VALUE!</v>
      </c>
      <c r="V311" s="13" t="e">
        <f>Data_PLT[[#This Row],[Is (MPa)]]*Data_PLT[[#This Row],[F]]</f>
        <v>#VALUE!</v>
      </c>
      <c r="W311" s="13" t="str">
        <f>Data_PLT[[#This Row],[Failure Validity]]&amp;"-"&amp;Data_PLT[[#This Row],[Test type]]</f>
        <v>-</v>
      </c>
      <c r="X311" s="13" t="e">
        <f>Data_PLT[[#This Row],[Is50 (MPa)]]*VLOOKUP("Min",Table_PLT_Conversion[],2,FALSE)</f>
        <v>#VALUE!</v>
      </c>
      <c r="Y311" s="13" t="e">
        <f>Data_PLT[[#This Row],[Is50 (MPa)]]*VLOOKUP("Avg",Table_PLT_Conversion[],2,FALSE)</f>
        <v>#VALUE!</v>
      </c>
      <c r="Z311" s="13" t="e">
        <f>Data_PLT[[#This Row],[Is50 (MPa)]]*VLOOKUP("Max",Table_PLT_Conversion[],2,FALSE)</f>
        <v>#VALUE!</v>
      </c>
      <c r="AA311" s="62" t="e">
        <f>MATCH(LOOKUP(Data_PLT[[#This Row],[UCS min (MPa)]],Table_FieldStrength[Min UCS]),Table_FieldStrength[Min UCS],0)-1</f>
        <v>#VALUE!</v>
      </c>
      <c r="AB311" s="62" t="e">
        <f>MATCH(LOOKUP(Data_PLT[[#This Row],[UCS avg (MPa)]],Table_FieldStrength[Min UCS]),Table_FieldStrength[Min UCS],0)-1</f>
        <v>#VALUE!</v>
      </c>
      <c r="AC311" s="62" t="e">
        <f>MATCH(LOOKUP(Data_PLT[[#This Row],[UCS max (MPa)]],Table_FieldStrength[Min UCS]),Table_FieldStrength[Min UCS],0)-1</f>
        <v>#VALUE!</v>
      </c>
      <c r="AD311" s="68" t="e">
        <f>Data_PLT[[#This Row],[Test code]]&amp;"-"&amp;Data_PLT[[#This Row],[UCS min code]]</f>
        <v>#VALUE!</v>
      </c>
      <c r="AE311" s="68" t="e">
        <f>Data_PLT[[#This Row],[Test code]]&amp;"-"&amp;Data_PLT[[#This Row],[UCS avg code]]</f>
        <v>#VALUE!</v>
      </c>
      <c r="AF311" s="67" t="e">
        <f>Data_PLT[[#This Row],[Test code]]&amp;"-"&amp;Data_PLT[[#This Row],[UCS max code]]</f>
        <v>#VALUE!</v>
      </c>
      <c r="AG311" s="67" t="e">
        <f>Data_PLT[[#This Row],[Failure type]]&amp;"-"&amp;Data_PLT[[#This Row],[Test type]]&amp;"-"&amp;(IF(Data_PLT[[#This Row],[Is50 (MPa)]]&lt;1,1,IF(Data_PLT[[#This Row],[Is50 (MPa)]]&lt;2,2,IF(Data_PLT[[#This Row],[Is50 (MPa)]]&lt;4,3,IF(Data_PLT[[#This Row],[Is50 (MPa)]]&lt;8,4,5)))))</f>
        <v>#VALUE!</v>
      </c>
    </row>
    <row r="312" spans="2:33" x14ac:dyDescent="0.25">
      <c r="B312" s="88" t="e">
        <f>VLOOKUP(Data_PLT[[#This Row],[Hole ID]],Data_Log[],2,FALSE)</f>
        <v>#N/A</v>
      </c>
      <c r="C312" s="63" t="str">
        <f>IF(Data_PLT[[#This Row],[Hole ID]]="","",
IF(COUNTIF($A$4:A312,Data_PLT[[#This Row],[Hole ID]])=1,1,
IF(A312=A311,C311+1,
COUNTIF($A$4:A312,Data_PLT[[#This Row],[Hole ID]]))))</f>
        <v/>
      </c>
      <c r="D312" s="63" t="str">
        <f>IF(Data_PLT[[#This Row],[Hole ID]]="","",Data_PLT[[#This Row],[Hole ID]]&amp;"_"&amp;Data_PLT[[#This Row],[Sample ID]])</f>
        <v/>
      </c>
      <c r="E312" s="6"/>
      <c r="F312" s="6"/>
      <c r="G312" s="63" t="e" cm="1">
        <f t="array" ref="G312">_xlfn.XLOOKUP(1,(A312=Geotech!$A$4:$A$11100)*(Data_PLT[[#This Row],[Depth (m)]]&gt;=Geotech!$C$4:$C$11100)*(Data_PLT[[#This Row],[Depth (m)]]&lt;Geotech!$D$4:$D$11100),Geotech!$M$4:$M$11100)</f>
        <v>#N/A</v>
      </c>
      <c r="H312" s="6"/>
      <c r="I312" s="63" t="e">
        <f>VLOOKUP(Data_PLT[[#This Row],[Hole ID]],Data_Log[[Hole ID]:[Core size]],20,FALSE)</f>
        <v>#N/A</v>
      </c>
      <c r="J312" s="13" t="e">
        <f>VLOOKUP(Data_PLT[[#This Row],[Core Size]],Table_CoreSize[],2,FALSE)</f>
        <v>#N/A</v>
      </c>
      <c r="K312" s="19"/>
      <c r="L312" s="19"/>
      <c r="M312" s="5"/>
      <c r="N312" s="5"/>
      <c r="O312" s="6"/>
      <c r="P312" s="13" t="str">
        <f>IF(Data_PLT[[#This Row],[Failure type]]="","",IF(OR(Data_PLT[[#This Row],[Failure type]]="Invalid",Data_PLT[[#This Row],[Failure type]]="Chipped",Data_PLT[[#This Row],[Failure type]]="Penetrate",Data_PLT[[#This Row],[Failure type]]="Did not break"),"Invalid","Valid"))</f>
        <v/>
      </c>
      <c r="Q312" s="6"/>
      <c r="R312" s="11"/>
      <c r="S312" s="13" t="str">
        <f>IF(Data_PLT[[#This Row],[Test type]]="Diametral",Data_PLT[[#This Row],[Diameter (mm)]],IF(Data_PLT[[#This Row],[Test type]]="Axial",SQRT(4*Data_PLT[[#This Row],[Diameter (mm)]]*Data_PLT[[#This Row],[Length or width (mm)]]/PI()),"ERROR"))</f>
        <v>ERROR</v>
      </c>
      <c r="T312" s="13" t="e">
        <f>(Data_PLT[[#This Row],[Load (kN)]]*1000)/Data_PLT[[#This Row],[Equiv. Diam. (mm)]]^2</f>
        <v>#VALUE!</v>
      </c>
      <c r="U312" s="13" t="e">
        <f>(Data_PLT[[#This Row],[Equiv. Diam. (mm)]]/50)^0.45</f>
        <v>#VALUE!</v>
      </c>
      <c r="V312" s="13" t="e">
        <f>Data_PLT[[#This Row],[Is (MPa)]]*Data_PLT[[#This Row],[F]]</f>
        <v>#VALUE!</v>
      </c>
      <c r="W312" s="13" t="str">
        <f>Data_PLT[[#This Row],[Failure Validity]]&amp;"-"&amp;Data_PLT[[#This Row],[Test type]]</f>
        <v>-</v>
      </c>
      <c r="X312" s="13" t="e">
        <f>Data_PLT[[#This Row],[Is50 (MPa)]]*VLOOKUP("Min",Table_PLT_Conversion[],2,FALSE)</f>
        <v>#VALUE!</v>
      </c>
      <c r="Y312" s="13" t="e">
        <f>Data_PLT[[#This Row],[Is50 (MPa)]]*VLOOKUP("Avg",Table_PLT_Conversion[],2,FALSE)</f>
        <v>#VALUE!</v>
      </c>
      <c r="Z312" s="13" t="e">
        <f>Data_PLT[[#This Row],[Is50 (MPa)]]*VLOOKUP("Max",Table_PLT_Conversion[],2,FALSE)</f>
        <v>#VALUE!</v>
      </c>
      <c r="AA312" s="62" t="e">
        <f>MATCH(LOOKUP(Data_PLT[[#This Row],[UCS min (MPa)]],Table_FieldStrength[Min UCS]),Table_FieldStrength[Min UCS],0)-1</f>
        <v>#VALUE!</v>
      </c>
      <c r="AB312" s="62" t="e">
        <f>MATCH(LOOKUP(Data_PLT[[#This Row],[UCS avg (MPa)]],Table_FieldStrength[Min UCS]),Table_FieldStrength[Min UCS],0)-1</f>
        <v>#VALUE!</v>
      </c>
      <c r="AC312" s="62" t="e">
        <f>MATCH(LOOKUP(Data_PLT[[#This Row],[UCS max (MPa)]],Table_FieldStrength[Min UCS]),Table_FieldStrength[Min UCS],0)-1</f>
        <v>#VALUE!</v>
      </c>
      <c r="AD312" s="68" t="e">
        <f>Data_PLT[[#This Row],[Test code]]&amp;"-"&amp;Data_PLT[[#This Row],[UCS min code]]</f>
        <v>#VALUE!</v>
      </c>
      <c r="AE312" s="68" t="e">
        <f>Data_PLT[[#This Row],[Test code]]&amp;"-"&amp;Data_PLT[[#This Row],[UCS avg code]]</f>
        <v>#VALUE!</v>
      </c>
      <c r="AF312" s="67" t="e">
        <f>Data_PLT[[#This Row],[Test code]]&amp;"-"&amp;Data_PLT[[#This Row],[UCS max code]]</f>
        <v>#VALUE!</v>
      </c>
      <c r="AG312" s="67" t="e">
        <f>Data_PLT[[#This Row],[Failure type]]&amp;"-"&amp;Data_PLT[[#This Row],[Test type]]&amp;"-"&amp;(IF(Data_PLT[[#This Row],[Is50 (MPa)]]&lt;1,1,IF(Data_PLT[[#This Row],[Is50 (MPa)]]&lt;2,2,IF(Data_PLT[[#This Row],[Is50 (MPa)]]&lt;4,3,IF(Data_PLT[[#This Row],[Is50 (MPa)]]&lt;8,4,5)))))</f>
        <v>#VALUE!</v>
      </c>
    </row>
    <row r="313" spans="2:33" x14ac:dyDescent="0.25">
      <c r="B313" s="88" t="e">
        <f>VLOOKUP(Data_PLT[[#This Row],[Hole ID]],Data_Log[],2,FALSE)</f>
        <v>#N/A</v>
      </c>
      <c r="C313" s="63" t="str">
        <f>IF(Data_PLT[[#This Row],[Hole ID]]="","",
IF(COUNTIF($A$4:A313,Data_PLT[[#This Row],[Hole ID]])=1,1,
IF(A313=A312,C312+1,
COUNTIF($A$4:A313,Data_PLT[[#This Row],[Hole ID]]))))</f>
        <v/>
      </c>
      <c r="D313" s="63" t="str">
        <f>IF(Data_PLT[[#This Row],[Hole ID]]="","",Data_PLT[[#This Row],[Hole ID]]&amp;"_"&amp;Data_PLT[[#This Row],[Sample ID]])</f>
        <v/>
      </c>
      <c r="E313" s="6"/>
      <c r="F313" s="6"/>
      <c r="G313" s="63" t="e" cm="1">
        <f t="array" ref="G313">_xlfn.XLOOKUP(1,(A313=Geotech!$A$4:$A$11100)*(Data_PLT[[#This Row],[Depth (m)]]&gt;=Geotech!$C$4:$C$11100)*(Data_PLT[[#This Row],[Depth (m)]]&lt;Geotech!$D$4:$D$11100),Geotech!$M$4:$M$11100)</f>
        <v>#N/A</v>
      </c>
      <c r="H313" s="6"/>
      <c r="I313" s="63" t="e">
        <f>VLOOKUP(Data_PLT[[#This Row],[Hole ID]],Data_Log[[Hole ID]:[Core size]],20,FALSE)</f>
        <v>#N/A</v>
      </c>
      <c r="J313" s="13" t="e">
        <f>VLOOKUP(Data_PLT[[#This Row],[Core Size]],Table_CoreSize[],2,FALSE)</f>
        <v>#N/A</v>
      </c>
      <c r="K313" s="19"/>
      <c r="L313" s="19"/>
      <c r="M313" s="5"/>
      <c r="N313" s="5"/>
      <c r="O313" s="6"/>
      <c r="P313" s="13" t="str">
        <f>IF(Data_PLT[[#This Row],[Failure type]]="","",IF(OR(Data_PLT[[#This Row],[Failure type]]="Invalid",Data_PLT[[#This Row],[Failure type]]="Chipped",Data_PLT[[#This Row],[Failure type]]="Penetrate",Data_PLT[[#This Row],[Failure type]]="Did not break"),"Invalid","Valid"))</f>
        <v/>
      </c>
      <c r="Q313" s="6"/>
      <c r="R313" s="11"/>
      <c r="S313" s="13" t="str">
        <f>IF(Data_PLT[[#This Row],[Test type]]="Diametral",Data_PLT[[#This Row],[Diameter (mm)]],IF(Data_PLT[[#This Row],[Test type]]="Axial",SQRT(4*Data_PLT[[#This Row],[Diameter (mm)]]*Data_PLT[[#This Row],[Length or width (mm)]]/PI()),"ERROR"))</f>
        <v>ERROR</v>
      </c>
      <c r="T313" s="13" t="e">
        <f>(Data_PLT[[#This Row],[Load (kN)]]*1000)/Data_PLT[[#This Row],[Equiv. Diam. (mm)]]^2</f>
        <v>#VALUE!</v>
      </c>
      <c r="U313" s="13" t="e">
        <f>(Data_PLT[[#This Row],[Equiv. Diam. (mm)]]/50)^0.45</f>
        <v>#VALUE!</v>
      </c>
      <c r="V313" s="13" t="e">
        <f>Data_PLT[[#This Row],[Is (MPa)]]*Data_PLT[[#This Row],[F]]</f>
        <v>#VALUE!</v>
      </c>
      <c r="W313" s="13" t="str">
        <f>Data_PLT[[#This Row],[Failure Validity]]&amp;"-"&amp;Data_PLT[[#This Row],[Test type]]</f>
        <v>-</v>
      </c>
      <c r="X313" s="13" t="e">
        <f>Data_PLT[[#This Row],[Is50 (MPa)]]*VLOOKUP("Min",Table_PLT_Conversion[],2,FALSE)</f>
        <v>#VALUE!</v>
      </c>
      <c r="Y313" s="13" t="e">
        <f>Data_PLT[[#This Row],[Is50 (MPa)]]*VLOOKUP("Avg",Table_PLT_Conversion[],2,FALSE)</f>
        <v>#VALUE!</v>
      </c>
      <c r="Z313" s="13" t="e">
        <f>Data_PLT[[#This Row],[Is50 (MPa)]]*VLOOKUP("Max",Table_PLT_Conversion[],2,FALSE)</f>
        <v>#VALUE!</v>
      </c>
      <c r="AA313" s="62" t="e">
        <f>MATCH(LOOKUP(Data_PLT[[#This Row],[UCS min (MPa)]],Table_FieldStrength[Min UCS]),Table_FieldStrength[Min UCS],0)-1</f>
        <v>#VALUE!</v>
      </c>
      <c r="AB313" s="62" t="e">
        <f>MATCH(LOOKUP(Data_PLT[[#This Row],[UCS avg (MPa)]],Table_FieldStrength[Min UCS]),Table_FieldStrength[Min UCS],0)-1</f>
        <v>#VALUE!</v>
      </c>
      <c r="AC313" s="62" t="e">
        <f>MATCH(LOOKUP(Data_PLT[[#This Row],[UCS max (MPa)]],Table_FieldStrength[Min UCS]),Table_FieldStrength[Min UCS],0)-1</f>
        <v>#VALUE!</v>
      </c>
      <c r="AD313" s="68" t="e">
        <f>Data_PLT[[#This Row],[Test code]]&amp;"-"&amp;Data_PLT[[#This Row],[UCS min code]]</f>
        <v>#VALUE!</v>
      </c>
      <c r="AE313" s="68" t="e">
        <f>Data_PLT[[#This Row],[Test code]]&amp;"-"&amp;Data_PLT[[#This Row],[UCS avg code]]</f>
        <v>#VALUE!</v>
      </c>
      <c r="AF313" s="67" t="e">
        <f>Data_PLT[[#This Row],[Test code]]&amp;"-"&amp;Data_PLT[[#This Row],[UCS max code]]</f>
        <v>#VALUE!</v>
      </c>
      <c r="AG313" s="67" t="e">
        <f>Data_PLT[[#This Row],[Failure type]]&amp;"-"&amp;Data_PLT[[#This Row],[Test type]]&amp;"-"&amp;(IF(Data_PLT[[#This Row],[Is50 (MPa)]]&lt;1,1,IF(Data_PLT[[#This Row],[Is50 (MPa)]]&lt;2,2,IF(Data_PLT[[#This Row],[Is50 (MPa)]]&lt;4,3,IF(Data_PLT[[#This Row],[Is50 (MPa)]]&lt;8,4,5)))))</f>
        <v>#VALUE!</v>
      </c>
    </row>
    <row r="314" spans="2:33" x14ac:dyDescent="0.25">
      <c r="B314" s="88" t="e">
        <f>VLOOKUP(Data_PLT[[#This Row],[Hole ID]],Data_Log[],2,FALSE)</f>
        <v>#N/A</v>
      </c>
      <c r="C314" s="63" t="str">
        <f>IF(Data_PLT[[#This Row],[Hole ID]]="","",
IF(COUNTIF($A$4:A314,Data_PLT[[#This Row],[Hole ID]])=1,1,
IF(A314=A313,C313+1,
COUNTIF($A$4:A314,Data_PLT[[#This Row],[Hole ID]]))))</f>
        <v/>
      </c>
      <c r="D314" s="63" t="str">
        <f>IF(Data_PLT[[#This Row],[Hole ID]]="","",Data_PLT[[#This Row],[Hole ID]]&amp;"_"&amp;Data_PLT[[#This Row],[Sample ID]])</f>
        <v/>
      </c>
      <c r="E314" s="6"/>
      <c r="F314" s="6"/>
      <c r="G314" s="63" t="e" cm="1">
        <f t="array" ref="G314">_xlfn.XLOOKUP(1,(A314=Geotech!$A$4:$A$11100)*(Data_PLT[[#This Row],[Depth (m)]]&gt;=Geotech!$C$4:$C$11100)*(Data_PLT[[#This Row],[Depth (m)]]&lt;Geotech!$D$4:$D$11100),Geotech!$M$4:$M$11100)</f>
        <v>#N/A</v>
      </c>
      <c r="H314" s="6"/>
      <c r="I314" s="63" t="e">
        <f>VLOOKUP(Data_PLT[[#This Row],[Hole ID]],Data_Log[[Hole ID]:[Core size]],20,FALSE)</f>
        <v>#N/A</v>
      </c>
      <c r="J314" s="13" t="e">
        <f>VLOOKUP(Data_PLT[[#This Row],[Core Size]],Table_CoreSize[],2,FALSE)</f>
        <v>#N/A</v>
      </c>
      <c r="K314" s="19"/>
      <c r="L314" s="19"/>
      <c r="M314" s="5"/>
      <c r="N314" s="5"/>
      <c r="O314" s="6"/>
      <c r="P314" s="13" t="str">
        <f>IF(Data_PLT[[#This Row],[Failure type]]="","",IF(OR(Data_PLT[[#This Row],[Failure type]]="Invalid",Data_PLT[[#This Row],[Failure type]]="Chipped",Data_PLT[[#This Row],[Failure type]]="Penetrate",Data_PLT[[#This Row],[Failure type]]="Did not break"),"Invalid","Valid"))</f>
        <v/>
      </c>
      <c r="Q314" s="6"/>
      <c r="R314" s="11"/>
      <c r="S314" s="13" t="str">
        <f>IF(Data_PLT[[#This Row],[Test type]]="Diametral",Data_PLT[[#This Row],[Diameter (mm)]],IF(Data_PLT[[#This Row],[Test type]]="Axial",SQRT(4*Data_PLT[[#This Row],[Diameter (mm)]]*Data_PLT[[#This Row],[Length or width (mm)]]/PI()),"ERROR"))</f>
        <v>ERROR</v>
      </c>
      <c r="T314" s="13" t="e">
        <f>(Data_PLT[[#This Row],[Load (kN)]]*1000)/Data_PLT[[#This Row],[Equiv. Diam. (mm)]]^2</f>
        <v>#VALUE!</v>
      </c>
      <c r="U314" s="13" t="e">
        <f>(Data_PLT[[#This Row],[Equiv. Diam. (mm)]]/50)^0.45</f>
        <v>#VALUE!</v>
      </c>
      <c r="V314" s="13" t="e">
        <f>Data_PLT[[#This Row],[Is (MPa)]]*Data_PLT[[#This Row],[F]]</f>
        <v>#VALUE!</v>
      </c>
      <c r="W314" s="13" t="str">
        <f>Data_PLT[[#This Row],[Failure Validity]]&amp;"-"&amp;Data_PLT[[#This Row],[Test type]]</f>
        <v>-</v>
      </c>
      <c r="X314" s="13" t="e">
        <f>Data_PLT[[#This Row],[Is50 (MPa)]]*VLOOKUP("Min",Table_PLT_Conversion[],2,FALSE)</f>
        <v>#VALUE!</v>
      </c>
      <c r="Y314" s="13" t="e">
        <f>Data_PLT[[#This Row],[Is50 (MPa)]]*VLOOKUP("Avg",Table_PLT_Conversion[],2,FALSE)</f>
        <v>#VALUE!</v>
      </c>
      <c r="Z314" s="13" t="e">
        <f>Data_PLT[[#This Row],[Is50 (MPa)]]*VLOOKUP("Max",Table_PLT_Conversion[],2,FALSE)</f>
        <v>#VALUE!</v>
      </c>
      <c r="AA314" s="62" t="e">
        <f>MATCH(LOOKUP(Data_PLT[[#This Row],[UCS min (MPa)]],Table_FieldStrength[Min UCS]),Table_FieldStrength[Min UCS],0)-1</f>
        <v>#VALUE!</v>
      </c>
      <c r="AB314" s="62" t="e">
        <f>MATCH(LOOKUP(Data_PLT[[#This Row],[UCS avg (MPa)]],Table_FieldStrength[Min UCS]),Table_FieldStrength[Min UCS],0)-1</f>
        <v>#VALUE!</v>
      </c>
      <c r="AC314" s="62" t="e">
        <f>MATCH(LOOKUP(Data_PLT[[#This Row],[UCS max (MPa)]],Table_FieldStrength[Min UCS]),Table_FieldStrength[Min UCS],0)-1</f>
        <v>#VALUE!</v>
      </c>
      <c r="AD314" s="68" t="e">
        <f>Data_PLT[[#This Row],[Test code]]&amp;"-"&amp;Data_PLT[[#This Row],[UCS min code]]</f>
        <v>#VALUE!</v>
      </c>
      <c r="AE314" s="68" t="e">
        <f>Data_PLT[[#This Row],[Test code]]&amp;"-"&amp;Data_PLT[[#This Row],[UCS avg code]]</f>
        <v>#VALUE!</v>
      </c>
      <c r="AF314" s="67" t="e">
        <f>Data_PLT[[#This Row],[Test code]]&amp;"-"&amp;Data_PLT[[#This Row],[UCS max code]]</f>
        <v>#VALUE!</v>
      </c>
      <c r="AG314" s="67" t="e">
        <f>Data_PLT[[#This Row],[Failure type]]&amp;"-"&amp;Data_PLT[[#This Row],[Test type]]&amp;"-"&amp;(IF(Data_PLT[[#This Row],[Is50 (MPa)]]&lt;1,1,IF(Data_PLT[[#This Row],[Is50 (MPa)]]&lt;2,2,IF(Data_PLT[[#This Row],[Is50 (MPa)]]&lt;4,3,IF(Data_PLT[[#This Row],[Is50 (MPa)]]&lt;8,4,5)))))</f>
        <v>#VALUE!</v>
      </c>
    </row>
    <row r="315" spans="2:33" x14ac:dyDescent="0.25">
      <c r="B315" s="88" t="e">
        <f>VLOOKUP(Data_PLT[[#This Row],[Hole ID]],Data_Log[],2,FALSE)</f>
        <v>#N/A</v>
      </c>
      <c r="C315" s="63" t="str">
        <f>IF(Data_PLT[[#This Row],[Hole ID]]="","",
IF(COUNTIF($A$4:A315,Data_PLT[[#This Row],[Hole ID]])=1,1,
IF(A315=A314,C314+1,
COUNTIF($A$4:A315,Data_PLT[[#This Row],[Hole ID]]))))</f>
        <v/>
      </c>
      <c r="D315" s="63" t="str">
        <f>IF(Data_PLT[[#This Row],[Hole ID]]="","",Data_PLT[[#This Row],[Hole ID]]&amp;"_"&amp;Data_PLT[[#This Row],[Sample ID]])</f>
        <v/>
      </c>
      <c r="E315" s="6"/>
      <c r="F315" s="6"/>
      <c r="G315" s="63" t="e" cm="1">
        <f t="array" ref="G315">_xlfn.XLOOKUP(1,(A315=Geotech!$A$4:$A$11100)*(Data_PLT[[#This Row],[Depth (m)]]&gt;=Geotech!$C$4:$C$11100)*(Data_PLT[[#This Row],[Depth (m)]]&lt;Geotech!$D$4:$D$11100),Geotech!$M$4:$M$11100)</f>
        <v>#N/A</v>
      </c>
      <c r="H315" s="6"/>
      <c r="I315" s="63" t="e">
        <f>VLOOKUP(Data_PLT[[#This Row],[Hole ID]],Data_Log[[Hole ID]:[Core size]],20,FALSE)</f>
        <v>#N/A</v>
      </c>
      <c r="J315" s="13" t="e">
        <f>VLOOKUP(Data_PLT[[#This Row],[Core Size]],Table_CoreSize[],2,FALSE)</f>
        <v>#N/A</v>
      </c>
      <c r="K315" s="19"/>
      <c r="L315" s="19"/>
      <c r="M315" s="5"/>
      <c r="N315" s="5"/>
      <c r="O315" s="6"/>
      <c r="P315" s="13" t="str">
        <f>IF(Data_PLT[[#This Row],[Failure type]]="","",IF(OR(Data_PLT[[#This Row],[Failure type]]="Invalid",Data_PLT[[#This Row],[Failure type]]="Chipped",Data_PLT[[#This Row],[Failure type]]="Penetrate",Data_PLT[[#This Row],[Failure type]]="Did not break"),"Invalid","Valid"))</f>
        <v/>
      </c>
      <c r="Q315" s="6"/>
      <c r="R315" s="11"/>
      <c r="S315" s="13" t="str">
        <f>IF(Data_PLT[[#This Row],[Test type]]="Diametral",Data_PLT[[#This Row],[Diameter (mm)]],IF(Data_PLT[[#This Row],[Test type]]="Axial",SQRT(4*Data_PLT[[#This Row],[Diameter (mm)]]*Data_PLT[[#This Row],[Length or width (mm)]]/PI()),"ERROR"))</f>
        <v>ERROR</v>
      </c>
      <c r="T315" s="13" t="e">
        <f>(Data_PLT[[#This Row],[Load (kN)]]*1000)/Data_PLT[[#This Row],[Equiv. Diam. (mm)]]^2</f>
        <v>#VALUE!</v>
      </c>
      <c r="U315" s="13" t="e">
        <f>(Data_PLT[[#This Row],[Equiv. Diam. (mm)]]/50)^0.45</f>
        <v>#VALUE!</v>
      </c>
      <c r="V315" s="13" t="e">
        <f>Data_PLT[[#This Row],[Is (MPa)]]*Data_PLT[[#This Row],[F]]</f>
        <v>#VALUE!</v>
      </c>
      <c r="W315" s="13" t="str">
        <f>Data_PLT[[#This Row],[Failure Validity]]&amp;"-"&amp;Data_PLT[[#This Row],[Test type]]</f>
        <v>-</v>
      </c>
      <c r="X315" s="13" t="e">
        <f>Data_PLT[[#This Row],[Is50 (MPa)]]*VLOOKUP("Min",Table_PLT_Conversion[],2,FALSE)</f>
        <v>#VALUE!</v>
      </c>
      <c r="Y315" s="13" t="e">
        <f>Data_PLT[[#This Row],[Is50 (MPa)]]*VLOOKUP("Avg",Table_PLT_Conversion[],2,FALSE)</f>
        <v>#VALUE!</v>
      </c>
      <c r="Z315" s="13" t="e">
        <f>Data_PLT[[#This Row],[Is50 (MPa)]]*VLOOKUP("Max",Table_PLT_Conversion[],2,FALSE)</f>
        <v>#VALUE!</v>
      </c>
      <c r="AA315" s="62" t="e">
        <f>MATCH(LOOKUP(Data_PLT[[#This Row],[UCS min (MPa)]],Table_FieldStrength[Min UCS]),Table_FieldStrength[Min UCS],0)-1</f>
        <v>#VALUE!</v>
      </c>
      <c r="AB315" s="62" t="e">
        <f>MATCH(LOOKUP(Data_PLT[[#This Row],[UCS avg (MPa)]],Table_FieldStrength[Min UCS]),Table_FieldStrength[Min UCS],0)-1</f>
        <v>#VALUE!</v>
      </c>
      <c r="AC315" s="62" t="e">
        <f>MATCH(LOOKUP(Data_PLT[[#This Row],[UCS max (MPa)]],Table_FieldStrength[Min UCS]),Table_FieldStrength[Min UCS],0)-1</f>
        <v>#VALUE!</v>
      </c>
      <c r="AD315" s="68" t="e">
        <f>Data_PLT[[#This Row],[Test code]]&amp;"-"&amp;Data_PLT[[#This Row],[UCS min code]]</f>
        <v>#VALUE!</v>
      </c>
      <c r="AE315" s="68" t="e">
        <f>Data_PLT[[#This Row],[Test code]]&amp;"-"&amp;Data_PLT[[#This Row],[UCS avg code]]</f>
        <v>#VALUE!</v>
      </c>
      <c r="AF315" s="67" t="e">
        <f>Data_PLT[[#This Row],[Test code]]&amp;"-"&amp;Data_PLT[[#This Row],[UCS max code]]</f>
        <v>#VALUE!</v>
      </c>
      <c r="AG315" s="67" t="e">
        <f>Data_PLT[[#This Row],[Failure type]]&amp;"-"&amp;Data_PLT[[#This Row],[Test type]]&amp;"-"&amp;(IF(Data_PLT[[#This Row],[Is50 (MPa)]]&lt;1,1,IF(Data_PLT[[#This Row],[Is50 (MPa)]]&lt;2,2,IF(Data_PLT[[#This Row],[Is50 (MPa)]]&lt;4,3,IF(Data_PLT[[#This Row],[Is50 (MPa)]]&lt;8,4,5)))))</f>
        <v>#VALUE!</v>
      </c>
    </row>
    <row r="316" spans="2:33" x14ac:dyDescent="0.25">
      <c r="B316" s="88" t="e">
        <f>VLOOKUP(Data_PLT[[#This Row],[Hole ID]],Data_Log[],2,FALSE)</f>
        <v>#N/A</v>
      </c>
      <c r="C316" s="63" t="str">
        <f>IF(Data_PLT[[#This Row],[Hole ID]]="","",
IF(COUNTIF($A$4:A316,Data_PLT[[#This Row],[Hole ID]])=1,1,
IF(A316=A315,C315+1,
COUNTIF($A$4:A316,Data_PLT[[#This Row],[Hole ID]]))))</f>
        <v/>
      </c>
      <c r="D316" s="63" t="str">
        <f>IF(Data_PLT[[#This Row],[Hole ID]]="","",Data_PLT[[#This Row],[Hole ID]]&amp;"_"&amp;Data_PLT[[#This Row],[Sample ID]])</f>
        <v/>
      </c>
      <c r="E316" s="6"/>
      <c r="F316" s="6"/>
      <c r="G316" s="63" t="e" cm="1">
        <f t="array" ref="G316">_xlfn.XLOOKUP(1,(A316=Geotech!$A$4:$A$11100)*(Data_PLT[[#This Row],[Depth (m)]]&gt;=Geotech!$C$4:$C$11100)*(Data_PLT[[#This Row],[Depth (m)]]&lt;Geotech!$D$4:$D$11100),Geotech!$M$4:$M$11100)</f>
        <v>#N/A</v>
      </c>
      <c r="H316" s="6"/>
      <c r="I316" s="63" t="e">
        <f>VLOOKUP(Data_PLT[[#This Row],[Hole ID]],Data_Log[[Hole ID]:[Core size]],20,FALSE)</f>
        <v>#N/A</v>
      </c>
      <c r="J316" s="13" t="e">
        <f>VLOOKUP(Data_PLT[[#This Row],[Core Size]],Table_CoreSize[],2,FALSE)</f>
        <v>#N/A</v>
      </c>
      <c r="K316" s="19"/>
      <c r="L316" s="19"/>
      <c r="M316" s="5"/>
      <c r="N316" s="5"/>
      <c r="O316" s="6"/>
      <c r="P316" s="13" t="str">
        <f>IF(Data_PLT[[#This Row],[Failure type]]="","",IF(OR(Data_PLT[[#This Row],[Failure type]]="Invalid",Data_PLT[[#This Row],[Failure type]]="Chipped",Data_PLT[[#This Row],[Failure type]]="Penetrate",Data_PLT[[#This Row],[Failure type]]="Did not break"),"Invalid","Valid"))</f>
        <v/>
      </c>
      <c r="Q316" s="6"/>
      <c r="R316" s="11"/>
      <c r="S316" s="13" t="str">
        <f>IF(Data_PLT[[#This Row],[Test type]]="Diametral",Data_PLT[[#This Row],[Diameter (mm)]],IF(Data_PLT[[#This Row],[Test type]]="Axial",SQRT(4*Data_PLT[[#This Row],[Diameter (mm)]]*Data_PLT[[#This Row],[Length or width (mm)]]/PI()),"ERROR"))</f>
        <v>ERROR</v>
      </c>
      <c r="T316" s="13" t="e">
        <f>(Data_PLT[[#This Row],[Load (kN)]]*1000)/Data_PLT[[#This Row],[Equiv. Diam. (mm)]]^2</f>
        <v>#VALUE!</v>
      </c>
      <c r="U316" s="13" t="e">
        <f>(Data_PLT[[#This Row],[Equiv. Diam. (mm)]]/50)^0.45</f>
        <v>#VALUE!</v>
      </c>
      <c r="V316" s="13" t="e">
        <f>Data_PLT[[#This Row],[Is (MPa)]]*Data_PLT[[#This Row],[F]]</f>
        <v>#VALUE!</v>
      </c>
      <c r="W316" s="13" t="str">
        <f>Data_PLT[[#This Row],[Failure Validity]]&amp;"-"&amp;Data_PLT[[#This Row],[Test type]]</f>
        <v>-</v>
      </c>
      <c r="X316" s="13" t="e">
        <f>Data_PLT[[#This Row],[Is50 (MPa)]]*VLOOKUP("Min",Table_PLT_Conversion[],2,FALSE)</f>
        <v>#VALUE!</v>
      </c>
      <c r="Y316" s="13" t="e">
        <f>Data_PLT[[#This Row],[Is50 (MPa)]]*VLOOKUP("Avg",Table_PLT_Conversion[],2,FALSE)</f>
        <v>#VALUE!</v>
      </c>
      <c r="Z316" s="13" t="e">
        <f>Data_PLT[[#This Row],[Is50 (MPa)]]*VLOOKUP("Max",Table_PLT_Conversion[],2,FALSE)</f>
        <v>#VALUE!</v>
      </c>
      <c r="AA316" s="62" t="e">
        <f>MATCH(LOOKUP(Data_PLT[[#This Row],[UCS min (MPa)]],Table_FieldStrength[Min UCS]),Table_FieldStrength[Min UCS],0)-1</f>
        <v>#VALUE!</v>
      </c>
      <c r="AB316" s="62" t="e">
        <f>MATCH(LOOKUP(Data_PLT[[#This Row],[UCS avg (MPa)]],Table_FieldStrength[Min UCS]),Table_FieldStrength[Min UCS],0)-1</f>
        <v>#VALUE!</v>
      </c>
      <c r="AC316" s="62" t="e">
        <f>MATCH(LOOKUP(Data_PLT[[#This Row],[UCS max (MPa)]],Table_FieldStrength[Min UCS]),Table_FieldStrength[Min UCS],0)-1</f>
        <v>#VALUE!</v>
      </c>
      <c r="AD316" s="68" t="e">
        <f>Data_PLT[[#This Row],[Test code]]&amp;"-"&amp;Data_PLT[[#This Row],[UCS min code]]</f>
        <v>#VALUE!</v>
      </c>
      <c r="AE316" s="68" t="e">
        <f>Data_PLT[[#This Row],[Test code]]&amp;"-"&amp;Data_PLT[[#This Row],[UCS avg code]]</f>
        <v>#VALUE!</v>
      </c>
      <c r="AF316" s="67" t="e">
        <f>Data_PLT[[#This Row],[Test code]]&amp;"-"&amp;Data_PLT[[#This Row],[UCS max code]]</f>
        <v>#VALUE!</v>
      </c>
      <c r="AG316" s="67" t="e">
        <f>Data_PLT[[#This Row],[Failure type]]&amp;"-"&amp;Data_PLT[[#This Row],[Test type]]&amp;"-"&amp;(IF(Data_PLT[[#This Row],[Is50 (MPa)]]&lt;1,1,IF(Data_PLT[[#This Row],[Is50 (MPa)]]&lt;2,2,IF(Data_PLT[[#This Row],[Is50 (MPa)]]&lt;4,3,IF(Data_PLT[[#This Row],[Is50 (MPa)]]&lt;8,4,5)))))</f>
        <v>#VALUE!</v>
      </c>
    </row>
    <row r="317" spans="2:33" x14ac:dyDescent="0.25">
      <c r="B317" s="88" t="e">
        <f>VLOOKUP(Data_PLT[[#This Row],[Hole ID]],Data_Log[],2,FALSE)</f>
        <v>#N/A</v>
      </c>
      <c r="C317" s="63" t="str">
        <f>IF(Data_PLT[[#This Row],[Hole ID]]="","",
IF(COUNTIF($A$4:A317,Data_PLT[[#This Row],[Hole ID]])=1,1,
IF(A317=A316,C316+1,
COUNTIF($A$4:A317,Data_PLT[[#This Row],[Hole ID]]))))</f>
        <v/>
      </c>
      <c r="D317" s="63" t="str">
        <f>IF(Data_PLT[[#This Row],[Hole ID]]="","",Data_PLT[[#This Row],[Hole ID]]&amp;"_"&amp;Data_PLT[[#This Row],[Sample ID]])</f>
        <v/>
      </c>
      <c r="E317" s="6"/>
      <c r="F317" s="6"/>
      <c r="G317" s="63" t="e" cm="1">
        <f t="array" ref="G317">_xlfn.XLOOKUP(1,(A317=Geotech!$A$4:$A$11100)*(Data_PLT[[#This Row],[Depth (m)]]&gt;=Geotech!$C$4:$C$11100)*(Data_PLT[[#This Row],[Depth (m)]]&lt;Geotech!$D$4:$D$11100),Geotech!$M$4:$M$11100)</f>
        <v>#N/A</v>
      </c>
      <c r="H317" s="6"/>
      <c r="I317" s="63" t="e">
        <f>VLOOKUP(Data_PLT[[#This Row],[Hole ID]],Data_Log[[Hole ID]:[Core size]],20,FALSE)</f>
        <v>#N/A</v>
      </c>
      <c r="J317" s="13" t="e">
        <f>VLOOKUP(Data_PLT[[#This Row],[Core Size]],Table_CoreSize[],2,FALSE)</f>
        <v>#N/A</v>
      </c>
      <c r="K317" s="19"/>
      <c r="L317" s="19"/>
      <c r="M317" s="5"/>
      <c r="N317" s="5"/>
      <c r="O317" s="6"/>
      <c r="P317" s="13" t="str">
        <f>IF(Data_PLT[[#This Row],[Failure type]]="","",IF(OR(Data_PLT[[#This Row],[Failure type]]="Invalid",Data_PLT[[#This Row],[Failure type]]="Chipped",Data_PLT[[#This Row],[Failure type]]="Penetrate",Data_PLT[[#This Row],[Failure type]]="Did not break"),"Invalid","Valid"))</f>
        <v/>
      </c>
      <c r="Q317" s="6"/>
      <c r="R317" s="11"/>
      <c r="S317" s="13" t="str">
        <f>IF(Data_PLT[[#This Row],[Test type]]="Diametral",Data_PLT[[#This Row],[Diameter (mm)]],IF(Data_PLT[[#This Row],[Test type]]="Axial",SQRT(4*Data_PLT[[#This Row],[Diameter (mm)]]*Data_PLT[[#This Row],[Length or width (mm)]]/PI()),"ERROR"))</f>
        <v>ERROR</v>
      </c>
      <c r="T317" s="13" t="e">
        <f>(Data_PLT[[#This Row],[Load (kN)]]*1000)/Data_PLT[[#This Row],[Equiv. Diam. (mm)]]^2</f>
        <v>#VALUE!</v>
      </c>
      <c r="U317" s="13" t="e">
        <f>(Data_PLT[[#This Row],[Equiv. Diam. (mm)]]/50)^0.45</f>
        <v>#VALUE!</v>
      </c>
      <c r="V317" s="13" t="e">
        <f>Data_PLT[[#This Row],[Is (MPa)]]*Data_PLT[[#This Row],[F]]</f>
        <v>#VALUE!</v>
      </c>
      <c r="W317" s="13" t="str">
        <f>Data_PLT[[#This Row],[Failure Validity]]&amp;"-"&amp;Data_PLT[[#This Row],[Test type]]</f>
        <v>-</v>
      </c>
      <c r="X317" s="13" t="e">
        <f>Data_PLT[[#This Row],[Is50 (MPa)]]*VLOOKUP("Min",Table_PLT_Conversion[],2,FALSE)</f>
        <v>#VALUE!</v>
      </c>
      <c r="Y317" s="13" t="e">
        <f>Data_PLT[[#This Row],[Is50 (MPa)]]*VLOOKUP("Avg",Table_PLT_Conversion[],2,FALSE)</f>
        <v>#VALUE!</v>
      </c>
      <c r="Z317" s="13" t="e">
        <f>Data_PLT[[#This Row],[Is50 (MPa)]]*VLOOKUP("Max",Table_PLT_Conversion[],2,FALSE)</f>
        <v>#VALUE!</v>
      </c>
      <c r="AA317" s="62" t="e">
        <f>MATCH(LOOKUP(Data_PLT[[#This Row],[UCS min (MPa)]],Table_FieldStrength[Min UCS]),Table_FieldStrength[Min UCS],0)-1</f>
        <v>#VALUE!</v>
      </c>
      <c r="AB317" s="62" t="e">
        <f>MATCH(LOOKUP(Data_PLT[[#This Row],[UCS avg (MPa)]],Table_FieldStrength[Min UCS]),Table_FieldStrength[Min UCS],0)-1</f>
        <v>#VALUE!</v>
      </c>
      <c r="AC317" s="62" t="e">
        <f>MATCH(LOOKUP(Data_PLT[[#This Row],[UCS max (MPa)]],Table_FieldStrength[Min UCS]),Table_FieldStrength[Min UCS],0)-1</f>
        <v>#VALUE!</v>
      </c>
      <c r="AD317" s="68" t="e">
        <f>Data_PLT[[#This Row],[Test code]]&amp;"-"&amp;Data_PLT[[#This Row],[UCS min code]]</f>
        <v>#VALUE!</v>
      </c>
      <c r="AE317" s="68" t="e">
        <f>Data_PLT[[#This Row],[Test code]]&amp;"-"&amp;Data_PLT[[#This Row],[UCS avg code]]</f>
        <v>#VALUE!</v>
      </c>
      <c r="AF317" s="67" t="e">
        <f>Data_PLT[[#This Row],[Test code]]&amp;"-"&amp;Data_PLT[[#This Row],[UCS max code]]</f>
        <v>#VALUE!</v>
      </c>
      <c r="AG317" s="67" t="e">
        <f>Data_PLT[[#This Row],[Failure type]]&amp;"-"&amp;Data_PLT[[#This Row],[Test type]]&amp;"-"&amp;(IF(Data_PLT[[#This Row],[Is50 (MPa)]]&lt;1,1,IF(Data_PLT[[#This Row],[Is50 (MPa)]]&lt;2,2,IF(Data_PLT[[#This Row],[Is50 (MPa)]]&lt;4,3,IF(Data_PLT[[#This Row],[Is50 (MPa)]]&lt;8,4,5)))))</f>
        <v>#VALUE!</v>
      </c>
    </row>
    <row r="318" spans="2:33" x14ac:dyDescent="0.25">
      <c r="B318" s="88" t="e">
        <f>VLOOKUP(Data_PLT[[#This Row],[Hole ID]],Data_Log[],2,FALSE)</f>
        <v>#N/A</v>
      </c>
      <c r="C318" s="63" t="str">
        <f>IF(Data_PLT[[#This Row],[Hole ID]]="","",
IF(COUNTIF($A$4:A318,Data_PLT[[#This Row],[Hole ID]])=1,1,
IF(A318=A317,C317+1,
COUNTIF($A$4:A318,Data_PLT[[#This Row],[Hole ID]]))))</f>
        <v/>
      </c>
      <c r="D318" s="63" t="str">
        <f>IF(Data_PLT[[#This Row],[Hole ID]]="","",Data_PLT[[#This Row],[Hole ID]]&amp;"_"&amp;Data_PLT[[#This Row],[Sample ID]])</f>
        <v/>
      </c>
      <c r="E318" s="6"/>
      <c r="F318" s="6"/>
      <c r="G318" s="63" t="e" cm="1">
        <f t="array" ref="G318">_xlfn.XLOOKUP(1,(A318=Geotech!$A$4:$A$11100)*(Data_PLT[[#This Row],[Depth (m)]]&gt;=Geotech!$C$4:$C$11100)*(Data_PLT[[#This Row],[Depth (m)]]&lt;Geotech!$D$4:$D$11100),Geotech!$M$4:$M$11100)</f>
        <v>#N/A</v>
      </c>
      <c r="H318" s="6"/>
      <c r="I318" s="63" t="e">
        <f>VLOOKUP(Data_PLT[[#This Row],[Hole ID]],Data_Log[[Hole ID]:[Core size]],20,FALSE)</f>
        <v>#N/A</v>
      </c>
      <c r="J318" s="13" t="e">
        <f>VLOOKUP(Data_PLT[[#This Row],[Core Size]],Table_CoreSize[],2,FALSE)</f>
        <v>#N/A</v>
      </c>
      <c r="K318" s="19"/>
      <c r="L318" s="19"/>
      <c r="M318" s="5"/>
      <c r="N318" s="5"/>
      <c r="O318" s="6"/>
      <c r="P318" s="13" t="str">
        <f>IF(Data_PLT[[#This Row],[Failure type]]="","",IF(OR(Data_PLT[[#This Row],[Failure type]]="Invalid",Data_PLT[[#This Row],[Failure type]]="Chipped",Data_PLT[[#This Row],[Failure type]]="Penetrate",Data_PLT[[#This Row],[Failure type]]="Did not break"),"Invalid","Valid"))</f>
        <v/>
      </c>
      <c r="Q318" s="6"/>
      <c r="R318" s="11"/>
      <c r="S318" s="13" t="str">
        <f>IF(Data_PLT[[#This Row],[Test type]]="Diametral",Data_PLT[[#This Row],[Diameter (mm)]],IF(Data_PLT[[#This Row],[Test type]]="Axial",SQRT(4*Data_PLT[[#This Row],[Diameter (mm)]]*Data_PLT[[#This Row],[Length or width (mm)]]/PI()),"ERROR"))</f>
        <v>ERROR</v>
      </c>
      <c r="T318" s="13" t="e">
        <f>(Data_PLT[[#This Row],[Load (kN)]]*1000)/Data_PLT[[#This Row],[Equiv. Diam. (mm)]]^2</f>
        <v>#VALUE!</v>
      </c>
      <c r="U318" s="13" t="e">
        <f>(Data_PLT[[#This Row],[Equiv. Diam. (mm)]]/50)^0.45</f>
        <v>#VALUE!</v>
      </c>
      <c r="V318" s="13" t="e">
        <f>Data_PLT[[#This Row],[Is (MPa)]]*Data_PLT[[#This Row],[F]]</f>
        <v>#VALUE!</v>
      </c>
      <c r="W318" s="13" t="str">
        <f>Data_PLT[[#This Row],[Failure Validity]]&amp;"-"&amp;Data_PLT[[#This Row],[Test type]]</f>
        <v>-</v>
      </c>
      <c r="X318" s="13" t="e">
        <f>Data_PLT[[#This Row],[Is50 (MPa)]]*VLOOKUP("Min",Table_PLT_Conversion[],2,FALSE)</f>
        <v>#VALUE!</v>
      </c>
      <c r="Y318" s="13" t="e">
        <f>Data_PLT[[#This Row],[Is50 (MPa)]]*VLOOKUP("Avg",Table_PLT_Conversion[],2,FALSE)</f>
        <v>#VALUE!</v>
      </c>
      <c r="Z318" s="13" t="e">
        <f>Data_PLT[[#This Row],[Is50 (MPa)]]*VLOOKUP("Max",Table_PLT_Conversion[],2,FALSE)</f>
        <v>#VALUE!</v>
      </c>
      <c r="AA318" s="62" t="e">
        <f>MATCH(LOOKUP(Data_PLT[[#This Row],[UCS min (MPa)]],Table_FieldStrength[Min UCS]),Table_FieldStrength[Min UCS],0)-1</f>
        <v>#VALUE!</v>
      </c>
      <c r="AB318" s="62" t="e">
        <f>MATCH(LOOKUP(Data_PLT[[#This Row],[UCS avg (MPa)]],Table_FieldStrength[Min UCS]),Table_FieldStrength[Min UCS],0)-1</f>
        <v>#VALUE!</v>
      </c>
      <c r="AC318" s="62" t="e">
        <f>MATCH(LOOKUP(Data_PLT[[#This Row],[UCS max (MPa)]],Table_FieldStrength[Min UCS]),Table_FieldStrength[Min UCS],0)-1</f>
        <v>#VALUE!</v>
      </c>
      <c r="AD318" s="68" t="e">
        <f>Data_PLT[[#This Row],[Test code]]&amp;"-"&amp;Data_PLT[[#This Row],[UCS min code]]</f>
        <v>#VALUE!</v>
      </c>
      <c r="AE318" s="68" t="e">
        <f>Data_PLT[[#This Row],[Test code]]&amp;"-"&amp;Data_PLT[[#This Row],[UCS avg code]]</f>
        <v>#VALUE!</v>
      </c>
      <c r="AF318" s="67" t="e">
        <f>Data_PLT[[#This Row],[Test code]]&amp;"-"&amp;Data_PLT[[#This Row],[UCS max code]]</f>
        <v>#VALUE!</v>
      </c>
      <c r="AG318" s="67" t="e">
        <f>Data_PLT[[#This Row],[Failure type]]&amp;"-"&amp;Data_PLT[[#This Row],[Test type]]&amp;"-"&amp;(IF(Data_PLT[[#This Row],[Is50 (MPa)]]&lt;1,1,IF(Data_PLT[[#This Row],[Is50 (MPa)]]&lt;2,2,IF(Data_PLT[[#This Row],[Is50 (MPa)]]&lt;4,3,IF(Data_PLT[[#This Row],[Is50 (MPa)]]&lt;8,4,5)))))</f>
        <v>#VALUE!</v>
      </c>
    </row>
    <row r="319" spans="2:33" x14ac:dyDescent="0.25">
      <c r="B319" s="88" t="e">
        <f>VLOOKUP(Data_PLT[[#This Row],[Hole ID]],Data_Log[],2,FALSE)</f>
        <v>#N/A</v>
      </c>
      <c r="C319" s="63" t="str">
        <f>IF(Data_PLT[[#This Row],[Hole ID]]="","",
IF(COUNTIF($A$4:A319,Data_PLT[[#This Row],[Hole ID]])=1,1,
IF(A319=A318,C318+1,
COUNTIF($A$4:A319,Data_PLT[[#This Row],[Hole ID]]))))</f>
        <v/>
      </c>
      <c r="D319" s="63" t="str">
        <f>IF(Data_PLT[[#This Row],[Hole ID]]="","",Data_PLT[[#This Row],[Hole ID]]&amp;"_"&amp;Data_PLT[[#This Row],[Sample ID]])</f>
        <v/>
      </c>
      <c r="E319" s="6"/>
      <c r="F319" s="6"/>
      <c r="G319" s="63" t="e" cm="1">
        <f t="array" ref="G319">_xlfn.XLOOKUP(1,(A319=Geotech!$A$4:$A$11100)*(Data_PLT[[#This Row],[Depth (m)]]&gt;=Geotech!$C$4:$C$11100)*(Data_PLT[[#This Row],[Depth (m)]]&lt;Geotech!$D$4:$D$11100),Geotech!$M$4:$M$11100)</f>
        <v>#N/A</v>
      </c>
      <c r="H319" s="6"/>
      <c r="I319" s="63" t="e">
        <f>VLOOKUP(Data_PLT[[#This Row],[Hole ID]],Data_Log[[Hole ID]:[Core size]],20,FALSE)</f>
        <v>#N/A</v>
      </c>
      <c r="J319" s="13" t="e">
        <f>VLOOKUP(Data_PLT[[#This Row],[Core Size]],Table_CoreSize[],2,FALSE)</f>
        <v>#N/A</v>
      </c>
      <c r="K319" s="19"/>
      <c r="L319" s="19"/>
      <c r="M319" s="5"/>
      <c r="N319" s="5"/>
      <c r="O319" s="6"/>
      <c r="P319" s="13" t="str">
        <f>IF(Data_PLT[[#This Row],[Failure type]]="","",IF(OR(Data_PLT[[#This Row],[Failure type]]="Invalid",Data_PLT[[#This Row],[Failure type]]="Chipped",Data_PLT[[#This Row],[Failure type]]="Penetrate",Data_PLT[[#This Row],[Failure type]]="Did not break"),"Invalid","Valid"))</f>
        <v/>
      </c>
      <c r="Q319" s="6"/>
      <c r="R319" s="11"/>
      <c r="S319" s="13" t="str">
        <f>IF(Data_PLT[[#This Row],[Test type]]="Diametral",Data_PLT[[#This Row],[Diameter (mm)]],IF(Data_PLT[[#This Row],[Test type]]="Axial",SQRT(4*Data_PLT[[#This Row],[Diameter (mm)]]*Data_PLT[[#This Row],[Length or width (mm)]]/PI()),"ERROR"))</f>
        <v>ERROR</v>
      </c>
      <c r="T319" s="13" t="e">
        <f>(Data_PLT[[#This Row],[Load (kN)]]*1000)/Data_PLT[[#This Row],[Equiv. Diam. (mm)]]^2</f>
        <v>#VALUE!</v>
      </c>
      <c r="U319" s="13" t="e">
        <f>(Data_PLT[[#This Row],[Equiv. Diam. (mm)]]/50)^0.45</f>
        <v>#VALUE!</v>
      </c>
      <c r="V319" s="13" t="e">
        <f>Data_PLT[[#This Row],[Is (MPa)]]*Data_PLT[[#This Row],[F]]</f>
        <v>#VALUE!</v>
      </c>
      <c r="W319" s="13" t="str">
        <f>Data_PLT[[#This Row],[Failure Validity]]&amp;"-"&amp;Data_PLT[[#This Row],[Test type]]</f>
        <v>-</v>
      </c>
      <c r="X319" s="13" t="e">
        <f>Data_PLT[[#This Row],[Is50 (MPa)]]*VLOOKUP("Min",Table_PLT_Conversion[],2,FALSE)</f>
        <v>#VALUE!</v>
      </c>
      <c r="Y319" s="13" t="e">
        <f>Data_PLT[[#This Row],[Is50 (MPa)]]*VLOOKUP("Avg",Table_PLT_Conversion[],2,FALSE)</f>
        <v>#VALUE!</v>
      </c>
      <c r="Z319" s="13" t="e">
        <f>Data_PLT[[#This Row],[Is50 (MPa)]]*VLOOKUP("Max",Table_PLT_Conversion[],2,FALSE)</f>
        <v>#VALUE!</v>
      </c>
      <c r="AA319" s="62" t="e">
        <f>MATCH(LOOKUP(Data_PLT[[#This Row],[UCS min (MPa)]],Table_FieldStrength[Min UCS]),Table_FieldStrength[Min UCS],0)-1</f>
        <v>#VALUE!</v>
      </c>
      <c r="AB319" s="62" t="e">
        <f>MATCH(LOOKUP(Data_PLT[[#This Row],[UCS avg (MPa)]],Table_FieldStrength[Min UCS]),Table_FieldStrength[Min UCS],0)-1</f>
        <v>#VALUE!</v>
      </c>
      <c r="AC319" s="62" t="e">
        <f>MATCH(LOOKUP(Data_PLT[[#This Row],[UCS max (MPa)]],Table_FieldStrength[Min UCS]),Table_FieldStrength[Min UCS],0)-1</f>
        <v>#VALUE!</v>
      </c>
      <c r="AD319" s="68" t="e">
        <f>Data_PLT[[#This Row],[Test code]]&amp;"-"&amp;Data_PLT[[#This Row],[UCS min code]]</f>
        <v>#VALUE!</v>
      </c>
      <c r="AE319" s="68" t="e">
        <f>Data_PLT[[#This Row],[Test code]]&amp;"-"&amp;Data_PLT[[#This Row],[UCS avg code]]</f>
        <v>#VALUE!</v>
      </c>
      <c r="AF319" s="67" t="e">
        <f>Data_PLT[[#This Row],[Test code]]&amp;"-"&amp;Data_PLT[[#This Row],[UCS max code]]</f>
        <v>#VALUE!</v>
      </c>
      <c r="AG319" s="67" t="e">
        <f>Data_PLT[[#This Row],[Failure type]]&amp;"-"&amp;Data_PLT[[#This Row],[Test type]]&amp;"-"&amp;(IF(Data_PLT[[#This Row],[Is50 (MPa)]]&lt;1,1,IF(Data_PLT[[#This Row],[Is50 (MPa)]]&lt;2,2,IF(Data_PLT[[#This Row],[Is50 (MPa)]]&lt;4,3,IF(Data_PLT[[#This Row],[Is50 (MPa)]]&lt;8,4,5)))))</f>
        <v>#VALUE!</v>
      </c>
    </row>
    <row r="320" spans="2:33" x14ac:dyDescent="0.25">
      <c r="B320" s="88" t="e">
        <f>VLOOKUP(Data_PLT[[#This Row],[Hole ID]],Data_Log[],2,FALSE)</f>
        <v>#N/A</v>
      </c>
      <c r="C320" s="63" t="str">
        <f>IF(Data_PLT[[#This Row],[Hole ID]]="","",
IF(COUNTIF($A$4:A320,Data_PLT[[#This Row],[Hole ID]])=1,1,
IF(A320=A319,C319+1,
COUNTIF($A$4:A320,Data_PLT[[#This Row],[Hole ID]]))))</f>
        <v/>
      </c>
      <c r="D320" s="63" t="str">
        <f>IF(Data_PLT[[#This Row],[Hole ID]]="","",Data_PLT[[#This Row],[Hole ID]]&amp;"_"&amp;Data_PLT[[#This Row],[Sample ID]])</f>
        <v/>
      </c>
      <c r="E320" s="6"/>
      <c r="F320" s="6"/>
      <c r="G320" s="63" t="e" cm="1">
        <f t="array" ref="G320">_xlfn.XLOOKUP(1,(A320=Geotech!$A$4:$A$11100)*(Data_PLT[[#This Row],[Depth (m)]]&gt;=Geotech!$C$4:$C$11100)*(Data_PLT[[#This Row],[Depth (m)]]&lt;Geotech!$D$4:$D$11100),Geotech!$M$4:$M$11100)</f>
        <v>#N/A</v>
      </c>
      <c r="H320" s="6"/>
      <c r="I320" s="63" t="e">
        <f>VLOOKUP(Data_PLT[[#This Row],[Hole ID]],Data_Log[[Hole ID]:[Core size]],20,FALSE)</f>
        <v>#N/A</v>
      </c>
      <c r="J320" s="13" t="e">
        <f>VLOOKUP(Data_PLT[[#This Row],[Core Size]],Table_CoreSize[],2,FALSE)</f>
        <v>#N/A</v>
      </c>
      <c r="K320" s="19"/>
      <c r="L320" s="19"/>
      <c r="M320" s="5"/>
      <c r="N320" s="5"/>
      <c r="O320" s="6"/>
      <c r="P320" s="13" t="str">
        <f>IF(Data_PLT[[#This Row],[Failure type]]="","",IF(OR(Data_PLT[[#This Row],[Failure type]]="Invalid",Data_PLT[[#This Row],[Failure type]]="Chipped",Data_PLT[[#This Row],[Failure type]]="Penetrate",Data_PLT[[#This Row],[Failure type]]="Did not break"),"Invalid","Valid"))</f>
        <v/>
      </c>
      <c r="Q320" s="6"/>
      <c r="R320" s="11"/>
      <c r="S320" s="13" t="str">
        <f>IF(Data_PLT[[#This Row],[Test type]]="Diametral",Data_PLT[[#This Row],[Diameter (mm)]],IF(Data_PLT[[#This Row],[Test type]]="Axial",SQRT(4*Data_PLT[[#This Row],[Diameter (mm)]]*Data_PLT[[#This Row],[Length or width (mm)]]/PI()),"ERROR"))</f>
        <v>ERROR</v>
      </c>
      <c r="T320" s="13" t="e">
        <f>(Data_PLT[[#This Row],[Load (kN)]]*1000)/Data_PLT[[#This Row],[Equiv. Diam. (mm)]]^2</f>
        <v>#VALUE!</v>
      </c>
      <c r="U320" s="13" t="e">
        <f>(Data_PLT[[#This Row],[Equiv. Diam. (mm)]]/50)^0.45</f>
        <v>#VALUE!</v>
      </c>
      <c r="V320" s="13" t="e">
        <f>Data_PLT[[#This Row],[Is (MPa)]]*Data_PLT[[#This Row],[F]]</f>
        <v>#VALUE!</v>
      </c>
      <c r="W320" s="13" t="str">
        <f>Data_PLT[[#This Row],[Failure Validity]]&amp;"-"&amp;Data_PLT[[#This Row],[Test type]]</f>
        <v>-</v>
      </c>
      <c r="X320" s="13" t="e">
        <f>Data_PLT[[#This Row],[Is50 (MPa)]]*VLOOKUP("Min",Table_PLT_Conversion[],2,FALSE)</f>
        <v>#VALUE!</v>
      </c>
      <c r="Y320" s="13" t="e">
        <f>Data_PLT[[#This Row],[Is50 (MPa)]]*VLOOKUP("Avg",Table_PLT_Conversion[],2,FALSE)</f>
        <v>#VALUE!</v>
      </c>
      <c r="Z320" s="13" t="e">
        <f>Data_PLT[[#This Row],[Is50 (MPa)]]*VLOOKUP("Max",Table_PLT_Conversion[],2,FALSE)</f>
        <v>#VALUE!</v>
      </c>
      <c r="AA320" s="62" t="e">
        <f>MATCH(LOOKUP(Data_PLT[[#This Row],[UCS min (MPa)]],Table_FieldStrength[Min UCS]),Table_FieldStrength[Min UCS],0)-1</f>
        <v>#VALUE!</v>
      </c>
      <c r="AB320" s="62" t="e">
        <f>MATCH(LOOKUP(Data_PLT[[#This Row],[UCS avg (MPa)]],Table_FieldStrength[Min UCS]),Table_FieldStrength[Min UCS],0)-1</f>
        <v>#VALUE!</v>
      </c>
      <c r="AC320" s="62" t="e">
        <f>MATCH(LOOKUP(Data_PLT[[#This Row],[UCS max (MPa)]],Table_FieldStrength[Min UCS]),Table_FieldStrength[Min UCS],0)-1</f>
        <v>#VALUE!</v>
      </c>
      <c r="AD320" s="68" t="e">
        <f>Data_PLT[[#This Row],[Test code]]&amp;"-"&amp;Data_PLT[[#This Row],[UCS min code]]</f>
        <v>#VALUE!</v>
      </c>
      <c r="AE320" s="68" t="e">
        <f>Data_PLT[[#This Row],[Test code]]&amp;"-"&amp;Data_PLT[[#This Row],[UCS avg code]]</f>
        <v>#VALUE!</v>
      </c>
      <c r="AF320" s="67" t="e">
        <f>Data_PLT[[#This Row],[Test code]]&amp;"-"&amp;Data_PLT[[#This Row],[UCS max code]]</f>
        <v>#VALUE!</v>
      </c>
      <c r="AG320" s="67" t="e">
        <f>Data_PLT[[#This Row],[Failure type]]&amp;"-"&amp;Data_PLT[[#This Row],[Test type]]&amp;"-"&amp;(IF(Data_PLT[[#This Row],[Is50 (MPa)]]&lt;1,1,IF(Data_PLT[[#This Row],[Is50 (MPa)]]&lt;2,2,IF(Data_PLT[[#This Row],[Is50 (MPa)]]&lt;4,3,IF(Data_PLT[[#This Row],[Is50 (MPa)]]&lt;8,4,5)))))</f>
        <v>#VALUE!</v>
      </c>
    </row>
    <row r="321" spans="2:33" x14ac:dyDescent="0.25">
      <c r="B321" s="88" t="e">
        <f>VLOOKUP(Data_PLT[[#This Row],[Hole ID]],Data_Log[],2,FALSE)</f>
        <v>#N/A</v>
      </c>
      <c r="C321" s="63" t="str">
        <f>IF(Data_PLT[[#This Row],[Hole ID]]="","",
IF(COUNTIF($A$4:A321,Data_PLT[[#This Row],[Hole ID]])=1,1,
IF(A321=A320,C320+1,
COUNTIF($A$4:A321,Data_PLT[[#This Row],[Hole ID]]))))</f>
        <v/>
      </c>
      <c r="D321" s="63" t="str">
        <f>IF(Data_PLT[[#This Row],[Hole ID]]="","",Data_PLT[[#This Row],[Hole ID]]&amp;"_"&amp;Data_PLT[[#This Row],[Sample ID]])</f>
        <v/>
      </c>
      <c r="E321" s="6"/>
      <c r="F321" s="6"/>
      <c r="G321" s="63" t="e" cm="1">
        <f t="array" ref="G321">_xlfn.XLOOKUP(1,(A321=Geotech!$A$4:$A$11100)*(Data_PLT[[#This Row],[Depth (m)]]&gt;=Geotech!$C$4:$C$11100)*(Data_PLT[[#This Row],[Depth (m)]]&lt;Geotech!$D$4:$D$11100),Geotech!$M$4:$M$11100)</f>
        <v>#N/A</v>
      </c>
      <c r="H321" s="6"/>
      <c r="I321" s="63" t="e">
        <f>VLOOKUP(Data_PLT[[#This Row],[Hole ID]],Data_Log[[Hole ID]:[Core size]],20,FALSE)</f>
        <v>#N/A</v>
      </c>
      <c r="J321" s="13" t="e">
        <f>VLOOKUP(Data_PLT[[#This Row],[Core Size]],Table_CoreSize[],2,FALSE)</f>
        <v>#N/A</v>
      </c>
      <c r="K321" s="19"/>
      <c r="L321" s="19"/>
      <c r="M321" s="5"/>
      <c r="N321" s="5"/>
      <c r="O321" s="6"/>
      <c r="P321" s="13" t="str">
        <f>IF(Data_PLT[[#This Row],[Failure type]]="","",IF(OR(Data_PLT[[#This Row],[Failure type]]="Invalid",Data_PLT[[#This Row],[Failure type]]="Chipped",Data_PLT[[#This Row],[Failure type]]="Penetrate",Data_PLT[[#This Row],[Failure type]]="Did not break"),"Invalid","Valid"))</f>
        <v/>
      </c>
      <c r="Q321" s="6"/>
      <c r="R321" s="11"/>
      <c r="S321" s="13" t="str">
        <f>IF(Data_PLT[[#This Row],[Test type]]="Diametral",Data_PLT[[#This Row],[Diameter (mm)]],IF(Data_PLT[[#This Row],[Test type]]="Axial",SQRT(4*Data_PLT[[#This Row],[Diameter (mm)]]*Data_PLT[[#This Row],[Length or width (mm)]]/PI()),"ERROR"))</f>
        <v>ERROR</v>
      </c>
      <c r="T321" s="13" t="e">
        <f>(Data_PLT[[#This Row],[Load (kN)]]*1000)/Data_PLT[[#This Row],[Equiv. Diam. (mm)]]^2</f>
        <v>#VALUE!</v>
      </c>
      <c r="U321" s="13" t="e">
        <f>(Data_PLT[[#This Row],[Equiv. Diam. (mm)]]/50)^0.45</f>
        <v>#VALUE!</v>
      </c>
      <c r="V321" s="13" t="e">
        <f>Data_PLT[[#This Row],[Is (MPa)]]*Data_PLT[[#This Row],[F]]</f>
        <v>#VALUE!</v>
      </c>
      <c r="W321" s="13" t="str">
        <f>Data_PLT[[#This Row],[Failure Validity]]&amp;"-"&amp;Data_PLT[[#This Row],[Test type]]</f>
        <v>-</v>
      </c>
      <c r="X321" s="13" t="e">
        <f>Data_PLT[[#This Row],[Is50 (MPa)]]*VLOOKUP("Min",Table_PLT_Conversion[],2,FALSE)</f>
        <v>#VALUE!</v>
      </c>
      <c r="Y321" s="13" t="e">
        <f>Data_PLT[[#This Row],[Is50 (MPa)]]*VLOOKUP("Avg",Table_PLT_Conversion[],2,FALSE)</f>
        <v>#VALUE!</v>
      </c>
      <c r="Z321" s="13" t="e">
        <f>Data_PLT[[#This Row],[Is50 (MPa)]]*VLOOKUP("Max",Table_PLT_Conversion[],2,FALSE)</f>
        <v>#VALUE!</v>
      </c>
      <c r="AA321" s="62" t="e">
        <f>MATCH(LOOKUP(Data_PLT[[#This Row],[UCS min (MPa)]],Table_FieldStrength[Min UCS]),Table_FieldStrength[Min UCS],0)-1</f>
        <v>#VALUE!</v>
      </c>
      <c r="AB321" s="62" t="e">
        <f>MATCH(LOOKUP(Data_PLT[[#This Row],[UCS avg (MPa)]],Table_FieldStrength[Min UCS]),Table_FieldStrength[Min UCS],0)-1</f>
        <v>#VALUE!</v>
      </c>
      <c r="AC321" s="62" t="e">
        <f>MATCH(LOOKUP(Data_PLT[[#This Row],[UCS max (MPa)]],Table_FieldStrength[Min UCS]),Table_FieldStrength[Min UCS],0)-1</f>
        <v>#VALUE!</v>
      </c>
      <c r="AD321" s="68" t="e">
        <f>Data_PLT[[#This Row],[Test code]]&amp;"-"&amp;Data_PLT[[#This Row],[UCS min code]]</f>
        <v>#VALUE!</v>
      </c>
      <c r="AE321" s="68" t="e">
        <f>Data_PLT[[#This Row],[Test code]]&amp;"-"&amp;Data_PLT[[#This Row],[UCS avg code]]</f>
        <v>#VALUE!</v>
      </c>
      <c r="AF321" s="67" t="e">
        <f>Data_PLT[[#This Row],[Test code]]&amp;"-"&amp;Data_PLT[[#This Row],[UCS max code]]</f>
        <v>#VALUE!</v>
      </c>
      <c r="AG321" s="67" t="e">
        <f>Data_PLT[[#This Row],[Failure type]]&amp;"-"&amp;Data_PLT[[#This Row],[Test type]]&amp;"-"&amp;(IF(Data_PLT[[#This Row],[Is50 (MPa)]]&lt;1,1,IF(Data_PLT[[#This Row],[Is50 (MPa)]]&lt;2,2,IF(Data_PLT[[#This Row],[Is50 (MPa)]]&lt;4,3,IF(Data_PLT[[#This Row],[Is50 (MPa)]]&lt;8,4,5)))))</f>
        <v>#VALUE!</v>
      </c>
    </row>
    <row r="322" spans="2:33" x14ac:dyDescent="0.25">
      <c r="B322" s="88" t="e">
        <f>VLOOKUP(Data_PLT[[#This Row],[Hole ID]],Data_Log[],2,FALSE)</f>
        <v>#N/A</v>
      </c>
      <c r="C322" s="63" t="str">
        <f>IF(Data_PLT[[#This Row],[Hole ID]]="","",
IF(COUNTIF($A$4:A322,Data_PLT[[#This Row],[Hole ID]])=1,1,
IF(A322=A321,C321+1,
COUNTIF($A$4:A322,Data_PLT[[#This Row],[Hole ID]]))))</f>
        <v/>
      </c>
      <c r="D322" s="63" t="str">
        <f>IF(Data_PLT[[#This Row],[Hole ID]]="","",Data_PLT[[#This Row],[Hole ID]]&amp;"_"&amp;Data_PLT[[#This Row],[Sample ID]])</f>
        <v/>
      </c>
      <c r="E322" s="6"/>
      <c r="F322" s="6"/>
      <c r="G322" s="63" t="e" cm="1">
        <f t="array" ref="G322">_xlfn.XLOOKUP(1,(A322=Geotech!$A$4:$A$11100)*(Data_PLT[[#This Row],[Depth (m)]]&gt;=Geotech!$C$4:$C$11100)*(Data_PLT[[#This Row],[Depth (m)]]&lt;Geotech!$D$4:$D$11100),Geotech!$M$4:$M$11100)</f>
        <v>#N/A</v>
      </c>
      <c r="H322" s="6"/>
      <c r="I322" s="63" t="e">
        <f>VLOOKUP(Data_PLT[[#This Row],[Hole ID]],Data_Log[[Hole ID]:[Core size]],20,FALSE)</f>
        <v>#N/A</v>
      </c>
      <c r="J322" s="13" t="e">
        <f>VLOOKUP(Data_PLT[[#This Row],[Core Size]],Table_CoreSize[],2,FALSE)</f>
        <v>#N/A</v>
      </c>
      <c r="K322" s="19"/>
      <c r="L322" s="19"/>
      <c r="M322" s="5"/>
      <c r="N322" s="5"/>
      <c r="O322" s="6"/>
      <c r="P322" s="13" t="str">
        <f>IF(Data_PLT[[#This Row],[Failure type]]="","",IF(OR(Data_PLT[[#This Row],[Failure type]]="Invalid",Data_PLT[[#This Row],[Failure type]]="Chipped",Data_PLT[[#This Row],[Failure type]]="Penetrate",Data_PLT[[#This Row],[Failure type]]="Did not break"),"Invalid","Valid"))</f>
        <v/>
      </c>
      <c r="Q322" s="6"/>
      <c r="R322" s="11"/>
      <c r="S322" s="13" t="str">
        <f>IF(Data_PLT[[#This Row],[Test type]]="Diametral",Data_PLT[[#This Row],[Diameter (mm)]],IF(Data_PLT[[#This Row],[Test type]]="Axial",SQRT(4*Data_PLT[[#This Row],[Diameter (mm)]]*Data_PLT[[#This Row],[Length or width (mm)]]/PI()),"ERROR"))</f>
        <v>ERROR</v>
      </c>
      <c r="T322" s="13" t="e">
        <f>(Data_PLT[[#This Row],[Load (kN)]]*1000)/Data_PLT[[#This Row],[Equiv. Diam. (mm)]]^2</f>
        <v>#VALUE!</v>
      </c>
      <c r="U322" s="13" t="e">
        <f>(Data_PLT[[#This Row],[Equiv. Diam. (mm)]]/50)^0.45</f>
        <v>#VALUE!</v>
      </c>
      <c r="V322" s="13" t="e">
        <f>Data_PLT[[#This Row],[Is (MPa)]]*Data_PLT[[#This Row],[F]]</f>
        <v>#VALUE!</v>
      </c>
      <c r="W322" s="13" t="str">
        <f>Data_PLT[[#This Row],[Failure Validity]]&amp;"-"&amp;Data_PLT[[#This Row],[Test type]]</f>
        <v>-</v>
      </c>
      <c r="X322" s="13" t="e">
        <f>Data_PLT[[#This Row],[Is50 (MPa)]]*VLOOKUP("Min",Table_PLT_Conversion[],2,FALSE)</f>
        <v>#VALUE!</v>
      </c>
      <c r="Y322" s="13" t="e">
        <f>Data_PLT[[#This Row],[Is50 (MPa)]]*VLOOKUP("Avg",Table_PLT_Conversion[],2,FALSE)</f>
        <v>#VALUE!</v>
      </c>
      <c r="Z322" s="13" t="e">
        <f>Data_PLT[[#This Row],[Is50 (MPa)]]*VLOOKUP("Max",Table_PLT_Conversion[],2,FALSE)</f>
        <v>#VALUE!</v>
      </c>
      <c r="AA322" s="62" t="e">
        <f>MATCH(LOOKUP(Data_PLT[[#This Row],[UCS min (MPa)]],Table_FieldStrength[Min UCS]),Table_FieldStrength[Min UCS],0)-1</f>
        <v>#VALUE!</v>
      </c>
      <c r="AB322" s="62" t="e">
        <f>MATCH(LOOKUP(Data_PLT[[#This Row],[UCS avg (MPa)]],Table_FieldStrength[Min UCS]),Table_FieldStrength[Min UCS],0)-1</f>
        <v>#VALUE!</v>
      </c>
      <c r="AC322" s="62" t="e">
        <f>MATCH(LOOKUP(Data_PLT[[#This Row],[UCS max (MPa)]],Table_FieldStrength[Min UCS]),Table_FieldStrength[Min UCS],0)-1</f>
        <v>#VALUE!</v>
      </c>
      <c r="AD322" s="68" t="e">
        <f>Data_PLT[[#This Row],[Test code]]&amp;"-"&amp;Data_PLT[[#This Row],[UCS min code]]</f>
        <v>#VALUE!</v>
      </c>
      <c r="AE322" s="68" t="e">
        <f>Data_PLT[[#This Row],[Test code]]&amp;"-"&amp;Data_PLT[[#This Row],[UCS avg code]]</f>
        <v>#VALUE!</v>
      </c>
      <c r="AF322" s="67" t="e">
        <f>Data_PLT[[#This Row],[Test code]]&amp;"-"&amp;Data_PLT[[#This Row],[UCS max code]]</f>
        <v>#VALUE!</v>
      </c>
      <c r="AG322" s="67" t="e">
        <f>Data_PLT[[#This Row],[Failure type]]&amp;"-"&amp;Data_PLT[[#This Row],[Test type]]&amp;"-"&amp;(IF(Data_PLT[[#This Row],[Is50 (MPa)]]&lt;1,1,IF(Data_PLT[[#This Row],[Is50 (MPa)]]&lt;2,2,IF(Data_PLT[[#This Row],[Is50 (MPa)]]&lt;4,3,IF(Data_PLT[[#This Row],[Is50 (MPa)]]&lt;8,4,5)))))</f>
        <v>#VALUE!</v>
      </c>
    </row>
    <row r="323" spans="2:33" x14ac:dyDescent="0.25">
      <c r="B323" s="88" t="e">
        <f>VLOOKUP(Data_PLT[[#This Row],[Hole ID]],Data_Log[],2,FALSE)</f>
        <v>#N/A</v>
      </c>
      <c r="C323" s="63" t="str">
        <f>IF(Data_PLT[[#This Row],[Hole ID]]="","",
IF(COUNTIF($A$4:A323,Data_PLT[[#This Row],[Hole ID]])=1,1,
IF(A323=A322,C322+1,
COUNTIF($A$4:A323,Data_PLT[[#This Row],[Hole ID]]))))</f>
        <v/>
      </c>
      <c r="D323" s="63" t="str">
        <f>IF(Data_PLT[[#This Row],[Hole ID]]="","",Data_PLT[[#This Row],[Hole ID]]&amp;"_"&amp;Data_PLT[[#This Row],[Sample ID]])</f>
        <v/>
      </c>
      <c r="E323" s="6"/>
      <c r="F323" s="6"/>
      <c r="G323" s="63" t="e" cm="1">
        <f t="array" ref="G323">_xlfn.XLOOKUP(1,(A323=Geotech!$A$4:$A$11100)*(Data_PLT[[#This Row],[Depth (m)]]&gt;=Geotech!$C$4:$C$11100)*(Data_PLT[[#This Row],[Depth (m)]]&lt;Geotech!$D$4:$D$11100),Geotech!$M$4:$M$11100)</f>
        <v>#N/A</v>
      </c>
      <c r="H323" s="6"/>
      <c r="I323" s="63" t="e">
        <f>VLOOKUP(Data_PLT[[#This Row],[Hole ID]],Data_Log[[Hole ID]:[Core size]],20,FALSE)</f>
        <v>#N/A</v>
      </c>
      <c r="J323" s="13" t="e">
        <f>VLOOKUP(Data_PLT[[#This Row],[Core Size]],Table_CoreSize[],2,FALSE)</f>
        <v>#N/A</v>
      </c>
      <c r="K323" s="19"/>
      <c r="L323" s="19"/>
      <c r="M323" s="5"/>
      <c r="N323" s="5"/>
      <c r="O323" s="6"/>
      <c r="P323" s="13" t="str">
        <f>IF(Data_PLT[[#This Row],[Failure type]]="","",IF(OR(Data_PLT[[#This Row],[Failure type]]="Invalid",Data_PLT[[#This Row],[Failure type]]="Chipped",Data_PLT[[#This Row],[Failure type]]="Penetrate",Data_PLT[[#This Row],[Failure type]]="Did not break"),"Invalid","Valid"))</f>
        <v/>
      </c>
      <c r="Q323" s="6"/>
      <c r="R323" s="11"/>
      <c r="S323" s="13" t="str">
        <f>IF(Data_PLT[[#This Row],[Test type]]="Diametral",Data_PLT[[#This Row],[Diameter (mm)]],IF(Data_PLT[[#This Row],[Test type]]="Axial",SQRT(4*Data_PLT[[#This Row],[Diameter (mm)]]*Data_PLT[[#This Row],[Length or width (mm)]]/PI()),"ERROR"))</f>
        <v>ERROR</v>
      </c>
      <c r="T323" s="13" t="e">
        <f>(Data_PLT[[#This Row],[Load (kN)]]*1000)/Data_PLT[[#This Row],[Equiv. Diam. (mm)]]^2</f>
        <v>#VALUE!</v>
      </c>
      <c r="U323" s="13" t="e">
        <f>(Data_PLT[[#This Row],[Equiv. Diam. (mm)]]/50)^0.45</f>
        <v>#VALUE!</v>
      </c>
      <c r="V323" s="13" t="e">
        <f>Data_PLT[[#This Row],[Is (MPa)]]*Data_PLT[[#This Row],[F]]</f>
        <v>#VALUE!</v>
      </c>
      <c r="W323" s="13" t="str">
        <f>Data_PLT[[#This Row],[Failure Validity]]&amp;"-"&amp;Data_PLT[[#This Row],[Test type]]</f>
        <v>-</v>
      </c>
      <c r="X323" s="13" t="e">
        <f>Data_PLT[[#This Row],[Is50 (MPa)]]*VLOOKUP("Min",Table_PLT_Conversion[],2,FALSE)</f>
        <v>#VALUE!</v>
      </c>
      <c r="Y323" s="13" t="e">
        <f>Data_PLT[[#This Row],[Is50 (MPa)]]*VLOOKUP("Avg",Table_PLT_Conversion[],2,FALSE)</f>
        <v>#VALUE!</v>
      </c>
      <c r="Z323" s="13" t="e">
        <f>Data_PLT[[#This Row],[Is50 (MPa)]]*VLOOKUP("Max",Table_PLT_Conversion[],2,FALSE)</f>
        <v>#VALUE!</v>
      </c>
      <c r="AA323" s="62" t="e">
        <f>MATCH(LOOKUP(Data_PLT[[#This Row],[UCS min (MPa)]],Table_FieldStrength[Min UCS]),Table_FieldStrength[Min UCS],0)-1</f>
        <v>#VALUE!</v>
      </c>
      <c r="AB323" s="62" t="e">
        <f>MATCH(LOOKUP(Data_PLT[[#This Row],[UCS avg (MPa)]],Table_FieldStrength[Min UCS]),Table_FieldStrength[Min UCS],0)-1</f>
        <v>#VALUE!</v>
      </c>
      <c r="AC323" s="62" t="e">
        <f>MATCH(LOOKUP(Data_PLT[[#This Row],[UCS max (MPa)]],Table_FieldStrength[Min UCS]),Table_FieldStrength[Min UCS],0)-1</f>
        <v>#VALUE!</v>
      </c>
      <c r="AD323" s="68" t="e">
        <f>Data_PLT[[#This Row],[Test code]]&amp;"-"&amp;Data_PLT[[#This Row],[UCS min code]]</f>
        <v>#VALUE!</v>
      </c>
      <c r="AE323" s="68" t="e">
        <f>Data_PLT[[#This Row],[Test code]]&amp;"-"&amp;Data_PLT[[#This Row],[UCS avg code]]</f>
        <v>#VALUE!</v>
      </c>
      <c r="AF323" s="67" t="e">
        <f>Data_PLT[[#This Row],[Test code]]&amp;"-"&amp;Data_PLT[[#This Row],[UCS max code]]</f>
        <v>#VALUE!</v>
      </c>
      <c r="AG323" s="67" t="e">
        <f>Data_PLT[[#This Row],[Failure type]]&amp;"-"&amp;Data_PLT[[#This Row],[Test type]]&amp;"-"&amp;(IF(Data_PLT[[#This Row],[Is50 (MPa)]]&lt;1,1,IF(Data_PLT[[#This Row],[Is50 (MPa)]]&lt;2,2,IF(Data_PLT[[#This Row],[Is50 (MPa)]]&lt;4,3,IF(Data_PLT[[#This Row],[Is50 (MPa)]]&lt;8,4,5)))))</f>
        <v>#VALUE!</v>
      </c>
    </row>
    <row r="324" spans="2:33" x14ac:dyDescent="0.25">
      <c r="B324" s="88" t="e">
        <f>VLOOKUP(Data_PLT[[#This Row],[Hole ID]],Data_Log[],2,FALSE)</f>
        <v>#N/A</v>
      </c>
      <c r="C324" s="63" t="str">
        <f>IF(Data_PLT[[#This Row],[Hole ID]]="","",
IF(COUNTIF($A$4:A324,Data_PLT[[#This Row],[Hole ID]])=1,1,
IF(A324=A323,C323+1,
COUNTIF($A$4:A324,Data_PLT[[#This Row],[Hole ID]]))))</f>
        <v/>
      </c>
      <c r="D324" s="63" t="str">
        <f>IF(Data_PLT[[#This Row],[Hole ID]]="","",Data_PLT[[#This Row],[Hole ID]]&amp;"_"&amp;Data_PLT[[#This Row],[Sample ID]])</f>
        <v/>
      </c>
      <c r="E324" s="6"/>
      <c r="F324" s="6"/>
      <c r="G324" s="63" t="e" cm="1">
        <f t="array" ref="G324">_xlfn.XLOOKUP(1,(A324=Geotech!$A$4:$A$11100)*(Data_PLT[[#This Row],[Depth (m)]]&gt;=Geotech!$C$4:$C$11100)*(Data_PLT[[#This Row],[Depth (m)]]&lt;Geotech!$D$4:$D$11100),Geotech!$M$4:$M$11100)</f>
        <v>#N/A</v>
      </c>
      <c r="H324" s="6"/>
      <c r="I324" s="63" t="e">
        <f>VLOOKUP(Data_PLT[[#This Row],[Hole ID]],Data_Log[[Hole ID]:[Core size]],20,FALSE)</f>
        <v>#N/A</v>
      </c>
      <c r="J324" s="13" t="e">
        <f>VLOOKUP(Data_PLT[[#This Row],[Core Size]],Table_CoreSize[],2,FALSE)</f>
        <v>#N/A</v>
      </c>
      <c r="K324" s="19"/>
      <c r="L324" s="19"/>
      <c r="M324" s="5"/>
      <c r="N324" s="5"/>
      <c r="O324" s="6"/>
      <c r="P324" s="13" t="str">
        <f>IF(Data_PLT[[#This Row],[Failure type]]="","",IF(OR(Data_PLT[[#This Row],[Failure type]]="Invalid",Data_PLT[[#This Row],[Failure type]]="Chipped",Data_PLT[[#This Row],[Failure type]]="Penetrate",Data_PLT[[#This Row],[Failure type]]="Did not break"),"Invalid","Valid"))</f>
        <v/>
      </c>
      <c r="Q324" s="6"/>
      <c r="R324" s="11"/>
      <c r="S324" s="13" t="str">
        <f>IF(Data_PLT[[#This Row],[Test type]]="Diametral",Data_PLT[[#This Row],[Diameter (mm)]],IF(Data_PLT[[#This Row],[Test type]]="Axial",SQRT(4*Data_PLT[[#This Row],[Diameter (mm)]]*Data_PLT[[#This Row],[Length or width (mm)]]/PI()),"ERROR"))</f>
        <v>ERROR</v>
      </c>
      <c r="T324" s="13" t="e">
        <f>(Data_PLT[[#This Row],[Load (kN)]]*1000)/Data_PLT[[#This Row],[Equiv. Diam. (mm)]]^2</f>
        <v>#VALUE!</v>
      </c>
      <c r="U324" s="13" t="e">
        <f>(Data_PLT[[#This Row],[Equiv. Diam. (mm)]]/50)^0.45</f>
        <v>#VALUE!</v>
      </c>
      <c r="V324" s="13" t="e">
        <f>Data_PLT[[#This Row],[Is (MPa)]]*Data_PLT[[#This Row],[F]]</f>
        <v>#VALUE!</v>
      </c>
      <c r="W324" s="13" t="str">
        <f>Data_PLT[[#This Row],[Failure Validity]]&amp;"-"&amp;Data_PLT[[#This Row],[Test type]]</f>
        <v>-</v>
      </c>
      <c r="X324" s="13" t="e">
        <f>Data_PLT[[#This Row],[Is50 (MPa)]]*VLOOKUP("Min",Table_PLT_Conversion[],2,FALSE)</f>
        <v>#VALUE!</v>
      </c>
      <c r="Y324" s="13" t="e">
        <f>Data_PLT[[#This Row],[Is50 (MPa)]]*VLOOKUP("Avg",Table_PLT_Conversion[],2,FALSE)</f>
        <v>#VALUE!</v>
      </c>
      <c r="Z324" s="13" t="e">
        <f>Data_PLT[[#This Row],[Is50 (MPa)]]*VLOOKUP("Max",Table_PLT_Conversion[],2,FALSE)</f>
        <v>#VALUE!</v>
      </c>
      <c r="AA324" s="62" t="e">
        <f>MATCH(LOOKUP(Data_PLT[[#This Row],[UCS min (MPa)]],Table_FieldStrength[Min UCS]),Table_FieldStrength[Min UCS],0)-1</f>
        <v>#VALUE!</v>
      </c>
      <c r="AB324" s="62" t="e">
        <f>MATCH(LOOKUP(Data_PLT[[#This Row],[UCS avg (MPa)]],Table_FieldStrength[Min UCS]),Table_FieldStrength[Min UCS],0)-1</f>
        <v>#VALUE!</v>
      </c>
      <c r="AC324" s="62" t="e">
        <f>MATCH(LOOKUP(Data_PLT[[#This Row],[UCS max (MPa)]],Table_FieldStrength[Min UCS]),Table_FieldStrength[Min UCS],0)-1</f>
        <v>#VALUE!</v>
      </c>
      <c r="AD324" s="68" t="e">
        <f>Data_PLT[[#This Row],[Test code]]&amp;"-"&amp;Data_PLT[[#This Row],[UCS min code]]</f>
        <v>#VALUE!</v>
      </c>
      <c r="AE324" s="68" t="e">
        <f>Data_PLT[[#This Row],[Test code]]&amp;"-"&amp;Data_PLT[[#This Row],[UCS avg code]]</f>
        <v>#VALUE!</v>
      </c>
      <c r="AF324" s="67" t="e">
        <f>Data_PLT[[#This Row],[Test code]]&amp;"-"&amp;Data_PLT[[#This Row],[UCS max code]]</f>
        <v>#VALUE!</v>
      </c>
      <c r="AG324" s="67" t="e">
        <f>Data_PLT[[#This Row],[Failure type]]&amp;"-"&amp;Data_PLT[[#This Row],[Test type]]&amp;"-"&amp;(IF(Data_PLT[[#This Row],[Is50 (MPa)]]&lt;1,1,IF(Data_PLT[[#This Row],[Is50 (MPa)]]&lt;2,2,IF(Data_PLT[[#This Row],[Is50 (MPa)]]&lt;4,3,IF(Data_PLT[[#This Row],[Is50 (MPa)]]&lt;8,4,5)))))</f>
        <v>#VALUE!</v>
      </c>
    </row>
    <row r="325" spans="2:33" x14ac:dyDescent="0.25">
      <c r="B325" s="88" t="e">
        <f>VLOOKUP(Data_PLT[[#This Row],[Hole ID]],Data_Log[],2,FALSE)</f>
        <v>#N/A</v>
      </c>
      <c r="C325" s="63" t="str">
        <f>IF(Data_PLT[[#This Row],[Hole ID]]="","",
IF(COUNTIF($A$4:A325,Data_PLT[[#This Row],[Hole ID]])=1,1,
IF(A325=A324,C324+1,
COUNTIF($A$4:A325,Data_PLT[[#This Row],[Hole ID]]))))</f>
        <v/>
      </c>
      <c r="D325" s="63" t="str">
        <f>IF(Data_PLT[[#This Row],[Hole ID]]="","",Data_PLT[[#This Row],[Hole ID]]&amp;"_"&amp;Data_PLT[[#This Row],[Sample ID]])</f>
        <v/>
      </c>
      <c r="E325" s="6"/>
      <c r="F325" s="6"/>
      <c r="G325" s="63" t="e" cm="1">
        <f t="array" ref="G325">_xlfn.XLOOKUP(1,(A325=Geotech!$A$4:$A$11100)*(Data_PLT[[#This Row],[Depth (m)]]&gt;=Geotech!$C$4:$C$11100)*(Data_PLT[[#This Row],[Depth (m)]]&lt;Geotech!$D$4:$D$11100),Geotech!$M$4:$M$11100)</f>
        <v>#N/A</v>
      </c>
      <c r="H325" s="6"/>
      <c r="I325" s="63" t="e">
        <f>VLOOKUP(Data_PLT[[#This Row],[Hole ID]],Data_Log[[Hole ID]:[Core size]],20,FALSE)</f>
        <v>#N/A</v>
      </c>
      <c r="J325" s="13" t="e">
        <f>VLOOKUP(Data_PLT[[#This Row],[Core Size]],Table_CoreSize[],2,FALSE)</f>
        <v>#N/A</v>
      </c>
      <c r="K325" s="19"/>
      <c r="L325" s="19"/>
      <c r="M325" s="5"/>
      <c r="N325" s="5"/>
      <c r="O325" s="6"/>
      <c r="P325" s="13" t="str">
        <f>IF(Data_PLT[[#This Row],[Failure type]]="","",IF(OR(Data_PLT[[#This Row],[Failure type]]="Invalid",Data_PLT[[#This Row],[Failure type]]="Chipped",Data_PLT[[#This Row],[Failure type]]="Penetrate",Data_PLT[[#This Row],[Failure type]]="Did not break"),"Invalid","Valid"))</f>
        <v/>
      </c>
      <c r="Q325" s="6"/>
      <c r="R325" s="11"/>
      <c r="S325" s="13" t="str">
        <f>IF(Data_PLT[[#This Row],[Test type]]="Diametral",Data_PLT[[#This Row],[Diameter (mm)]],IF(Data_PLT[[#This Row],[Test type]]="Axial",SQRT(4*Data_PLT[[#This Row],[Diameter (mm)]]*Data_PLT[[#This Row],[Length or width (mm)]]/PI()),"ERROR"))</f>
        <v>ERROR</v>
      </c>
      <c r="T325" s="13" t="e">
        <f>(Data_PLT[[#This Row],[Load (kN)]]*1000)/Data_PLT[[#This Row],[Equiv. Diam. (mm)]]^2</f>
        <v>#VALUE!</v>
      </c>
      <c r="U325" s="13" t="e">
        <f>(Data_PLT[[#This Row],[Equiv. Diam. (mm)]]/50)^0.45</f>
        <v>#VALUE!</v>
      </c>
      <c r="V325" s="13" t="e">
        <f>Data_PLT[[#This Row],[Is (MPa)]]*Data_PLT[[#This Row],[F]]</f>
        <v>#VALUE!</v>
      </c>
      <c r="W325" s="13" t="str">
        <f>Data_PLT[[#This Row],[Failure Validity]]&amp;"-"&amp;Data_PLT[[#This Row],[Test type]]</f>
        <v>-</v>
      </c>
      <c r="X325" s="13" t="e">
        <f>Data_PLT[[#This Row],[Is50 (MPa)]]*VLOOKUP("Min",Table_PLT_Conversion[],2,FALSE)</f>
        <v>#VALUE!</v>
      </c>
      <c r="Y325" s="13" t="e">
        <f>Data_PLT[[#This Row],[Is50 (MPa)]]*VLOOKUP("Avg",Table_PLT_Conversion[],2,FALSE)</f>
        <v>#VALUE!</v>
      </c>
      <c r="Z325" s="13" t="e">
        <f>Data_PLT[[#This Row],[Is50 (MPa)]]*VLOOKUP("Max",Table_PLT_Conversion[],2,FALSE)</f>
        <v>#VALUE!</v>
      </c>
      <c r="AA325" s="62" t="e">
        <f>MATCH(LOOKUP(Data_PLT[[#This Row],[UCS min (MPa)]],Table_FieldStrength[Min UCS]),Table_FieldStrength[Min UCS],0)-1</f>
        <v>#VALUE!</v>
      </c>
      <c r="AB325" s="62" t="e">
        <f>MATCH(LOOKUP(Data_PLT[[#This Row],[UCS avg (MPa)]],Table_FieldStrength[Min UCS]),Table_FieldStrength[Min UCS],0)-1</f>
        <v>#VALUE!</v>
      </c>
      <c r="AC325" s="62" t="e">
        <f>MATCH(LOOKUP(Data_PLT[[#This Row],[UCS max (MPa)]],Table_FieldStrength[Min UCS]),Table_FieldStrength[Min UCS],0)-1</f>
        <v>#VALUE!</v>
      </c>
      <c r="AD325" s="68" t="e">
        <f>Data_PLT[[#This Row],[Test code]]&amp;"-"&amp;Data_PLT[[#This Row],[UCS min code]]</f>
        <v>#VALUE!</v>
      </c>
      <c r="AE325" s="68" t="e">
        <f>Data_PLT[[#This Row],[Test code]]&amp;"-"&amp;Data_PLT[[#This Row],[UCS avg code]]</f>
        <v>#VALUE!</v>
      </c>
      <c r="AF325" s="67" t="e">
        <f>Data_PLT[[#This Row],[Test code]]&amp;"-"&amp;Data_PLT[[#This Row],[UCS max code]]</f>
        <v>#VALUE!</v>
      </c>
      <c r="AG325" s="67" t="e">
        <f>Data_PLT[[#This Row],[Failure type]]&amp;"-"&amp;Data_PLT[[#This Row],[Test type]]&amp;"-"&amp;(IF(Data_PLT[[#This Row],[Is50 (MPa)]]&lt;1,1,IF(Data_PLT[[#This Row],[Is50 (MPa)]]&lt;2,2,IF(Data_PLT[[#This Row],[Is50 (MPa)]]&lt;4,3,IF(Data_PLT[[#This Row],[Is50 (MPa)]]&lt;8,4,5)))))</f>
        <v>#VALUE!</v>
      </c>
    </row>
    <row r="326" spans="2:33" x14ac:dyDescent="0.25">
      <c r="B326" s="88" t="e">
        <f>VLOOKUP(Data_PLT[[#This Row],[Hole ID]],Data_Log[],2,FALSE)</f>
        <v>#N/A</v>
      </c>
      <c r="C326" s="63" t="str">
        <f>IF(Data_PLT[[#This Row],[Hole ID]]="","",
IF(COUNTIF($A$4:A326,Data_PLT[[#This Row],[Hole ID]])=1,1,
IF(A326=A325,C325+1,
COUNTIF($A$4:A326,Data_PLT[[#This Row],[Hole ID]]))))</f>
        <v/>
      </c>
      <c r="D326" s="63" t="str">
        <f>IF(Data_PLT[[#This Row],[Hole ID]]="","",Data_PLT[[#This Row],[Hole ID]]&amp;"_"&amp;Data_PLT[[#This Row],[Sample ID]])</f>
        <v/>
      </c>
      <c r="E326" s="6"/>
      <c r="F326" s="6"/>
      <c r="G326" s="63" t="e" cm="1">
        <f t="array" ref="G326">_xlfn.XLOOKUP(1,(A326=Geotech!$A$4:$A$11100)*(Data_PLT[[#This Row],[Depth (m)]]&gt;=Geotech!$C$4:$C$11100)*(Data_PLT[[#This Row],[Depth (m)]]&lt;Geotech!$D$4:$D$11100),Geotech!$M$4:$M$11100)</f>
        <v>#N/A</v>
      </c>
      <c r="H326" s="6"/>
      <c r="I326" s="63" t="e">
        <f>VLOOKUP(Data_PLT[[#This Row],[Hole ID]],Data_Log[[Hole ID]:[Core size]],20,FALSE)</f>
        <v>#N/A</v>
      </c>
      <c r="J326" s="13" t="e">
        <f>VLOOKUP(Data_PLT[[#This Row],[Core Size]],Table_CoreSize[],2,FALSE)</f>
        <v>#N/A</v>
      </c>
      <c r="K326" s="19"/>
      <c r="L326" s="19"/>
      <c r="M326" s="5"/>
      <c r="N326" s="5"/>
      <c r="O326" s="6"/>
      <c r="P326" s="13" t="str">
        <f>IF(Data_PLT[[#This Row],[Failure type]]="","",IF(OR(Data_PLT[[#This Row],[Failure type]]="Invalid",Data_PLT[[#This Row],[Failure type]]="Chipped",Data_PLT[[#This Row],[Failure type]]="Penetrate",Data_PLT[[#This Row],[Failure type]]="Did not break"),"Invalid","Valid"))</f>
        <v/>
      </c>
      <c r="Q326" s="6"/>
      <c r="R326" s="11"/>
      <c r="S326" s="13" t="str">
        <f>IF(Data_PLT[[#This Row],[Test type]]="Diametral",Data_PLT[[#This Row],[Diameter (mm)]],IF(Data_PLT[[#This Row],[Test type]]="Axial",SQRT(4*Data_PLT[[#This Row],[Diameter (mm)]]*Data_PLT[[#This Row],[Length or width (mm)]]/PI()),"ERROR"))</f>
        <v>ERROR</v>
      </c>
      <c r="T326" s="13" t="e">
        <f>(Data_PLT[[#This Row],[Load (kN)]]*1000)/Data_PLT[[#This Row],[Equiv. Diam. (mm)]]^2</f>
        <v>#VALUE!</v>
      </c>
      <c r="U326" s="13" t="e">
        <f>(Data_PLT[[#This Row],[Equiv. Diam. (mm)]]/50)^0.45</f>
        <v>#VALUE!</v>
      </c>
      <c r="V326" s="13" t="e">
        <f>Data_PLT[[#This Row],[Is (MPa)]]*Data_PLT[[#This Row],[F]]</f>
        <v>#VALUE!</v>
      </c>
      <c r="W326" s="13" t="str">
        <f>Data_PLT[[#This Row],[Failure Validity]]&amp;"-"&amp;Data_PLT[[#This Row],[Test type]]</f>
        <v>-</v>
      </c>
      <c r="X326" s="13" t="e">
        <f>Data_PLT[[#This Row],[Is50 (MPa)]]*VLOOKUP("Min",Table_PLT_Conversion[],2,FALSE)</f>
        <v>#VALUE!</v>
      </c>
      <c r="Y326" s="13" t="e">
        <f>Data_PLT[[#This Row],[Is50 (MPa)]]*VLOOKUP("Avg",Table_PLT_Conversion[],2,FALSE)</f>
        <v>#VALUE!</v>
      </c>
      <c r="Z326" s="13" t="e">
        <f>Data_PLT[[#This Row],[Is50 (MPa)]]*VLOOKUP("Max",Table_PLT_Conversion[],2,FALSE)</f>
        <v>#VALUE!</v>
      </c>
      <c r="AA326" s="62" t="e">
        <f>MATCH(LOOKUP(Data_PLT[[#This Row],[UCS min (MPa)]],Table_FieldStrength[Min UCS]),Table_FieldStrength[Min UCS],0)-1</f>
        <v>#VALUE!</v>
      </c>
      <c r="AB326" s="62" t="e">
        <f>MATCH(LOOKUP(Data_PLT[[#This Row],[UCS avg (MPa)]],Table_FieldStrength[Min UCS]),Table_FieldStrength[Min UCS],0)-1</f>
        <v>#VALUE!</v>
      </c>
      <c r="AC326" s="62" t="e">
        <f>MATCH(LOOKUP(Data_PLT[[#This Row],[UCS max (MPa)]],Table_FieldStrength[Min UCS]),Table_FieldStrength[Min UCS],0)-1</f>
        <v>#VALUE!</v>
      </c>
      <c r="AD326" s="68" t="e">
        <f>Data_PLT[[#This Row],[Test code]]&amp;"-"&amp;Data_PLT[[#This Row],[UCS min code]]</f>
        <v>#VALUE!</v>
      </c>
      <c r="AE326" s="68" t="e">
        <f>Data_PLT[[#This Row],[Test code]]&amp;"-"&amp;Data_PLT[[#This Row],[UCS avg code]]</f>
        <v>#VALUE!</v>
      </c>
      <c r="AF326" s="67" t="e">
        <f>Data_PLT[[#This Row],[Test code]]&amp;"-"&amp;Data_PLT[[#This Row],[UCS max code]]</f>
        <v>#VALUE!</v>
      </c>
      <c r="AG326" s="67" t="e">
        <f>Data_PLT[[#This Row],[Failure type]]&amp;"-"&amp;Data_PLT[[#This Row],[Test type]]&amp;"-"&amp;(IF(Data_PLT[[#This Row],[Is50 (MPa)]]&lt;1,1,IF(Data_PLT[[#This Row],[Is50 (MPa)]]&lt;2,2,IF(Data_PLT[[#This Row],[Is50 (MPa)]]&lt;4,3,IF(Data_PLT[[#This Row],[Is50 (MPa)]]&lt;8,4,5)))))</f>
        <v>#VALUE!</v>
      </c>
    </row>
    <row r="327" spans="2:33" x14ac:dyDescent="0.25">
      <c r="B327" s="88" t="e">
        <f>VLOOKUP(Data_PLT[[#This Row],[Hole ID]],Data_Log[],2,FALSE)</f>
        <v>#N/A</v>
      </c>
      <c r="C327" s="63" t="str">
        <f>IF(Data_PLT[[#This Row],[Hole ID]]="","",
IF(COUNTIF($A$4:A327,Data_PLT[[#This Row],[Hole ID]])=1,1,
IF(A327=A326,C326+1,
COUNTIF($A$4:A327,Data_PLT[[#This Row],[Hole ID]]))))</f>
        <v/>
      </c>
      <c r="D327" s="63" t="str">
        <f>IF(Data_PLT[[#This Row],[Hole ID]]="","",Data_PLT[[#This Row],[Hole ID]]&amp;"_"&amp;Data_PLT[[#This Row],[Sample ID]])</f>
        <v/>
      </c>
      <c r="E327" s="6"/>
      <c r="F327" s="6"/>
      <c r="G327" s="63" t="e" cm="1">
        <f t="array" ref="G327">_xlfn.XLOOKUP(1,(A327=Geotech!$A$4:$A$11100)*(Data_PLT[[#This Row],[Depth (m)]]&gt;=Geotech!$C$4:$C$11100)*(Data_PLT[[#This Row],[Depth (m)]]&lt;Geotech!$D$4:$D$11100),Geotech!$M$4:$M$11100)</f>
        <v>#N/A</v>
      </c>
      <c r="H327" s="6"/>
      <c r="I327" s="63" t="e">
        <f>VLOOKUP(Data_PLT[[#This Row],[Hole ID]],Data_Log[[Hole ID]:[Core size]],20,FALSE)</f>
        <v>#N/A</v>
      </c>
      <c r="J327" s="13" t="e">
        <f>VLOOKUP(Data_PLT[[#This Row],[Core Size]],Table_CoreSize[],2,FALSE)</f>
        <v>#N/A</v>
      </c>
      <c r="K327" s="19"/>
      <c r="L327" s="19"/>
      <c r="M327" s="5"/>
      <c r="N327" s="5"/>
      <c r="O327" s="6"/>
      <c r="P327" s="13" t="str">
        <f>IF(Data_PLT[[#This Row],[Failure type]]="","",IF(OR(Data_PLT[[#This Row],[Failure type]]="Invalid",Data_PLT[[#This Row],[Failure type]]="Chipped",Data_PLT[[#This Row],[Failure type]]="Penetrate",Data_PLT[[#This Row],[Failure type]]="Did not break"),"Invalid","Valid"))</f>
        <v/>
      </c>
      <c r="Q327" s="6"/>
      <c r="R327" s="11"/>
      <c r="S327" s="13" t="str">
        <f>IF(Data_PLT[[#This Row],[Test type]]="Diametral",Data_PLT[[#This Row],[Diameter (mm)]],IF(Data_PLT[[#This Row],[Test type]]="Axial",SQRT(4*Data_PLT[[#This Row],[Diameter (mm)]]*Data_PLT[[#This Row],[Length or width (mm)]]/PI()),"ERROR"))</f>
        <v>ERROR</v>
      </c>
      <c r="T327" s="13" t="e">
        <f>(Data_PLT[[#This Row],[Load (kN)]]*1000)/Data_PLT[[#This Row],[Equiv. Diam. (mm)]]^2</f>
        <v>#VALUE!</v>
      </c>
      <c r="U327" s="13" t="e">
        <f>(Data_PLT[[#This Row],[Equiv. Diam. (mm)]]/50)^0.45</f>
        <v>#VALUE!</v>
      </c>
      <c r="V327" s="13" t="e">
        <f>Data_PLT[[#This Row],[Is (MPa)]]*Data_PLT[[#This Row],[F]]</f>
        <v>#VALUE!</v>
      </c>
      <c r="W327" s="13" t="str">
        <f>Data_PLT[[#This Row],[Failure Validity]]&amp;"-"&amp;Data_PLT[[#This Row],[Test type]]</f>
        <v>-</v>
      </c>
      <c r="X327" s="13" t="e">
        <f>Data_PLT[[#This Row],[Is50 (MPa)]]*VLOOKUP("Min",Table_PLT_Conversion[],2,FALSE)</f>
        <v>#VALUE!</v>
      </c>
      <c r="Y327" s="13" t="e">
        <f>Data_PLT[[#This Row],[Is50 (MPa)]]*VLOOKUP("Avg",Table_PLT_Conversion[],2,FALSE)</f>
        <v>#VALUE!</v>
      </c>
      <c r="Z327" s="13" t="e">
        <f>Data_PLT[[#This Row],[Is50 (MPa)]]*VLOOKUP("Max",Table_PLT_Conversion[],2,FALSE)</f>
        <v>#VALUE!</v>
      </c>
      <c r="AA327" s="62" t="e">
        <f>MATCH(LOOKUP(Data_PLT[[#This Row],[UCS min (MPa)]],Table_FieldStrength[Min UCS]),Table_FieldStrength[Min UCS],0)-1</f>
        <v>#VALUE!</v>
      </c>
      <c r="AB327" s="62" t="e">
        <f>MATCH(LOOKUP(Data_PLT[[#This Row],[UCS avg (MPa)]],Table_FieldStrength[Min UCS]),Table_FieldStrength[Min UCS],0)-1</f>
        <v>#VALUE!</v>
      </c>
      <c r="AC327" s="62" t="e">
        <f>MATCH(LOOKUP(Data_PLT[[#This Row],[UCS max (MPa)]],Table_FieldStrength[Min UCS]),Table_FieldStrength[Min UCS],0)-1</f>
        <v>#VALUE!</v>
      </c>
      <c r="AD327" s="68" t="e">
        <f>Data_PLT[[#This Row],[Test code]]&amp;"-"&amp;Data_PLT[[#This Row],[UCS min code]]</f>
        <v>#VALUE!</v>
      </c>
      <c r="AE327" s="68" t="e">
        <f>Data_PLT[[#This Row],[Test code]]&amp;"-"&amp;Data_PLT[[#This Row],[UCS avg code]]</f>
        <v>#VALUE!</v>
      </c>
      <c r="AF327" s="67" t="e">
        <f>Data_PLT[[#This Row],[Test code]]&amp;"-"&amp;Data_PLT[[#This Row],[UCS max code]]</f>
        <v>#VALUE!</v>
      </c>
      <c r="AG327" s="67" t="e">
        <f>Data_PLT[[#This Row],[Failure type]]&amp;"-"&amp;Data_PLT[[#This Row],[Test type]]&amp;"-"&amp;(IF(Data_PLT[[#This Row],[Is50 (MPa)]]&lt;1,1,IF(Data_PLT[[#This Row],[Is50 (MPa)]]&lt;2,2,IF(Data_PLT[[#This Row],[Is50 (MPa)]]&lt;4,3,IF(Data_PLT[[#This Row],[Is50 (MPa)]]&lt;8,4,5)))))</f>
        <v>#VALUE!</v>
      </c>
    </row>
    <row r="328" spans="2:33" x14ac:dyDescent="0.25">
      <c r="B328" s="88" t="e">
        <f>VLOOKUP(Data_PLT[[#This Row],[Hole ID]],Data_Log[],2,FALSE)</f>
        <v>#N/A</v>
      </c>
      <c r="C328" s="63" t="str">
        <f>IF(Data_PLT[[#This Row],[Hole ID]]="","",
IF(COUNTIF($A$4:A328,Data_PLT[[#This Row],[Hole ID]])=1,1,
IF(A328=A327,C327+1,
COUNTIF($A$4:A328,Data_PLT[[#This Row],[Hole ID]]))))</f>
        <v/>
      </c>
      <c r="D328" s="63" t="str">
        <f>IF(Data_PLT[[#This Row],[Hole ID]]="","",Data_PLT[[#This Row],[Hole ID]]&amp;"_"&amp;Data_PLT[[#This Row],[Sample ID]])</f>
        <v/>
      </c>
      <c r="E328" s="6"/>
      <c r="F328" s="6"/>
      <c r="G328" s="63" t="e" cm="1">
        <f t="array" ref="G328">_xlfn.XLOOKUP(1,(A328=Geotech!$A$4:$A$11100)*(Data_PLT[[#This Row],[Depth (m)]]&gt;=Geotech!$C$4:$C$11100)*(Data_PLT[[#This Row],[Depth (m)]]&lt;Geotech!$D$4:$D$11100),Geotech!$M$4:$M$11100)</f>
        <v>#N/A</v>
      </c>
      <c r="H328" s="6"/>
      <c r="I328" s="63" t="e">
        <f>VLOOKUP(Data_PLT[[#This Row],[Hole ID]],Data_Log[[Hole ID]:[Core size]],20,FALSE)</f>
        <v>#N/A</v>
      </c>
      <c r="J328" s="13" t="e">
        <f>VLOOKUP(Data_PLT[[#This Row],[Core Size]],Table_CoreSize[],2,FALSE)</f>
        <v>#N/A</v>
      </c>
      <c r="K328" s="19"/>
      <c r="L328" s="19"/>
      <c r="M328" s="5"/>
      <c r="N328" s="5"/>
      <c r="O328" s="6"/>
      <c r="P328" s="13" t="str">
        <f>IF(Data_PLT[[#This Row],[Failure type]]="","",IF(OR(Data_PLT[[#This Row],[Failure type]]="Invalid",Data_PLT[[#This Row],[Failure type]]="Chipped",Data_PLT[[#This Row],[Failure type]]="Penetrate",Data_PLT[[#This Row],[Failure type]]="Did not break"),"Invalid","Valid"))</f>
        <v/>
      </c>
      <c r="Q328" s="6"/>
      <c r="R328" s="11"/>
      <c r="S328" s="13" t="str">
        <f>IF(Data_PLT[[#This Row],[Test type]]="Diametral",Data_PLT[[#This Row],[Diameter (mm)]],IF(Data_PLT[[#This Row],[Test type]]="Axial",SQRT(4*Data_PLT[[#This Row],[Diameter (mm)]]*Data_PLT[[#This Row],[Length or width (mm)]]/PI()),"ERROR"))</f>
        <v>ERROR</v>
      </c>
      <c r="T328" s="13" t="e">
        <f>(Data_PLT[[#This Row],[Load (kN)]]*1000)/Data_PLT[[#This Row],[Equiv. Diam. (mm)]]^2</f>
        <v>#VALUE!</v>
      </c>
      <c r="U328" s="13" t="e">
        <f>(Data_PLT[[#This Row],[Equiv. Diam. (mm)]]/50)^0.45</f>
        <v>#VALUE!</v>
      </c>
      <c r="V328" s="13" t="e">
        <f>Data_PLT[[#This Row],[Is (MPa)]]*Data_PLT[[#This Row],[F]]</f>
        <v>#VALUE!</v>
      </c>
      <c r="W328" s="13" t="str">
        <f>Data_PLT[[#This Row],[Failure Validity]]&amp;"-"&amp;Data_PLT[[#This Row],[Test type]]</f>
        <v>-</v>
      </c>
      <c r="X328" s="13" t="e">
        <f>Data_PLT[[#This Row],[Is50 (MPa)]]*VLOOKUP("Min",Table_PLT_Conversion[],2,FALSE)</f>
        <v>#VALUE!</v>
      </c>
      <c r="Y328" s="13" t="e">
        <f>Data_PLT[[#This Row],[Is50 (MPa)]]*VLOOKUP("Avg",Table_PLT_Conversion[],2,FALSE)</f>
        <v>#VALUE!</v>
      </c>
      <c r="Z328" s="13" t="e">
        <f>Data_PLT[[#This Row],[Is50 (MPa)]]*VLOOKUP("Max",Table_PLT_Conversion[],2,FALSE)</f>
        <v>#VALUE!</v>
      </c>
      <c r="AA328" s="62" t="e">
        <f>MATCH(LOOKUP(Data_PLT[[#This Row],[UCS min (MPa)]],Table_FieldStrength[Min UCS]),Table_FieldStrength[Min UCS],0)-1</f>
        <v>#VALUE!</v>
      </c>
      <c r="AB328" s="62" t="e">
        <f>MATCH(LOOKUP(Data_PLT[[#This Row],[UCS avg (MPa)]],Table_FieldStrength[Min UCS]),Table_FieldStrength[Min UCS],0)-1</f>
        <v>#VALUE!</v>
      </c>
      <c r="AC328" s="62" t="e">
        <f>MATCH(LOOKUP(Data_PLT[[#This Row],[UCS max (MPa)]],Table_FieldStrength[Min UCS]),Table_FieldStrength[Min UCS],0)-1</f>
        <v>#VALUE!</v>
      </c>
      <c r="AD328" s="68" t="e">
        <f>Data_PLT[[#This Row],[Test code]]&amp;"-"&amp;Data_PLT[[#This Row],[UCS min code]]</f>
        <v>#VALUE!</v>
      </c>
      <c r="AE328" s="68" t="e">
        <f>Data_PLT[[#This Row],[Test code]]&amp;"-"&amp;Data_PLT[[#This Row],[UCS avg code]]</f>
        <v>#VALUE!</v>
      </c>
      <c r="AF328" s="67" t="e">
        <f>Data_PLT[[#This Row],[Test code]]&amp;"-"&amp;Data_PLT[[#This Row],[UCS max code]]</f>
        <v>#VALUE!</v>
      </c>
      <c r="AG328" s="67" t="e">
        <f>Data_PLT[[#This Row],[Failure type]]&amp;"-"&amp;Data_PLT[[#This Row],[Test type]]&amp;"-"&amp;(IF(Data_PLT[[#This Row],[Is50 (MPa)]]&lt;1,1,IF(Data_PLT[[#This Row],[Is50 (MPa)]]&lt;2,2,IF(Data_PLT[[#This Row],[Is50 (MPa)]]&lt;4,3,IF(Data_PLT[[#This Row],[Is50 (MPa)]]&lt;8,4,5)))))</f>
        <v>#VALUE!</v>
      </c>
    </row>
    <row r="329" spans="2:33" x14ac:dyDescent="0.25">
      <c r="B329" s="88" t="e">
        <f>VLOOKUP(Data_PLT[[#This Row],[Hole ID]],Data_Log[],2,FALSE)</f>
        <v>#N/A</v>
      </c>
      <c r="C329" s="63" t="str">
        <f>IF(Data_PLT[[#This Row],[Hole ID]]="","",
IF(COUNTIF($A$4:A329,Data_PLT[[#This Row],[Hole ID]])=1,1,
IF(A329=A328,C328+1,
COUNTIF($A$4:A329,Data_PLT[[#This Row],[Hole ID]]))))</f>
        <v/>
      </c>
      <c r="D329" s="63" t="str">
        <f>IF(Data_PLT[[#This Row],[Hole ID]]="","",Data_PLT[[#This Row],[Hole ID]]&amp;"_"&amp;Data_PLT[[#This Row],[Sample ID]])</f>
        <v/>
      </c>
      <c r="E329" s="6"/>
      <c r="F329" s="6"/>
      <c r="G329" s="63" t="e" cm="1">
        <f t="array" ref="G329">_xlfn.XLOOKUP(1,(A329=Geotech!$A$4:$A$11100)*(Data_PLT[[#This Row],[Depth (m)]]&gt;=Geotech!$C$4:$C$11100)*(Data_PLT[[#This Row],[Depth (m)]]&lt;Geotech!$D$4:$D$11100),Geotech!$M$4:$M$11100)</f>
        <v>#N/A</v>
      </c>
      <c r="H329" s="6"/>
      <c r="I329" s="63" t="e">
        <f>VLOOKUP(Data_PLT[[#This Row],[Hole ID]],Data_Log[[Hole ID]:[Core size]],20,FALSE)</f>
        <v>#N/A</v>
      </c>
      <c r="J329" s="13" t="e">
        <f>VLOOKUP(Data_PLT[[#This Row],[Core Size]],Table_CoreSize[],2,FALSE)</f>
        <v>#N/A</v>
      </c>
      <c r="K329" s="19"/>
      <c r="L329" s="19"/>
      <c r="M329" s="5"/>
      <c r="N329" s="5"/>
      <c r="O329" s="6"/>
      <c r="P329" s="13" t="str">
        <f>IF(Data_PLT[[#This Row],[Failure type]]="","",IF(OR(Data_PLT[[#This Row],[Failure type]]="Invalid",Data_PLT[[#This Row],[Failure type]]="Chipped",Data_PLT[[#This Row],[Failure type]]="Penetrate",Data_PLT[[#This Row],[Failure type]]="Did not break"),"Invalid","Valid"))</f>
        <v/>
      </c>
      <c r="Q329" s="6"/>
      <c r="R329" s="11"/>
      <c r="S329" s="13" t="str">
        <f>IF(Data_PLT[[#This Row],[Test type]]="Diametral",Data_PLT[[#This Row],[Diameter (mm)]],IF(Data_PLT[[#This Row],[Test type]]="Axial",SQRT(4*Data_PLT[[#This Row],[Diameter (mm)]]*Data_PLT[[#This Row],[Length or width (mm)]]/PI()),"ERROR"))</f>
        <v>ERROR</v>
      </c>
      <c r="T329" s="13" t="e">
        <f>(Data_PLT[[#This Row],[Load (kN)]]*1000)/Data_PLT[[#This Row],[Equiv. Diam. (mm)]]^2</f>
        <v>#VALUE!</v>
      </c>
      <c r="U329" s="13" t="e">
        <f>(Data_PLT[[#This Row],[Equiv. Diam. (mm)]]/50)^0.45</f>
        <v>#VALUE!</v>
      </c>
      <c r="V329" s="13" t="e">
        <f>Data_PLT[[#This Row],[Is (MPa)]]*Data_PLT[[#This Row],[F]]</f>
        <v>#VALUE!</v>
      </c>
      <c r="W329" s="13" t="str">
        <f>Data_PLT[[#This Row],[Failure Validity]]&amp;"-"&amp;Data_PLT[[#This Row],[Test type]]</f>
        <v>-</v>
      </c>
      <c r="X329" s="13" t="e">
        <f>Data_PLT[[#This Row],[Is50 (MPa)]]*VLOOKUP("Min",Table_PLT_Conversion[],2,FALSE)</f>
        <v>#VALUE!</v>
      </c>
      <c r="Y329" s="13" t="e">
        <f>Data_PLT[[#This Row],[Is50 (MPa)]]*VLOOKUP("Avg",Table_PLT_Conversion[],2,FALSE)</f>
        <v>#VALUE!</v>
      </c>
      <c r="Z329" s="13" t="e">
        <f>Data_PLT[[#This Row],[Is50 (MPa)]]*VLOOKUP("Max",Table_PLT_Conversion[],2,FALSE)</f>
        <v>#VALUE!</v>
      </c>
      <c r="AA329" s="62" t="e">
        <f>MATCH(LOOKUP(Data_PLT[[#This Row],[UCS min (MPa)]],Table_FieldStrength[Min UCS]),Table_FieldStrength[Min UCS],0)-1</f>
        <v>#VALUE!</v>
      </c>
      <c r="AB329" s="62" t="e">
        <f>MATCH(LOOKUP(Data_PLT[[#This Row],[UCS avg (MPa)]],Table_FieldStrength[Min UCS]),Table_FieldStrength[Min UCS],0)-1</f>
        <v>#VALUE!</v>
      </c>
      <c r="AC329" s="62" t="e">
        <f>MATCH(LOOKUP(Data_PLT[[#This Row],[UCS max (MPa)]],Table_FieldStrength[Min UCS]),Table_FieldStrength[Min UCS],0)-1</f>
        <v>#VALUE!</v>
      </c>
      <c r="AD329" s="68" t="e">
        <f>Data_PLT[[#This Row],[Test code]]&amp;"-"&amp;Data_PLT[[#This Row],[UCS min code]]</f>
        <v>#VALUE!</v>
      </c>
      <c r="AE329" s="68" t="e">
        <f>Data_PLT[[#This Row],[Test code]]&amp;"-"&amp;Data_PLT[[#This Row],[UCS avg code]]</f>
        <v>#VALUE!</v>
      </c>
      <c r="AF329" s="67" t="e">
        <f>Data_PLT[[#This Row],[Test code]]&amp;"-"&amp;Data_PLT[[#This Row],[UCS max code]]</f>
        <v>#VALUE!</v>
      </c>
      <c r="AG329" s="67" t="e">
        <f>Data_PLT[[#This Row],[Failure type]]&amp;"-"&amp;Data_PLT[[#This Row],[Test type]]&amp;"-"&amp;(IF(Data_PLT[[#This Row],[Is50 (MPa)]]&lt;1,1,IF(Data_PLT[[#This Row],[Is50 (MPa)]]&lt;2,2,IF(Data_PLT[[#This Row],[Is50 (MPa)]]&lt;4,3,IF(Data_PLT[[#This Row],[Is50 (MPa)]]&lt;8,4,5)))))</f>
        <v>#VALUE!</v>
      </c>
    </row>
    <row r="330" spans="2:33" x14ac:dyDescent="0.25">
      <c r="B330" s="88" t="e">
        <f>VLOOKUP(Data_PLT[[#This Row],[Hole ID]],Data_Log[],2,FALSE)</f>
        <v>#N/A</v>
      </c>
      <c r="C330" s="63" t="str">
        <f>IF(Data_PLT[[#This Row],[Hole ID]]="","",
IF(COUNTIF($A$4:A330,Data_PLT[[#This Row],[Hole ID]])=1,1,
IF(A330=A329,C329+1,
COUNTIF($A$4:A330,Data_PLT[[#This Row],[Hole ID]]))))</f>
        <v/>
      </c>
      <c r="D330" s="63" t="str">
        <f>IF(Data_PLT[[#This Row],[Hole ID]]="","",Data_PLT[[#This Row],[Hole ID]]&amp;"_"&amp;Data_PLT[[#This Row],[Sample ID]])</f>
        <v/>
      </c>
      <c r="E330" s="6"/>
      <c r="F330" s="6"/>
      <c r="G330" s="63" t="e" cm="1">
        <f t="array" ref="G330">_xlfn.XLOOKUP(1,(A330=Geotech!$A$4:$A$11100)*(Data_PLT[[#This Row],[Depth (m)]]&gt;=Geotech!$C$4:$C$11100)*(Data_PLT[[#This Row],[Depth (m)]]&lt;Geotech!$D$4:$D$11100),Geotech!$M$4:$M$11100)</f>
        <v>#N/A</v>
      </c>
      <c r="H330" s="6"/>
      <c r="I330" s="63" t="e">
        <f>VLOOKUP(Data_PLT[[#This Row],[Hole ID]],Data_Log[[Hole ID]:[Core size]],20,FALSE)</f>
        <v>#N/A</v>
      </c>
      <c r="J330" s="13" t="e">
        <f>VLOOKUP(Data_PLT[[#This Row],[Core Size]],Table_CoreSize[],2,FALSE)</f>
        <v>#N/A</v>
      </c>
      <c r="K330" s="19"/>
      <c r="L330" s="19"/>
      <c r="M330" s="5"/>
      <c r="N330" s="5"/>
      <c r="O330" s="6"/>
      <c r="P330" s="13" t="str">
        <f>IF(Data_PLT[[#This Row],[Failure type]]="","",IF(OR(Data_PLT[[#This Row],[Failure type]]="Invalid",Data_PLT[[#This Row],[Failure type]]="Chipped",Data_PLT[[#This Row],[Failure type]]="Penetrate",Data_PLT[[#This Row],[Failure type]]="Did not break"),"Invalid","Valid"))</f>
        <v/>
      </c>
      <c r="Q330" s="6"/>
      <c r="R330" s="11"/>
      <c r="S330" s="13" t="str">
        <f>IF(Data_PLT[[#This Row],[Test type]]="Diametral",Data_PLT[[#This Row],[Diameter (mm)]],IF(Data_PLT[[#This Row],[Test type]]="Axial",SQRT(4*Data_PLT[[#This Row],[Diameter (mm)]]*Data_PLT[[#This Row],[Length or width (mm)]]/PI()),"ERROR"))</f>
        <v>ERROR</v>
      </c>
      <c r="T330" s="13" t="e">
        <f>(Data_PLT[[#This Row],[Load (kN)]]*1000)/Data_PLT[[#This Row],[Equiv. Diam. (mm)]]^2</f>
        <v>#VALUE!</v>
      </c>
      <c r="U330" s="13" t="e">
        <f>(Data_PLT[[#This Row],[Equiv. Diam. (mm)]]/50)^0.45</f>
        <v>#VALUE!</v>
      </c>
      <c r="V330" s="13" t="e">
        <f>Data_PLT[[#This Row],[Is (MPa)]]*Data_PLT[[#This Row],[F]]</f>
        <v>#VALUE!</v>
      </c>
      <c r="W330" s="13" t="str">
        <f>Data_PLT[[#This Row],[Failure Validity]]&amp;"-"&amp;Data_PLT[[#This Row],[Test type]]</f>
        <v>-</v>
      </c>
      <c r="X330" s="13" t="e">
        <f>Data_PLT[[#This Row],[Is50 (MPa)]]*VLOOKUP("Min",Table_PLT_Conversion[],2,FALSE)</f>
        <v>#VALUE!</v>
      </c>
      <c r="Y330" s="13" t="e">
        <f>Data_PLT[[#This Row],[Is50 (MPa)]]*VLOOKUP("Avg",Table_PLT_Conversion[],2,FALSE)</f>
        <v>#VALUE!</v>
      </c>
      <c r="Z330" s="13" t="e">
        <f>Data_PLT[[#This Row],[Is50 (MPa)]]*VLOOKUP("Max",Table_PLT_Conversion[],2,FALSE)</f>
        <v>#VALUE!</v>
      </c>
      <c r="AA330" s="62" t="e">
        <f>MATCH(LOOKUP(Data_PLT[[#This Row],[UCS min (MPa)]],Table_FieldStrength[Min UCS]),Table_FieldStrength[Min UCS],0)-1</f>
        <v>#VALUE!</v>
      </c>
      <c r="AB330" s="62" t="e">
        <f>MATCH(LOOKUP(Data_PLT[[#This Row],[UCS avg (MPa)]],Table_FieldStrength[Min UCS]),Table_FieldStrength[Min UCS],0)-1</f>
        <v>#VALUE!</v>
      </c>
      <c r="AC330" s="62" t="e">
        <f>MATCH(LOOKUP(Data_PLT[[#This Row],[UCS max (MPa)]],Table_FieldStrength[Min UCS]),Table_FieldStrength[Min UCS],0)-1</f>
        <v>#VALUE!</v>
      </c>
      <c r="AD330" s="68" t="e">
        <f>Data_PLT[[#This Row],[Test code]]&amp;"-"&amp;Data_PLT[[#This Row],[UCS min code]]</f>
        <v>#VALUE!</v>
      </c>
      <c r="AE330" s="68" t="e">
        <f>Data_PLT[[#This Row],[Test code]]&amp;"-"&amp;Data_PLT[[#This Row],[UCS avg code]]</f>
        <v>#VALUE!</v>
      </c>
      <c r="AF330" s="67" t="e">
        <f>Data_PLT[[#This Row],[Test code]]&amp;"-"&amp;Data_PLT[[#This Row],[UCS max code]]</f>
        <v>#VALUE!</v>
      </c>
      <c r="AG330" s="67" t="e">
        <f>Data_PLT[[#This Row],[Failure type]]&amp;"-"&amp;Data_PLT[[#This Row],[Test type]]&amp;"-"&amp;(IF(Data_PLT[[#This Row],[Is50 (MPa)]]&lt;1,1,IF(Data_PLT[[#This Row],[Is50 (MPa)]]&lt;2,2,IF(Data_PLT[[#This Row],[Is50 (MPa)]]&lt;4,3,IF(Data_PLT[[#This Row],[Is50 (MPa)]]&lt;8,4,5)))))</f>
        <v>#VALUE!</v>
      </c>
    </row>
    <row r="331" spans="2:33" x14ac:dyDescent="0.25">
      <c r="B331" s="88" t="e">
        <f>VLOOKUP(Data_PLT[[#This Row],[Hole ID]],Data_Log[],2,FALSE)</f>
        <v>#N/A</v>
      </c>
      <c r="C331" s="63" t="str">
        <f>IF(Data_PLT[[#This Row],[Hole ID]]="","",
IF(COUNTIF($A$4:A331,Data_PLT[[#This Row],[Hole ID]])=1,1,
IF(A331=A330,C330+1,
COUNTIF($A$4:A331,Data_PLT[[#This Row],[Hole ID]]))))</f>
        <v/>
      </c>
      <c r="D331" s="63" t="str">
        <f>IF(Data_PLT[[#This Row],[Hole ID]]="","",Data_PLT[[#This Row],[Hole ID]]&amp;"_"&amp;Data_PLT[[#This Row],[Sample ID]])</f>
        <v/>
      </c>
      <c r="E331" s="6"/>
      <c r="F331" s="6"/>
      <c r="G331" s="63" t="e" cm="1">
        <f t="array" ref="G331">_xlfn.XLOOKUP(1,(A331=Geotech!$A$4:$A$11100)*(Data_PLT[[#This Row],[Depth (m)]]&gt;=Geotech!$C$4:$C$11100)*(Data_PLT[[#This Row],[Depth (m)]]&lt;Geotech!$D$4:$D$11100),Geotech!$M$4:$M$11100)</f>
        <v>#N/A</v>
      </c>
      <c r="H331" s="6"/>
      <c r="I331" s="63" t="e">
        <f>VLOOKUP(Data_PLT[[#This Row],[Hole ID]],Data_Log[[Hole ID]:[Core size]],20,FALSE)</f>
        <v>#N/A</v>
      </c>
      <c r="J331" s="13" t="e">
        <f>VLOOKUP(Data_PLT[[#This Row],[Core Size]],Table_CoreSize[],2,FALSE)</f>
        <v>#N/A</v>
      </c>
      <c r="K331" s="19"/>
      <c r="L331" s="19"/>
      <c r="M331" s="5"/>
      <c r="N331" s="5"/>
      <c r="O331" s="6"/>
      <c r="P331" s="13" t="str">
        <f>IF(Data_PLT[[#This Row],[Failure type]]="","",IF(OR(Data_PLT[[#This Row],[Failure type]]="Invalid",Data_PLT[[#This Row],[Failure type]]="Chipped",Data_PLT[[#This Row],[Failure type]]="Penetrate",Data_PLT[[#This Row],[Failure type]]="Did not break"),"Invalid","Valid"))</f>
        <v/>
      </c>
      <c r="Q331" s="6"/>
      <c r="R331" s="11"/>
      <c r="S331" s="13" t="str">
        <f>IF(Data_PLT[[#This Row],[Test type]]="Diametral",Data_PLT[[#This Row],[Diameter (mm)]],IF(Data_PLT[[#This Row],[Test type]]="Axial",SQRT(4*Data_PLT[[#This Row],[Diameter (mm)]]*Data_PLT[[#This Row],[Length or width (mm)]]/PI()),"ERROR"))</f>
        <v>ERROR</v>
      </c>
      <c r="T331" s="13" t="e">
        <f>(Data_PLT[[#This Row],[Load (kN)]]*1000)/Data_PLT[[#This Row],[Equiv. Diam. (mm)]]^2</f>
        <v>#VALUE!</v>
      </c>
      <c r="U331" s="13" t="e">
        <f>(Data_PLT[[#This Row],[Equiv. Diam. (mm)]]/50)^0.45</f>
        <v>#VALUE!</v>
      </c>
      <c r="V331" s="13" t="e">
        <f>Data_PLT[[#This Row],[Is (MPa)]]*Data_PLT[[#This Row],[F]]</f>
        <v>#VALUE!</v>
      </c>
      <c r="W331" s="13" t="str">
        <f>Data_PLT[[#This Row],[Failure Validity]]&amp;"-"&amp;Data_PLT[[#This Row],[Test type]]</f>
        <v>-</v>
      </c>
      <c r="X331" s="13" t="e">
        <f>Data_PLT[[#This Row],[Is50 (MPa)]]*VLOOKUP("Min",Table_PLT_Conversion[],2,FALSE)</f>
        <v>#VALUE!</v>
      </c>
      <c r="Y331" s="13" t="e">
        <f>Data_PLT[[#This Row],[Is50 (MPa)]]*VLOOKUP("Avg",Table_PLT_Conversion[],2,FALSE)</f>
        <v>#VALUE!</v>
      </c>
      <c r="Z331" s="13" t="e">
        <f>Data_PLT[[#This Row],[Is50 (MPa)]]*VLOOKUP("Max",Table_PLT_Conversion[],2,FALSE)</f>
        <v>#VALUE!</v>
      </c>
      <c r="AA331" s="62" t="e">
        <f>MATCH(LOOKUP(Data_PLT[[#This Row],[UCS min (MPa)]],Table_FieldStrength[Min UCS]),Table_FieldStrength[Min UCS],0)-1</f>
        <v>#VALUE!</v>
      </c>
      <c r="AB331" s="62" t="e">
        <f>MATCH(LOOKUP(Data_PLT[[#This Row],[UCS avg (MPa)]],Table_FieldStrength[Min UCS]),Table_FieldStrength[Min UCS],0)-1</f>
        <v>#VALUE!</v>
      </c>
      <c r="AC331" s="62" t="e">
        <f>MATCH(LOOKUP(Data_PLT[[#This Row],[UCS max (MPa)]],Table_FieldStrength[Min UCS]),Table_FieldStrength[Min UCS],0)-1</f>
        <v>#VALUE!</v>
      </c>
      <c r="AD331" s="68" t="e">
        <f>Data_PLT[[#This Row],[Test code]]&amp;"-"&amp;Data_PLT[[#This Row],[UCS min code]]</f>
        <v>#VALUE!</v>
      </c>
      <c r="AE331" s="68" t="e">
        <f>Data_PLT[[#This Row],[Test code]]&amp;"-"&amp;Data_PLT[[#This Row],[UCS avg code]]</f>
        <v>#VALUE!</v>
      </c>
      <c r="AF331" s="67" t="e">
        <f>Data_PLT[[#This Row],[Test code]]&amp;"-"&amp;Data_PLT[[#This Row],[UCS max code]]</f>
        <v>#VALUE!</v>
      </c>
      <c r="AG331" s="67" t="e">
        <f>Data_PLT[[#This Row],[Failure type]]&amp;"-"&amp;Data_PLT[[#This Row],[Test type]]&amp;"-"&amp;(IF(Data_PLT[[#This Row],[Is50 (MPa)]]&lt;1,1,IF(Data_PLT[[#This Row],[Is50 (MPa)]]&lt;2,2,IF(Data_PLT[[#This Row],[Is50 (MPa)]]&lt;4,3,IF(Data_PLT[[#This Row],[Is50 (MPa)]]&lt;8,4,5)))))</f>
        <v>#VALUE!</v>
      </c>
    </row>
    <row r="332" spans="2:33" x14ac:dyDescent="0.25">
      <c r="B332" s="88" t="e">
        <f>VLOOKUP(Data_PLT[[#This Row],[Hole ID]],Data_Log[],2,FALSE)</f>
        <v>#N/A</v>
      </c>
      <c r="C332" s="63" t="str">
        <f>IF(Data_PLT[[#This Row],[Hole ID]]="","",
IF(COUNTIF($A$4:A332,Data_PLT[[#This Row],[Hole ID]])=1,1,
IF(A332=A331,C331+1,
COUNTIF($A$4:A332,Data_PLT[[#This Row],[Hole ID]]))))</f>
        <v/>
      </c>
      <c r="D332" s="63" t="str">
        <f>IF(Data_PLT[[#This Row],[Hole ID]]="","",Data_PLT[[#This Row],[Hole ID]]&amp;"_"&amp;Data_PLT[[#This Row],[Sample ID]])</f>
        <v/>
      </c>
      <c r="E332" s="6"/>
      <c r="F332" s="6"/>
      <c r="G332" s="63" t="e" cm="1">
        <f t="array" ref="G332">_xlfn.XLOOKUP(1,(A332=Geotech!$A$4:$A$11100)*(Data_PLT[[#This Row],[Depth (m)]]&gt;=Geotech!$C$4:$C$11100)*(Data_PLT[[#This Row],[Depth (m)]]&lt;Geotech!$D$4:$D$11100),Geotech!$M$4:$M$11100)</f>
        <v>#N/A</v>
      </c>
      <c r="H332" s="6"/>
      <c r="I332" s="63" t="e">
        <f>VLOOKUP(Data_PLT[[#This Row],[Hole ID]],Data_Log[[Hole ID]:[Core size]],20,FALSE)</f>
        <v>#N/A</v>
      </c>
      <c r="J332" s="13" t="e">
        <f>VLOOKUP(Data_PLT[[#This Row],[Core Size]],Table_CoreSize[],2,FALSE)</f>
        <v>#N/A</v>
      </c>
      <c r="K332" s="19"/>
      <c r="L332" s="19"/>
      <c r="M332" s="5"/>
      <c r="N332" s="5"/>
      <c r="O332" s="6"/>
      <c r="P332" s="13" t="str">
        <f>IF(Data_PLT[[#This Row],[Failure type]]="","",IF(OR(Data_PLT[[#This Row],[Failure type]]="Invalid",Data_PLT[[#This Row],[Failure type]]="Chipped",Data_PLT[[#This Row],[Failure type]]="Penetrate",Data_PLT[[#This Row],[Failure type]]="Did not break"),"Invalid","Valid"))</f>
        <v/>
      </c>
      <c r="Q332" s="6"/>
      <c r="R332" s="11"/>
      <c r="S332" s="13" t="str">
        <f>IF(Data_PLT[[#This Row],[Test type]]="Diametral",Data_PLT[[#This Row],[Diameter (mm)]],IF(Data_PLT[[#This Row],[Test type]]="Axial",SQRT(4*Data_PLT[[#This Row],[Diameter (mm)]]*Data_PLT[[#This Row],[Length or width (mm)]]/PI()),"ERROR"))</f>
        <v>ERROR</v>
      </c>
      <c r="T332" s="13" t="e">
        <f>(Data_PLT[[#This Row],[Load (kN)]]*1000)/Data_PLT[[#This Row],[Equiv. Diam. (mm)]]^2</f>
        <v>#VALUE!</v>
      </c>
      <c r="U332" s="13" t="e">
        <f>(Data_PLT[[#This Row],[Equiv. Diam. (mm)]]/50)^0.45</f>
        <v>#VALUE!</v>
      </c>
      <c r="V332" s="13" t="e">
        <f>Data_PLT[[#This Row],[Is (MPa)]]*Data_PLT[[#This Row],[F]]</f>
        <v>#VALUE!</v>
      </c>
      <c r="W332" s="13" t="str">
        <f>Data_PLT[[#This Row],[Failure Validity]]&amp;"-"&amp;Data_PLT[[#This Row],[Test type]]</f>
        <v>-</v>
      </c>
      <c r="X332" s="13" t="e">
        <f>Data_PLT[[#This Row],[Is50 (MPa)]]*VLOOKUP("Min",Table_PLT_Conversion[],2,FALSE)</f>
        <v>#VALUE!</v>
      </c>
      <c r="Y332" s="13" t="e">
        <f>Data_PLT[[#This Row],[Is50 (MPa)]]*VLOOKUP("Avg",Table_PLT_Conversion[],2,FALSE)</f>
        <v>#VALUE!</v>
      </c>
      <c r="Z332" s="13" t="e">
        <f>Data_PLT[[#This Row],[Is50 (MPa)]]*VLOOKUP("Max",Table_PLT_Conversion[],2,FALSE)</f>
        <v>#VALUE!</v>
      </c>
      <c r="AA332" s="62" t="e">
        <f>MATCH(LOOKUP(Data_PLT[[#This Row],[UCS min (MPa)]],Table_FieldStrength[Min UCS]),Table_FieldStrength[Min UCS],0)-1</f>
        <v>#VALUE!</v>
      </c>
      <c r="AB332" s="62" t="e">
        <f>MATCH(LOOKUP(Data_PLT[[#This Row],[UCS avg (MPa)]],Table_FieldStrength[Min UCS]),Table_FieldStrength[Min UCS],0)-1</f>
        <v>#VALUE!</v>
      </c>
      <c r="AC332" s="62" t="e">
        <f>MATCH(LOOKUP(Data_PLT[[#This Row],[UCS max (MPa)]],Table_FieldStrength[Min UCS]),Table_FieldStrength[Min UCS],0)-1</f>
        <v>#VALUE!</v>
      </c>
      <c r="AD332" s="68" t="e">
        <f>Data_PLT[[#This Row],[Test code]]&amp;"-"&amp;Data_PLT[[#This Row],[UCS min code]]</f>
        <v>#VALUE!</v>
      </c>
      <c r="AE332" s="68" t="e">
        <f>Data_PLT[[#This Row],[Test code]]&amp;"-"&amp;Data_PLT[[#This Row],[UCS avg code]]</f>
        <v>#VALUE!</v>
      </c>
      <c r="AF332" s="67" t="e">
        <f>Data_PLT[[#This Row],[Test code]]&amp;"-"&amp;Data_PLT[[#This Row],[UCS max code]]</f>
        <v>#VALUE!</v>
      </c>
      <c r="AG332" s="67" t="e">
        <f>Data_PLT[[#This Row],[Failure type]]&amp;"-"&amp;Data_PLT[[#This Row],[Test type]]&amp;"-"&amp;(IF(Data_PLT[[#This Row],[Is50 (MPa)]]&lt;1,1,IF(Data_PLT[[#This Row],[Is50 (MPa)]]&lt;2,2,IF(Data_PLT[[#This Row],[Is50 (MPa)]]&lt;4,3,IF(Data_PLT[[#This Row],[Is50 (MPa)]]&lt;8,4,5)))))</f>
        <v>#VALUE!</v>
      </c>
    </row>
    <row r="333" spans="2:33" x14ac:dyDescent="0.25">
      <c r="B333" s="88" t="e">
        <f>VLOOKUP(Data_PLT[[#This Row],[Hole ID]],Data_Log[],2,FALSE)</f>
        <v>#N/A</v>
      </c>
      <c r="C333" s="63" t="str">
        <f>IF(Data_PLT[[#This Row],[Hole ID]]="","",
IF(COUNTIF($A$4:A333,Data_PLT[[#This Row],[Hole ID]])=1,1,
IF(A333=A332,C332+1,
COUNTIF($A$4:A333,Data_PLT[[#This Row],[Hole ID]]))))</f>
        <v/>
      </c>
      <c r="D333" s="63" t="str">
        <f>IF(Data_PLT[[#This Row],[Hole ID]]="","",Data_PLT[[#This Row],[Hole ID]]&amp;"_"&amp;Data_PLT[[#This Row],[Sample ID]])</f>
        <v/>
      </c>
      <c r="E333" s="6"/>
      <c r="F333" s="6"/>
      <c r="G333" s="63" t="e" cm="1">
        <f t="array" ref="G333">_xlfn.XLOOKUP(1,(A333=Geotech!$A$4:$A$11100)*(Data_PLT[[#This Row],[Depth (m)]]&gt;=Geotech!$C$4:$C$11100)*(Data_PLT[[#This Row],[Depth (m)]]&lt;Geotech!$D$4:$D$11100),Geotech!$M$4:$M$11100)</f>
        <v>#N/A</v>
      </c>
      <c r="H333" s="6"/>
      <c r="I333" s="63" t="e">
        <f>VLOOKUP(Data_PLT[[#This Row],[Hole ID]],Data_Log[[Hole ID]:[Core size]],20,FALSE)</f>
        <v>#N/A</v>
      </c>
      <c r="J333" s="13" t="e">
        <f>VLOOKUP(Data_PLT[[#This Row],[Core Size]],Table_CoreSize[],2,FALSE)</f>
        <v>#N/A</v>
      </c>
      <c r="K333" s="19"/>
      <c r="L333" s="19"/>
      <c r="M333" s="5"/>
      <c r="N333" s="5"/>
      <c r="O333" s="6"/>
      <c r="P333" s="13" t="str">
        <f>IF(Data_PLT[[#This Row],[Failure type]]="","",IF(OR(Data_PLT[[#This Row],[Failure type]]="Invalid",Data_PLT[[#This Row],[Failure type]]="Chipped",Data_PLT[[#This Row],[Failure type]]="Penetrate",Data_PLT[[#This Row],[Failure type]]="Did not break"),"Invalid","Valid"))</f>
        <v/>
      </c>
      <c r="Q333" s="6"/>
      <c r="R333" s="11"/>
      <c r="S333" s="13" t="str">
        <f>IF(Data_PLT[[#This Row],[Test type]]="Diametral",Data_PLT[[#This Row],[Diameter (mm)]],IF(Data_PLT[[#This Row],[Test type]]="Axial",SQRT(4*Data_PLT[[#This Row],[Diameter (mm)]]*Data_PLT[[#This Row],[Length or width (mm)]]/PI()),"ERROR"))</f>
        <v>ERROR</v>
      </c>
      <c r="T333" s="13" t="e">
        <f>(Data_PLT[[#This Row],[Load (kN)]]*1000)/Data_PLT[[#This Row],[Equiv. Diam. (mm)]]^2</f>
        <v>#VALUE!</v>
      </c>
      <c r="U333" s="13" t="e">
        <f>(Data_PLT[[#This Row],[Equiv. Diam. (mm)]]/50)^0.45</f>
        <v>#VALUE!</v>
      </c>
      <c r="V333" s="13" t="e">
        <f>Data_PLT[[#This Row],[Is (MPa)]]*Data_PLT[[#This Row],[F]]</f>
        <v>#VALUE!</v>
      </c>
      <c r="W333" s="13" t="str">
        <f>Data_PLT[[#This Row],[Failure Validity]]&amp;"-"&amp;Data_PLT[[#This Row],[Test type]]</f>
        <v>-</v>
      </c>
      <c r="X333" s="13" t="e">
        <f>Data_PLT[[#This Row],[Is50 (MPa)]]*VLOOKUP("Min",Table_PLT_Conversion[],2,FALSE)</f>
        <v>#VALUE!</v>
      </c>
      <c r="Y333" s="13" t="e">
        <f>Data_PLT[[#This Row],[Is50 (MPa)]]*VLOOKUP("Avg",Table_PLT_Conversion[],2,FALSE)</f>
        <v>#VALUE!</v>
      </c>
      <c r="Z333" s="13" t="e">
        <f>Data_PLT[[#This Row],[Is50 (MPa)]]*VLOOKUP("Max",Table_PLT_Conversion[],2,FALSE)</f>
        <v>#VALUE!</v>
      </c>
      <c r="AA333" s="62" t="e">
        <f>MATCH(LOOKUP(Data_PLT[[#This Row],[UCS min (MPa)]],Table_FieldStrength[Min UCS]),Table_FieldStrength[Min UCS],0)-1</f>
        <v>#VALUE!</v>
      </c>
      <c r="AB333" s="62" t="e">
        <f>MATCH(LOOKUP(Data_PLT[[#This Row],[UCS avg (MPa)]],Table_FieldStrength[Min UCS]),Table_FieldStrength[Min UCS],0)-1</f>
        <v>#VALUE!</v>
      </c>
      <c r="AC333" s="62" t="e">
        <f>MATCH(LOOKUP(Data_PLT[[#This Row],[UCS max (MPa)]],Table_FieldStrength[Min UCS]),Table_FieldStrength[Min UCS],0)-1</f>
        <v>#VALUE!</v>
      </c>
      <c r="AD333" s="68" t="e">
        <f>Data_PLT[[#This Row],[Test code]]&amp;"-"&amp;Data_PLT[[#This Row],[UCS min code]]</f>
        <v>#VALUE!</v>
      </c>
      <c r="AE333" s="68" t="e">
        <f>Data_PLT[[#This Row],[Test code]]&amp;"-"&amp;Data_PLT[[#This Row],[UCS avg code]]</f>
        <v>#VALUE!</v>
      </c>
      <c r="AF333" s="67" t="e">
        <f>Data_PLT[[#This Row],[Test code]]&amp;"-"&amp;Data_PLT[[#This Row],[UCS max code]]</f>
        <v>#VALUE!</v>
      </c>
      <c r="AG333" s="67" t="e">
        <f>Data_PLT[[#This Row],[Failure type]]&amp;"-"&amp;Data_PLT[[#This Row],[Test type]]&amp;"-"&amp;(IF(Data_PLT[[#This Row],[Is50 (MPa)]]&lt;1,1,IF(Data_PLT[[#This Row],[Is50 (MPa)]]&lt;2,2,IF(Data_PLT[[#This Row],[Is50 (MPa)]]&lt;4,3,IF(Data_PLT[[#This Row],[Is50 (MPa)]]&lt;8,4,5)))))</f>
        <v>#VALUE!</v>
      </c>
    </row>
    <row r="334" spans="2:33" x14ac:dyDescent="0.25">
      <c r="B334" s="88" t="e">
        <f>VLOOKUP(Data_PLT[[#This Row],[Hole ID]],Data_Log[],2,FALSE)</f>
        <v>#N/A</v>
      </c>
      <c r="C334" s="63" t="str">
        <f>IF(Data_PLT[[#This Row],[Hole ID]]="","",
IF(COUNTIF($A$4:A334,Data_PLT[[#This Row],[Hole ID]])=1,1,
IF(A334=A333,C333+1,
COUNTIF($A$4:A334,Data_PLT[[#This Row],[Hole ID]]))))</f>
        <v/>
      </c>
      <c r="D334" s="63" t="str">
        <f>IF(Data_PLT[[#This Row],[Hole ID]]="","",Data_PLT[[#This Row],[Hole ID]]&amp;"_"&amp;Data_PLT[[#This Row],[Sample ID]])</f>
        <v/>
      </c>
      <c r="E334" s="6"/>
      <c r="F334" s="6"/>
      <c r="G334" s="63" t="e" cm="1">
        <f t="array" ref="G334">_xlfn.XLOOKUP(1,(A334=Geotech!$A$4:$A$11100)*(Data_PLT[[#This Row],[Depth (m)]]&gt;=Geotech!$C$4:$C$11100)*(Data_PLT[[#This Row],[Depth (m)]]&lt;Geotech!$D$4:$D$11100),Geotech!$M$4:$M$11100)</f>
        <v>#N/A</v>
      </c>
      <c r="H334" s="6"/>
      <c r="I334" s="63" t="e">
        <f>VLOOKUP(Data_PLT[[#This Row],[Hole ID]],Data_Log[[Hole ID]:[Core size]],20,FALSE)</f>
        <v>#N/A</v>
      </c>
      <c r="J334" s="13" t="e">
        <f>VLOOKUP(Data_PLT[[#This Row],[Core Size]],Table_CoreSize[],2,FALSE)</f>
        <v>#N/A</v>
      </c>
      <c r="K334" s="19"/>
      <c r="L334" s="19"/>
      <c r="M334" s="5"/>
      <c r="N334" s="5"/>
      <c r="O334" s="6"/>
      <c r="P334" s="13" t="str">
        <f>IF(Data_PLT[[#This Row],[Failure type]]="","",IF(OR(Data_PLT[[#This Row],[Failure type]]="Invalid",Data_PLT[[#This Row],[Failure type]]="Chipped",Data_PLT[[#This Row],[Failure type]]="Penetrate",Data_PLT[[#This Row],[Failure type]]="Did not break"),"Invalid","Valid"))</f>
        <v/>
      </c>
      <c r="Q334" s="6"/>
      <c r="R334" s="11"/>
      <c r="S334" s="13" t="str">
        <f>IF(Data_PLT[[#This Row],[Test type]]="Diametral",Data_PLT[[#This Row],[Diameter (mm)]],IF(Data_PLT[[#This Row],[Test type]]="Axial",SQRT(4*Data_PLT[[#This Row],[Diameter (mm)]]*Data_PLT[[#This Row],[Length or width (mm)]]/PI()),"ERROR"))</f>
        <v>ERROR</v>
      </c>
      <c r="T334" s="13" t="e">
        <f>(Data_PLT[[#This Row],[Load (kN)]]*1000)/Data_PLT[[#This Row],[Equiv. Diam. (mm)]]^2</f>
        <v>#VALUE!</v>
      </c>
      <c r="U334" s="13" t="e">
        <f>(Data_PLT[[#This Row],[Equiv. Diam. (mm)]]/50)^0.45</f>
        <v>#VALUE!</v>
      </c>
      <c r="V334" s="13" t="e">
        <f>Data_PLT[[#This Row],[Is (MPa)]]*Data_PLT[[#This Row],[F]]</f>
        <v>#VALUE!</v>
      </c>
      <c r="W334" s="13" t="str">
        <f>Data_PLT[[#This Row],[Failure Validity]]&amp;"-"&amp;Data_PLT[[#This Row],[Test type]]</f>
        <v>-</v>
      </c>
      <c r="X334" s="13" t="e">
        <f>Data_PLT[[#This Row],[Is50 (MPa)]]*VLOOKUP("Min",Table_PLT_Conversion[],2,FALSE)</f>
        <v>#VALUE!</v>
      </c>
      <c r="Y334" s="13" t="e">
        <f>Data_PLT[[#This Row],[Is50 (MPa)]]*VLOOKUP("Avg",Table_PLT_Conversion[],2,FALSE)</f>
        <v>#VALUE!</v>
      </c>
      <c r="Z334" s="13" t="e">
        <f>Data_PLT[[#This Row],[Is50 (MPa)]]*VLOOKUP("Max",Table_PLT_Conversion[],2,FALSE)</f>
        <v>#VALUE!</v>
      </c>
      <c r="AA334" s="62" t="e">
        <f>MATCH(LOOKUP(Data_PLT[[#This Row],[UCS min (MPa)]],Table_FieldStrength[Min UCS]),Table_FieldStrength[Min UCS],0)-1</f>
        <v>#VALUE!</v>
      </c>
      <c r="AB334" s="62" t="e">
        <f>MATCH(LOOKUP(Data_PLT[[#This Row],[UCS avg (MPa)]],Table_FieldStrength[Min UCS]),Table_FieldStrength[Min UCS],0)-1</f>
        <v>#VALUE!</v>
      </c>
      <c r="AC334" s="62" t="e">
        <f>MATCH(LOOKUP(Data_PLT[[#This Row],[UCS max (MPa)]],Table_FieldStrength[Min UCS]),Table_FieldStrength[Min UCS],0)-1</f>
        <v>#VALUE!</v>
      </c>
      <c r="AD334" s="68" t="e">
        <f>Data_PLT[[#This Row],[Test code]]&amp;"-"&amp;Data_PLT[[#This Row],[UCS min code]]</f>
        <v>#VALUE!</v>
      </c>
      <c r="AE334" s="68" t="e">
        <f>Data_PLT[[#This Row],[Test code]]&amp;"-"&amp;Data_PLT[[#This Row],[UCS avg code]]</f>
        <v>#VALUE!</v>
      </c>
      <c r="AF334" s="67" t="e">
        <f>Data_PLT[[#This Row],[Test code]]&amp;"-"&amp;Data_PLT[[#This Row],[UCS max code]]</f>
        <v>#VALUE!</v>
      </c>
      <c r="AG334" s="67" t="e">
        <f>Data_PLT[[#This Row],[Failure type]]&amp;"-"&amp;Data_PLT[[#This Row],[Test type]]&amp;"-"&amp;(IF(Data_PLT[[#This Row],[Is50 (MPa)]]&lt;1,1,IF(Data_PLT[[#This Row],[Is50 (MPa)]]&lt;2,2,IF(Data_PLT[[#This Row],[Is50 (MPa)]]&lt;4,3,IF(Data_PLT[[#This Row],[Is50 (MPa)]]&lt;8,4,5)))))</f>
        <v>#VALUE!</v>
      </c>
    </row>
    <row r="335" spans="2:33" x14ac:dyDescent="0.25">
      <c r="B335" s="88" t="e">
        <f>VLOOKUP(Data_PLT[[#This Row],[Hole ID]],Data_Log[],2,FALSE)</f>
        <v>#N/A</v>
      </c>
      <c r="C335" s="63" t="str">
        <f>IF(Data_PLT[[#This Row],[Hole ID]]="","",
IF(COUNTIF($A$4:A335,Data_PLT[[#This Row],[Hole ID]])=1,1,
IF(A335=A334,C334+1,
COUNTIF($A$4:A335,Data_PLT[[#This Row],[Hole ID]]))))</f>
        <v/>
      </c>
      <c r="D335" s="63" t="str">
        <f>IF(Data_PLT[[#This Row],[Hole ID]]="","",Data_PLT[[#This Row],[Hole ID]]&amp;"_"&amp;Data_PLT[[#This Row],[Sample ID]])</f>
        <v/>
      </c>
      <c r="E335" s="6"/>
      <c r="F335" s="6"/>
      <c r="G335" s="63" t="e" cm="1">
        <f t="array" ref="G335">_xlfn.XLOOKUP(1,(A335=Geotech!$A$4:$A$11100)*(Data_PLT[[#This Row],[Depth (m)]]&gt;=Geotech!$C$4:$C$11100)*(Data_PLT[[#This Row],[Depth (m)]]&lt;Geotech!$D$4:$D$11100),Geotech!$M$4:$M$11100)</f>
        <v>#N/A</v>
      </c>
      <c r="H335" s="6"/>
      <c r="I335" s="63" t="e">
        <f>VLOOKUP(Data_PLT[[#This Row],[Hole ID]],Data_Log[[Hole ID]:[Core size]],20,FALSE)</f>
        <v>#N/A</v>
      </c>
      <c r="J335" s="13" t="e">
        <f>VLOOKUP(Data_PLT[[#This Row],[Core Size]],Table_CoreSize[],2,FALSE)</f>
        <v>#N/A</v>
      </c>
      <c r="K335" s="19"/>
      <c r="L335" s="19"/>
      <c r="M335" s="5"/>
      <c r="N335" s="5"/>
      <c r="O335" s="6"/>
      <c r="P335" s="13" t="str">
        <f>IF(Data_PLT[[#This Row],[Failure type]]="","",IF(OR(Data_PLT[[#This Row],[Failure type]]="Invalid",Data_PLT[[#This Row],[Failure type]]="Chipped",Data_PLT[[#This Row],[Failure type]]="Penetrate",Data_PLT[[#This Row],[Failure type]]="Did not break"),"Invalid","Valid"))</f>
        <v/>
      </c>
      <c r="Q335" s="6"/>
      <c r="R335" s="11"/>
      <c r="S335" s="13" t="str">
        <f>IF(Data_PLT[[#This Row],[Test type]]="Diametral",Data_PLT[[#This Row],[Diameter (mm)]],IF(Data_PLT[[#This Row],[Test type]]="Axial",SQRT(4*Data_PLT[[#This Row],[Diameter (mm)]]*Data_PLT[[#This Row],[Length or width (mm)]]/PI()),"ERROR"))</f>
        <v>ERROR</v>
      </c>
      <c r="T335" s="13" t="e">
        <f>(Data_PLT[[#This Row],[Load (kN)]]*1000)/Data_PLT[[#This Row],[Equiv. Diam. (mm)]]^2</f>
        <v>#VALUE!</v>
      </c>
      <c r="U335" s="13" t="e">
        <f>(Data_PLT[[#This Row],[Equiv. Diam. (mm)]]/50)^0.45</f>
        <v>#VALUE!</v>
      </c>
      <c r="V335" s="13" t="e">
        <f>Data_PLT[[#This Row],[Is (MPa)]]*Data_PLT[[#This Row],[F]]</f>
        <v>#VALUE!</v>
      </c>
      <c r="W335" s="13" t="str">
        <f>Data_PLT[[#This Row],[Failure Validity]]&amp;"-"&amp;Data_PLT[[#This Row],[Test type]]</f>
        <v>-</v>
      </c>
      <c r="X335" s="13" t="e">
        <f>Data_PLT[[#This Row],[Is50 (MPa)]]*VLOOKUP("Min",Table_PLT_Conversion[],2,FALSE)</f>
        <v>#VALUE!</v>
      </c>
      <c r="Y335" s="13" t="e">
        <f>Data_PLT[[#This Row],[Is50 (MPa)]]*VLOOKUP("Avg",Table_PLT_Conversion[],2,FALSE)</f>
        <v>#VALUE!</v>
      </c>
      <c r="Z335" s="13" t="e">
        <f>Data_PLT[[#This Row],[Is50 (MPa)]]*VLOOKUP("Max",Table_PLT_Conversion[],2,FALSE)</f>
        <v>#VALUE!</v>
      </c>
      <c r="AA335" s="62" t="e">
        <f>MATCH(LOOKUP(Data_PLT[[#This Row],[UCS min (MPa)]],Table_FieldStrength[Min UCS]),Table_FieldStrength[Min UCS],0)-1</f>
        <v>#VALUE!</v>
      </c>
      <c r="AB335" s="62" t="e">
        <f>MATCH(LOOKUP(Data_PLT[[#This Row],[UCS avg (MPa)]],Table_FieldStrength[Min UCS]),Table_FieldStrength[Min UCS],0)-1</f>
        <v>#VALUE!</v>
      </c>
      <c r="AC335" s="62" t="e">
        <f>MATCH(LOOKUP(Data_PLT[[#This Row],[UCS max (MPa)]],Table_FieldStrength[Min UCS]),Table_FieldStrength[Min UCS],0)-1</f>
        <v>#VALUE!</v>
      </c>
      <c r="AD335" s="68" t="e">
        <f>Data_PLT[[#This Row],[Test code]]&amp;"-"&amp;Data_PLT[[#This Row],[UCS min code]]</f>
        <v>#VALUE!</v>
      </c>
      <c r="AE335" s="68" t="e">
        <f>Data_PLT[[#This Row],[Test code]]&amp;"-"&amp;Data_PLT[[#This Row],[UCS avg code]]</f>
        <v>#VALUE!</v>
      </c>
      <c r="AF335" s="67" t="e">
        <f>Data_PLT[[#This Row],[Test code]]&amp;"-"&amp;Data_PLT[[#This Row],[UCS max code]]</f>
        <v>#VALUE!</v>
      </c>
      <c r="AG335" s="67" t="e">
        <f>Data_PLT[[#This Row],[Failure type]]&amp;"-"&amp;Data_PLT[[#This Row],[Test type]]&amp;"-"&amp;(IF(Data_PLT[[#This Row],[Is50 (MPa)]]&lt;1,1,IF(Data_PLT[[#This Row],[Is50 (MPa)]]&lt;2,2,IF(Data_PLT[[#This Row],[Is50 (MPa)]]&lt;4,3,IF(Data_PLT[[#This Row],[Is50 (MPa)]]&lt;8,4,5)))))</f>
        <v>#VALUE!</v>
      </c>
    </row>
    <row r="336" spans="2:33" x14ac:dyDescent="0.25">
      <c r="B336" s="88" t="e">
        <f>VLOOKUP(Data_PLT[[#This Row],[Hole ID]],Data_Log[],2,FALSE)</f>
        <v>#N/A</v>
      </c>
      <c r="C336" s="63" t="str">
        <f>IF(Data_PLT[[#This Row],[Hole ID]]="","",
IF(COUNTIF($A$4:A336,Data_PLT[[#This Row],[Hole ID]])=1,1,
IF(A336=A335,C335+1,
COUNTIF($A$4:A336,Data_PLT[[#This Row],[Hole ID]]))))</f>
        <v/>
      </c>
      <c r="D336" s="63" t="str">
        <f>IF(Data_PLT[[#This Row],[Hole ID]]="","",Data_PLT[[#This Row],[Hole ID]]&amp;"_"&amp;Data_PLT[[#This Row],[Sample ID]])</f>
        <v/>
      </c>
      <c r="E336" s="6"/>
      <c r="F336" s="6"/>
      <c r="G336" s="63" t="e" cm="1">
        <f t="array" ref="G336">_xlfn.XLOOKUP(1,(A336=Geotech!$A$4:$A$11100)*(Data_PLT[[#This Row],[Depth (m)]]&gt;=Geotech!$C$4:$C$11100)*(Data_PLT[[#This Row],[Depth (m)]]&lt;Geotech!$D$4:$D$11100),Geotech!$M$4:$M$11100)</f>
        <v>#N/A</v>
      </c>
      <c r="H336" s="6"/>
      <c r="I336" s="63" t="e">
        <f>VLOOKUP(Data_PLT[[#This Row],[Hole ID]],Data_Log[[Hole ID]:[Core size]],20,FALSE)</f>
        <v>#N/A</v>
      </c>
      <c r="J336" s="13" t="e">
        <f>VLOOKUP(Data_PLT[[#This Row],[Core Size]],Table_CoreSize[],2,FALSE)</f>
        <v>#N/A</v>
      </c>
      <c r="K336" s="19"/>
      <c r="L336" s="19"/>
      <c r="M336" s="5"/>
      <c r="N336" s="5"/>
      <c r="O336" s="6"/>
      <c r="P336" s="13" t="str">
        <f>IF(Data_PLT[[#This Row],[Failure type]]="","",IF(OR(Data_PLT[[#This Row],[Failure type]]="Invalid",Data_PLT[[#This Row],[Failure type]]="Chipped",Data_PLT[[#This Row],[Failure type]]="Penetrate",Data_PLT[[#This Row],[Failure type]]="Did not break"),"Invalid","Valid"))</f>
        <v/>
      </c>
      <c r="Q336" s="6"/>
      <c r="R336" s="11"/>
      <c r="S336" s="13" t="str">
        <f>IF(Data_PLT[[#This Row],[Test type]]="Diametral",Data_PLT[[#This Row],[Diameter (mm)]],IF(Data_PLT[[#This Row],[Test type]]="Axial",SQRT(4*Data_PLT[[#This Row],[Diameter (mm)]]*Data_PLT[[#This Row],[Length or width (mm)]]/PI()),"ERROR"))</f>
        <v>ERROR</v>
      </c>
      <c r="T336" s="13" t="e">
        <f>(Data_PLT[[#This Row],[Load (kN)]]*1000)/Data_PLT[[#This Row],[Equiv. Diam. (mm)]]^2</f>
        <v>#VALUE!</v>
      </c>
      <c r="U336" s="13" t="e">
        <f>(Data_PLT[[#This Row],[Equiv. Diam. (mm)]]/50)^0.45</f>
        <v>#VALUE!</v>
      </c>
      <c r="V336" s="13" t="e">
        <f>Data_PLT[[#This Row],[Is (MPa)]]*Data_PLT[[#This Row],[F]]</f>
        <v>#VALUE!</v>
      </c>
      <c r="W336" s="13" t="str">
        <f>Data_PLT[[#This Row],[Failure Validity]]&amp;"-"&amp;Data_PLT[[#This Row],[Test type]]</f>
        <v>-</v>
      </c>
      <c r="X336" s="13" t="e">
        <f>Data_PLT[[#This Row],[Is50 (MPa)]]*VLOOKUP("Min",Table_PLT_Conversion[],2,FALSE)</f>
        <v>#VALUE!</v>
      </c>
      <c r="Y336" s="13" t="e">
        <f>Data_PLT[[#This Row],[Is50 (MPa)]]*VLOOKUP("Avg",Table_PLT_Conversion[],2,FALSE)</f>
        <v>#VALUE!</v>
      </c>
      <c r="Z336" s="13" t="e">
        <f>Data_PLT[[#This Row],[Is50 (MPa)]]*VLOOKUP("Max",Table_PLT_Conversion[],2,FALSE)</f>
        <v>#VALUE!</v>
      </c>
      <c r="AA336" s="62" t="e">
        <f>MATCH(LOOKUP(Data_PLT[[#This Row],[UCS min (MPa)]],Table_FieldStrength[Min UCS]),Table_FieldStrength[Min UCS],0)-1</f>
        <v>#VALUE!</v>
      </c>
      <c r="AB336" s="62" t="e">
        <f>MATCH(LOOKUP(Data_PLT[[#This Row],[UCS avg (MPa)]],Table_FieldStrength[Min UCS]),Table_FieldStrength[Min UCS],0)-1</f>
        <v>#VALUE!</v>
      </c>
      <c r="AC336" s="62" t="e">
        <f>MATCH(LOOKUP(Data_PLT[[#This Row],[UCS max (MPa)]],Table_FieldStrength[Min UCS]),Table_FieldStrength[Min UCS],0)-1</f>
        <v>#VALUE!</v>
      </c>
      <c r="AD336" s="68" t="e">
        <f>Data_PLT[[#This Row],[Test code]]&amp;"-"&amp;Data_PLT[[#This Row],[UCS min code]]</f>
        <v>#VALUE!</v>
      </c>
      <c r="AE336" s="68" t="e">
        <f>Data_PLT[[#This Row],[Test code]]&amp;"-"&amp;Data_PLT[[#This Row],[UCS avg code]]</f>
        <v>#VALUE!</v>
      </c>
      <c r="AF336" s="67" t="e">
        <f>Data_PLT[[#This Row],[Test code]]&amp;"-"&amp;Data_PLT[[#This Row],[UCS max code]]</f>
        <v>#VALUE!</v>
      </c>
      <c r="AG336" s="67" t="e">
        <f>Data_PLT[[#This Row],[Failure type]]&amp;"-"&amp;Data_PLT[[#This Row],[Test type]]&amp;"-"&amp;(IF(Data_PLT[[#This Row],[Is50 (MPa)]]&lt;1,1,IF(Data_PLT[[#This Row],[Is50 (MPa)]]&lt;2,2,IF(Data_PLT[[#This Row],[Is50 (MPa)]]&lt;4,3,IF(Data_PLT[[#This Row],[Is50 (MPa)]]&lt;8,4,5)))))</f>
        <v>#VALUE!</v>
      </c>
    </row>
    <row r="337" spans="2:33" x14ac:dyDescent="0.25">
      <c r="B337" s="88" t="e">
        <f>VLOOKUP(Data_PLT[[#This Row],[Hole ID]],Data_Log[],2,FALSE)</f>
        <v>#N/A</v>
      </c>
      <c r="C337" s="63" t="str">
        <f>IF(Data_PLT[[#This Row],[Hole ID]]="","",
IF(COUNTIF($A$4:A337,Data_PLT[[#This Row],[Hole ID]])=1,1,
IF(A337=A336,C336+1,
COUNTIF($A$4:A337,Data_PLT[[#This Row],[Hole ID]]))))</f>
        <v/>
      </c>
      <c r="D337" s="63" t="str">
        <f>IF(Data_PLT[[#This Row],[Hole ID]]="","",Data_PLT[[#This Row],[Hole ID]]&amp;"_"&amp;Data_PLT[[#This Row],[Sample ID]])</f>
        <v/>
      </c>
      <c r="E337" s="6"/>
      <c r="F337" s="6"/>
      <c r="G337" s="63" t="e" cm="1">
        <f t="array" ref="G337">_xlfn.XLOOKUP(1,(A337=Geotech!$A$4:$A$11100)*(Data_PLT[[#This Row],[Depth (m)]]&gt;=Geotech!$C$4:$C$11100)*(Data_PLT[[#This Row],[Depth (m)]]&lt;Geotech!$D$4:$D$11100),Geotech!$M$4:$M$11100)</f>
        <v>#N/A</v>
      </c>
      <c r="H337" s="6"/>
      <c r="I337" s="63" t="e">
        <f>VLOOKUP(Data_PLT[[#This Row],[Hole ID]],Data_Log[[Hole ID]:[Core size]],20,FALSE)</f>
        <v>#N/A</v>
      </c>
      <c r="J337" s="13" t="e">
        <f>VLOOKUP(Data_PLT[[#This Row],[Core Size]],Table_CoreSize[],2,FALSE)</f>
        <v>#N/A</v>
      </c>
      <c r="K337" s="19"/>
      <c r="L337" s="19"/>
      <c r="M337" s="5"/>
      <c r="N337" s="5"/>
      <c r="O337" s="6"/>
      <c r="P337" s="13" t="str">
        <f>IF(Data_PLT[[#This Row],[Failure type]]="","",IF(OR(Data_PLT[[#This Row],[Failure type]]="Invalid",Data_PLT[[#This Row],[Failure type]]="Chipped",Data_PLT[[#This Row],[Failure type]]="Penetrate",Data_PLT[[#This Row],[Failure type]]="Did not break"),"Invalid","Valid"))</f>
        <v/>
      </c>
      <c r="Q337" s="6"/>
      <c r="R337" s="11"/>
      <c r="S337" s="13" t="str">
        <f>IF(Data_PLT[[#This Row],[Test type]]="Diametral",Data_PLT[[#This Row],[Diameter (mm)]],IF(Data_PLT[[#This Row],[Test type]]="Axial",SQRT(4*Data_PLT[[#This Row],[Diameter (mm)]]*Data_PLT[[#This Row],[Length or width (mm)]]/PI()),"ERROR"))</f>
        <v>ERROR</v>
      </c>
      <c r="T337" s="13" t="e">
        <f>(Data_PLT[[#This Row],[Load (kN)]]*1000)/Data_PLT[[#This Row],[Equiv. Diam. (mm)]]^2</f>
        <v>#VALUE!</v>
      </c>
      <c r="U337" s="13" t="e">
        <f>(Data_PLT[[#This Row],[Equiv. Diam. (mm)]]/50)^0.45</f>
        <v>#VALUE!</v>
      </c>
      <c r="V337" s="13" t="e">
        <f>Data_PLT[[#This Row],[Is (MPa)]]*Data_PLT[[#This Row],[F]]</f>
        <v>#VALUE!</v>
      </c>
      <c r="W337" s="13" t="str">
        <f>Data_PLT[[#This Row],[Failure Validity]]&amp;"-"&amp;Data_PLT[[#This Row],[Test type]]</f>
        <v>-</v>
      </c>
      <c r="X337" s="13" t="e">
        <f>Data_PLT[[#This Row],[Is50 (MPa)]]*VLOOKUP("Min",Table_PLT_Conversion[],2,FALSE)</f>
        <v>#VALUE!</v>
      </c>
      <c r="Y337" s="13" t="e">
        <f>Data_PLT[[#This Row],[Is50 (MPa)]]*VLOOKUP("Avg",Table_PLT_Conversion[],2,FALSE)</f>
        <v>#VALUE!</v>
      </c>
      <c r="Z337" s="13" t="e">
        <f>Data_PLT[[#This Row],[Is50 (MPa)]]*VLOOKUP("Max",Table_PLT_Conversion[],2,FALSE)</f>
        <v>#VALUE!</v>
      </c>
      <c r="AA337" s="62" t="e">
        <f>MATCH(LOOKUP(Data_PLT[[#This Row],[UCS min (MPa)]],Table_FieldStrength[Min UCS]),Table_FieldStrength[Min UCS],0)-1</f>
        <v>#VALUE!</v>
      </c>
      <c r="AB337" s="62" t="e">
        <f>MATCH(LOOKUP(Data_PLT[[#This Row],[UCS avg (MPa)]],Table_FieldStrength[Min UCS]),Table_FieldStrength[Min UCS],0)-1</f>
        <v>#VALUE!</v>
      </c>
      <c r="AC337" s="62" t="e">
        <f>MATCH(LOOKUP(Data_PLT[[#This Row],[UCS max (MPa)]],Table_FieldStrength[Min UCS]),Table_FieldStrength[Min UCS],0)-1</f>
        <v>#VALUE!</v>
      </c>
      <c r="AD337" s="68" t="e">
        <f>Data_PLT[[#This Row],[Test code]]&amp;"-"&amp;Data_PLT[[#This Row],[UCS min code]]</f>
        <v>#VALUE!</v>
      </c>
      <c r="AE337" s="68" t="e">
        <f>Data_PLT[[#This Row],[Test code]]&amp;"-"&amp;Data_PLT[[#This Row],[UCS avg code]]</f>
        <v>#VALUE!</v>
      </c>
      <c r="AF337" s="67" t="e">
        <f>Data_PLT[[#This Row],[Test code]]&amp;"-"&amp;Data_PLT[[#This Row],[UCS max code]]</f>
        <v>#VALUE!</v>
      </c>
      <c r="AG337" s="67" t="e">
        <f>Data_PLT[[#This Row],[Failure type]]&amp;"-"&amp;Data_PLT[[#This Row],[Test type]]&amp;"-"&amp;(IF(Data_PLT[[#This Row],[Is50 (MPa)]]&lt;1,1,IF(Data_PLT[[#This Row],[Is50 (MPa)]]&lt;2,2,IF(Data_PLT[[#This Row],[Is50 (MPa)]]&lt;4,3,IF(Data_PLT[[#This Row],[Is50 (MPa)]]&lt;8,4,5)))))</f>
        <v>#VALUE!</v>
      </c>
    </row>
    <row r="338" spans="2:33" x14ac:dyDescent="0.25">
      <c r="B338" s="88" t="e">
        <f>VLOOKUP(Data_PLT[[#This Row],[Hole ID]],Data_Log[],2,FALSE)</f>
        <v>#N/A</v>
      </c>
      <c r="C338" s="63" t="str">
        <f>IF(Data_PLT[[#This Row],[Hole ID]]="","",
IF(COUNTIF($A$4:A338,Data_PLT[[#This Row],[Hole ID]])=1,1,
IF(A338=A337,C337+1,
COUNTIF($A$4:A338,Data_PLT[[#This Row],[Hole ID]]))))</f>
        <v/>
      </c>
      <c r="D338" s="63" t="str">
        <f>IF(Data_PLT[[#This Row],[Hole ID]]="","",Data_PLT[[#This Row],[Hole ID]]&amp;"_"&amp;Data_PLT[[#This Row],[Sample ID]])</f>
        <v/>
      </c>
      <c r="E338" s="6"/>
      <c r="F338" s="6"/>
      <c r="G338" s="63" t="e" cm="1">
        <f t="array" ref="G338">_xlfn.XLOOKUP(1,(A338=Geotech!$A$4:$A$11100)*(Data_PLT[[#This Row],[Depth (m)]]&gt;=Geotech!$C$4:$C$11100)*(Data_PLT[[#This Row],[Depth (m)]]&lt;Geotech!$D$4:$D$11100),Geotech!$M$4:$M$11100)</f>
        <v>#N/A</v>
      </c>
      <c r="H338" s="6"/>
      <c r="I338" s="63" t="e">
        <f>VLOOKUP(Data_PLT[[#This Row],[Hole ID]],Data_Log[[Hole ID]:[Core size]],20,FALSE)</f>
        <v>#N/A</v>
      </c>
      <c r="J338" s="13" t="e">
        <f>VLOOKUP(Data_PLT[[#This Row],[Core Size]],Table_CoreSize[],2,FALSE)</f>
        <v>#N/A</v>
      </c>
      <c r="K338" s="19"/>
      <c r="L338" s="19"/>
      <c r="M338" s="5"/>
      <c r="N338" s="5"/>
      <c r="O338" s="6"/>
      <c r="P338" s="13" t="str">
        <f>IF(Data_PLT[[#This Row],[Failure type]]="","",IF(OR(Data_PLT[[#This Row],[Failure type]]="Invalid",Data_PLT[[#This Row],[Failure type]]="Chipped",Data_PLT[[#This Row],[Failure type]]="Penetrate",Data_PLT[[#This Row],[Failure type]]="Did not break"),"Invalid","Valid"))</f>
        <v/>
      </c>
      <c r="Q338" s="6"/>
      <c r="R338" s="11"/>
      <c r="S338" s="13" t="str">
        <f>IF(Data_PLT[[#This Row],[Test type]]="Diametral",Data_PLT[[#This Row],[Diameter (mm)]],IF(Data_PLT[[#This Row],[Test type]]="Axial",SQRT(4*Data_PLT[[#This Row],[Diameter (mm)]]*Data_PLT[[#This Row],[Length or width (mm)]]/PI()),"ERROR"))</f>
        <v>ERROR</v>
      </c>
      <c r="T338" s="13" t="e">
        <f>(Data_PLT[[#This Row],[Load (kN)]]*1000)/Data_PLT[[#This Row],[Equiv. Diam. (mm)]]^2</f>
        <v>#VALUE!</v>
      </c>
      <c r="U338" s="13" t="e">
        <f>(Data_PLT[[#This Row],[Equiv. Diam. (mm)]]/50)^0.45</f>
        <v>#VALUE!</v>
      </c>
      <c r="V338" s="13" t="e">
        <f>Data_PLT[[#This Row],[Is (MPa)]]*Data_PLT[[#This Row],[F]]</f>
        <v>#VALUE!</v>
      </c>
      <c r="W338" s="13" t="str">
        <f>Data_PLT[[#This Row],[Failure Validity]]&amp;"-"&amp;Data_PLT[[#This Row],[Test type]]</f>
        <v>-</v>
      </c>
      <c r="X338" s="13" t="e">
        <f>Data_PLT[[#This Row],[Is50 (MPa)]]*VLOOKUP("Min",Table_PLT_Conversion[],2,FALSE)</f>
        <v>#VALUE!</v>
      </c>
      <c r="Y338" s="13" t="e">
        <f>Data_PLT[[#This Row],[Is50 (MPa)]]*VLOOKUP("Avg",Table_PLT_Conversion[],2,FALSE)</f>
        <v>#VALUE!</v>
      </c>
      <c r="Z338" s="13" t="e">
        <f>Data_PLT[[#This Row],[Is50 (MPa)]]*VLOOKUP("Max",Table_PLT_Conversion[],2,FALSE)</f>
        <v>#VALUE!</v>
      </c>
      <c r="AA338" s="62" t="e">
        <f>MATCH(LOOKUP(Data_PLT[[#This Row],[UCS min (MPa)]],Table_FieldStrength[Min UCS]),Table_FieldStrength[Min UCS],0)-1</f>
        <v>#VALUE!</v>
      </c>
      <c r="AB338" s="62" t="e">
        <f>MATCH(LOOKUP(Data_PLT[[#This Row],[UCS avg (MPa)]],Table_FieldStrength[Min UCS]),Table_FieldStrength[Min UCS],0)-1</f>
        <v>#VALUE!</v>
      </c>
      <c r="AC338" s="62" t="e">
        <f>MATCH(LOOKUP(Data_PLT[[#This Row],[UCS max (MPa)]],Table_FieldStrength[Min UCS]),Table_FieldStrength[Min UCS],0)-1</f>
        <v>#VALUE!</v>
      </c>
      <c r="AD338" s="68" t="e">
        <f>Data_PLT[[#This Row],[Test code]]&amp;"-"&amp;Data_PLT[[#This Row],[UCS min code]]</f>
        <v>#VALUE!</v>
      </c>
      <c r="AE338" s="68" t="e">
        <f>Data_PLT[[#This Row],[Test code]]&amp;"-"&amp;Data_PLT[[#This Row],[UCS avg code]]</f>
        <v>#VALUE!</v>
      </c>
      <c r="AF338" s="67" t="e">
        <f>Data_PLT[[#This Row],[Test code]]&amp;"-"&amp;Data_PLT[[#This Row],[UCS max code]]</f>
        <v>#VALUE!</v>
      </c>
      <c r="AG338" s="67" t="e">
        <f>Data_PLT[[#This Row],[Failure type]]&amp;"-"&amp;Data_PLT[[#This Row],[Test type]]&amp;"-"&amp;(IF(Data_PLT[[#This Row],[Is50 (MPa)]]&lt;1,1,IF(Data_PLT[[#This Row],[Is50 (MPa)]]&lt;2,2,IF(Data_PLT[[#This Row],[Is50 (MPa)]]&lt;4,3,IF(Data_PLT[[#This Row],[Is50 (MPa)]]&lt;8,4,5)))))</f>
        <v>#VALUE!</v>
      </c>
    </row>
    <row r="339" spans="2:33" x14ac:dyDescent="0.25">
      <c r="B339" s="88" t="e">
        <f>VLOOKUP(Data_PLT[[#This Row],[Hole ID]],Data_Log[],2,FALSE)</f>
        <v>#N/A</v>
      </c>
      <c r="C339" s="63" t="str">
        <f>IF(Data_PLT[[#This Row],[Hole ID]]="","",
IF(COUNTIF($A$4:A339,Data_PLT[[#This Row],[Hole ID]])=1,1,
IF(A339=A338,C338+1,
COUNTIF($A$4:A339,Data_PLT[[#This Row],[Hole ID]]))))</f>
        <v/>
      </c>
      <c r="D339" s="63" t="str">
        <f>IF(Data_PLT[[#This Row],[Hole ID]]="","",Data_PLT[[#This Row],[Hole ID]]&amp;"_"&amp;Data_PLT[[#This Row],[Sample ID]])</f>
        <v/>
      </c>
      <c r="E339" s="6"/>
      <c r="F339" s="6"/>
      <c r="G339" s="63" t="e" cm="1">
        <f t="array" ref="G339">_xlfn.XLOOKUP(1,(A339=Geotech!$A$4:$A$11100)*(Data_PLT[[#This Row],[Depth (m)]]&gt;=Geotech!$C$4:$C$11100)*(Data_PLT[[#This Row],[Depth (m)]]&lt;Geotech!$D$4:$D$11100),Geotech!$M$4:$M$11100)</f>
        <v>#N/A</v>
      </c>
      <c r="H339" s="6"/>
      <c r="I339" s="63" t="e">
        <f>VLOOKUP(Data_PLT[[#This Row],[Hole ID]],Data_Log[[Hole ID]:[Core size]],20,FALSE)</f>
        <v>#N/A</v>
      </c>
      <c r="J339" s="13" t="e">
        <f>VLOOKUP(Data_PLT[[#This Row],[Core Size]],Table_CoreSize[],2,FALSE)</f>
        <v>#N/A</v>
      </c>
      <c r="K339" s="19"/>
      <c r="L339" s="19"/>
      <c r="M339" s="5"/>
      <c r="N339" s="5"/>
      <c r="O339" s="6"/>
      <c r="P339" s="13" t="str">
        <f>IF(Data_PLT[[#This Row],[Failure type]]="","",IF(OR(Data_PLT[[#This Row],[Failure type]]="Invalid",Data_PLT[[#This Row],[Failure type]]="Chipped",Data_PLT[[#This Row],[Failure type]]="Penetrate",Data_PLT[[#This Row],[Failure type]]="Did not break"),"Invalid","Valid"))</f>
        <v/>
      </c>
      <c r="Q339" s="6"/>
      <c r="R339" s="11"/>
      <c r="S339" s="13" t="str">
        <f>IF(Data_PLT[[#This Row],[Test type]]="Diametral",Data_PLT[[#This Row],[Diameter (mm)]],IF(Data_PLT[[#This Row],[Test type]]="Axial",SQRT(4*Data_PLT[[#This Row],[Diameter (mm)]]*Data_PLT[[#This Row],[Length or width (mm)]]/PI()),"ERROR"))</f>
        <v>ERROR</v>
      </c>
      <c r="T339" s="13" t="e">
        <f>(Data_PLT[[#This Row],[Load (kN)]]*1000)/Data_PLT[[#This Row],[Equiv. Diam. (mm)]]^2</f>
        <v>#VALUE!</v>
      </c>
      <c r="U339" s="13" t="e">
        <f>(Data_PLT[[#This Row],[Equiv. Diam. (mm)]]/50)^0.45</f>
        <v>#VALUE!</v>
      </c>
      <c r="V339" s="13" t="e">
        <f>Data_PLT[[#This Row],[Is (MPa)]]*Data_PLT[[#This Row],[F]]</f>
        <v>#VALUE!</v>
      </c>
      <c r="W339" s="13" t="str">
        <f>Data_PLT[[#This Row],[Failure Validity]]&amp;"-"&amp;Data_PLT[[#This Row],[Test type]]</f>
        <v>-</v>
      </c>
      <c r="X339" s="13" t="e">
        <f>Data_PLT[[#This Row],[Is50 (MPa)]]*VLOOKUP("Min",Table_PLT_Conversion[],2,FALSE)</f>
        <v>#VALUE!</v>
      </c>
      <c r="Y339" s="13" t="e">
        <f>Data_PLT[[#This Row],[Is50 (MPa)]]*VLOOKUP("Avg",Table_PLT_Conversion[],2,FALSE)</f>
        <v>#VALUE!</v>
      </c>
      <c r="Z339" s="13" t="e">
        <f>Data_PLT[[#This Row],[Is50 (MPa)]]*VLOOKUP("Max",Table_PLT_Conversion[],2,FALSE)</f>
        <v>#VALUE!</v>
      </c>
      <c r="AA339" s="62" t="e">
        <f>MATCH(LOOKUP(Data_PLT[[#This Row],[UCS min (MPa)]],Table_FieldStrength[Min UCS]),Table_FieldStrength[Min UCS],0)-1</f>
        <v>#VALUE!</v>
      </c>
      <c r="AB339" s="62" t="e">
        <f>MATCH(LOOKUP(Data_PLT[[#This Row],[UCS avg (MPa)]],Table_FieldStrength[Min UCS]),Table_FieldStrength[Min UCS],0)-1</f>
        <v>#VALUE!</v>
      </c>
      <c r="AC339" s="62" t="e">
        <f>MATCH(LOOKUP(Data_PLT[[#This Row],[UCS max (MPa)]],Table_FieldStrength[Min UCS]),Table_FieldStrength[Min UCS],0)-1</f>
        <v>#VALUE!</v>
      </c>
      <c r="AD339" s="68" t="e">
        <f>Data_PLT[[#This Row],[Test code]]&amp;"-"&amp;Data_PLT[[#This Row],[UCS min code]]</f>
        <v>#VALUE!</v>
      </c>
      <c r="AE339" s="68" t="e">
        <f>Data_PLT[[#This Row],[Test code]]&amp;"-"&amp;Data_PLT[[#This Row],[UCS avg code]]</f>
        <v>#VALUE!</v>
      </c>
      <c r="AF339" s="67" t="e">
        <f>Data_PLT[[#This Row],[Test code]]&amp;"-"&amp;Data_PLT[[#This Row],[UCS max code]]</f>
        <v>#VALUE!</v>
      </c>
      <c r="AG339" s="67" t="e">
        <f>Data_PLT[[#This Row],[Failure type]]&amp;"-"&amp;Data_PLT[[#This Row],[Test type]]&amp;"-"&amp;(IF(Data_PLT[[#This Row],[Is50 (MPa)]]&lt;1,1,IF(Data_PLT[[#This Row],[Is50 (MPa)]]&lt;2,2,IF(Data_PLT[[#This Row],[Is50 (MPa)]]&lt;4,3,IF(Data_PLT[[#This Row],[Is50 (MPa)]]&lt;8,4,5)))))</f>
        <v>#VALUE!</v>
      </c>
    </row>
    <row r="340" spans="2:33" x14ac:dyDescent="0.25">
      <c r="B340" s="88" t="e">
        <f>VLOOKUP(Data_PLT[[#This Row],[Hole ID]],Data_Log[],2,FALSE)</f>
        <v>#N/A</v>
      </c>
      <c r="C340" s="63" t="str">
        <f>IF(Data_PLT[[#This Row],[Hole ID]]="","",
IF(COUNTIF($A$4:A340,Data_PLT[[#This Row],[Hole ID]])=1,1,
IF(A340=A339,C339+1,
COUNTIF($A$4:A340,Data_PLT[[#This Row],[Hole ID]]))))</f>
        <v/>
      </c>
      <c r="D340" s="63" t="str">
        <f>IF(Data_PLT[[#This Row],[Hole ID]]="","",Data_PLT[[#This Row],[Hole ID]]&amp;"_"&amp;Data_PLT[[#This Row],[Sample ID]])</f>
        <v/>
      </c>
      <c r="E340" s="6"/>
      <c r="F340" s="6"/>
      <c r="G340" s="63" t="e" cm="1">
        <f t="array" ref="G340">_xlfn.XLOOKUP(1,(A340=Geotech!$A$4:$A$11100)*(Data_PLT[[#This Row],[Depth (m)]]&gt;=Geotech!$C$4:$C$11100)*(Data_PLT[[#This Row],[Depth (m)]]&lt;Geotech!$D$4:$D$11100),Geotech!$M$4:$M$11100)</f>
        <v>#N/A</v>
      </c>
      <c r="H340" s="6"/>
      <c r="I340" s="63" t="e">
        <f>VLOOKUP(Data_PLT[[#This Row],[Hole ID]],Data_Log[[Hole ID]:[Core size]],20,FALSE)</f>
        <v>#N/A</v>
      </c>
      <c r="J340" s="13" t="e">
        <f>VLOOKUP(Data_PLT[[#This Row],[Core Size]],Table_CoreSize[],2,FALSE)</f>
        <v>#N/A</v>
      </c>
      <c r="K340" s="19"/>
      <c r="L340" s="19"/>
      <c r="M340" s="5"/>
      <c r="N340" s="5"/>
      <c r="O340" s="6"/>
      <c r="P340" s="13" t="str">
        <f>IF(Data_PLT[[#This Row],[Failure type]]="","",IF(OR(Data_PLT[[#This Row],[Failure type]]="Invalid",Data_PLT[[#This Row],[Failure type]]="Chipped",Data_PLT[[#This Row],[Failure type]]="Penetrate",Data_PLT[[#This Row],[Failure type]]="Did not break"),"Invalid","Valid"))</f>
        <v/>
      </c>
      <c r="Q340" s="6"/>
      <c r="R340" s="11"/>
      <c r="S340" s="13" t="str">
        <f>IF(Data_PLT[[#This Row],[Test type]]="Diametral",Data_PLT[[#This Row],[Diameter (mm)]],IF(Data_PLT[[#This Row],[Test type]]="Axial",SQRT(4*Data_PLT[[#This Row],[Diameter (mm)]]*Data_PLT[[#This Row],[Length or width (mm)]]/PI()),"ERROR"))</f>
        <v>ERROR</v>
      </c>
      <c r="T340" s="13" t="e">
        <f>(Data_PLT[[#This Row],[Load (kN)]]*1000)/Data_PLT[[#This Row],[Equiv. Diam. (mm)]]^2</f>
        <v>#VALUE!</v>
      </c>
      <c r="U340" s="13" t="e">
        <f>(Data_PLT[[#This Row],[Equiv. Diam. (mm)]]/50)^0.45</f>
        <v>#VALUE!</v>
      </c>
      <c r="V340" s="13" t="e">
        <f>Data_PLT[[#This Row],[Is (MPa)]]*Data_PLT[[#This Row],[F]]</f>
        <v>#VALUE!</v>
      </c>
      <c r="W340" s="13" t="str">
        <f>Data_PLT[[#This Row],[Failure Validity]]&amp;"-"&amp;Data_PLT[[#This Row],[Test type]]</f>
        <v>-</v>
      </c>
      <c r="X340" s="13" t="e">
        <f>Data_PLT[[#This Row],[Is50 (MPa)]]*VLOOKUP("Min",Table_PLT_Conversion[],2,FALSE)</f>
        <v>#VALUE!</v>
      </c>
      <c r="Y340" s="13" t="e">
        <f>Data_PLT[[#This Row],[Is50 (MPa)]]*VLOOKUP("Avg",Table_PLT_Conversion[],2,FALSE)</f>
        <v>#VALUE!</v>
      </c>
      <c r="Z340" s="13" t="e">
        <f>Data_PLT[[#This Row],[Is50 (MPa)]]*VLOOKUP("Max",Table_PLT_Conversion[],2,FALSE)</f>
        <v>#VALUE!</v>
      </c>
      <c r="AA340" s="62" t="e">
        <f>MATCH(LOOKUP(Data_PLT[[#This Row],[UCS min (MPa)]],Table_FieldStrength[Min UCS]),Table_FieldStrength[Min UCS],0)-1</f>
        <v>#VALUE!</v>
      </c>
      <c r="AB340" s="62" t="e">
        <f>MATCH(LOOKUP(Data_PLT[[#This Row],[UCS avg (MPa)]],Table_FieldStrength[Min UCS]),Table_FieldStrength[Min UCS],0)-1</f>
        <v>#VALUE!</v>
      </c>
      <c r="AC340" s="62" t="e">
        <f>MATCH(LOOKUP(Data_PLT[[#This Row],[UCS max (MPa)]],Table_FieldStrength[Min UCS]),Table_FieldStrength[Min UCS],0)-1</f>
        <v>#VALUE!</v>
      </c>
      <c r="AD340" s="68" t="e">
        <f>Data_PLT[[#This Row],[Test code]]&amp;"-"&amp;Data_PLT[[#This Row],[UCS min code]]</f>
        <v>#VALUE!</v>
      </c>
      <c r="AE340" s="68" t="e">
        <f>Data_PLT[[#This Row],[Test code]]&amp;"-"&amp;Data_PLT[[#This Row],[UCS avg code]]</f>
        <v>#VALUE!</v>
      </c>
      <c r="AF340" s="67" t="e">
        <f>Data_PLT[[#This Row],[Test code]]&amp;"-"&amp;Data_PLT[[#This Row],[UCS max code]]</f>
        <v>#VALUE!</v>
      </c>
      <c r="AG340" s="67" t="e">
        <f>Data_PLT[[#This Row],[Failure type]]&amp;"-"&amp;Data_PLT[[#This Row],[Test type]]&amp;"-"&amp;(IF(Data_PLT[[#This Row],[Is50 (MPa)]]&lt;1,1,IF(Data_PLT[[#This Row],[Is50 (MPa)]]&lt;2,2,IF(Data_PLT[[#This Row],[Is50 (MPa)]]&lt;4,3,IF(Data_PLT[[#This Row],[Is50 (MPa)]]&lt;8,4,5)))))</f>
        <v>#VALUE!</v>
      </c>
    </row>
    <row r="341" spans="2:33" x14ac:dyDescent="0.25">
      <c r="B341" s="88" t="e">
        <f>VLOOKUP(Data_PLT[[#This Row],[Hole ID]],Data_Log[],2,FALSE)</f>
        <v>#N/A</v>
      </c>
      <c r="C341" s="63" t="str">
        <f>IF(Data_PLT[[#This Row],[Hole ID]]="","",
IF(COUNTIF($A$4:A341,Data_PLT[[#This Row],[Hole ID]])=1,1,
IF(A341=A340,C340+1,
COUNTIF($A$4:A341,Data_PLT[[#This Row],[Hole ID]]))))</f>
        <v/>
      </c>
      <c r="D341" s="63" t="str">
        <f>IF(Data_PLT[[#This Row],[Hole ID]]="","",Data_PLT[[#This Row],[Hole ID]]&amp;"_"&amp;Data_PLT[[#This Row],[Sample ID]])</f>
        <v/>
      </c>
      <c r="E341" s="6"/>
      <c r="F341" s="6"/>
      <c r="G341" s="63" t="e" cm="1">
        <f t="array" ref="G341">_xlfn.XLOOKUP(1,(A341=Geotech!$A$4:$A$11100)*(Data_PLT[[#This Row],[Depth (m)]]&gt;=Geotech!$C$4:$C$11100)*(Data_PLT[[#This Row],[Depth (m)]]&lt;Geotech!$D$4:$D$11100),Geotech!$M$4:$M$11100)</f>
        <v>#N/A</v>
      </c>
      <c r="H341" s="6"/>
      <c r="I341" s="63" t="e">
        <f>VLOOKUP(Data_PLT[[#This Row],[Hole ID]],Data_Log[[Hole ID]:[Core size]],20,FALSE)</f>
        <v>#N/A</v>
      </c>
      <c r="J341" s="13" t="e">
        <f>VLOOKUP(Data_PLT[[#This Row],[Core Size]],Table_CoreSize[],2,FALSE)</f>
        <v>#N/A</v>
      </c>
      <c r="K341" s="19"/>
      <c r="L341" s="19"/>
      <c r="M341" s="5"/>
      <c r="N341" s="5"/>
      <c r="O341" s="6"/>
      <c r="P341" s="13" t="str">
        <f>IF(Data_PLT[[#This Row],[Failure type]]="","",IF(OR(Data_PLT[[#This Row],[Failure type]]="Invalid",Data_PLT[[#This Row],[Failure type]]="Chipped",Data_PLT[[#This Row],[Failure type]]="Penetrate",Data_PLT[[#This Row],[Failure type]]="Did not break"),"Invalid","Valid"))</f>
        <v/>
      </c>
      <c r="Q341" s="6"/>
      <c r="R341" s="11"/>
      <c r="S341" s="13" t="str">
        <f>IF(Data_PLT[[#This Row],[Test type]]="Diametral",Data_PLT[[#This Row],[Diameter (mm)]],IF(Data_PLT[[#This Row],[Test type]]="Axial",SQRT(4*Data_PLT[[#This Row],[Diameter (mm)]]*Data_PLT[[#This Row],[Length or width (mm)]]/PI()),"ERROR"))</f>
        <v>ERROR</v>
      </c>
      <c r="T341" s="13" t="e">
        <f>(Data_PLT[[#This Row],[Load (kN)]]*1000)/Data_PLT[[#This Row],[Equiv. Diam. (mm)]]^2</f>
        <v>#VALUE!</v>
      </c>
      <c r="U341" s="13" t="e">
        <f>(Data_PLT[[#This Row],[Equiv. Diam. (mm)]]/50)^0.45</f>
        <v>#VALUE!</v>
      </c>
      <c r="V341" s="13" t="e">
        <f>Data_PLT[[#This Row],[Is (MPa)]]*Data_PLT[[#This Row],[F]]</f>
        <v>#VALUE!</v>
      </c>
      <c r="W341" s="13" t="str">
        <f>Data_PLT[[#This Row],[Failure Validity]]&amp;"-"&amp;Data_PLT[[#This Row],[Test type]]</f>
        <v>-</v>
      </c>
      <c r="X341" s="13" t="e">
        <f>Data_PLT[[#This Row],[Is50 (MPa)]]*VLOOKUP("Min",Table_PLT_Conversion[],2,FALSE)</f>
        <v>#VALUE!</v>
      </c>
      <c r="Y341" s="13" t="e">
        <f>Data_PLT[[#This Row],[Is50 (MPa)]]*VLOOKUP("Avg",Table_PLT_Conversion[],2,FALSE)</f>
        <v>#VALUE!</v>
      </c>
      <c r="Z341" s="13" t="e">
        <f>Data_PLT[[#This Row],[Is50 (MPa)]]*VLOOKUP("Max",Table_PLT_Conversion[],2,FALSE)</f>
        <v>#VALUE!</v>
      </c>
      <c r="AA341" s="62" t="e">
        <f>MATCH(LOOKUP(Data_PLT[[#This Row],[UCS min (MPa)]],Table_FieldStrength[Min UCS]),Table_FieldStrength[Min UCS],0)-1</f>
        <v>#VALUE!</v>
      </c>
      <c r="AB341" s="62" t="e">
        <f>MATCH(LOOKUP(Data_PLT[[#This Row],[UCS avg (MPa)]],Table_FieldStrength[Min UCS]),Table_FieldStrength[Min UCS],0)-1</f>
        <v>#VALUE!</v>
      </c>
      <c r="AC341" s="62" t="e">
        <f>MATCH(LOOKUP(Data_PLT[[#This Row],[UCS max (MPa)]],Table_FieldStrength[Min UCS]),Table_FieldStrength[Min UCS],0)-1</f>
        <v>#VALUE!</v>
      </c>
      <c r="AD341" s="68" t="e">
        <f>Data_PLT[[#This Row],[Test code]]&amp;"-"&amp;Data_PLT[[#This Row],[UCS min code]]</f>
        <v>#VALUE!</v>
      </c>
      <c r="AE341" s="68" t="e">
        <f>Data_PLT[[#This Row],[Test code]]&amp;"-"&amp;Data_PLT[[#This Row],[UCS avg code]]</f>
        <v>#VALUE!</v>
      </c>
      <c r="AF341" s="67" t="e">
        <f>Data_PLT[[#This Row],[Test code]]&amp;"-"&amp;Data_PLT[[#This Row],[UCS max code]]</f>
        <v>#VALUE!</v>
      </c>
      <c r="AG341" s="67" t="e">
        <f>Data_PLT[[#This Row],[Failure type]]&amp;"-"&amp;Data_PLT[[#This Row],[Test type]]&amp;"-"&amp;(IF(Data_PLT[[#This Row],[Is50 (MPa)]]&lt;1,1,IF(Data_PLT[[#This Row],[Is50 (MPa)]]&lt;2,2,IF(Data_PLT[[#This Row],[Is50 (MPa)]]&lt;4,3,IF(Data_PLT[[#This Row],[Is50 (MPa)]]&lt;8,4,5)))))</f>
        <v>#VALUE!</v>
      </c>
    </row>
    <row r="342" spans="2:33" x14ac:dyDescent="0.25">
      <c r="B342" s="88" t="e">
        <f>VLOOKUP(Data_PLT[[#This Row],[Hole ID]],Data_Log[],2,FALSE)</f>
        <v>#N/A</v>
      </c>
      <c r="C342" s="63" t="str">
        <f>IF(Data_PLT[[#This Row],[Hole ID]]="","",
IF(COUNTIF($A$4:A342,Data_PLT[[#This Row],[Hole ID]])=1,1,
IF(A342=A341,C341+1,
COUNTIF($A$4:A342,Data_PLT[[#This Row],[Hole ID]]))))</f>
        <v/>
      </c>
      <c r="D342" s="63" t="str">
        <f>IF(Data_PLT[[#This Row],[Hole ID]]="","",Data_PLT[[#This Row],[Hole ID]]&amp;"_"&amp;Data_PLT[[#This Row],[Sample ID]])</f>
        <v/>
      </c>
      <c r="E342" s="6"/>
      <c r="F342" s="6"/>
      <c r="G342" s="63" t="e" cm="1">
        <f t="array" ref="G342">_xlfn.XLOOKUP(1,(A342=Geotech!$A$4:$A$11100)*(Data_PLT[[#This Row],[Depth (m)]]&gt;=Geotech!$C$4:$C$11100)*(Data_PLT[[#This Row],[Depth (m)]]&lt;Geotech!$D$4:$D$11100),Geotech!$M$4:$M$11100)</f>
        <v>#N/A</v>
      </c>
      <c r="H342" s="6"/>
      <c r="I342" s="63" t="e">
        <f>VLOOKUP(Data_PLT[[#This Row],[Hole ID]],Data_Log[[Hole ID]:[Core size]],20,FALSE)</f>
        <v>#N/A</v>
      </c>
      <c r="J342" s="13" t="e">
        <f>VLOOKUP(Data_PLT[[#This Row],[Core Size]],Table_CoreSize[],2,FALSE)</f>
        <v>#N/A</v>
      </c>
      <c r="K342" s="19"/>
      <c r="L342" s="19"/>
      <c r="M342" s="5"/>
      <c r="N342" s="5"/>
      <c r="O342" s="6"/>
      <c r="P342" s="13" t="str">
        <f>IF(Data_PLT[[#This Row],[Failure type]]="","",IF(OR(Data_PLT[[#This Row],[Failure type]]="Invalid",Data_PLT[[#This Row],[Failure type]]="Chipped",Data_PLT[[#This Row],[Failure type]]="Penetrate",Data_PLT[[#This Row],[Failure type]]="Did not break"),"Invalid","Valid"))</f>
        <v/>
      </c>
      <c r="Q342" s="6"/>
      <c r="R342" s="11"/>
      <c r="S342" s="13" t="str">
        <f>IF(Data_PLT[[#This Row],[Test type]]="Diametral",Data_PLT[[#This Row],[Diameter (mm)]],IF(Data_PLT[[#This Row],[Test type]]="Axial",SQRT(4*Data_PLT[[#This Row],[Diameter (mm)]]*Data_PLT[[#This Row],[Length or width (mm)]]/PI()),"ERROR"))</f>
        <v>ERROR</v>
      </c>
      <c r="T342" s="13" t="e">
        <f>(Data_PLT[[#This Row],[Load (kN)]]*1000)/Data_PLT[[#This Row],[Equiv. Diam. (mm)]]^2</f>
        <v>#VALUE!</v>
      </c>
      <c r="U342" s="13" t="e">
        <f>(Data_PLT[[#This Row],[Equiv. Diam. (mm)]]/50)^0.45</f>
        <v>#VALUE!</v>
      </c>
      <c r="V342" s="13" t="e">
        <f>Data_PLT[[#This Row],[Is (MPa)]]*Data_PLT[[#This Row],[F]]</f>
        <v>#VALUE!</v>
      </c>
      <c r="W342" s="13" t="str">
        <f>Data_PLT[[#This Row],[Failure Validity]]&amp;"-"&amp;Data_PLT[[#This Row],[Test type]]</f>
        <v>-</v>
      </c>
      <c r="X342" s="13" t="e">
        <f>Data_PLT[[#This Row],[Is50 (MPa)]]*VLOOKUP("Min",Table_PLT_Conversion[],2,FALSE)</f>
        <v>#VALUE!</v>
      </c>
      <c r="Y342" s="13" t="e">
        <f>Data_PLT[[#This Row],[Is50 (MPa)]]*VLOOKUP("Avg",Table_PLT_Conversion[],2,FALSE)</f>
        <v>#VALUE!</v>
      </c>
      <c r="Z342" s="13" t="e">
        <f>Data_PLT[[#This Row],[Is50 (MPa)]]*VLOOKUP("Max",Table_PLT_Conversion[],2,FALSE)</f>
        <v>#VALUE!</v>
      </c>
      <c r="AA342" s="62" t="e">
        <f>MATCH(LOOKUP(Data_PLT[[#This Row],[UCS min (MPa)]],Table_FieldStrength[Min UCS]),Table_FieldStrength[Min UCS],0)-1</f>
        <v>#VALUE!</v>
      </c>
      <c r="AB342" s="62" t="e">
        <f>MATCH(LOOKUP(Data_PLT[[#This Row],[UCS avg (MPa)]],Table_FieldStrength[Min UCS]),Table_FieldStrength[Min UCS],0)-1</f>
        <v>#VALUE!</v>
      </c>
      <c r="AC342" s="62" t="e">
        <f>MATCH(LOOKUP(Data_PLT[[#This Row],[UCS max (MPa)]],Table_FieldStrength[Min UCS]),Table_FieldStrength[Min UCS],0)-1</f>
        <v>#VALUE!</v>
      </c>
      <c r="AD342" s="68" t="e">
        <f>Data_PLT[[#This Row],[Test code]]&amp;"-"&amp;Data_PLT[[#This Row],[UCS min code]]</f>
        <v>#VALUE!</v>
      </c>
      <c r="AE342" s="68" t="e">
        <f>Data_PLT[[#This Row],[Test code]]&amp;"-"&amp;Data_PLT[[#This Row],[UCS avg code]]</f>
        <v>#VALUE!</v>
      </c>
      <c r="AF342" s="67" t="e">
        <f>Data_PLT[[#This Row],[Test code]]&amp;"-"&amp;Data_PLT[[#This Row],[UCS max code]]</f>
        <v>#VALUE!</v>
      </c>
      <c r="AG342" s="67" t="e">
        <f>Data_PLT[[#This Row],[Failure type]]&amp;"-"&amp;Data_PLT[[#This Row],[Test type]]&amp;"-"&amp;(IF(Data_PLT[[#This Row],[Is50 (MPa)]]&lt;1,1,IF(Data_PLT[[#This Row],[Is50 (MPa)]]&lt;2,2,IF(Data_PLT[[#This Row],[Is50 (MPa)]]&lt;4,3,IF(Data_PLT[[#This Row],[Is50 (MPa)]]&lt;8,4,5)))))</f>
        <v>#VALUE!</v>
      </c>
    </row>
    <row r="343" spans="2:33" x14ac:dyDescent="0.25">
      <c r="B343" s="88" t="e">
        <f>VLOOKUP(Data_PLT[[#This Row],[Hole ID]],Data_Log[],2,FALSE)</f>
        <v>#N/A</v>
      </c>
      <c r="C343" s="63" t="str">
        <f>IF(Data_PLT[[#This Row],[Hole ID]]="","",
IF(COUNTIF($A$4:A343,Data_PLT[[#This Row],[Hole ID]])=1,1,
IF(A343=A342,C342+1,
COUNTIF($A$4:A343,Data_PLT[[#This Row],[Hole ID]]))))</f>
        <v/>
      </c>
      <c r="D343" s="63" t="str">
        <f>IF(Data_PLT[[#This Row],[Hole ID]]="","",Data_PLT[[#This Row],[Hole ID]]&amp;"_"&amp;Data_PLT[[#This Row],[Sample ID]])</f>
        <v/>
      </c>
      <c r="E343" s="6"/>
      <c r="F343" s="6"/>
      <c r="G343" s="63" t="e" cm="1">
        <f t="array" ref="G343">_xlfn.XLOOKUP(1,(A343=Geotech!$A$4:$A$11100)*(Data_PLT[[#This Row],[Depth (m)]]&gt;=Geotech!$C$4:$C$11100)*(Data_PLT[[#This Row],[Depth (m)]]&lt;Geotech!$D$4:$D$11100),Geotech!$M$4:$M$11100)</f>
        <v>#N/A</v>
      </c>
      <c r="H343" s="6"/>
      <c r="I343" s="63" t="e">
        <f>VLOOKUP(Data_PLT[[#This Row],[Hole ID]],Data_Log[[Hole ID]:[Core size]],20,FALSE)</f>
        <v>#N/A</v>
      </c>
      <c r="J343" s="13" t="e">
        <f>VLOOKUP(Data_PLT[[#This Row],[Core Size]],Table_CoreSize[],2,FALSE)</f>
        <v>#N/A</v>
      </c>
      <c r="K343" s="19"/>
      <c r="L343" s="19"/>
      <c r="M343" s="5"/>
      <c r="N343" s="5"/>
      <c r="O343" s="6"/>
      <c r="P343" s="13" t="str">
        <f>IF(Data_PLT[[#This Row],[Failure type]]="","",IF(OR(Data_PLT[[#This Row],[Failure type]]="Invalid",Data_PLT[[#This Row],[Failure type]]="Chipped",Data_PLT[[#This Row],[Failure type]]="Penetrate",Data_PLT[[#This Row],[Failure type]]="Did not break"),"Invalid","Valid"))</f>
        <v/>
      </c>
      <c r="Q343" s="6"/>
      <c r="R343" s="11"/>
      <c r="S343" s="13" t="str">
        <f>IF(Data_PLT[[#This Row],[Test type]]="Diametral",Data_PLT[[#This Row],[Diameter (mm)]],IF(Data_PLT[[#This Row],[Test type]]="Axial",SQRT(4*Data_PLT[[#This Row],[Diameter (mm)]]*Data_PLT[[#This Row],[Length or width (mm)]]/PI()),"ERROR"))</f>
        <v>ERROR</v>
      </c>
      <c r="T343" s="13" t="e">
        <f>(Data_PLT[[#This Row],[Load (kN)]]*1000)/Data_PLT[[#This Row],[Equiv. Diam. (mm)]]^2</f>
        <v>#VALUE!</v>
      </c>
      <c r="U343" s="13" t="e">
        <f>(Data_PLT[[#This Row],[Equiv. Diam. (mm)]]/50)^0.45</f>
        <v>#VALUE!</v>
      </c>
      <c r="V343" s="13" t="e">
        <f>Data_PLT[[#This Row],[Is (MPa)]]*Data_PLT[[#This Row],[F]]</f>
        <v>#VALUE!</v>
      </c>
      <c r="W343" s="13" t="str">
        <f>Data_PLT[[#This Row],[Failure Validity]]&amp;"-"&amp;Data_PLT[[#This Row],[Test type]]</f>
        <v>-</v>
      </c>
      <c r="X343" s="13" t="e">
        <f>Data_PLT[[#This Row],[Is50 (MPa)]]*VLOOKUP("Min",Table_PLT_Conversion[],2,FALSE)</f>
        <v>#VALUE!</v>
      </c>
      <c r="Y343" s="13" t="e">
        <f>Data_PLT[[#This Row],[Is50 (MPa)]]*VLOOKUP("Avg",Table_PLT_Conversion[],2,FALSE)</f>
        <v>#VALUE!</v>
      </c>
      <c r="Z343" s="13" t="e">
        <f>Data_PLT[[#This Row],[Is50 (MPa)]]*VLOOKUP("Max",Table_PLT_Conversion[],2,FALSE)</f>
        <v>#VALUE!</v>
      </c>
      <c r="AA343" s="62" t="e">
        <f>MATCH(LOOKUP(Data_PLT[[#This Row],[UCS min (MPa)]],Table_FieldStrength[Min UCS]),Table_FieldStrength[Min UCS],0)-1</f>
        <v>#VALUE!</v>
      </c>
      <c r="AB343" s="62" t="e">
        <f>MATCH(LOOKUP(Data_PLT[[#This Row],[UCS avg (MPa)]],Table_FieldStrength[Min UCS]),Table_FieldStrength[Min UCS],0)-1</f>
        <v>#VALUE!</v>
      </c>
      <c r="AC343" s="62" t="e">
        <f>MATCH(LOOKUP(Data_PLT[[#This Row],[UCS max (MPa)]],Table_FieldStrength[Min UCS]),Table_FieldStrength[Min UCS],0)-1</f>
        <v>#VALUE!</v>
      </c>
      <c r="AD343" s="68" t="e">
        <f>Data_PLT[[#This Row],[Test code]]&amp;"-"&amp;Data_PLT[[#This Row],[UCS min code]]</f>
        <v>#VALUE!</v>
      </c>
      <c r="AE343" s="68" t="e">
        <f>Data_PLT[[#This Row],[Test code]]&amp;"-"&amp;Data_PLT[[#This Row],[UCS avg code]]</f>
        <v>#VALUE!</v>
      </c>
      <c r="AF343" s="67" t="e">
        <f>Data_PLT[[#This Row],[Test code]]&amp;"-"&amp;Data_PLT[[#This Row],[UCS max code]]</f>
        <v>#VALUE!</v>
      </c>
      <c r="AG343" s="67" t="e">
        <f>Data_PLT[[#This Row],[Failure type]]&amp;"-"&amp;Data_PLT[[#This Row],[Test type]]&amp;"-"&amp;(IF(Data_PLT[[#This Row],[Is50 (MPa)]]&lt;1,1,IF(Data_PLT[[#This Row],[Is50 (MPa)]]&lt;2,2,IF(Data_PLT[[#This Row],[Is50 (MPa)]]&lt;4,3,IF(Data_PLT[[#This Row],[Is50 (MPa)]]&lt;8,4,5)))))</f>
        <v>#VALUE!</v>
      </c>
    </row>
    <row r="344" spans="2:33" x14ac:dyDescent="0.25">
      <c r="B344" s="88" t="e">
        <f>VLOOKUP(Data_PLT[[#This Row],[Hole ID]],Data_Log[],2,FALSE)</f>
        <v>#N/A</v>
      </c>
      <c r="C344" s="63" t="str">
        <f>IF(Data_PLT[[#This Row],[Hole ID]]="","",
IF(COUNTIF($A$4:A344,Data_PLT[[#This Row],[Hole ID]])=1,1,
IF(A344=A343,C343+1,
COUNTIF($A$4:A344,Data_PLT[[#This Row],[Hole ID]]))))</f>
        <v/>
      </c>
      <c r="D344" s="63" t="str">
        <f>IF(Data_PLT[[#This Row],[Hole ID]]="","",Data_PLT[[#This Row],[Hole ID]]&amp;"_"&amp;Data_PLT[[#This Row],[Sample ID]])</f>
        <v/>
      </c>
      <c r="E344" s="6"/>
      <c r="F344" s="6"/>
      <c r="G344" s="63" t="e" cm="1">
        <f t="array" ref="G344">_xlfn.XLOOKUP(1,(A344=Geotech!$A$4:$A$11100)*(Data_PLT[[#This Row],[Depth (m)]]&gt;=Geotech!$C$4:$C$11100)*(Data_PLT[[#This Row],[Depth (m)]]&lt;Geotech!$D$4:$D$11100),Geotech!$M$4:$M$11100)</f>
        <v>#N/A</v>
      </c>
      <c r="H344" s="6"/>
      <c r="I344" s="63" t="e">
        <f>VLOOKUP(Data_PLT[[#This Row],[Hole ID]],Data_Log[[Hole ID]:[Core size]],20,FALSE)</f>
        <v>#N/A</v>
      </c>
      <c r="J344" s="13" t="e">
        <f>VLOOKUP(Data_PLT[[#This Row],[Core Size]],Table_CoreSize[],2,FALSE)</f>
        <v>#N/A</v>
      </c>
      <c r="K344" s="19"/>
      <c r="L344" s="19"/>
      <c r="M344" s="5"/>
      <c r="N344" s="5"/>
      <c r="O344" s="6"/>
      <c r="P344" s="13" t="str">
        <f>IF(Data_PLT[[#This Row],[Failure type]]="","",IF(OR(Data_PLT[[#This Row],[Failure type]]="Invalid",Data_PLT[[#This Row],[Failure type]]="Chipped",Data_PLT[[#This Row],[Failure type]]="Penetrate",Data_PLT[[#This Row],[Failure type]]="Did not break"),"Invalid","Valid"))</f>
        <v/>
      </c>
      <c r="Q344" s="6"/>
      <c r="R344" s="11"/>
      <c r="S344" s="13" t="str">
        <f>IF(Data_PLT[[#This Row],[Test type]]="Diametral",Data_PLT[[#This Row],[Diameter (mm)]],IF(Data_PLT[[#This Row],[Test type]]="Axial",SQRT(4*Data_PLT[[#This Row],[Diameter (mm)]]*Data_PLT[[#This Row],[Length or width (mm)]]/PI()),"ERROR"))</f>
        <v>ERROR</v>
      </c>
      <c r="T344" s="13" t="e">
        <f>(Data_PLT[[#This Row],[Load (kN)]]*1000)/Data_PLT[[#This Row],[Equiv. Diam. (mm)]]^2</f>
        <v>#VALUE!</v>
      </c>
      <c r="U344" s="13" t="e">
        <f>(Data_PLT[[#This Row],[Equiv. Diam. (mm)]]/50)^0.45</f>
        <v>#VALUE!</v>
      </c>
      <c r="V344" s="13" t="e">
        <f>Data_PLT[[#This Row],[Is (MPa)]]*Data_PLT[[#This Row],[F]]</f>
        <v>#VALUE!</v>
      </c>
      <c r="W344" s="13" t="str">
        <f>Data_PLT[[#This Row],[Failure Validity]]&amp;"-"&amp;Data_PLT[[#This Row],[Test type]]</f>
        <v>-</v>
      </c>
      <c r="X344" s="13" t="e">
        <f>Data_PLT[[#This Row],[Is50 (MPa)]]*VLOOKUP("Min",Table_PLT_Conversion[],2,FALSE)</f>
        <v>#VALUE!</v>
      </c>
      <c r="Y344" s="13" t="e">
        <f>Data_PLT[[#This Row],[Is50 (MPa)]]*VLOOKUP("Avg",Table_PLT_Conversion[],2,FALSE)</f>
        <v>#VALUE!</v>
      </c>
      <c r="Z344" s="13" t="e">
        <f>Data_PLT[[#This Row],[Is50 (MPa)]]*VLOOKUP("Max",Table_PLT_Conversion[],2,FALSE)</f>
        <v>#VALUE!</v>
      </c>
      <c r="AA344" s="62" t="e">
        <f>MATCH(LOOKUP(Data_PLT[[#This Row],[UCS min (MPa)]],Table_FieldStrength[Min UCS]),Table_FieldStrength[Min UCS],0)-1</f>
        <v>#VALUE!</v>
      </c>
      <c r="AB344" s="62" t="e">
        <f>MATCH(LOOKUP(Data_PLT[[#This Row],[UCS avg (MPa)]],Table_FieldStrength[Min UCS]),Table_FieldStrength[Min UCS],0)-1</f>
        <v>#VALUE!</v>
      </c>
      <c r="AC344" s="62" t="e">
        <f>MATCH(LOOKUP(Data_PLT[[#This Row],[UCS max (MPa)]],Table_FieldStrength[Min UCS]),Table_FieldStrength[Min UCS],0)-1</f>
        <v>#VALUE!</v>
      </c>
      <c r="AD344" s="68" t="e">
        <f>Data_PLT[[#This Row],[Test code]]&amp;"-"&amp;Data_PLT[[#This Row],[UCS min code]]</f>
        <v>#VALUE!</v>
      </c>
      <c r="AE344" s="68" t="e">
        <f>Data_PLT[[#This Row],[Test code]]&amp;"-"&amp;Data_PLT[[#This Row],[UCS avg code]]</f>
        <v>#VALUE!</v>
      </c>
      <c r="AF344" s="67" t="e">
        <f>Data_PLT[[#This Row],[Test code]]&amp;"-"&amp;Data_PLT[[#This Row],[UCS max code]]</f>
        <v>#VALUE!</v>
      </c>
      <c r="AG344" s="67" t="e">
        <f>Data_PLT[[#This Row],[Failure type]]&amp;"-"&amp;Data_PLT[[#This Row],[Test type]]&amp;"-"&amp;(IF(Data_PLT[[#This Row],[Is50 (MPa)]]&lt;1,1,IF(Data_PLT[[#This Row],[Is50 (MPa)]]&lt;2,2,IF(Data_PLT[[#This Row],[Is50 (MPa)]]&lt;4,3,IF(Data_PLT[[#This Row],[Is50 (MPa)]]&lt;8,4,5)))))</f>
        <v>#VALUE!</v>
      </c>
    </row>
    <row r="345" spans="2:33" x14ac:dyDescent="0.25">
      <c r="B345" s="88" t="e">
        <f>VLOOKUP(Data_PLT[[#This Row],[Hole ID]],Data_Log[],2,FALSE)</f>
        <v>#N/A</v>
      </c>
      <c r="C345" s="63" t="str">
        <f>IF(Data_PLT[[#This Row],[Hole ID]]="","",
IF(COUNTIF($A$4:A345,Data_PLT[[#This Row],[Hole ID]])=1,1,
IF(A345=A344,C344+1,
COUNTIF($A$4:A345,Data_PLT[[#This Row],[Hole ID]]))))</f>
        <v/>
      </c>
      <c r="D345" s="63" t="str">
        <f>IF(Data_PLT[[#This Row],[Hole ID]]="","",Data_PLT[[#This Row],[Hole ID]]&amp;"_"&amp;Data_PLT[[#This Row],[Sample ID]])</f>
        <v/>
      </c>
      <c r="E345" s="6"/>
      <c r="F345" s="6"/>
      <c r="G345" s="63" t="e" cm="1">
        <f t="array" ref="G345">_xlfn.XLOOKUP(1,(A345=Geotech!$A$4:$A$11100)*(Data_PLT[[#This Row],[Depth (m)]]&gt;=Geotech!$C$4:$C$11100)*(Data_PLT[[#This Row],[Depth (m)]]&lt;Geotech!$D$4:$D$11100),Geotech!$M$4:$M$11100)</f>
        <v>#N/A</v>
      </c>
      <c r="H345" s="6"/>
      <c r="I345" s="63" t="e">
        <f>VLOOKUP(Data_PLT[[#This Row],[Hole ID]],Data_Log[[Hole ID]:[Core size]],20,FALSE)</f>
        <v>#N/A</v>
      </c>
      <c r="J345" s="13" t="e">
        <f>VLOOKUP(Data_PLT[[#This Row],[Core Size]],Table_CoreSize[],2,FALSE)</f>
        <v>#N/A</v>
      </c>
      <c r="K345" s="19"/>
      <c r="L345" s="19"/>
      <c r="M345" s="5"/>
      <c r="N345" s="5"/>
      <c r="O345" s="6"/>
      <c r="P345" s="13" t="str">
        <f>IF(Data_PLT[[#This Row],[Failure type]]="","",IF(OR(Data_PLT[[#This Row],[Failure type]]="Invalid",Data_PLT[[#This Row],[Failure type]]="Chipped",Data_PLT[[#This Row],[Failure type]]="Penetrate",Data_PLT[[#This Row],[Failure type]]="Did not break"),"Invalid","Valid"))</f>
        <v/>
      </c>
      <c r="Q345" s="6"/>
      <c r="R345" s="11"/>
      <c r="S345" s="13" t="str">
        <f>IF(Data_PLT[[#This Row],[Test type]]="Diametral",Data_PLT[[#This Row],[Diameter (mm)]],IF(Data_PLT[[#This Row],[Test type]]="Axial",SQRT(4*Data_PLT[[#This Row],[Diameter (mm)]]*Data_PLT[[#This Row],[Length or width (mm)]]/PI()),"ERROR"))</f>
        <v>ERROR</v>
      </c>
      <c r="T345" s="13" t="e">
        <f>(Data_PLT[[#This Row],[Load (kN)]]*1000)/Data_PLT[[#This Row],[Equiv. Diam. (mm)]]^2</f>
        <v>#VALUE!</v>
      </c>
      <c r="U345" s="13" t="e">
        <f>(Data_PLT[[#This Row],[Equiv. Diam. (mm)]]/50)^0.45</f>
        <v>#VALUE!</v>
      </c>
      <c r="V345" s="13" t="e">
        <f>Data_PLT[[#This Row],[Is (MPa)]]*Data_PLT[[#This Row],[F]]</f>
        <v>#VALUE!</v>
      </c>
      <c r="W345" s="13" t="str">
        <f>Data_PLT[[#This Row],[Failure Validity]]&amp;"-"&amp;Data_PLT[[#This Row],[Test type]]</f>
        <v>-</v>
      </c>
      <c r="X345" s="13" t="e">
        <f>Data_PLT[[#This Row],[Is50 (MPa)]]*VLOOKUP("Min",Table_PLT_Conversion[],2,FALSE)</f>
        <v>#VALUE!</v>
      </c>
      <c r="Y345" s="13" t="e">
        <f>Data_PLT[[#This Row],[Is50 (MPa)]]*VLOOKUP("Avg",Table_PLT_Conversion[],2,FALSE)</f>
        <v>#VALUE!</v>
      </c>
      <c r="Z345" s="13" t="e">
        <f>Data_PLT[[#This Row],[Is50 (MPa)]]*VLOOKUP("Max",Table_PLT_Conversion[],2,FALSE)</f>
        <v>#VALUE!</v>
      </c>
      <c r="AA345" s="62" t="e">
        <f>MATCH(LOOKUP(Data_PLT[[#This Row],[UCS min (MPa)]],Table_FieldStrength[Min UCS]),Table_FieldStrength[Min UCS],0)-1</f>
        <v>#VALUE!</v>
      </c>
      <c r="AB345" s="62" t="e">
        <f>MATCH(LOOKUP(Data_PLT[[#This Row],[UCS avg (MPa)]],Table_FieldStrength[Min UCS]),Table_FieldStrength[Min UCS],0)-1</f>
        <v>#VALUE!</v>
      </c>
      <c r="AC345" s="62" t="e">
        <f>MATCH(LOOKUP(Data_PLT[[#This Row],[UCS max (MPa)]],Table_FieldStrength[Min UCS]),Table_FieldStrength[Min UCS],0)-1</f>
        <v>#VALUE!</v>
      </c>
      <c r="AD345" s="68" t="e">
        <f>Data_PLT[[#This Row],[Test code]]&amp;"-"&amp;Data_PLT[[#This Row],[UCS min code]]</f>
        <v>#VALUE!</v>
      </c>
      <c r="AE345" s="68" t="e">
        <f>Data_PLT[[#This Row],[Test code]]&amp;"-"&amp;Data_PLT[[#This Row],[UCS avg code]]</f>
        <v>#VALUE!</v>
      </c>
      <c r="AF345" s="67" t="e">
        <f>Data_PLT[[#This Row],[Test code]]&amp;"-"&amp;Data_PLT[[#This Row],[UCS max code]]</f>
        <v>#VALUE!</v>
      </c>
      <c r="AG345" s="67" t="e">
        <f>Data_PLT[[#This Row],[Failure type]]&amp;"-"&amp;Data_PLT[[#This Row],[Test type]]&amp;"-"&amp;(IF(Data_PLT[[#This Row],[Is50 (MPa)]]&lt;1,1,IF(Data_PLT[[#This Row],[Is50 (MPa)]]&lt;2,2,IF(Data_PLT[[#This Row],[Is50 (MPa)]]&lt;4,3,IF(Data_PLT[[#This Row],[Is50 (MPa)]]&lt;8,4,5)))))</f>
        <v>#VALUE!</v>
      </c>
    </row>
    <row r="346" spans="2:33" x14ac:dyDescent="0.25">
      <c r="B346" s="88" t="e">
        <f>VLOOKUP(Data_PLT[[#This Row],[Hole ID]],Data_Log[],2,FALSE)</f>
        <v>#N/A</v>
      </c>
      <c r="C346" s="63" t="str">
        <f>IF(Data_PLT[[#This Row],[Hole ID]]="","",
IF(COUNTIF($A$4:A346,Data_PLT[[#This Row],[Hole ID]])=1,1,
IF(A346=A345,C345+1,
COUNTIF($A$4:A346,Data_PLT[[#This Row],[Hole ID]]))))</f>
        <v/>
      </c>
      <c r="D346" s="63" t="str">
        <f>IF(Data_PLT[[#This Row],[Hole ID]]="","",Data_PLT[[#This Row],[Hole ID]]&amp;"_"&amp;Data_PLT[[#This Row],[Sample ID]])</f>
        <v/>
      </c>
      <c r="E346" s="6"/>
      <c r="F346" s="6"/>
      <c r="G346" s="63" t="e" cm="1">
        <f t="array" ref="G346">_xlfn.XLOOKUP(1,(A346=Geotech!$A$4:$A$11100)*(Data_PLT[[#This Row],[Depth (m)]]&gt;=Geotech!$C$4:$C$11100)*(Data_PLT[[#This Row],[Depth (m)]]&lt;Geotech!$D$4:$D$11100),Geotech!$M$4:$M$11100)</f>
        <v>#N/A</v>
      </c>
      <c r="H346" s="6"/>
      <c r="I346" s="63" t="e">
        <f>VLOOKUP(Data_PLT[[#This Row],[Hole ID]],Data_Log[[Hole ID]:[Core size]],20,FALSE)</f>
        <v>#N/A</v>
      </c>
      <c r="J346" s="13" t="e">
        <f>VLOOKUP(Data_PLT[[#This Row],[Core Size]],Table_CoreSize[],2,FALSE)</f>
        <v>#N/A</v>
      </c>
      <c r="K346" s="19"/>
      <c r="L346" s="19"/>
      <c r="M346" s="5"/>
      <c r="N346" s="5"/>
      <c r="O346" s="6"/>
      <c r="P346" s="13" t="str">
        <f>IF(Data_PLT[[#This Row],[Failure type]]="","",IF(OR(Data_PLT[[#This Row],[Failure type]]="Invalid",Data_PLT[[#This Row],[Failure type]]="Chipped",Data_PLT[[#This Row],[Failure type]]="Penetrate",Data_PLT[[#This Row],[Failure type]]="Did not break"),"Invalid","Valid"))</f>
        <v/>
      </c>
      <c r="Q346" s="6"/>
      <c r="R346" s="11"/>
      <c r="S346" s="13" t="str">
        <f>IF(Data_PLT[[#This Row],[Test type]]="Diametral",Data_PLT[[#This Row],[Diameter (mm)]],IF(Data_PLT[[#This Row],[Test type]]="Axial",SQRT(4*Data_PLT[[#This Row],[Diameter (mm)]]*Data_PLT[[#This Row],[Length or width (mm)]]/PI()),"ERROR"))</f>
        <v>ERROR</v>
      </c>
      <c r="T346" s="13" t="e">
        <f>(Data_PLT[[#This Row],[Load (kN)]]*1000)/Data_PLT[[#This Row],[Equiv. Diam. (mm)]]^2</f>
        <v>#VALUE!</v>
      </c>
      <c r="U346" s="13" t="e">
        <f>(Data_PLT[[#This Row],[Equiv. Diam. (mm)]]/50)^0.45</f>
        <v>#VALUE!</v>
      </c>
      <c r="V346" s="13" t="e">
        <f>Data_PLT[[#This Row],[Is (MPa)]]*Data_PLT[[#This Row],[F]]</f>
        <v>#VALUE!</v>
      </c>
      <c r="W346" s="13" t="str">
        <f>Data_PLT[[#This Row],[Failure Validity]]&amp;"-"&amp;Data_PLT[[#This Row],[Test type]]</f>
        <v>-</v>
      </c>
      <c r="X346" s="13" t="e">
        <f>Data_PLT[[#This Row],[Is50 (MPa)]]*VLOOKUP("Min",Table_PLT_Conversion[],2,FALSE)</f>
        <v>#VALUE!</v>
      </c>
      <c r="Y346" s="13" t="e">
        <f>Data_PLT[[#This Row],[Is50 (MPa)]]*VLOOKUP("Avg",Table_PLT_Conversion[],2,FALSE)</f>
        <v>#VALUE!</v>
      </c>
      <c r="Z346" s="13" t="e">
        <f>Data_PLT[[#This Row],[Is50 (MPa)]]*VLOOKUP("Max",Table_PLT_Conversion[],2,FALSE)</f>
        <v>#VALUE!</v>
      </c>
      <c r="AA346" s="62" t="e">
        <f>MATCH(LOOKUP(Data_PLT[[#This Row],[UCS min (MPa)]],Table_FieldStrength[Min UCS]),Table_FieldStrength[Min UCS],0)-1</f>
        <v>#VALUE!</v>
      </c>
      <c r="AB346" s="62" t="e">
        <f>MATCH(LOOKUP(Data_PLT[[#This Row],[UCS avg (MPa)]],Table_FieldStrength[Min UCS]),Table_FieldStrength[Min UCS],0)-1</f>
        <v>#VALUE!</v>
      </c>
      <c r="AC346" s="62" t="e">
        <f>MATCH(LOOKUP(Data_PLT[[#This Row],[UCS max (MPa)]],Table_FieldStrength[Min UCS]),Table_FieldStrength[Min UCS],0)-1</f>
        <v>#VALUE!</v>
      </c>
      <c r="AD346" s="68" t="e">
        <f>Data_PLT[[#This Row],[Test code]]&amp;"-"&amp;Data_PLT[[#This Row],[UCS min code]]</f>
        <v>#VALUE!</v>
      </c>
      <c r="AE346" s="68" t="e">
        <f>Data_PLT[[#This Row],[Test code]]&amp;"-"&amp;Data_PLT[[#This Row],[UCS avg code]]</f>
        <v>#VALUE!</v>
      </c>
      <c r="AF346" s="67" t="e">
        <f>Data_PLT[[#This Row],[Test code]]&amp;"-"&amp;Data_PLT[[#This Row],[UCS max code]]</f>
        <v>#VALUE!</v>
      </c>
      <c r="AG346" s="67" t="e">
        <f>Data_PLT[[#This Row],[Failure type]]&amp;"-"&amp;Data_PLT[[#This Row],[Test type]]&amp;"-"&amp;(IF(Data_PLT[[#This Row],[Is50 (MPa)]]&lt;1,1,IF(Data_PLT[[#This Row],[Is50 (MPa)]]&lt;2,2,IF(Data_PLT[[#This Row],[Is50 (MPa)]]&lt;4,3,IF(Data_PLT[[#This Row],[Is50 (MPa)]]&lt;8,4,5)))))</f>
        <v>#VALUE!</v>
      </c>
    </row>
    <row r="347" spans="2:33" x14ac:dyDescent="0.25">
      <c r="B347" s="88" t="e">
        <f>VLOOKUP(Data_PLT[[#This Row],[Hole ID]],Data_Log[],2,FALSE)</f>
        <v>#N/A</v>
      </c>
      <c r="C347" s="63" t="str">
        <f>IF(Data_PLT[[#This Row],[Hole ID]]="","",
IF(COUNTIF($A$4:A347,Data_PLT[[#This Row],[Hole ID]])=1,1,
IF(A347=A346,C346+1,
COUNTIF($A$4:A347,Data_PLT[[#This Row],[Hole ID]]))))</f>
        <v/>
      </c>
      <c r="D347" s="63" t="str">
        <f>IF(Data_PLT[[#This Row],[Hole ID]]="","",Data_PLT[[#This Row],[Hole ID]]&amp;"_"&amp;Data_PLT[[#This Row],[Sample ID]])</f>
        <v/>
      </c>
      <c r="E347" s="6"/>
      <c r="F347" s="6"/>
      <c r="G347" s="63" t="e" cm="1">
        <f t="array" ref="G347">_xlfn.XLOOKUP(1,(A347=Geotech!$A$4:$A$11100)*(Data_PLT[[#This Row],[Depth (m)]]&gt;=Geotech!$C$4:$C$11100)*(Data_PLT[[#This Row],[Depth (m)]]&lt;Geotech!$D$4:$D$11100),Geotech!$M$4:$M$11100)</f>
        <v>#N/A</v>
      </c>
      <c r="H347" s="6"/>
      <c r="I347" s="63" t="e">
        <f>VLOOKUP(Data_PLT[[#This Row],[Hole ID]],Data_Log[[Hole ID]:[Core size]],20,FALSE)</f>
        <v>#N/A</v>
      </c>
      <c r="J347" s="13" t="e">
        <f>VLOOKUP(Data_PLT[[#This Row],[Core Size]],Table_CoreSize[],2,FALSE)</f>
        <v>#N/A</v>
      </c>
      <c r="K347" s="19"/>
      <c r="L347" s="19"/>
      <c r="M347" s="5"/>
      <c r="N347" s="5"/>
      <c r="O347" s="6"/>
      <c r="P347" s="13" t="str">
        <f>IF(Data_PLT[[#This Row],[Failure type]]="","",IF(OR(Data_PLT[[#This Row],[Failure type]]="Invalid",Data_PLT[[#This Row],[Failure type]]="Chipped",Data_PLT[[#This Row],[Failure type]]="Penetrate",Data_PLT[[#This Row],[Failure type]]="Did not break"),"Invalid","Valid"))</f>
        <v/>
      </c>
      <c r="Q347" s="6"/>
      <c r="R347" s="11"/>
      <c r="S347" s="13" t="str">
        <f>IF(Data_PLT[[#This Row],[Test type]]="Diametral",Data_PLT[[#This Row],[Diameter (mm)]],IF(Data_PLT[[#This Row],[Test type]]="Axial",SQRT(4*Data_PLT[[#This Row],[Diameter (mm)]]*Data_PLT[[#This Row],[Length or width (mm)]]/PI()),"ERROR"))</f>
        <v>ERROR</v>
      </c>
      <c r="T347" s="13" t="e">
        <f>(Data_PLT[[#This Row],[Load (kN)]]*1000)/Data_PLT[[#This Row],[Equiv. Diam. (mm)]]^2</f>
        <v>#VALUE!</v>
      </c>
      <c r="U347" s="13" t="e">
        <f>(Data_PLT[[#This Row],[Equiv. Diam. (mm)]]/50)^0.45</f>
        <v>#VALUE!</v>
      </c>
      <c r="V347" s="13" t="e">
        <f>Data_PLT[[#This Row],[Is (MPa)]]*Data_PLT[[#This Row],[F]]</f>
        <v>#VALUE!</v>
      </c>
      <c r="W347" s="13" t="str">
        <f>Data_PLT[[#This Row],[Failure Validity]]&amp;"-"&amp;Data_PLT[[#This Row],[Test type]]</f>
        <v>-</v>
      </c>
      <c r="X347" s="13" t="e">
        <f>Data_PLT[[#This Row],[Is50 (MPa)]]*VLOOKUP("Min",Table_PLT_Conversion[],2,FALSE)</f>
        <v>#VALUE!</v>
      </c>
      <c r="Y347" s="13" t="e">
        <f>Data_PLT[[#This Row],[Is50 (MPa)]]*VLOOKUP("Avg",Table_PLT_Conversion[],2,FALSE)</f>
        <v>#VALUE!</v>
      </c>
      <c r="Z347" s="13" t="e">
        <f>Data_PLT[[#This Row],[Is50 (MPa)]]*VLOOKUP("Max",Table_PLT_Conversion[],2,FALSE)</f>
        <v>#VALUE!</v>
      </c>
      <c r="AA347" s="62" t="e">
        <f>MATCH(LOOKUP(Data_PLT[[#This Row],[UCS min (MPa)]],Table_FieldStrength[Min UCS]),Table_FieldStrength[Min UCS],0)-1</f>
        <v>#VALUE!</v>
      </c>
      <c r="AB347" s="62" t="e">
        <f>MATCH(LOOKUP(Data_PLT[[#This Row],[UCS avg (MPa)]],Table_FieldStrength[Min UCS]),Table_FieldStrength[Min UCS],0)-1</f>
        <v>#VALUE!</v>
      </c>
      <c r="AC347" s="62" t="e">
        <f>MATCH(LOOKUP(Data_PLT[[#This Row],[UCS max (MPa)]],Table_FieldStrength[Min UCS]),Table_FieldStrength[Min UCS],0)-1</f>
        <v>#VALUE!</v>
      </c>
      <c r="AD347" s="68" t="e">
        <f>Data_PLT[[#This Row],[Test code]]&amp;"-"&amp;Data_PLT[[#This Row],[UCS min code]]</f>
        <v>#VALUE!</v>
      </c>
      <c r="AE347" s="68" t="e">
        <f>Data_PLT[[#This Row],[Test code]]&amp;"-"&amp;Data_PLT[[#This Row],[UCS avg code]]</f>
        <v>#VALUE!</v>
      </c>
      <c r="AF347" s="67" t="e">
        <f>Data_PLT[[#This Row],[Test code]]&amp;"-"&amp;Data_PLT[[#This Row],[UCS max code]]</f>
        <v>#VALUE!</v>
      </c>
      <c r="AG347" s="67" t="e">
        <f>Data_PLT[[#This Row],[Failure type]]&amp;"-"&amp;Data_PLT[[#This Row],[Test type]]&amp;"-"&amp;(IF(Data_PLT[[#This Row],[Is50 (MPa)]]&lt;1,1,IF(Data_PLT[[#This Row],[Is50 (MPa)]]&lt;2,2,IF(Data_PLT[[#This Row],[Is50 (MPa)]]&lt;4,3,IF(Data_PLT[[#This Row],[Is50 (MPa)]]&lt;8,4,5)))))</f>
        <v>#VALUE!</v>
      </c>
    </row>
    <row r="348" spans="2:33" x14ac:dyDescent="0.25">
      <c r="B348" s="88" t="e">
        <f>VLOOKUP(Data_PLT[[#This Row],[Hole ID]],Data_Log[],2,FALSE)</f>
        <v>#N/A</v>
      </c>
      <c r="C348" s="63" t="str">
        <f>IF(Data_PLT[[#This Row],[Hole ID]]="","",
IF(COUNTIF($A$4:A348,Data_PLT[[#This Row],[Hole ID]])=1,1,
IF(A348=A347,C347+1,
COUNTIF($A$4:A348,Data_PLT[[#This Row],[Hole ID]]))))</f>
        <v/>
      </c>
      <c r="D348" s="63" t="str">
        <f>IF(Data_PLT[[#This Row],[Hole ID]]="","",Data_PLT[[#This Row],[Hole ID]]&amp;"_"&amp;Data_PLT[[#This Row],[Sample ID]])</f>
        <v/>
      </c>
      <c r="E348" s="6"/>
      <c r="F348" s="6"/>
      <c r="G348" s="63" t="e" cm="1">
        <f t="array" ref="G348">_xlfn.XLOOKUP(1,(A348=Geotech!$A$4:$A$11100)*(Data_PLT[[#This Row],[Depth (m)]]&gt;=Geotech!$C$4:$C$11100)*(Data_PLT[[#This Row],[Depth (m)]]&lt;Geotech!$D$4:$D$11100),Geotech!$M$4:$M$11100)</f>
        <v>#N/A</v>
      </c>
      <c r="H348" s="6"/>
      <c r="I348" s="63" t="e">
        <f>VLOOKUP(Data_PLT[[#This Row],[Hole ID]],Data_Log[[Hole ID]:[Core size]],20,FALSE)</f>
        <v>#N/A</v>
      </c>
      <c r="J348" s="13" t="e">
        <f>VLOOKUP(Data_PLT[[#This Row],[Core Size]],Table_CoreSize[],2,FALSE)</f>
        <v>#N/A</v>
      </c>
      <c r="K348" s="19"/>
      <c r="L348" s="19"/>
      <c r="M348" s="5"/>
      <c r="N348" s="5"/>
      <c r="O348" s="6"/>
      <c r="P348" s="13" t="str">
        <f>IF(Data_PLT[[#This Row],[Failure type]]="","",IF(OR(Data_PLT[[#This Row],[Failure type]]="Invalid",Data_PLT[[#This Row],[Failure type]]="Chipped",Data_PLT[[#This Row],[Failure type]]="Penetrate",Data_PLT[[#This Row],[Failure type]]="Did not break"),"Invalid","Valid"))</f>
        <v/>
      </c>
      <c r="Q348" s="6"/>
      <c r="R348" s="11"/>
      <c r="S348" s="13" t="str">
        <f>IF(Data_PLT[[#This Row],[Test type]]="Diametral",Data_PLT[[#This Row],[Diameter (mm)]],IF(Data_PLT[[#This Row],[Test type]]="Axial",SQRT(4*Data_PLT[[#This Row],[Diameter (mm)]]*Data_PLT[[#This Row],[Length or width (mm)]]/PI()),"ERROR"))</f>
        <v>ERROR</v>
      </c>
      <c r="T348" s="13" t="e">
        <f>(Data_PLT[[#This Row],[Load (kN)]]*1000)/Data_PLT[[#This Row],[Equiv. Diam. (mm)]]^2</f>
        <v>#VALUE!</v>
      </c>
      <c r="U348" s="13" t="e">
        <f>(Data_PLT[[#This Row],[Equiv. Diam. (mm)]]/50)^0.45</f>
        <v>#VALUE!</v>
      </c>
      <c r="V348" s="13" t="e">
        <f>Data_PLT[[#This Row],[Is (MPa)]]*Data_PLT[[#This Row],[F]]</f>
        <v>#VALUE!</v>
      </c>
      <c r="W348" s="13" t="str">
        <f>Data_PLT[[#This Row],[Failure Validity]]&amp;"-"&amp;Data_PLT[[#This Row],[Test type]]</f>
        <v>-</v>
      </c>
      <c r="X348" s="13" t="e">
        <f>Data_PLT[[#This Row],[Is50 (MPa)]]*VLOOKUP("Min",Table_PLT_Conversion[],2,FALSE)</f>
        <v>#VALUE!</v>
      </c>
      <c r="Y348" s="13" t="e">
        <f>Data_PLT[[#This Row],[Is50 (MPa)]]*VLOOKUP("Avg",Table_PLT_Conversion[],2,FALSE)</f>
        <v>#VALUE!</v>
      </c>
      <c r="Z348" s="13" t="e">
        <f>Data_PLT[[#This Row],[Is50 (MPa)]]*VLOOKUP("Max",Table_PLT_Conversion[],2,FALSE)</f>
        <v>#VALUE!</v>
      </c>
      <c r="AA348" s="62" t="e">
        <f>MATCH(LOOKUP(Data_PLT[[#This Row],[UCS min (MPa)]],Table_FieldStrength[Min UCS]),Table_FieldStrength[Min UCS],0)-1</f>
        <v>#VALUE!</v>
      </c>
      <c r="AB348" s="62" t="e">
        <f>MATCH(LOOKUP(Data_PLT[[#This Row],[UCS avg (MPa)]],Table_FieldStrength[Min UCS]),Table_FieldStrength[Min UCS],0)-1</f>
        <v>#VALUE!</v>
      </c>
      <c r="AC348" s="62" t="e">
        <f>MATCH(LOOKUP(Data_PLT[[#This Row],[UCS max (MPa)]],Table_FieldStrength[Min UCS]),Table_FieldStrength[Min UCS],0)-1</f>
        <v>#VALUE!</v>
      </c>
      <c r="AD348" s="68" t="e">
        <f>Data_PLT[[#This Row],[Test code]]&amp;"-"&amp;Data_PLT[[#This Row],[UCS min code]]</f>
        <v>#VALUE!</v>
      </c>
      <c r="AE348" s="68" t="e">
        <f>Data_PLT[[#This Row],[Test code]]&amp;"-"&amp;Data_PLT[[#This Row],[UCS avg code]]</f>
        <v>#VALUE!</v>
      </c>
      <c r="AF348" s="67" t="e">
        <f>Data_PLT[[#This Row],[Test code]]&amp;"-"&amp;Data_PLT[[#This Row],[UCS max code]]</f>
        <v>#VALUE!</v>
      </c>
      <c r="AG348" s="67" t="e">
        <f>Data_PLT[[#This Row],[Failure type]]&amp;"-"&amp;Data_PLT[[#This Row],[Test type]]&amp;"-"&amp;(IF(Data_PLT[[#This Row],[Is50 (MPa)]]&lt;1,1,IF(Data_PLT[[#This Row],[Is50 (MPa)]]&lt;2,2,IF(Data_PLT[[#This Row],[Is50 (MPa)]]&lt;4,3,IF(Data_PLT[[#This Row],[Is50 (MPa)]]&lt;8,4,5)))))</f>
        <v>#VALUE!</v>
      </c>
    </row>
    <row r="349" spans="2:33" x14ac:dyDescent="0.25">
      <c r="B349" s="88" t="e">
        <f>VLOOKUP(Data_PLT[[#This Row],[Hole ID]],Data_Log[],2,FALSE)</f>
        <v>#N/A</v>
      </c>
      <c r="C349" s="63" t="str">
        <f>IF(Data_PLT[[#This Row],[Hole ID]]="","",
IF(COUNTIF($A$4:A349,Data_PLT[[#This Row],[Hole ID]])=1,1,
IF(A349=A348,C348+1,
COUNTIF($A$4:A349,Data_PLT[[#This Row],[Hole ID]]))))</f>
        <v/>
      </c>
      <c r="D349" s="63" t="str">
        <f>IF(Data_PLT[[#This Row],[Hole ID]]="","",Data_PLT[[#This Row],[Hole ID]]&amp;"_"&amp;Data_PLT[[#This Row],[Sample ID]])</f>
        <v/>
      </c>
      <c r="E349" s="6"/>
      <c r="F349" s="6"/>
      <c r="G349" s="63" t="e" cm="1">
        <f t="array" ref="G349">_xlfn.XLOOKUP(1,(A349=Geotech!$A$4:$A$11100)*(Data_PLT[[#This Row],[Depth (m)]]&gt;=Geotech!$C$4:$C$11100)*(Data_PLT[[#This Row],[Depth (m)]]&lt;Geotech!$D$4:$D$11100),Geotech!$M$4:$M$11100)</f>
        <v>#N/A</v>
      </c>
      <c r="H349" s="6"/>
      <c r="I349" s="63" t="e">
        <f>VLOOKUP(Data_PLT[[#This Row],[Hole ID]],Data_Log[[Hole ID]:[Core size]],20,FALSE)</f>
        <v>#N/A</v>
      </c>
      <c r="J349" s="13" t="e">
        <f>VLOOKUP(Data_PLT[[#This Row],[Core Size]],Table_CoreSize[],2,FALSE)</f>
        <v>#N/A</v>
      </c>
      <c r="K349" s="19"/>
      <c r="L349" s="19"/>
      <c r="M349" s="5"/>
      <c r="N349" s="5"/>
      <c r="O349" s="6"/>
      <c r="P349" s="13" t="str">
        <f>IF(Data_PLT[[#This Row],[Failure type]]="","",IF(OR(Data_PLT[[#This Row],[Failure type]]="Invalid",Data_PLT[[#This Row],[Failure type]]="Chipped",Data_PLT[[#This Row],[Failure type]]="Penetrate",Data_PLT[[#This Row],[Failure type]]="Did not break"),"Invalid","Valid"))</f>
        <v/>
      </c>
      <c r="Q349" s="6"/>
      <c r="R349" s="11"/>
      <c r="S349" s="13" t="str">
        <f>IF(Data_PLT[[#This Row],[Test type]]="Diametral",Data_PLT[[#This Row],[Diameter (mm)]],IF(Data_PLT[[#This Row],[Test type]]="Axial",SQRT(4*Data_PLT[[#This Row],[Diameter (mm)]]*Data_PLT[[#This Row],[Length or width (mm)]]/PI()),"ERROR"))</f>
        <v>ERROR</v>
      </c>
      <c r="T349" s="13" t="e">
        <f>(Data_PLT[[#This Row],[Load (kN)]]*1000)/Data_PLT[[#This Row],[Equiv. Diam. (mm)]]^2</f>
        <v>#VALUE!</v>
      </c>
      <c r="U349" s="13" t="e">
        <f>(Data_PLT[[#This Row],[Equiv. Diam. (mm)]]/50)^0.45</f>
        <v>#VALUE!</v>
      </c>
      <c r="V349" s="13" t="e">
        <f>Data_PLT[[#This Row],[Is (MPa)]]*Data_PLT[[#This Row],[F]]</f>
        <v>#VALUE!</v>
      </c>
      <c r="W349" s="13" t="str">
        <f>Data_PLT[[#This Row],[Failure Validity]]&amp;"-"&amp;Data_PLT[[#This Row],[Test type]]</f>
        <v>-</v>
      </c>
      <c r="X349" s="13" t="e">
        <f>Data_PLT[[#This Row],[Is50 (MPa)]]*VLOOKUP("Min",Table_PLT_Conversion[],2,FALSE)</f>
        <v>#VALUE!</v>
      </c>
      <c r="Y349" s="13" t="e">
        <f>Data_PLT[[#This Row],[Is50 (MPa)]]*VLOOKUP("Avg",Table_PLT_Conversion[],2,FALSE)</f>
        <v>#VALUE!</v>
      </c>
      <c r="Z349" s="13" t="e">
        <f>Data_PLT[[#This Row],[Is50 (MPa)]]*VLOOKUP("Max",Table_PLT_Conversion[],2,FALSE)</f>
        <v>#VALUE!</v>
      </c>
      <c r="AA349" s="62" t="e">
        <f>MATCH(LOOKUP(Data_PLT[[#This Row],[UCS min (MPa)]],Table_FieldStrength[Min UCS]),Table_FieldStrength[Min UCS],0)-1</f>
        <v>#VALUE!</v>
      </c>
      <c r="AB349" s="62" t="e">
        <f>MATCH(LOOKUP(Data_PLT[[#This Row],[UCS avg (MPa)]],Table_FieldStrength[Min UCS]),Table_FieldStrength[Min UCS],0)-1</f>
        <v>#VALUE!</v>
      </c>
      <c r="AC349" s="62" t="e">
        <f>MATCH(LOOKUP(Data_PLT[[#This Row],[UCS max (MPa)]],Table_FieldStrength[Min UCS]),Table_FieldStrength[Min UCS],0)-1</f>
        <v>#VALUE!</v>
      </c>
      <c r="AD349" s="68" t="e">
        <f>Data_PLT[[#This Row],[Test code]]&amp;"-"&amp;Data_PLT[[#This Row],[UCS min code]]</f>
        <v>#VALUE!</v>
      </c>
      <c r="AE349" s="68" t="e">
        <f>Data_PLT[[#This Row],[Test code]]&amp;"-"&amp;Data_PLT[[#This Row],[UCS avg code]]</f>
        <v>#VALUE!</v>
      </c>
      <c r="AF349" s="67" t="e">
        <f>Data_PLT[[#This Row],[Test code]]&amp;"-"&amp;Data_PLT[[#This Row],[UCS max code]]</f>
        <v>#VALUE!</v>
      </c>
      <c r="AG349" s="67" t="e">
        <f>Data_PLT[[#This Row],[Failure type]]&amp;"-"&amp;Data_PLT[[#This Row],[Test type]]&amp;"-"&amp;(IF(Data_PLT[[#This Row],[Is50 (MPa)]]&lt;1,1,IF(Data_PLT[[#This Row],[Is50 (MPa)]]&lt;2,2,IF(Data_PLT[[#This Row],[Is50 (MPa)]]&lt;4,3,IF(Data_PLT[[#This Row],[Is50 (MPa)]]&lt;8,4,5)))))</f>
        <v>#VALUE!</v>
      </c>
    </row>
    <row r="350" spans="2:33" x14ac:dyDescent="0.25">
      <c r="B350" s="88" t="e">
        <f>VLOOKUP(Data_PLT[[#This Row],[Hole ID]],Data_Log[],2,FALSE)</f>
        <v>#N/A</v>
      </c>
      <c r="C350" s="63" t="str">
        <f>IF(Data_PLT[[#This Row],[Hole ID]]="","",
IF(COUNTIF($A$4:A350,Data_PLT[[#This Row],[Hole ID]])=1,1,
IF(A350=A349,C349+1,
COUNTIF($A$4:A350,Data_PLT[[#This Row],[Hole ID]]))))</f>
        <v/>
      </c>
      <c r="D350" s="63" t="str">
        <f>IF(Data_PLT[[#This Row],[Hole ID]]="","",Data_PLT[[#This Row],[Hole ID]]&amp;"_"&amp;Data_PLT[[#This Row],[Sample ID]])</f>
        <v/>
      </c>
      <c r="E350" s="6"/>
      <c r="F350" s="6"/>
      <c r="G350" s="63" t="e" cm="1">
        <f t="array" ref="G350">_xlfn.XLOOKUP(1,(A350=Geotech!$A$4:$A$11100)*(Data_PLT[[#This Row],[Depth (m)]]&gt;=Geotech!$C$4:$C$11100)*(Data_PLT[[#This Row],[Depth (m)]]&lt;Geotech!$D$4:$D$11100),Geotech!$M$4:$M$11100)</f>
        <v>#N/A</v>
      </c>
      <c r="H350" s="6"/>
      <c r="I350" s="63" t="e">
        <f>VLOOKUP(Data_PLT[[#This Row],[Hole ID]],Data_Log[[Hole ID]:[Core size]],20,FALSE)</f>
        <v>#N/A</v>
      </c>
      <c r="J350" s="13" t="e">
        <f>VLOOKUP(Data_PLT[[#This Row],[Core Size]],Table_CoreSize[],2,FALSE)</f>
        <v>#N/A</v>
      </c>
      <c r="K350" s="19"/>
      <c r="L350" s="19"/>
      <c r="M350" s="5"/>
      <c r="N350" s="5"/>
      <c r="O350" s="6"/>
      <c r="P350" s="13" t="str">
        <f>IF(Data_PLT[[#This Row],[Failure type]]="","",IF(OR(Data_PLT[[#This Row],[Failure type]]="Invalid",Data_PLT[[#This Row],[Failure type]]="Chipped",Data_PLT[[#This Row],[Failure type]]="Penetrate",Data_PLT[[#This Row],[Failure type]]="Did not break"),"Invalid","Valid"))</f>
        <v/>
      </c>
      <c r="Q350" s="6"/>
      <c r="R350" s="11"/>
      <c r="S350" s="13" t="str">
        <f>IF(Data_PLT[[#This Row],[Test type]]="Diametral",Data_PLT[[#This Row],[Diameter (mm)]],IF(Data_PLT[[#This Row],[Test type]]="Axial",SQRT(4*Data_PLT[[#This Row],[Diameter (mm)]]*Data_PLT[[#This Row],[Length or width (mm)]]/PI()),"ERROR"))</f>
        <v>ERROR</v>
      </c>
      <c r="T350" s="13" t="e">
        <f>(Data_PLT[[#This Row],[Load (kN)]]*1000)/Data_PLT[[#This Row],[Equiv. Diam. (mm)]]^2</f>
        <v>#VALUE!</v>
      </c>
      <c r="U350" s="13" t="e">
        <f>(Data_PLT[[#This Row],[Equiv. Diam. (mm)]]/50)^0.45</f>
        <v>#VALUE!</v>
      </c>
      <c r="V350" s="13" t="e">
        <f>Data_PLT[[#This Row],[Is (MPa)]]*Data_PLT[[#This Row],[F]]</f>
        <v>#VALUE!</v>
      </c>
      <c r="W350" s="13" t="str">
        <f>Data_PLT[[#This Row],[Failure Validity]]&amp;"-"&amp;Data_PLT[[#This Row],[Test type]]</f>
        <v>-</v>
      </c>
      <c r="X350" s="13" t="e">
        <f>Data_PLT[[#This Row],[Is50 (MPa)]]*VLOOKUP("Min",Table_PLT_Conversion[],2,FALSE)</f>
        <v>#VALUE!</v>
      </c>
      <c r="Y350" s="13" t="e">
        <f>Data_PLT[[#This Row],[Is50 (MPa)]]*VLOOKUP("Avg",Table_PLT_Conversion[],2,FALSE)</f>
        <v>#VALUE!</v>
      </c>
      <c r="Z350" s="13" t="e">
        <f>Data_PLT[[#This Row],[Is50 (MPa)]]*VLOOKUP("Max",Table_PLT_Conversion[],2,FALSE)</f>
        <v>#VALUE!</v>
      </c>
      <c r="AA350" s="62" t="e">
        <f>MATCH(LOOKUP(Data_PLT[[#This Row],[UCS min (MPa)]],Table_FieldStrength[Min UCS]),Table_FieldStrength[Min UCS],0)-1</f>
        <v>#VALUE!</v>
      </c>
      <c r="AB350" s="62" t="e">
        <f>MATCH(LOOKUP(Data_PLT[[#This Row],[UCS avg (MPa)]],Table_FieldStrength[Min UCS]),Table_FieldStrength[Min UCS],0)-1</f>
        <v>#VALUE!</v>
      </c>
      <c r="AC350" s="62" t="e">
        <f>MATCH(LOOKUP(Data_PLT[[#This Row],[UCS max (MPa)]],Table_FieldStrength[Min UCS]),Table_FieldStrength[Min UCS],0)-1</f>
        <v>#VALUE!</v>
      </c>
      <c r="AD350" s="68" t="e">
        <f>Data_PLT[[#This Row],[Test code]]&amp;"-"&amp;Data_PLT[[#This Row],[UCS min code]]</f>
        <v>#VALUE!</v>
      </c>
      <c r="AE350" s="68" t="e">
        <f>Data_PLT[[#This Row],[Test code]]&amp;"-"&amp;Data_PLT[[#This Row],[UCS avg code]]</f>
        <v>#VALUE!</v>
      </c>
      <c r="AF350" s="67" t="e">
        <f>Data_PLT[[#This Row],[Test code]]&amp;"-"&amp;Data_PLT[[#This Row],[UCS max code]]</f>
        <v>#VALUE!</v>
      </c>
      <c r="AG350" s="67" t="e">
        <f>Data_PLT[[#This Row],[Failure type]]&amp;"-"&amp;Data_PLT[[#This Row],[Test type]]&amp;"-"&amp;(IF(Data_PLT[[#This Row],[Is50 (MPa)]]&lt;1,1,IF(Data_PLT[[#This Row],[Is50 (MPa)]]&lt;2,2,IF(Data_PLT[[#This Row],[Is50 (MPa)]]&lt;4,3,IF(Data_PLT[[#This Row],[Is50 (MPa)]]&lt;8,4,5)))))</f>
        <v>#VALUE!</v>
      </c>
    </row>
    <row r="351" spans="2:33" x14ac:dyDescent="0.25">
      <c r="B351" s="88" t="e">
        <f>VLOOKUP(Data_PLT[[#This Row],[Hole ID]],Data_Log[],2,FALSE)</f>
        <v>#N/A</v>
      </c>
      <c r="C351" s="63" t="str">
        <f>IF(Data_PLT[[#This Row],[Hole ID]]="","",
IF(COUNTIF($A$4:A351,Data_PLT[[#This Row],[Hole ID]])=1,1,
IF(A351=A350,C350+1,
COUNTIF($A$4:A351,Data_PLT[[#This Row],[Hole ID]]))))</f>
        <v/>
      </c>
      <c r="D351" s="63" t="str">
        <f>IF(Data_PLT[[#This Row],[Hole ID]]="","",Data_PLT[[#This Row],[Hole ID]]&amp;"_"&amp;Data_PLT[[#This Row],[Sample ID]])</f>
        <v/>
      </c>
      <c r="E351" s="6"/>
      <c r="F351" s="6"/>
      <c r="G351" s="63" t="e" cm="1">
        <f t="array" ref="G351">_xlfn.XLOOKUP(1,(A351=Geotech!$A$4:$A$11100)*(Data_PLT[[#This Row],[Depth (m)]]&gt;=Geotech!$C$4:$C$11100)*(Data_PLT[[#This Row],[Depth (m)]]&lt;Geotech!$D$4:$D$11100),Geotech!$M$4:$M$11100)</f>
        <v>#N/A</v>
      </c>
      <c r="H351" s="6"/>
      <c r="I351" s="63" t="e">
        <f>VLOOKUP(Data_PLT[[#This Row],[Hole ID]],Data_Log[[Hole ID]:[Core size]],20,FALSE)</f>
        <v>#N/A</v>
      </c>
      <c r="J351" s="13" t="e">
        <f>VLOOKUP(Data_PLT[[#This Row],[Core Size]],Table_CoreSize[],2,FALSE)</f>
        <v>#N/A</v>
      </c>
      <c r="K351" s="19"/>
      <c r="L351" s="19"/>
      <c r="M351" s="5"/>
      <c r="N351" s="5"/>
      <c r="O351" s="6"/>
      <c r="P351" s="13" t="str">
        <f>IF(Data_PLT[[#This Row],[Failure type]]="","",IF(OR(Data_PLT[[#This Row],[Failure type]]="Invalid",Data_PLT[[#This Row],[Failure type]]="Chipped",Data_PLT[[#This Row],[Failure type]]="Penetrate",Data_PLT[[#This Row],[Failure type]]="Did not break"),"Invalid","Valid"))</f>
        <v/>
      </c>
      <c r="Q351" s="6"/>
      <c r="R351" s="11"/>
      <c r="S351" s="13" t="str">
        <f>IF(Data_PLT[[#This Row],[Test type]]="Diametral",Data_PLT[[#This Row],[Diameter (mm)]],IF(Data_PLT[[#This Row],[Test type]]="Axial",SQRT(4*Data_PLT[[#This Row],[Diameter (mm)]]*Data_PLT[[#This Row],[Length or width (mm)]]/PI()),"ERROR"))</f>
        <v>ERROR</v>
      </c>
      <c r="T351" s="13" t="e">
        <f>(Data_PLT[[#This Row],[Load (kN)]]*1000)/Data_PLT[[#This Row],[Equiv. Diam. (mm)]]^2</f>
        <v>#VALUE!</v>
      </c>
      <c r="U351" s="13" t="e">
        <f>(Data_PLT[[#This Row],[Equiv. Diam. (mm)]]/50)^0.45</f>
        <v>#VALUE!</v>
      </c>
      <c r="V351" s="13" t="e">
        <f>Data_PLT[[#This Row],[Is (MPa)]]*Data_PLT[[#This Row],[F]]</f>
        <v>#VALUE!</v>
      </c>
      <c r="W351" s="13" t="str">
        <f>Data_PLT[[#This Row],[Failure Validity]]&amp;"-"&amp;Data_PLT[[#This Row],[Test type]]</f>
        <v>-</v>
      </c>
      <c r="X351" s="13" t="e">
        <f>Data_PLT[[#This Row],[Is50 (MPa)]]*VLOOKUP("Min",Table_PLT_Conversion[],2,FALSE)</f>
        <v>#VALUE!</v>
      </c>
      <c r="Y351" s="13" t="e">
        <f>Data_PLT[[#This Row],[Is50 (MPa)]]*VLOOKUP("Avg",Table_PLT_Conversion[],2,FALSE)</f>
        <v>#VALUE!</v>
      </c>
      <c r="Z351" s="13" t="e">
        <f>Data_PLT[[#This Row],[Is50 (MPa)]]*VLOOKUP("Max",Table_PLT_Conversion[],2,FALSE)</f>
        <v>#VALUE!</v>
      </c>
      <c r="AA351" s="62" t="e">
        <f>MATCH(LOOKUP(Data_PLT[[#This Row],[UCS min (MPa)]],Table_FieldStrength[Min UCS]),Table_FieldStrength[Min UCS],0)-1</f>
        <v>#VALUE!</v>
      </c>
      <c r="AB351" s="62" t="e">
        <f>MATCH(LOOKUP(Data_PLT[[#This Row],[UCS avg (MPa)]],Table_FieldStrength[Min UCS]),Table_FieldStrength[Min UCS],0)-1</f>
        <v>#VALUE!</v>
      </c>
      <c r="AC351" s="62" t="e">
        <f>MATCH(LOOKUP(Data_PLT[[#This Row],[UCS max (MPa)]],Table_FieldStrength[Min UCS]),Table_FieldStrength[Min UCS],0)-1</f>
        <v>#VALUE!</v>
      </c>
      <c r="AD351" s="68" t="e">
        <f>Data_PLT[[#This Row],[Test code]]&amp;"-"&amp;Data_PLT[[#This Row],[UCS min code]]</f>
        <v>#VALUE!</v>
      </c>
      <c r="AE351" s="68" t="e">
        <f>Data_PLT[[#This Row],[Test code]]&amp;"-"&amp;Data_PLT[[#This Row],[UCS avg code]]</f>
        <v>#VALUE!</v>
      </c>
      <c r="AF351" s="67" t="e">
        <f>Data_PLT[[#This Row],[Test code]]&amp;"-"&amp;Data_PLT[[#This Row],[UCS max code]]</f>
        <v>#VALUE!</v>
      </c>
      <c r="AG351" s="67" t="e">
        <f>Data_PLT[[#This Row],[Failure type]]&amp;"-"&amp;Data_PLT[[#This Row],[Test type]]&amp;"-"&amp;(IF(Data_PLT[[#This Row],[Is50 (MPa)]]&lt;1,1,IF(Data_PLT[[#This Row],[Is50 (MPa)]]&lt;2,2,IF(Data_PLT[[#This Row],[Is50 (MPa)]]&lt;4,3,IF(Data_PLT[[#This Row],[Is50 (MPa)]]&lt;8,4,5)))))</f>
        <v>#VALUE!</v>
      </c>
    </row>
    <row r="352" spans="2:33" x14ac:dyDescent="0.25">
      <c r="B352" s="88" t="e">
        <f>VLOOKUP(Data_PLT[[#This Row],[Hole ID]],Data_Log[],2,FALSE)</f>
        <v>#N/A</v>
      </c>
      <c r="C352" s="63" t="str">
        <f>IF(Data_PLT[[#This Row],[Hole ID]]="","",
IF(COUNTIF($A$4:A352,Data_PLT[[#This Row],[Hole ID]])=1,1,
IF(A352=A351,C351+1,
COUNTIF($A$4:A352,Data_PLT[[#This Row],[Hole ID]]))))</f>
        <v/>
      </c>
      <c r="D352" s="63" t="str">
        <f>IF(Data_PLT[[#This Row],[Hole ID]]="","",Data_PLT[[#This Row],[Hole ID]]&amp;"_"&amp;Data_PLT[[#This Row],[Sample ID]])</f>
        <v/>
      </c>
      <c r="E352" s="6"/>
      <c r="F352" s="6"/>
      <c r="G352" s="63" t="e" cm="1">
        <f t="array" ref="G352">_xlfn.XLOOKUP(1,(A352=Geotech!$A$4:$A$11100)*(Data_PLT[[#This Row],[Depth (m)]]&gt;=Geotech!$C$4:$C$11100)*(Data_PLT[[#This Row],[Depth (m)]]&lt;Geotech!$D$4:$D$11100),Geotech!$M$4:$M$11100)</f>
        <v>#N/A</v>
      </c>
      <c r="H352" s="6"/>
      <c r="I352" s="63" t="e">
        <f>VLOOKUP(Data_PLT[[#This Row],[Hole ID]],Data_Log[[Hole ID]:[Core size]],20,FALSE)</f>
        <v>#N/A</v>
      </c>
      <c r="J352" s="13" t="e">
        <f>VLOOKUP(Data_PLT[[#This Row],[Core Size]],Table_CoreSize[],2,FALSE)</f>
        <v>#N/A</v>
      </c>
      <c r="K352" s="19"/>
      <c r="L352" s="19"/>
      <c r="M352" s="5"/>
      <c r="N352" s="5"/>
      <c r="O352" s="6"/>
      <c r="P352" s="13" t="str">
        <f>IF(Data_PLT[[#This Row],[Failure type]]="","",IF(OR(Data_PLT[[#This Row],[Failure type]]="Invalid",Data_PLT[[#This Row],[Failure type]]="Chipped",Data_PLT[[#This Row],[Failure type]]="Penetrate",Data_PLT[[#This Row],[Failure type]]="Did not break"),"Invalid","Valid"))</f>
        <v/>
      </c>
      <c r="Q352" s="6"/>
      <c r="R352" s="11"/>
      <c r="S352" s="13" t="str">
        <f>IF(Data_PLT[[#This Row],[Test type]]="Diametral",Data_PLT[[#This Row],[Diameter (mm)]],IF(Data_PLT[[#This Row],[Test type]]="Axial",SQRT(4*Data_PLT[[#This Row],[Diameter (mm)]]*Data_PLT[[#This Row],[Length or width (mm)]]/PI()),"ERROR"))</f>
        <v>ERROR</v>
      </c>
      <c r="T352" s="13" t="e">
        <f>(Data_PLT[[#This Row],[Load (kN)]]*1000)/Data_PLT[[#This Row],[Equiv. Diam. (mm)]]^2</f>
        <v>#VALUE!</v>
      </c>
      <c r="U352" s="13" t="e">
        <f>(Data_PLT[[#This Row],[Equiv. Diam. (mm)]]/50)^0.45</f>
        <v>#VALUE!</v>
      </c>
      <c r="V352" s="13" t="e">
        <f>Data_PLT[[#This Row],[Is (MPa)]]*Data_PLT[[#This Row],[F]]</f>
        <v>#VALUE!</v>
      </c>
      <c r="W352" s="13" t="str">
        <f>Data_PLT[[#This Row],[Failure Validity]]&amp;"-"&amp;Data_PLT[[#This Row],[Test type]]</f>
        <v>-</v>
      </c>
      <c r="X352" s="13" t="e">
        <f>Data_PLT[[#This Row],[Is50 (MPa)]]*VLOOKUP("Min",Table_PLT_Conversion[],2,FALSE)</f>
        <v>#VALUE!</v>
      </c>
      <c r="Y352" s="13" t="e">
        <f>Data_PLT[[#This Row],[Is50 (MPa)]]*VLOOKUP("Avg",Table_PLT_Conversion[],2,FALSE)</f>
        <v>#VALUE!</v>
      </c>
      <c r="Z352" s="13" t="e">
        <f>Data_PLT[[#This Row],[Is50 (MPa)]]*VLOOKUP("Max",Table_PLT_Conversion[],2,FALSE)</f>
        <v>#VALUE!</v>
      </c>
      <c r="AA352" s="62" t="e">
        <f>MATCH(LOOKUP(Data_PLT[[#This Row],[UCS min (MPa)]],Table_FieldStrength[Min UCS]),Table_FieldStrength[Min UCS],0)-1</f>
        <v>#VALUE!</v>
      </c>
      <c r="AB352" s="62" t="e">
        <f>MATCH(LOOKUP(Data_PLT[[#This Row],[UCS avg (MPa)]],Table_FieldStrength[Min UCS]),Table_FieldStrength[Min UCS],0)-1</f>
        <v>#VALUE!</v>
      </c>
      <c r="AC352" s="62" t="e">
        <f>MATCH(LOOKUP(Data_PLT[[#This Row],[UCS max (MPa)]],Table_FieldStrength[Min UCS]),Table_FieldStrength[Min UCS],0)-1</f>
        <v>#VALUE!</v>
      </c>
      <c r="AD352" s="68" t="e">
        <f>Data_PLT[[#This Row],[Test code]]&amp;"-"&amp;Data_PLT[[#This Row],[UCS min code]]</f>
        <v>#VALUE!</v>
      </c>
      <c r="AE352" s="68" t="e">
        <f>Data_PLT[[#This Row],[Test code]]&amp;"-"&amp;Data_PLT[[#This Row],[UCS avg code]]</f>
        <v>#VALUE!</v>
      </c>
      <c r="AF352" s="67" t="e">
        <f>Data_PLT[[#This Row],[Test code]]&amp;"-"&amp;Data_PLT[[#This Row],[UCS max code]]</f>
        <v>#VALUE!</v>
      </c>
      <c r="AG352" s="67" t="e">
        <f>Data_PLT[[#This Row],[Failure type]]&amp;"-"&amp;Data_PLT[[#This Row],[Test type]]&amp;"-"&amp;(IF(Data_PLT[[#This Row],[Is50 (MPa)]]&lt;1,1,IF(Data_PLT[[#This Row],[Is50 (MPa)]]&lt;2,2,IF(Data_PLT[[#This Row],[Is50 (MPa)]]&lt;4,3,IF(Data_PLT[[#This Row],[Is50 (MPa)]]&lt;8,4,5)))))</f>
        <v>#VALUE!</v>
      </c>
    </row>
    <row r="353" spans="2:33" x14ac:dyDescent="0.25">
      <c r="B353" s="88" t="e">
        <f>VLOOKUP(Data_PLT[[#This Row],[Hole ID]],Data_Log[],2,FALSE)</f>
        <v>#N/A</v>
      </c>
      <c r="C353" s="63" t="str">
        <f>IF(Data_PLT[[#This Row],[Hole ID]]="","",
IF(COUNTIF($A$4:A353,Data_PLT[[#This Row],[Hole ID]])=1,1,
IF(A353=A352,C352+1,
COUNTIF($A$4:A353,Data_PLT[[#This Row],[Hole ID]]))))</f>
        <v/>
      </c>
      <c r="D353" s="63" t="str">
        <f>IF(Data_PLT[[#This Row],[Hole ID]]="","",Data_PLT[[#This Row],[Hole ID]]&amp;"_"&amp;Data_PLT[[#This Row],[Sample ID]])</f>
        <v/>
      </c>
      <c r="E353" s="6"/>
      <c r="F353" s="6"/>
      <c r="G353" s="63" t="e" cm="1">
        <f t="array" ref="G353">_xlfn.XLOOKUP(1,(A353=Geotech!$A$4:$A$11100)*(Data_PLT[[#This Row],[Depth (m)]]&gt;=Geotech!$C$4:$C$11100)*(Data_PLT[[#This Row],[Depth (m)]]&lt;Geotech!$D$4:$D$11100),Geotech!$M$4:$M$11100)</f>
        <v>#N/A</v>
      </c>
      <c r="H353" s="6"/>
      <c r="I353" s="63" t="e">
        <f>VLOOKUP(Data_PLT[[#This Row],[Hole ID]],Data_Log[[Hole ID]:[Core size]],20,FALSE)</f>
        <v>#N/A</v>
      </c>
      <c r="J353" s="13" t="e">
        <f>VLOOKUP(Data_PLT[[#This Row],[Core Size]],Table_CoreSize[],2,FALSE)</f>
        <v>#N/A</v>
      </c>
      <c r="K353" s="19"/>
      <c r="L353" s="19"/>
      <c r="M353" s="5"/>
      <c r="N353" s="5"/>
      <c r="O353" s="6"/>
      <c r="P353" s="13" t="str">
        <f>IF(Data_PLT[[#This Row],[Failure type]]="","",IF(OR(Data_PLT[[#This Row],[Failure type]]="Invalid",Data_PLT[[#This Row],[Failure type]]="Chipped",Data_PLT[[#This Row],[Failure type]]="Penetrate",Data_PLT[[#This Row],[Failure type]]="Did not break"),"Invalid","Valid"))</f>
        <v/>
      </c>
      <c r="Q353" s="6"/>
      <c r="R353" s="11"/>
      <c r="S353" s="13" t="str">
        <f>IF(Data_PLT[[#This Row],[Test type]]="Diametral",Data_PLT[[#This Row],[Diameter (mm)]],IF(Data_PLT[[#This Row],[Test type]]="Axial",SQRT(4*Data_PLT[[#This Row],[Diameter (mm)]]*Data_PLT[[#This Row],[Length or width (mm)]]/PI()),"ERROR"))</f>
        <v>ERROR</v>
      </c>
      <c r="T353" s="13" t="e">
        <f>(Data_PLT[[#This Row],[Load (kN)]]*1000)/Data_PLT[[#This Row],[Equiv. Diam. (mm)]]^2</f>
        <v>#VALUE!</v>
      </c>
      <c r="U353" s="13" t="e">
        <f>(Data_PLT[[#This Row],[Equiv. Diam. (mm)]]/50)^0.45</f>
        <v>#VALUE!</v>
      </c>
      <c r="V353" s="13" t="e">
        <f>Data_PLT[[#This Row],[Is (MPa)]]*Data_PLT[[#This Row],[F]]</f>
        <v>#VALUE!</v>
      </c>
      <c r="W353" s="13" t="str">
        <f>Data_PLT[[#This Row],[Failure Validity]]&amp;"-"&amp;Data_PLT[[#This Row],[Test type]]</f>
        <v>-</v>
      </c>
      <c r="X353" s="13" t="e">
        <f>Data_PLT[[#This Row],[Is50 (MPa)]]*VLOOKUP("Min",Table_PLT_Conversion[],2,FALSE)</f>
        <v>#VALUE!</v>
      </c>
      <c r="Y353" s="13" t="e">
        <f>Data_PLT[[#This Row],[Is50 (MPa)]]*VLOOKUP("Avg",Table_PLT_Conversion[],2,FALSE)</f>
        <v>#VALUE!</v>
      </c>
      <c r="Z353" s="13" t="e">
        <f>Data_PLT[[#This Row],[Is50 (MPa)]]*VLOOKUP("Max",Table_PLT_Conversion[],2,FALSE)</f>
        <v>#VALUE!</v>
      </c>
      <c r="AA353" s="62" t="e">
        <f>MATCH(LOOKUP(Data_PLT[[#This Row],[UCS min (MPa)]],Table_FieldStrength[Min UCS]),Table_FieldStrength[Min UCS],0)-1</f>
        <v>#VALUE!</v>
      </c>
      <c r="AB353" s="62" t="e">
        <f>MATCH(LOOKUP(Data_PLT[[#This Row],[UCS avg (MPa)]],Table_FieldStrength[Min UCS]),Table_FieldStrength[Min UCS],0)-1</f>
        <v>#VALUE!</v>
      </c>
      <c r="AC353" s="62" t="e">
        <f>MATCH(LOOKUP(Data_PLT[[#This Row],[UCS max (MPa)]],Table_FieldStrength[Min UCS]),Table_FieldStrength[Min UCS],0)-1</f>
        <v>#VALUE!</v>
      </c>
      <c r="AD353" s="68" t="e">
        <f>Data_PLT[[#This Row],[Test code]]&amp;"-"&amp;Data_PLT[[#This Row],[UCS min code]]</f>
        <v>#VALUE!</v>
      </c>
      <c r="AE353" s="68" t="e">
        <f>Data_PLT[[#This Row],[Test code]]&amp;"-"&amp;Data_PLT[[#This Row],[UCS avg code]]</f>
        <v>#VALUE!</v>
      </c>
      <c r="AF353" s="67" t="e">
        <f>Data_PLT[[#This Row],[Test code]]&amp;"-"&amp;Data_PLT[[#This Row],[UCS max code]]</f>
        <v>#VALUE!</v>
      </c>
      <c r="AG353" s="67" t="e">
        <f>Data_PLT[[#This Row],[Failure type]]&amp;"-"&amp;Data_PLT[[#This Row],[Test type]]&amp;"-"&amp;(IF(Data_PLT[[#This Row],[Is50 (MPa)]]&lt;1,1,IF(Data_PLT[[#This Row],[Is50 (MPa)]]&lt;2,2,IF(Data_PLT[[#This Row],[Is50 (MPa)]]&lt;4,3,IF(Data_PLT[[#This Row],[Is50 (MPa)]]&lt;8,4,5)))))</f>
        <v>#VALUE!</v>
      </c>
    </row>
    <row r="354" spans="2:33" x14ac:dyDescent="0.25">
      <c r="B354" s="88" t="e">
        <f>VLOOKUP(Data_PLT[[#This Row],[Hole ID]],Data_Log[],2,FALSE)</f>
        <v>#N/A</v>
      </c>
      <c r="C354" s="63" t="str">
        <f>IF(Data_PLT[[#This Row],[Hole ID]]="","",
IF(COUNTIF($A$4:A354,Data_PLT[[#This Row],[Hole ID]])=1,1,
IF(A354=A353,C353+1,
COUNTIF($A$4:A354,Data_PLT[[#This Row],[Hole ID]]))))</f>
        <v/>
      </c>
      <c r="D354" s="63" t="str">
        <f>IF(Data_PLT[[#This Row],[Hole ID]]="","",Data_PLT[[#This Row],[Hole ID]]&amp;"_"&amp;Data_PLT[[#This Row],[Sample ID]])</f>
        <v/>
      </c>
      <c r="E354" s="6"/>
      <c r="F354" s="6"/>
      <c r="G354" s="63" t="e" cm="1">
        <f t="array" ref="G354">_xlfn.XLOOKUP(1,(A354=Geotech!$A$4:$A$11100)*(Data_PLT[[#This Row],[Depth (m)]]&gt;=Geotech!$C$4:$C$11100)*(Data_PLT[[#This Row],[Depth (m)]]&lt;Geotech!$D$4:$D$11100),Geotech!$M$4:$M$11100)</f>
        <v>#N/A</v>
      </c>
      <c r="H354" s="6"/>
      <c r="I354" s="63" t="e">
        <f>VLOOKUP(Data_PLT[[#This Row],[Hole ID]],Data_Log[[Hole ID]:[Core size]],20,FALSE)</f>
        <v>#N/A</v>
      </c>
      <c r="J354" s="13" t="e">
        <f>VLOOKUP(Data_PLT[[#This Row],[Core Size]],Table_CoreSize[],2,FALSE)</f>
        <v>#N/A</v>
      </c>
      <c r="K354" s="19"/>
      <c r="L354" s="19"/>
      <c r="M354" s="5"/>
      <c r="N354" s="5"/>
      <c r="O354" s="6"/>
      <c r="P354" s="13" t="str">
        <f>IF(Data_PLT[[#This Row],[Failure type]]="","",IF(OR(Data_PLT[[#This Row],[Failure type]]="Invalid",Data_PLT[[#This Row],[Failure type]]="Chipped",Data_PLT[[#This Row],[Failure type]]="Penetrate",Data_PLT[[#This Row],[Failure type]]="Did not break"),"Invalid","Valid"))</f>
        <v/>
      </c>
      <c r="Q354" s="6"/>
      <c r="R354" s="11"/>
      <c r="S354" s="13" t="str">
        <f>IF(Data_PLT[[#This Row],[Test type]]="Diametral",Data_PLT[[#This Row],[Diameter (mm)]],IF(Data_PLT[[#This Row],[Test type]]="Axial",SQRT(4*Data_PLT[[#This Row],[Diameter (mm)]]*Data_PLT[[#This Row],[Length or width (mm)]]/PI()),"ERROR"))</f>
        <v>ERROR</v>
      </c>
      <c r="T354" s="13" t="e">
        <f>(Data_PLT[[#This Row],[Load (kN)]]*1000)/Data_PLT[[#This Row],[Equiv. Diam. (mm)]]^2</f>
        <v>#VALUE!</v>
      </c>
      <c r="U354" s="13" t="e">
        <f>(Data_PLT[[#This Row],[Equiv. Diam. (mm)]]/50)^0.45</f>
        <v>#VALUE!</v>
      </c>
      <c r="V354" s="13" t="e">
        <f>Data_PLT[[#This Row],[Is (MPa)]]*Data_PLT[[#This Row],[F]]</f>
        <v>#VALUE!</v>
      </c>
      <c r="W354" s="13" t="str">
        <f>Data_PLT[[#This Row],[Failure Validity]]&amp;"-"&amp;Data_PLT[[#This Row],[Test type]]</f>
        <v>-</v>
      </c>
      <c r="X354" s="13" t="e">
        <f>Data_PLT[[#This Row],[Is50 (MPa)]]*VLOOKUP("Min",Table_PLT_Conversion[],2,FALSE)</f>
        <v>#VALUE!</v>
      </c>
      <c r="Y354" s="13" t="e">
        <f>Data_PLT[[#This Row],[Is50 (MPa)]]*VLOOKUP("Avg",Table_PLT_Conversion[],2,FALSE)</f>
        <v>#VALUE!</v>
      </c>
      <c r="Z354" s="13" t="e">
        <f>Data_PLT[[#This Row],[Is50 (MPa)]]*VLOOKUP("Max",Table_PLT_Conversion[],2,FALSE)</f>
        <v>#VALUE!</v>
      </c>
      <c r="AA354" s="62" t="e">
        <f>MATCH(LOOKUP(Data_PLT[[#This Row],[UCS min (MPa)]],Table_FieldStrength[Min UCS]),Table_FieldStrength[Min UCS],0)-1</f>
        <v>#VALUE!</v>
      </c>
      <c r="AB354" s="62" t="e">
        <f>MATCH(LOOKUP(Data_PLT[[#This Row],[UCS avg (MPa)]],Table_FieldStrength[Min UCS]),Table_FieldStrength[Min UCS],0)-1</f>
        <v>#VALUE!</v>
      </c>
      <c r="AC354" s="62" t="e">
        <f>MATCH(LOOKUP(Data_PLT[[#This Row],[UCS max (MPa)]],Table_FieldStrength[Min UCS]),Table_FieldStrength[Min UCS],0)-1</f>
        <v>#VALUE!</v>
      </c>
      <c r="AD354" s="68" t="e">
        <f>Data_PLT[[#This Row],[Test code]]&amp;"-"&amp;Data_PLT[[#This Row],[UCS min code]]</f>
        <v>#VALUE!</v>
      </c>
      <c r="AE354" s="68" t="e">
        <f>Data_PLT[[#This Row],[Test code]]&amp;"-"&amp;Data_PLT[[#This Row],[UCS avg code]]</f>
        <v>#VALUE!</v>
      </c>
      <c r="AF354" s="67" t="e">
        <f>Data_PLT[[#This Row],[Test code]]&amp;"-"&amp;Data_PLT[[#This Row],[UCS max code]]</f>
        <v>#VALUE!</v>
      </c>
      <c r="AG354" s="67" t="e">
        <f>Data_PLT[[#This Row],[Failure type]]&amp;"-"&amp;Data_PLT[[#This Row],[Test type]]&amp;"-"&amp;(IF(Data_PLT[[#This Row],[Is50 (MPa)]]&lt;1,1,IF(Data_PLT[[#This Row],[Is50 (MPa)]]&lt;2,2,IF(Data_PLT[[#This Row],[Is50 (MPa)]]&lt;4,3,IF(Data_PLT[[#This Row],[Is50 (MPa)]]&lt;8,4,5)))))</f>
        <v>#VALUE!</v>
      </c>
    </row>
    <row r="355" spans="2:33" x14ac:dyDescent="0.25">
      <c r="B355" s="88" t="e">
        <f>VLOOKUP(Data_PLT[[#This Row],[Hole ID]],Data_Log[],2,FALSE)</f>
        <v>#N/A</v>
      </c>
      <c r="C355" s="63" t="str">
        <f>IF(Data_PLT[[#This Row],[Hole ID]]="","",
IF(COUNTIF($A$4:A355,Data_PLT[[#This Row],[Hole ID]])=1,1,
IF(A355=A354,C354+1,
COUNTIF($A$4:A355,Data_PLT[[#This Row],[Hole ID]]))))</f>
        <v/>
      </c>
      <c r="D355" s="63" t="str">
        <f>IF(Data_PLT[[#This Row],[Hole ID]]="","",Data_PLT[[#This Row],[Hole ID]]&amp;"_"&amp;Data_PLT[[#This Row],[Sample ID]])</f>
        <v/>
      </c>
      <c r="E355" s="6"/>
      <c r="F355" s="6"/>
      <c r="G355" s="63" t="e" cm="1">
        <f t="array" ref="G355">_xlfn.XLOOKUP(1,(A355=Geotech!$A$4:$A$11100)*(Data_PLT[[#This Row],[Depth (m)]]&gt;=Geotech!$C$4:$C$11100)*(Data_PLT[[#This Row],[Depth (m)]]&lt;Geotech!$D$4:$D$11100),Geotech!$M$4:$M$11100)</f>
        <v>#N/A</v>
      </c>
      <c r="H355" s="6"/>
      <c r="I355" s="63" t="e">
        <f>VLOOKUP(Data_PLT[[#This Row],[Hole ID]],Data_Log[[Hole ID]:[Core size]],20,FALSE)</f>
        <v>#N/A</v>
      </c>
      <c r="J355" s="13" t="e">
        <f>VLOOKUP(Data_PLT[[#This Row],[Core Size]],Table_CoreSize[],2,FALSE)</f>
        <v>#N/A</v>
      </c>
      <c r="K355" s="19"/>
      <c r="L355" s="19"/>
      <c r="M355" s="5"/>
      <c r="N355" s="5"/>
      <c r="O355" s="6"/>
      <c r="P355" s="13" t="str">
        <f>IF(Data_PLT[[#This Row],[Failure type]]="","",IF(OR(Data_PLT[[#This Row],[Failure type]]="Invalid",Data_PLT[[#This Row],[Failure type]]="Chipped",Data_PLT[[#This Row],[Failure type]]="Penetrate",Data_PLT[[#This Row],[Failure type]]="Did not break"),"Invalid","Valid"))</f>
        <v/>
      </c>
      <c r="Q355" s="6"/>
      <c r="R355" s="11"/>
      <c r="S355" s="13" t="str">
        <f>IF(Data_PLT[[#This Row],[Test type]]="Diametral",Data_PLT[[#This Row],[Diameter (mm)]],IF(Data_PLT[[#This Row],[Test type]]="Axial",SQRT(4*Data_PLT[[#This Row],[Diameter (mm)]]*Data_PLT[[#This Row],[Length or width (mm)]]/PI()),"ERROR"))</f>
        <v>ERROR</v>
      </c>
      <c r="T355" s="13" t="e">
        <f>(Data_PLT[[#This Row],[Load (kN)]]*1000)/Data_PLT[[#This Row],[Equiv. Diam. (mm)]]^2</f>
        <v>#VALUE!</v>
      </c>
      <c r="U355" s="13" t="e">
        <f>(Data_PLT[[#This Row],[Equiv. Diam. (mm)]]/50)^0.45</f>
        <v>#VALUE!</v>
      </c>
      <c r="V355" s="13" t="e">
        <f>Data_PLT[[#This Row],[Is (MPa)]]*Data_PLT[[#This Row],[F]]</f>
        <v>#VALUE!</v>
      </c>
      <c r="W355" s="13" t="str">
        <f>Data_PLT[[#This Row],[Failure Validity]]&amp;"-"&amp;Data_PLT[[#This Row],[Test type]]</f>
        <v>-</v>
      </c>
      <c r="X355" s="13" t="e">
        <f>Data_PLT[[#This Row],[Is50 (MPa)]]*VLOOKUP("Min",Table_PLT_Conversion[],2,FALSE)</f>
        <v>#VALUE!</v>
      </c>
      <c r="Y355" s="13" t="e">
        <f>Data_PLT[[#This Row],[Is50 (MPa)]]*VLOOKUP("Avg",Table_PLT_Conversion[],2,FALSE)</f>
        <v>#VALUE!</v>
      </c>
      <c r="Z355" s="13" t="e">
        <f>Data_PLT[[#This Row],[Is50 (MPa)]]*VLOOKUP("Max",Table_PLT_Conversion[],2,FALSE)</f>
        <v>#VALUE!</v>
      </c>
      <c r="AA355" s="62" t="e">
        <f>MATCH(LOOKUP(Data_PLT[[#This Row],[UCS min (MPa)]],Table_FieldStrength[Min UCS]),Table_FieldStrength[Min UCS],0)-1</f>
        <v>#VALUE!</v>
      </c>
      <c r="AB355" s="62" t="e">
        <f>MATCH(LOOKUP(Data_PLT[[#This Row],[UCS avg (MPa)]],Table_FieldStrength[Min UCS]),Table_FieldStrength[Min UCS],0)-1</f>
        <v>#VALUE!</v>
      </c>
      <c r="AC355" s="62" t="e">
        <f>MATCH(LOOKUP(Data_PLT[[#This Row],[UCS max (MPa)]],Table_FieldStrength[Min UCS]),Table_FieldStrength[Min UCS],0)-1</f>
        <v>#VALUE!</v>
      </c>
      <c r="AD355" s="68" t="e">
        <f>Data_PLT[[#This Row],[Test code]]&amp;"-"&amp;Data_PLT[[#This Row],[UCS min code]]</f>
        <v>#VALUE!</v>
      </c>
      <c r="AE355" s="68" t="e">
        <f>Data_PLT[[#This Row],[Test code]]&amp;"-"&amp;Data_PLT[[#This Row],[UCS avg code]]</f>
        <v>#VALUE!</v>
      </c>
      <c r="AF355" s="67" t="e">
        <f>Data_PLT[[#This Row],[Test code]]&amp;"-"&amp;Data_PLT[[#This Row],[UCS max code]]</f>
        <v>#VALUE!</v>
      </c>
      <c r="AG355" s="67" t="e">
        <f>Data_PLT[[#This Row],[Failure type]]&amp;"-"&amp;Data_PLT[[#This Row],[Test type]]&amp;"-"&amp;(IF(Data_PLT[[#This Row],[Is50 (MPa)]]&lt;1,1,IF(Data_PLT[[#This Row],[Is50 (MPa)]]&lt;2,2,IF(Data_PLT[[#This Row],[Is50 (MPa)]]&lt;4,3,IF(Data_PLT[[#This Row],[Is50 (MPa)]]&lt;8,4,5)))))</f>
        <v>#VALUE!</v>
      </c>
    </row>
    <row r="356" spans="2:33" x14ac:dyDescent="0.25">
      <c r="B356" s="88" t="e">
        <f>VLOOKUP(Data_PLT[[#This Row],[Hole ID]],Data_Log[],2,FALSE)</f>
        <v>#N/A</v>
      </c>
      <c r="C356" s="63" t="str">
        <f>IF(Data_PLT[[#This Row],[Hole ID]]="","",
IF(COUNTIF($A$4:A356,Data_PLT[[#This Row],[Hole ID]])=1,1,
IF(A356=A355,C355+1,
COUNTIF($A$4:A356,Data_PLT[[#This Row],[Hole ID]]))))</f>
        <v/>
      </c>
      <c r="D356" s="63" t="str">
        <f>IF(Data_PLT[[#This Row],[Hole ID]]="","",Data_PLT[[#This Row],[Hole ID]]&amp;"_"&amp;Data_PLT[[#This Row],[Sample ID]])</f>
        <v/>
      </c>
      <c r="E356" s="6"/>
      <c r="F356" s="6"/>
      <c r="G356" s="63" t="e" cm="1">
        <f t="array" ref="G356">_xlfn.XLOOKUP(1,(A356=Geotech!$A$4:$A$11100)*(Data_PLT[[#This Row],[Depth (m)]]&gt;=Geotech!$C$4:$C$11100)*(Data_PLT[[#This Row],[Depth (m)]]&lt;Geotech!$D$4:$D$11100),Geotech!$M$4:$M$11100)</f>
        <v>#N/A</v>
      </c>
      <c r="H356" s="6"/>
      <c r="I356" s="63" t="e">
        <f>VLOOKUP(Data_PLT[[#This Row],[Hole ID]],Data_Log[[Hole ID]:[Core size]],20,FALSE)</f>
        <v>#N/A</v>
      </c>
      <c r="J356" s="13" t="e">
        <f>VLOOKUP(Data_PLT[[#This Row],[Core Size]],Table_CoreSize[],2,FALSE)</f>
        <v>#N/A</v>
      </c>
      <c r="K356" s="19"/>
      <c r="L356" s="19"/>
      <c r="M356" s="5"/>
      <c r="N356" s="5"/>
      <c r="O356" s="6"/>
      <c r="P356" s="13" t="str">
        <f>IF(Data_PLT[[#This Row],[Failure type]]="","",IF(OR(Data_PLT[[#This Row],[Failure type]]="Invalid",Data_PLT[[#This Row],[Failure type]]="Chipped",Data_PLT[[#This Row],[Failure type]]="Penetrate",Data_PLT[[#This Row],[Failure type]]="Did not break"),"Invalid","Valid"))</f>
        <v/>
      </c>
      <c r="Q356" s="6"/>
      <c r="R356" s="11"/>
      <c r="S356" s="13" t="str">
        <f>IF(Data_PLT[[#This Row],[Test type]]="Diametral",Data_PLT[[#This Row],[Diameter (mm)]],IF(Data_PLT[[#This Row],[Test type]]="Axial",SQRT(4*Data_PLT[[#This Row],[Diameter (mm)]]*Data_PLT[[#This Row],[Length or width (mm)]]/PI()),"ERROR"))</f>
        <v>ERROR</v>
      </c>
      <c r="T356" s="13" t="e">
        <f>(Data_PLT[[#This Row],[Load (kN)]]*1000)/Data_PLT[[#This Row],[Equiv. Diam. (mm)]]^2</f>
        <v>#VALUE!</v>
      </c>
      <c r="U356" s="13" t="e">
        <f>(Data_PLT[[#This Row],[Equiv. Diam. (mm)]]/50)^0.45</f>
        <v>#VALUE!</v>
      </c>
      <c r="V356" s="13" t="e">
        <f>Data_PLT[[#This Row],[Is (MPa)]]*Data_PLT[[#This Row],[F]]</f>
        <v>#VALUE!</v>
      </c>
      <c r="W356" s="13" t="str">
        <f>Data_PLT[[#This Row],[Failure Validity]]&amp;"-"&amp;Data_PLT[[#This Row],[Test type]]</f>
        <v>-</v>
      </c>
      <c r="X356" s="13" t="e">
        <f>Data_PLT[[#This Row],[Is50 (MPa)]]*VLOOKUP("Min",Table_PLT_Conversion[],2,FALSE)</f>
        <v>#VALUE!</v>
      </c>
      <c r="Y356" s="13" t="e">
        <f>Data_PLT[[#This Row],[Is50 (MPa)]]*VLOOKUP("Avg",Table_PLT_Conversion[],2,FALSE)</f>
        <v>#VALUE!</v>
      </c>
      <c r="Z356" s="13" t="e">
        <f>Data_PLT[[#This Row],[Is50 (MPa)]]*VLOOKUP("Max",Table_PLT_Conversion[],2,FALSE)</f>
        <v>#VALUE!</v>
      </c>
      <c r="AA356" s="62" t="e">
        <f>MATCH(LOOKUP(Data_PLT[[#This Row],[UCS min (MPa)]],Table_FieldStrength[Min UCS]),Table_FieldStrength[Min UCS],0)-1</f>
        <v>#VALUE!</v>
      </c>
      <c r="AB356" s="62" t="e">
        <f>MATCH(LOOKUP(Data_PLT[[#This Row],[UCS avg (MPa)]],Table_FieldStrength[Min UCS]),Table_FieldStrength[Min UCS],0)-1</f>
        <v>#VALUE!</v>
      </c>
      <c r="AC356" s="62" t="e">
        <f>MATCH(LOOKUP(Data_PLT[[#This Row],[UCS max (MPa)]],Table_FieldStrength[Min UCS]),Table_FieldStrength[Min UCS],0)-1</f>
        <v>#VALUE!</v>
      </c>
      <c r="AD356" s="68" t="e">
        <f>Data_PLT[[#This Row],[Test code]]&amp;"-"&amp;Data_PLT[[#This Row],[UCS min code]]</f>
        <v>#VALUE!</v>
      </c>
      <c r="AE356" s="68" t="e">
        <f>Data_PLT[[#This Row],[Test code]]&amp;"-"&amp;Data_PLT[[#This Row],[UCS avg code]]</f>
        <v>#VALUE!</v>
      </c>
      <c r="AF356" s="67" t="e">
        <f>Data_PLT[[#This Row],[Test code]]&amp;"-"&amp;Data_PLT[[#This Row],[UCS max code]]</f>
        <v>#VALUE!</v>
      </c>
      <c r="AG356" s="67" t="e">
        <f>Data_PLT[[#This Row],[Failure type]]&amp;"-"&amp;Data_PLT[[#This Row],[Test type]]&amp;"-"&amp;(IF(Data_PLT[[#This Row],[Is50 (MPa)]]&lt;1,1,IF(Data_PLT[[#This Row],[Is50 (MPa)]]&lt;2,2,IF(Data_PLT[[#This Row],[Is50 (MPa)]]&lt;4,3,IF(Data_PLT[[#This Row],[Is50 (MPa)]]&lt;8,4,5)))))</f>
        <v>#VALUE!</v>
      </c>
    </row>
    <row r="357" spans="2:33" x14ac:dyDescent="0.25">
      <c r="B357" s="88" t="e">
        <f>VLOOKUP(Data_PLT[[#This Row],[Hole ID]],Data_Log[],2,FALSE)</f>
        <v>#N/A</v>
      </c>
      <c r="C357" s="63" t="str">
        <f>IF(Data_PLT[[#This Row],[Hole ID]]="","",
IF(COUNTIF($A$4:A357,Data_PLT[[#This Row],[Hole ID]])=1,1,
IF(A357=A356,C356+1,
COUNTIF($A$4:A357,Data_PLT[[#This Row],[Hole ID]]))))</f>
        <v/>
      </c>
      <c r="D357" s="63" t="str">
        <f>IF(Data_PLT[[#This Row],[Hole ID]]="","",Data_PLT[[#This Row],[Hole ID]]&amp;"_"&amp;Data_PLT[[#This Row],[Sample ID]])</f>
        <v/>
      </c>
      <c r="E357" s="6"/>
      <c r="F357" s="6"/>
      <c r="G357" s="63" t="e" cm="1">
        <f t="array" ref="G357">_xlfn.XLOOKUP(1,(A357=Geotech!$A$4:$A$11100)*(Data_PLT[[#This Row],[Depth (m)]]&gt;=Geotech!$C$4:$C$11100)*(Data_PLT[[#This Row],[Depth (m)]]&lt;Geotech!$D$4:$D$11100),Geotech!$M$4:$M$11100)</f>
        <v>#N/A</v>
      </c>
      <c r="H357" s="6"/>
      <c r="I357" s="63" t="e">
        <f>VLOOKUP(Data_PLT[[#This Row],[Hole ID]],Data_Log[[Hole ID]:[Core size]],20,FALSE)</f>
        <v>#N/A</v>
      </c>
      <c r="J357" s="13" t="e">
        <f>VLOOKUP(Data_PLT[[#This Row],[Core Size]],Table_CoreSize[],2,FALSE)</f>
        <v>#N/A</v>
      </c>
      <c r="K357" s="19"/>
      <c r="L357" s="19"/>
      <c r="M357" s="5"/>
      <c r="N357" s="5"/>
      <c r="O357" s="6"/>
      <c r="P357" s="13" t="str">
        <f>IF(Data_PLT[[#This Row],[Failure type]]="","",IF(OR(Data_PLT[[#This Row],[Failure type]]="Invalid",Data_PLT[[#This Row],[Failure type]]="Chipped",Data_PLT[[#This Row],[Failure type]]="Penetrate",Data_PLT[[#This Row],[Failure type]]="Did not break"),"Invalid","Valid"))</f>
        <v/>
      </c>
      <c r="Q357" s="6"/>
      <c r="R357" s="11"/>
      <c r="S357" s="13" t="str">
        <f>IF(Data_PLT[[#This Row],[Test type]]="Diametral",Data_PLT[[#This Row],[Diameter (mm)]],IF(Data_PLT[[#This Row],[Test type]]="Axial",SQRT(4*Data_PLT[[#This Row],[Diameter (mm)]]*Data_PLT[[#This Row],[Length or width (mm)]]/PI()),"ERROR"))</f>
        <v>ERROR</v>
      </c>
      <c r="T357" s="13" t="e">
        <f>(Data_PLT[[#This Row],[Load (kN)]]*1000)/Data_PLT[[#This Row],[Equiv. Diam. (mm)]]^2</f>
        <v>#VALUE!</v>
      </c>
      <c r="U357" s="13" t="e">
        <f>(Data_PLT[[#This Row],[Equiv. Diam. (mm)]]/50)^0.45</f>
        <v>#VALUE!</v>
      </c>
      <c r="V357" s="13" t="e">
        <f>Data_PLT[[#This Row],[Is (MPa)]]*Data_PLT[[#This Row],[F]]</f>
        <v>#VALUE!</v>
      </c>
      <c r="W357" s="13" t="str">
        <f>Data_PLT[[#This Row],[Failure Validity]]&amp;"-"&amp;Data_PLT[[#This Row],[Test type]]</f>
        <v>-</v>
      </c>
      <c r="X357" s="13" t="e">
        <f>Data_PLT[[#This Row],[Is50 (MPa)]]*VLOOKUP("Min",Table_PLT_Conversion[],2,FALSE)</f>
        <v>#VALUE!</v>
      </c>
      <c r="Y357" s="13" t="e">
        <f>Data_PLT[[#This Row],[Is50 (MPa)]]*VLOOKUP("Avg",Table_PLT_Conversion[],2,FALSE)</f>
        <v>#VALUE!</v>
      </c>
      <c r="Z357" s="13" t="e">
        <f>Data_PLT[[#This Row],[Is50 (MPa)]]*VLOOKUP("Max",Table_PLT_Conversion[],2,FALSE)</f>
        <v>#VALUE!</v>
      </c>
      <c r="AA357" s="62" t="e">
        <f>MATCH(LOOKUP(Data_PLT[[#This Row],[UCS min (MPa)]],Table_FieldStrength[Min UCS]),Table_FieldStrength[Min UCS],0)-1</f>
        <v>#VALUE!</v>
      </c>
      <c r="AB357" s="62" t="e">
        <f>MATCH(LOOKUP(Data_PLT[[#This Row],[UCS avg (MPa)]],Table_FieldStrength[Min UCS]),Table_FieldStrength[Min UCS],0)-1</f>
        <v>#VALUE!</v>
      </c>
      <c r="AC357" s="62" t="e">
        <f>MATCH(LOOKUP(Data_PLT[[#This Row],[UCS max (MPa)]],Table_FieldStrength[Min UCS]),Table_FieldStrength[Min UCS],0)-1</f>
        <v>#VALUE!</v>
      </c>
      <c r="AD357" s="68" t="e">
        <f>Data_PLT[[#This Row],[Test code]]&amp;"-"&amp;Data_PLT[[#This Row],[UCS min code]]</f>
        <v>#VALUE!</v>
      </c>
      <c r="AE357" s="68" t="e">
        <f>Data_PLT[[#This Row],[Test code]]&amp;"-"&amp;Data_PLT[[#This Row],[UCS avg code]]</f>
        <v>#VALUE!</v>
      </c>
      <c r="AF357" s="67" t="e">
        <f>Data_PLT[[#This Row],[Test code]]&amp;"-"&amp;Data_PLT[[#This Row],[UCS max code]]</f>
        <v>#VALUE!</v>
      </c>
      <c r="AG357" s="67" t="e">
        <f>Data_PLT[[#This Row],[Failure type]]&amp;"-"&amp;Data_PLT[[#This Row],[Test type]]&amp;"-"&amp;(IF(Data_PLT[[#This Row],[Is50 (MPa)]]&lt;1,1,IF(Data_PLT[[#This Row],[Is50 (MPa)]]&lt;2,2,IF(Data_PLT[[#This Row],[Is50 (MPa)]]&lt;4,3,IF(Data_PLT[[#This Row],[Is50 (MPa)]]&lt;8,4,5)))))</f>
        <v>#VALUE!</v>
      </c>
    </row>
    <row r="358" spans="2:33" x14ac:dyDescent="0.25">
      <c r="B358" s="88" t="e">
        <f>VLOOKUP(Data_PLT[[#This Row],[Hole ID]],Data_Log[],2,FALSE)</f>
        <v>#N/A</v>
      </c>
      <c r="C358" s="63" t="str">
        <f>IF(Data_PLT[[#This Row],[Hole ID]]="","",
IF(COUNTIF($A$4:A358,Data_PLT[[#This Row],[Hole ID]])=1,1,
IF(A358=A357,C357+1,
COUNTIF($A$4:A358,Data_PLT[[#This Row],[Hole ID]]))))</f>
        <v/>
      </c>
      <c r="D358" s="63" t="str">
        <f>IF(Data_PLT[[#This Row],[Hole ID]]="","",Data_PLT[[#This Row],[Hole ID]]&amp;"_"&amp;Data_PLT[[#This Row],[Sample ID]])</f>
        <v/>
      </c>
      <c r="E358" s="6"/>
      <c r="F358" s="6"/>
      <c r="G358" s="63" t="e" cm="1">
        <f t="array" ref="G358">_xlfn.XLOOKUP(1,(A358=Geotech!$A$4:$A$11100)*(Data_PLT[[#This Row],[Depth (m)]]&gt;=Geotech!$C$4:$C$11100)*(Data_PLT[[#This Row],[Depth (m)]]&lt;Geotech!$D$4:$D$11100),Geotech!$M$4:$M$11100)</f>
        <v>#N/A</v>
      </c>
      <c r="H358" s="6"/>
      <c r="I358" s="63" t="e">
        <f>VLOOKUP(Data_PLT[[#This Row],[Hole ID]],Data_Log[[Hole ID]:[Core size]],20,FALSE)</f>
        <v>#N/A</v>
      </c>
      <c r="J358" s="13" t="e">
        <f>VLOOKUP(Data_PLT[[#This Row],[Core Size]],Table_CoreSize[],2,FALSE)</f>
        <v>#N/A</v>
      </c>
      <c r="K358" s="19"/>
      <c r="L358" s="19"/>
      <c r="M358" s="5"/>
      <c r="N358" s="5"/>
      <c r="O358" s="6"/>
      <c r="P358" s="13" t="str">
        <f>IF(Data_PLT[[#This Row],[Failure type]]="","",IF(OR(Data_PLT[[#This Row],[Failure type]]="Invalid",Data_PLT[[#This Row],[Failure type]]="Chipped",Data_PLT[[#This Row],[Failure type]]="Penetrate",Data_PLT[[#This Row],[Failure type]]="Did not break"),"Invalid","Valid"))</f>
        <v/>
      </c>
      <c r="Q358" s="6"/>
      <c r="R358" s="11"/>
      <c r="S358" s="13" t="str">
        <f>IF(Data_PLT[[#This Row],[Test type]]="Diametral",Data_PLT[[#This Row],[Diameter (mm)]],IF(Data_PLT[[#This Row],[Test type]]="Axial",SQRT(4*Data_PLT[[#This Row],[Diameter (mm)]]*Data_PLT[[#This Row],[Length or width (mm)]]/PI()),"ERROR"))</f>
        <v>ERROR</v>
      </c>
      <c r="T358" s="13" t="e">
        <f>(Data_PLT[[#This Row],[Load (kN)]]*1000)/Data_PLT[[#This Row],[Equiv. Diam. (mm)]]^2</f>
        <v>#VALUE!</v>
      </c>
      <c r="U358" s="13" t="e">
        <f>(Data_PLT[[#This Row],[Equiv. Diam. (mm)]]/50)^0.45</f>
        <v>#VALUE!</v>
      </c>
      <c r="V358" s="13" t="e">
        <f>Data_PLT[[#This Row],[Is (MPa)]]*Data_PLT[[#This Row],[F]]</f>
        <v>#VALUE!</v>
      </c>
      <c r="W358" s="13" t="str">
        <f>Data_PLT[[#This Row],[Failure Validity]]&amp;"-"&amp;Data_PLT[[#This Row],[Test type]]</f>
        <v>-</v>
      </c>
      <c r="X358" s="13" t="e">
        <f>Data_PLT[[#This Row],[Is50 (MPa)]]*VLOOKUP("Min",Table_PLT_Conversion[],2,FALSE)</f>
        <v>#VALUE!</v>
      </c>
      <c r="Y358" s="13" t="e">
        <f>Data_PLT[[#This Row],[Is50 (MPa)]]*VLOOKUP("Avg",Table_PLT_Conversion[],2,FALSE)</f>
        <v>#VALUE!</v>
      </c>
      <c r="Z358" s="13" t="e">
        <f>Data_PLT[[#This Row],[Is50 (MPa)]]*VLOOKUP("Max",Table_PLT_Conversion[],2,FALSE)</f>
        <v>#VALUE!</v>
      </c>
      <c r="AA358" s="62" t="e">
        <f>MATCH(LOOKUP(Data_PLT[[#This Row],[UCS min (MPa)]],Table_FieldStrength[Min UCS]),Table_FieldStrength[Min UCS],0)-1</f>
        <v>#VALUE!</v>
      </c>
      <c r="AB358" s="62" t="e">
        <f>MATCH(LOOKUP(Data_PLT[[#This Row],[UCS avg (MPa)]],Table_FieldStrength[Min UCS]),Table_FieldStrength[Min UCS],0)-1</f>
        <v>#VALUE!</v>
      </c>
      <c r="AC358" s="62" t="e">
        <f>MATCH(LOOKUP(Data_PLT[[#This Row],[UCS max (MPa)]],Table_FieldStrength[Min UCS]),Table_FieldStrength[Min UCS],0)-1</f>
        <v>#VALUE!</v>
      </c>
      <c r="AD358" s="68" t="e">
        <f>Data_PLT[[#This Row],[Test code]]&amp;"-"&amp;Data_PLT[[#This Row],[UCS min code]]</f>
        <v>#VALUE!</v>
      </c>
      <c r="AE358" s="68" t="e">
        <f>Data_PLT[[#This Row],[Test code]]&amp;"-"&amp;Data_PLT[[#This Row],[UCS avg code]]</f>
        <v>#VALUE!</v>
      </c>
      <c r="AF358" s="67" t="e">
        <f>Data_PLT[[#This Row],[Test code]]&amp;"-"&amp;Data_PLT[[#This Row],[UCS max code]]</f>
        <v>#VALUE!</v>
      </c>
      <c r="AG358" s="67" t="e">
        <f>Data_PLT[[#This Row],[Failure type]]&amp;"-"&amp;Data_PLT[[#This Row],[Test type]]&amp;"-"&amp;(IF(Data_PLT[[#This Row],[Is50 (MPa)]]&lt;1,1,IF(Data_PLT[[#This Row],[Is50 (MPa)]]&lt;2,2,IF(Data_PLT[[#This Row],[Is50 (MPa)]]&lt;4,3,IF(Data_PLT[[#This Row],[Is50 (MPa)]]&lt;8,4,5)))))</f>
        <v>#VALUE!</v>
      </c>
    </row>
    <row r="359" spans="2:33" x14ac:dyDescent="0.25">
      <c r="B359" s="88" t="e">
        <f>VLOOKUP(Data_PLT[[#This Row],[Hole ID]],Data_Log[],2,FALSE)</f>
        <v>#N/A</v>
      </c>
      <c r="C359" s="63" t="str">
        <f>IF(Data_PLT[[#This Row],[Hole ID]]="","",
IF(COUNTIF($A$4:A359,Data_PLT[[#This Row],[Hole ID]])=1,1,
IF(A359=A358,C358+1,
COUNTIF($A$4:A359,Data_PLT[[#This Row],[Hole ID]]))))</f>
        <v/>
      </c>
      <c r="D359" s="63" t="str">
        <f>IF(Data_PLT[[#This Row],[Hole ID]]="","",Data_PLT[[#This Row],[Hole ID]]&amp;"_"&amp;Data_PLT[[#This Row],[Sample ID]])</f>
        <v/>
      </c>
      <c r="E359" s="6"/>
      <c r="F359" s="6"/>
      <c r="G359" s="63" t="e" cm="1">
        <f t="array" ref="G359">_xlfn.XLOOKUP(1,(A359=Geotech!$A$4:$A$11100)*(Data_PLT[[#This Row],[Depth (m)]]&gt;=Geotech!$C$4:$C$11100)*(Data_PLT[[#This Row],[Depth (m)]]&lt;Geotech!$D$4:$D$11100),Geotech!$M$4:$M$11100)</f>
        <v>#N/A</v>
      </c>
      <c r="H359" s="6"/>
      <c r="I359" s="63" t="e">
        <f>VLOOKUP(Data_PLT[[#This Row],[Hole ID]],Data_Log[[Hole ID]:[Core size]],20,FALSE)</f>
        <v>#N/A</v>
      </c>
      <c r="J359" s="13" t="e">
        <f>VLOOKUP(Data_PLT[[#This Row],[Core Size]],Table_CoreSize[],2,FALSE)</f>
        <v>#N/A</v>
      </c>
      <c r="K359" s="19"/>
      <c r="L359" s="19"/>
      <c r="M359" s="5"/>
      <c r="N359" s="5"/>
      <c r="O359" s="6"/>
      <c r="P359" s="13" t="str">
        <f>IF(Data_PLT[[#This Row],[Failure type]]="","",IF(OR(Data_PLT[[#This Row],[Failure type]]="Invalid",Data_PLT[[#This Row],[Failure type]]="Chipped",Data_PLT[[#This Row],[Failure type]]="Penetrate",Data_PLT[[#This Row],[Failure type]]="Did not break"),"Invalid","Valid"))</f>
        <v/>
      </c>
      <c r="Q359" s="6"/>
      <c r="R359" s="11"/>
      <c r="S359" s="13" t="str">
        <f>IF(Data_PLT[[#This Row],[Test type]]="Diametral",Data_PLT[[#This Row],[Diameter (mm)]],IF(Data_PLT[[#This Row],[Test type]]="Axial",SQRT(4*Data_PLT[[#This Row],[Diameter (mm)]]*Data_PLT[[#This Row],[Length or width (mm)]]/PI()),"ERROR"))</f>
        <v>ERROR</v>
      </c>
      <c r="T359" s="13" t="e">
        <f>(Data_PLT[[#This Row],[Load (kN)]]*1000)/Data_PLT[[#This Row],[Equiv. Diam. (mm)]]^2</f>
        <v>#VALUE!</v>
      </c>
      <c r="U359" s="13" t="e">
        <f>(Data_PLT[[#This Row],[Equiv. Diam. (mm)]]/50)^0.45</f>
        <v>#VALUE!</v>
      </c>
      <c r="V359" s="13" t="e">
        <f>Data_PLT[[#This Row],[Is (MPa)]]*Data_PLT[[#This Row],[F]]</f>
        <v>#VALUE!</v>
      </c>
      <c r="W359" s="13" t="str">
        <f>Data_PLT[[#This Row],[Failure Validity]]&amp;"-"&amp;Data_PLT[[#This Row],[Test type]]</f>
        <v>-</v>
      </c>
      <c r="X359" s="13" t="e">
        <f>Data_PLT[[#This Row],[Is50 (MPa)]]*VLOOKUP("Min",Table_PLT_Conversion[],2,FALSE)</f>
        <v>#VALUE!</v>
      </c>
      <c r="Y359" s="13" t="e">
        <f>Data_PLT[[#This Row],[Is50 (MPa)]]*VLOOKUP("Avg",Table_PLT_Conversion[],2,FALSE)</f>
        <v>#VALUE!</v>
      </c>
      <c r="Z359" s="13" t="e">
        <f>Data_PLT[[#This Row],[Is50 (MPa)]]*VLOOKUP("Max",Table_PLT_Conversion[],2,FALSE)</f>
        <v>#VALUE!</v>
      </c>
      <c r="AA359" s="62" t="e">
        <f>MATCH(LOOKUP(Data_PLT[[#This Row],[UCS min (MPa)]],Table_FieldStrength[Min UCS]),Table_FieldStrength[Min UCS],0)-1</f>
        <v>#VALUE!</v>
      </c>
      <c r="AB359" s="62" t="e">
        <f>MATCH(LOOKUP(Data_PLT[[#This Row],[UCS avg (MPa)]],Table_FieldStrength[Min UCS]),Table_FieldStrength[Min UCS],0)-1</f>
        <v>#VALUE!</v>
      </c>
      <c r="AC359" s="62" t="e">
        <f>MATCH(LOOKUP(Data_PLT[[#This Row],[UCS max (MPa)]],Table_FieldStrength[Min UCS]),Table_FieldStrength[Min UCS],0)-1</f>
        <v>#VALUE!</v>
      </c>
      <c r="AD359" s="68" t="e">
        <f>Data_PLT[[#This Row],[Test code]]&amp;"-"&amp;Data_PLT[[#This Row],[UCS min code]]</f>
        <v>#VALUE!</v>
      </c>
      <c r="AE359" s="68" t="e">
        <f>Data_PLT[[#This Row],[Test code]]&amp;"-"&amp;Data_PLT[[#This Row],[UCS avg code]]</f>
        <v>#VALUE!</v>
      </c>
      <c r="AF359" s="67" t="e">
        <f>Data_PLT[[#This Row],[Test code]]&amp;"-"&amp;Data_PLT[[#This Row],[UCS max code]]</f>
        <v>#VALUE!</v>
      </c>
      <c r="AG359" s="67" t="e">
        <f>Data_PLT[[#This Row],[Failure type]]&amp;"-"&amp;Data_PLT[[#This Row],[Test type]]&amp;"-"&amp;(IF(Data_PLT[[#This Row],[Is50 (MPa)]]&lt;1,1,IF(Data_PLT[[#This Row],[Is50 (MPa)]]&lt;2,2,IF(Data_PLT[[#This Row],[Is50 (MPa)]]&lt;4,3,IF(Data_PLT[[#This Row],[Is50 (MPa)]]&lt;8,4,5)))))</f>
        <v>#VALUE!</v>
      </c>
    </row>
    <row r="360" spans="2:33" x14ac:dyDescent="0.25">
      <c r="B360" s="88" t="e">
        <f>VLOOKUP(Data_PLT[[#This Row],[Hole ID]],Data_Log[],2,FALSE)</f>
        <v>#N/A</v>
      </c>
      <c r="C360" s="63" t="str">
        <f>IF(Data_PLT[[#This Row],[Hole ID]]="","",
IF(COUNTIF($A$4:A360,Data_PLT[[#This Row],[Hole ID]])=1,1,
IF(A360=A359,C359+1,
COUNTIF($A$4:A360,Data_PLT[[#This Row],[Hole ID]]))))</f>
        <v/>
      </c>
      <c r="D360" s="63" t="str">
        <f>IF(Data_PLT[[#This Row],[Hole ID]]="","",Data_PLT[[#This Row],[Hole ID]]&amp;"_"&amp;Data_PLT[[#This Row],[Sample ID]])</f>
        <v/>
      </c>
      <c r="E360" s="6"/>
      <c r="F360" s="6"/>
      <c r="G360" s="63" t="e" cm="1">
        <f t="array" ref="G360">_xlfn.XLOOKUP(1,(A360=Geotech!$A$4:$A$11100)*(Data_PLT[[#This Row],[Depth (m)]]&gt;=Geotech!$C$4:$C$11100)*(Data_PLT[[#This Row],[Depth (m)]]&lt;Geotech!$D$4:$D$11100),Geotech!$M$4:$M$11100)</f>
        <v>#N/A</v>
      </c>
      <c r="H360" s="6"/>
      <c r="I360" s="63" t="e">
        <f>VLOOKUP(Data_PLT[[#This Row],[Hole ID]],Data_Log[[Hole ID]:[Core size]],20,FALSE)</f>
        <v>#N/A</v>
      </c>
      <c r="J360" s="13" t="e">
        <f>VLOOKUP(Data_PLT[[#This Row],[Core Size]],Table_CoreSize[],2,FALSE)</f>
        <v>#N/A</v>
      </c>
      <c r="K360" s="19"/>
      <c r="L360" s="19"/>
      <c r="M360" s="5"/>
      <c r="N360" s="5"/>
      <c r="O360" s="6"/>
      <c r="P360" s="13" t="str">
        <f>IF(Data_PLT[[#This Row],[Failure type]]="","",IF(OR(Data_PLT[[#This Row],[Failure type]]="Invalid",Data_PLT[[#This Row],[Failure type]]="Chipped",Data_PLT[[#This Row],[Failure type]]="Penetrate",Data_PLT[[#This Row],[Failure type]]="Did not break"),"Invalid","Valid"))</f>
        <v/>
      </c>
      <c r="Q360" s="6"/>
      <c r="R360" s="11"/>
      <c r="S360" s="13" t="str">
        <f>IF(Data_PLT[[#This Row],[Test type]]="Diametral",Data_PLT[[#This Row],[Diameter (mm)]],IF(Data_PLT[[#This Row],[Test type]]="Axial",SQRT(4*Data_PLT[[#This Row],[Diameter (mm)]]*Data_PLT[[#This Row],[Length or width (mm)]]/PI()),"ERROR"))</f>
        <v>ERROR</v>
      </c>
      <c r="T360" s="13" t="e">
        <f>(Data_PLT[[#This Row],[Load (kN)]]*1000)/Data_PLT[[#This Row],[Equiv. Diam. (mm)]]^2</f>
        <v>#VALUE!</v>
      </c>
      <c r="U360" s="13" t="e">
        <f>(Data_PLT[[#This Row],[Equiv. Diam. (mm)]]/50)^0.45</f>
        <v>#VALUE!</v>
      </c>
      <c r="V360" s="13" t="e">
        <f>Data_PLT[[#This Row],[Is (MPa)]]*Data_PLT[[#This Row],[F]]</f>
        <v>#VALUE!</v>
      </c>
      <c r="W360" s="13" t="str">
        <f>Data_PLT[[#This Row],[Failure Validity]]&amp;"-"&amp;Data_PLT[[#This Row],[Test type]]</f>
        <v>-</v>
      </c>
      <c r="X360" s="13" t="e">
        <f>Data_PLT[[#This Row],[Is50 (MPa)]]*VLOOKUP("Min",Table_PLT_Conversion[],2,FALSE)</f>
        <v>#VALUE!</v>
      </c>
      <c r="Y360" s="13" t="e">
        <f>Data_PLT[[#This Row],[Is50 (MPa)]]*VLOOKUP("Avg",Table_PLT_Conversion[],2,FALSE)</f>
        <v>#VALUE!</v>
      </c>
      <c r="Z360" s="13" t="e">
        <f>Data_PLT[[#This Row],[Is50 (MPa)]]*VLOOKUP("Max",Table_PLT_Conversion[],2,FALSE)</f>
        <v>#VALUE!</v>
      </c>
      <c r="AA360" s="62" t="e">
        <f>MATCH(LOOKUP(Data_PLT[[#This Row],[UCS min (MPa)]],Table_FieldStrength[Min UCS]),Table_FieldStrength[Min UCS],0)-1</f>
        <v>#VALUE!</v>
      </c>
      <c r="AB360" s="62" t="e">
        <f>MATCH(LOOKUP(Data_PLT[[#This Row],[UCS avg (MPa)]],Table_FieldStrength[Min UCS]),Table_FieldStrength[Min UCS],0)-1</f>
        <v>#VALUE!</v>
      </c>
      <c r="AC360" s="62" t="e">
        <f>MATCH(LOOKUP(Data_PLT[[#This Row],[UCS max (MPa)]],Table_FieldStrength[Min UCS]),Table_FieldStrength[Min UCS],0)-1</f>
        <v>#VALUE!</v>
      </c>
      <c r="AD360" s="68" t="e">
        <f>Data_PLT[[#This Row],[Test code]]&amp;"-"&amp;Data_PLT[[#This Row],[UCS min code]]</f>
        <v>#VALUE!</v>
      </c>
      <c r="AE360" s="68" t="e">
        <f>Data_PLT[[#This Row],[Test code]]&amp;"-"&amp;Data_PLT[[#This Row],[UCS avg code]]</f>
        <v>#VALUE!</v>
      </c>
      <c r="AF360" s="67" t="e">
        <f>Data_PLT[[#This Row],[Test code]]&amp;"-"&amp;Data_PLT[[#This Row],[UCS max code]]</f>
        <v>#VALUE!</v>
      </c>
      <c r="AG360" s="67" t="e">
        <f>Data_PLT[[#This Row],[Failure type]]&amp;"-"&amp;Data_PLT[[#This Row],[Test type]]&amp;"-"&amp;(IF(Data_PLT[[#This Row],[Is50 (MPa)]]&lt;1,1,IF(Data_PLT[[#This Row],[Is50 (MPa)]]&lt;2,2,IF(Data_PLT[[#This Row],[Is50 (MPa)]]&lt;4,3,IF(Data_PLT[[#This Row],[Is50 (MPa)]]&lt;8,4,5)))))</f>
        <v>#VALUE!</v>
      </c>
    </row>
    <row r="361" spans="2:33" x14ac:dyDescent="0.25">
      <c r="B361" s="88" t="e">
        <f>VLOOKUP(Data_PLT[[#This Row],[Hole ID]],Data_Log[],2,FALSE)</f>
        <v>#N/A</v>
      </c>
      <c r="C361" s="63" t="str">
        <f>IF(Data_PLT[[#This Row],[Hole ID]]="","",
IF(COUNTIF($A$4:A361,Data_PLT[[#This Row],[Hole ID]])=1,1,
IF(A361=A360,C360+1,
COUNTIF($A$4:A361,Data_PLT[[#This Row],[Hole ID]]))))</f>
        <v/>
      </c>
      <c r="D361" s="63" t="str">
        <f>IF(Data_PLT[[#This Row],[Hole ID]]="","",Data_PLT[[#This Row],[Hole ID]]&amp;"_"&amp;Data_PLT[[#This Row],[Sample ID]])</f>
        <v/>
      </c>
      <c r="E361" s="6"/>
      <c r="F361" s="6"/>
      <c r="G361" s="63" t="e" cm="1">
        <f t="array" ref="G361">_xlfn.XLOOKUP(1,(A361=Geotech!$A$4:$A$11100)*(Data_PLT[[#This Row],[Depth (m)]]&gt;=Geotech!$C$4:$C$11100)*(Data_PLT[[#This Row],[Depth (m)]]&lt;Geotech!$D$4:$D$11100),Geotech!$M$4:$M$11100)</f>
        <v>#N/A</v>
      </c>
      <c r="H361" s="6"/>
      <c r="I361" s="63" t="e">
        <f>VLOOKUP(Data_PLT[[#This Row],[Hole ID]],Data_Log[[Hole ID]:[Core size]],20,FALSE)</f>
        <v>#N/A</v>
      </c>
      <c r="J361" s="13" t="e">
        <f>VLOOKUP(Data_PLT[[#This Row],[Core Size]],Table_CoreSize[],2,FALSE)</f>
        <v>#N/A</v>
      </c>
      <c r="K361" s="19"/>
      <c r="L361" s="19"/>
      <c r="M361" s="5"/>
      <c r="N361" s="5"/>
      <c r="O361" s="6"/>
      <c r="P361" s="13" t="str">
        <f>IF(Data_PLT[[#This Row],[Failure type]]="","",IF(OR(Data_PLT[[#This Row],[Failure type]]="Invalid",Data_PLT[[#This Row],[Failure type]]="Chipped",Data_PLT[[#This Row],[Failure type]]="Penetrate",Data_PLT[[#This Row],[Failure type]]="Did not break"),"Invalid","Valid"))</f>
        <v/>
      </c>
      <c r="Q361" s="6"/>
      <c r="R361" s="11"/>
      <c r="S361" s="13" t="str">
        <f>IF(Data_PLT[[#This Row],[Test type]]="Diametral",Data_PLT[[#This Row],[Diameter (mm)]],IF(Data_PLT[[#This Row],[Test type]]="Axial",SQRT(4*Data_PLT[[#This Row],[Diameter (mm)]]*Data_PLT[[#This Row],[Length or width (mm)]]/PI()),"ERROR"))</f>
        <v>ERROR</v>
      </c>
      <c r="T361" s="13" t="e">
        <f>(Data_PLT[[#This Row],[Load (kN)]]*1000)/Data_PLT[[#This Row],[Equiv. Diam. (mm)]]^2</f>
        <v>#VALUE!</v>
      </c>
      <c r="U361" s="13" t="e">
        <f>(Data_PLT[[#This Row],[Equiv. Diam. (mm)]]/50)^0.45</f>
        <v>#VALUE!</v>
      </c>
      <c r="V361" s="13" t="e">
        <f>Data_PLT[[#This Row],[Is (MPa)]]*Data_PLT[[#This Row],[F]]</f>
        <v>#VALUE!</v>
      </c>
      <c r="W361" s="13" t="str">
        <f>Data_PLT[[#This Row],[Failure Validity]]&amp;"-"&amp;Data_PLT[[#This Row],[Test type]]</f>
        <v>-</v>
      </c>
      <c r="X361" s="13" t="e">
        <f>Data_PLT[[#This Row],[Is50 (MPa)]]*VLOOKUP("Min",Table_PLT_Conversion[],2,FALSE)</f>
        <v>#VALUE!</v>
      </c>
      <c r="Y361" s="13" t="e">
        <f>Data_PLT[[#This Row],[Is50 (MPa)]]*VLOOKUP("Avg",Table_PLT_Conversion[],2,FALSE)</f>
        <v>#VALUE!</v>
      </c>
      <c r="Z361" s="13" t="e">
        <f>Data_PLT[[#This Row],[Is50 (MPa)]]*VLOOKUP("Max",Table_PLT_Conversion[],2,FALSE)</f>
        <v>#VALUE!</v>
      </c>
      <c r="AA361" s="62" t="e">
        <f>MATCH(LOOKUP(Data_PLT[[#This Row],[UCS min (MPa)]],Table_FieldStrength[Min UCS]),Table_FieldStrength[Min UCS],0)-1</f>
        <v>#VALUE!</v>
      </c>
      <c r="AB361" s="62" t="e">
        <f>MATCH(LOOKUP(Data_PLT[[#This Row],[UCS avg (MPa)]],Table_FieldStrength[Min UCS]),Table_FieldStrength[Min UCS],0)-1</f>
        <v>#VALUE!</v>
      </c>
      <c r="AC361" s="62" t="e">
        <f>MATCH(LOOKUP(Data_PLT[[#This Row],[UCS max (MPa)]],Table_FieldStrength[Min UCS]),Table_FieldStrength[Min UCS],0)-1</f>
        <v>#VALUE!</v>
      </c>
      <c r="AD361" s="68" t="e">
        <f>Data_PLT[[#This Row],[Test code]]&amp;"-"&amp;Data_PLT[[#This Row],[UCS min code]]</f>
        <v>#VALUE!</v>
      </c>
      <c r="AE361" s="68" t="e">
        <f>Data_PLT[[#This Row],[Test code]]&amp;"-"&amp;Data_PLT[[#This Row],[UCS avg code]]</f>
        <v>#VALUE!</v>
      </c>
      <c r="AF361" s="67" t="e">
        <f>Data_PLT[[#This Row],[Test code]]&amp;"-"&amp;Data_PLT[[#This Row],[UCS max code]]</f>
        <v>#VALUE!</v>
      </c>
      <c r="AG361" s="67" t="e">
        <f>Data_PLT[[#This Row],[Failure type]]&amp;"-"&amp;Data_PLT[[#This Row],[Test type]]&amp;"-"&amp;(IF(Data_PLT[[#This Row],[Is50 (MPa)]]&lt;1,1,IF(Data_PLT[[#This Row],[Is50 (MPa)]]&lt;2,2,IF(Data_PLT[[#This Row],[Is50 (MPa)]]&lt;4,3,IF(Data_PLT[[#This Row],[Is50 (MPa)]]&lt;8,4,5)))))</f>
        <v>#VALUE!</v>
      </c>
    </row>
    <row r="362" spans="2:33" x14ac:dyDescent="0.25">
      <c r="B362" s="88" t="e">
        <f>VLOOKUP(Data_PLT[[#This Row],[Hole ID]],Data_Log[],2,FALSE)</f>
        <v>#N/A</v>
      </c>
      <c r="C362" s="63" t="str">
        <f>IF(Data_PLT[[#This Row],[Hole ID]]="","",
IF(COUNTIF($A$4:A362,Data_PLT[[#This Row],[Hole ID]])=1,1,
IF(A362=A361,C361+1,
COUNTIF($A$4:A362,Data_PLT[[#This Row],[Hole ID]]))))</f>
        <v/>
      </c>
      <c r="D362" s="63" t="str">
        <f>IF(Data_PLT[[#This Row],[Hole ID]]="","",Data_PLT[[#This Row],[Hole ID]]&amp;"_"&amp;Data_PLT[[#This Row],[Sample ID]])</f>
        <v/>
      </c>
      <c r="E362" s="6"/>
      <c r="F362" s="6"/>
      <c r="G362" s="63" t="e" cm="1">
        <f t="array" ref="G362">_xlfn.XLOOKUP(1,(A362=Geotech!$A$4:$A$11100)*(Data_PLT[[#This Row],[Depth (m)]]&gt;=Geotech!$C$4:$C$11100)*(Data_PLT[[#This Row],[Depth (m)]]&lt;Geotech!$D$4:$D$11100),Geotech!$M$4:$M$11100)</f>
        <v>#N/A</v>
      </c>
      <c r="H362" s="6"/>
      <c r="I362" s="63" t="e">
        <f>VLOOKUP(Data_PLT[[#This Row],[Hole ID]],Data_Log[[Hole ID]:[Core size]],20,FALSE)</f>
        <v>#N/A</v>
      </c>
      <c r="J362" s="13" t="e">
        <f>VLOOKUP(Data_PLT[[#This Row],[Core Size]],Table_CoreSize[],2,FALSE)</f>
        <v>#N/A</v>
      </c>
      <c r="K362" s="19"/>
      <c r="L362" s="19"/>
      <c r="M362" s="5"/>
      <c r="N362" s="5"/>
      <c r="O362" s="6"/>
      <c r="P362" s="13" t="str">
        <f>IF(Data_PLT[[#This Row],[Failure type]]="","",IF(OR(Data_PLT[[#This Row],[Failure type]]="Invalid",Data_PLT[[#This Row],[Failure type]]="Chipped",Data_PLT[[#This Row],[Failure type]]="Penetrate",Data_PLT[[#This Row],[Failure type]]="Did not break"),"Invalid","Valid"))</f>
        <v/>
      </c>
      <c r="Q362" s="6"/>
      <c r="R362" s="11"/>
      <c r="S362" s="13" t="str">
        <f>IF(Data_PLT[[#This Row],[Test type]]="Diametral",Data_PLT[[#This Row],[Diameter (mm)]],IF(Data_PLT[[#This Row],[Test type]]="Axial",SQRT(4*Data_PLT[[#This Row],[Diameter (mm)]]*Data_PLT[[#This Row],[Length or width (mm)]]/PI()),"ERROR"))</f>
        <v>ERROR</v>
      </c>
      <c r="T362" s="13" t="e">
        <f>(Data_PLT[[#This Row],[Load (kN)]]*1000)/Data_PLT[[#This Row],[Equiv. Diam. (mm)]]^2</f>
        <v>#VALUE!</v>
      </c>
      <c r="U362" s="13" t="e">
        <f>(Data_PLT[[#This Row],[Equiv. Diam. (mm)]]/50)^0.45</f>
        <v>#VALUE!</v>
      </c>
      <c r="V362" s="13" t="e">
        <f>Data_PLT[[#This Row],[Is (MPa)]]*Data_PLT[[#This Row],[F]]</f>
        <v>#VALUE!</v>
      </c>
      <c r="W362" s="13" t="str">
        <f>Data_PLT[[#This Row],[Failure Validity]]&amp;"-"&amp;Data_PLT[[#This Row],[Test type]]</f>
        <v>-</v>
      </c>
      <c r="X362" s="13" t="e">
        <f>Data_PLT[[#This Row],[Is50 (MPa)]]*VLOOKUP("Min",Table_PLT_Conversion[],2,FALSE)</f>
        <v>#VALUE!</v>
      </c>
      <c r="Y362" s="13" t="e">
        <f>Data_PLT[[#This Row],[Is50 (MPa)]]*VLOOKUP("Avg",Table_PLT_Conversion[],2,FALSE)</f>
        <v>#VALUE!</v>
      </c>
      <c r="Z362" s="13" t="e">
        <f>Data_PLT[[#This Row],[Is50 (MPa)]]*VLOOKUP("Max",Table_PLT_Conversion[],2,FALSE)</f>
        <v>#VALUE!</v>
      </c>
      <c r="AA362" s="62" t="e">
        <f>MATCH(LOOKUP(Data_PLT[[#This Row],[UCS min (MPa)]],Table_FieldStrength[Min UCS]),Table_FieldStrength[Min UCS],0)-1</f>
        <v>#VALUE!</v>
      </c>
      <c r="AB362" s="62" t="e">
        <f>MATCH(LOOKUP(Data_PLT[[#This Row],[UCS avg (MPa)]],Table_FieldStrength[Min UCS]),Table_FieldStrength[Min UCS],0)-1</f>
        <v>#VALUE!</v>
      </c>
      <c r="AC362" s="62" t="e">
        <f>MATCH(LOOKUP(Data_PLT[[#This Row],[UCS max (MPa)]],Table_FieldStrength[Min UCS]),Table_FieldStrength[Min UCS],0)-1</f>
        <v>#VALUE!</v>
      </c>
      <c r="AD362" s="68" t="e">
        <f>Data_PLT[[#This Row],[Test code]]&amp;"-"&amp;Data_PLT[[#This Row],[UCS min code]]</f>
        <v>#VALUE!</v>
      </c>
      <c r="AE362" s="68" t="e">
        <f>Data_PLT[[#This Row],[Test code]]&amp;"-"&amp;Data_PLT[[#This Row],[UCS avg code]]</f>
        <v>#VALUE!</v>
      </c>
      <c r="AF362" s="67" t="e">
        <f>Data_PLT[[#This Row],[Test code]]&amp;"-"&amp;Data_PLT[[#This Row],[UCS max code]]</f>
        <v>#VALUE!</v>
      </c>
      <c r="AG362" s="67" t="e">
        <f>Data_PLT[[#This Row],[Failure type]]&amp;"-"&amp;Data_PLT[[#This Row],[Test type]]&amp;"-"&amp;(IF(Data_PLT[[#This Row],[Is50 (MPa)]]&lt;1,1,IF(Data_PLT[[#This Row],[Is50 (MPa)]]&lt;2,2,IF(Data_PLT[[#This Row],[Is50 (MPa)]]&lt;4,3,IF(Data_PLT[[#This Row],[Is50 (MPa)]]&lt;8,4,5)))))</f>
        <v>#VALUE!</v>
      </c>
    </row>
    <row r="363" spans="2:33" x14ac:dyDescent="0.25">
      <c r="B363" s="88" t="e">
        <f>VLOOKUP(Data_PLT[[#This Row],[Hole ID]],Data_Log[],2,FALSE)</f>
        <v>#N/A</v>
      </c>
      <c r="C363" s="63" t="str">
        <f>IF(Data_PLT[[#This Row],[Hole ID]]="","",
IF(COUNTIF($A$4:A363,Data_PLT[[#This Row],[Hole ID]])=1,1,
IF(A363=A362,C362+1,
COUNTIF($A$4:A363,Data_PLT[[#This Row],[Hole ID]]))))</f>
        <v/>
      </c>
      <c r="D363" s="63" t="str">
        <f>IF(Data_PLT[[#This Row],[Hole ID]]="","",Data_PLT[[#This Row],[Hole ID]]&amp;"_"&amp;Data_PLT[[#This Row],[Sample ID]])</f>
        <v/>
      </c>
      <c r="E363" s="6"/>
      <c r="F363" s="6"/>
      <c r="G363" s="63" t="e" cm="1">
        <f t="array" ref="G363">_xlfn.XLOOKUP(1,(A363=Geotech!$A$4:$A$11100)*(Data_PLT[[#This Row],[Depth (m)]]&gt;=Geotech!$C$4:$C$11100)*(Data_PLT[[#This Row],[Depth (m)]]&lt;Geotech!$D$4:$D$11100),Geotech!$M$4:$M$11100)</f>
        <v>#N/A</v>
      </c>
      <c r="H363" s="6"/>
      <c r="I363" s="63" t="e">
        <f>VLOOKUP(Data_PLT[[#This Row],[Hole ID]],Data_Log[[Hole ID]:[Core size]],20,FALSE)</f>
        <v>#N/A</v>
      </c>
      <c r="J363" s="13" t="e">
        <f>VLOOKUP(Data_PLT[[#This Row],[Core Size]],Table_CoreSize[],2,FALSE)</f>
        <v>#N/A</v>
      </c>
      <c r="K363" s="19"/>
      <c r="L363" s="19"/>
      <c r="M363" s="5"/>
      <c r="N363" s="5"/>
      <c r="O363" s="6"/>
      <c r="P363" s="13" t="str">
        <f>IF(Data_PLT[[#This Row],[Failure type]]="","",IF(OR(Data_PLT[[#This Row],[Failure type]]="Invalid",Data_PLT[[#This Row],[Failure type]]="Chipped",Data_PLT[[#This Row],[Failure type]]="Penetrate",Data_PLT[[#This Row],[Failure type]]="Did not break"),"Invalid","Valid"))</f>
        <v/>
      </c>
      <c r="Q363" s="6"/>
      <c r="R363" s="11"/>
      <c r="S363" s="13" t="str">
        <f>IF(Data_PLT[[#This Row],[Test type]]="Diametral",Data_PLT[[#This Row],[Diameter (mm)]],IF(Data_PLT[[#This Row],[Test type]]="Axial",SQRT(4*Data_PLT[[#This Row],[Diameter (mm)]]*Data_PLT[[#This Row],[Length or width (mm)]]/PI()),"ERROR"))</f>
        <v>ERROR</v>
      </c>
      <c r="T363" s="13" t="e">
        <f>(Data_PLT[[#This Row],[Load (kN)]]*1000)/Data_PLT[[#This Row],[Equiv. Diam. (mm)]]^2</f>
        <v>#VALUE!</v>
      </c>
      <c r="U363" s="13" t="e">
        <f>(Data_PLT[[#This Row],[Equiv. Diam. (mm)]]/50)^0.45</f>
        <v>#VALUE!</v>
      </c>
      <c r="V363" s="13" t="e">
        <f>Data_PLT[[#This Row],[Is (MPa)]]*Data_PLT[[#This Row],[F]]</f>
        <v>#VALUE!</v>
      </c>
      <c r="W363" s="13" t="str">
        <f>Data_PLT[[#This Row],[Failure Validity]]&amp;"-"&amp;Data_PLT[[#This Row],[Test type]]</f>
        <v>-</v>
      </c>
      <c r="X363" s="13" t="e">
        <f>Data_PLT[[#This Row],[Is50 (MPa)]]*VLOOKUP("Min",Table_PLT_Conversion[],2,FALSE)</f>
        <v>#VALUE!</v>
      </c>
      <c r="Y363" s="13" t="e">
        <f>Data_PLT[[#This Row],[Is50 (MPa)]]*VLOOKUP("Avg",Table_PLT_Conversion[],2,FALSE)</f>
        <v>#VALUE!</v>
      </c>
      <c r="Z363" s="13" t="e">
        <f>Data_PLT[[#This Row],[Is50 (MPa)]]*VLOOKUP("Max",Table_PLT_Conversion[],2,FALSE)</f>
        <v>#VALUE!</v>
      </c>
      <c r="AA363" s="62" t="e">
        <f>MATCH(LOOKUP(Data_PLT[[#This Row],[UCS min (MPa)]],Table_FieldStrength[Min UCS]),Table_FieldStrength[Min UCS],0)-1</f>
        <v>#VALUE!</v>
      </c>
      <c r="AB363" s="62" t="e">
        <f>MATCH(LOOKUP(Data_PLT[[#This Row],[UCS avg (MPa)]],Table_FieldStrength[Min UCS]),Table_FieldStrength[Min UCS],0)-1</f>
        <v>#VALUE!</v>
      </c>
      <c r="AC363" s="62" t="e">
        <f>MATCH(LOOKUP(Data_PLT[[#This Row],[UCS max (MPa)]],Table_FieldStrength[Min UCS]),Table_FieldStrength[Min UCS],0)-1</f>
        <v>#VALUE!</v>
      </c>
      <c r="AD363" s="68" t="e">
        <f>Data_PLT[[#This Row],[Test code]]&amp;"-"&amp;Data_PLT[[#This Row],[UCS min code]]</f>
        <v>#VALUE!</v>
      </c>
      <c r="AE363" s="68" t="e">
        <f>Data_PLT[[#This Row],[Test code]]&amp;"-"&amp;Data_PLT[[#This Row],[UCS avg code]]</f>
        <v>#VALUE!</v>
      </c>
      <c r="AF363" s="67" t="e">
        <f>Data_PLT[[#This Row],[Test code]]&amp;"-"&amp;Data_PLT[[#This Row],[UCS max code]]</f>
        <v>#VALUE!</v>
      </c>
      <c r="AG363" s="67" t="e">
        <f>Data_PLT[[#This Row],[Failure type]]&amp;"-"&amp;Data_PLT[[#This Row],[Test type]]&amp;"-"&amp;(IF(Data_PLT[[#This Row],[Is50 (MPa)]]&lt;1,1,IF(Data_PLT[[#This Row],[Is50 (MPa)]]&lt;2,2,IF(Data_PLT[[#This Row],[Is50 (MPa)]]&lt;4,3,IF(Data_PLT[[#This Row],[Is50 (MPa)]]&lt;8,4,5)))))</f>
        <v>#VALUE!</v>
      </c>
    </row>
    <row r="364" spans="2:33" x14ac:dyDescent="0.25">
      <c r="B364" s="88" t="e">
        <f>VLOOKUP(Data_PLT[[#This Row],[Hole ID]],Data_Log[],2,FALSE)</f>
        <v>#N/A</v>
      </c>
      <c r="C364" s="63" t="str">
        <f>IF(Data_PLT[[#This Row],[Hole ID]]="","",
IF(COUNTIF($A$4:A364,Data_PLT[[#This Row],[Hole ID]])=1,1,
IF(A364=A363,C363+1,
COUNTIF($A$4:A364,Data_PLT[[#This Row],[Hole ID]]))))</f>
        <v/>
      </c>
      <c r="D364" s="63" t="str">
        <f>IF(Data_PLT[[#This Row],[Hole ID]]="","",Data_PLT[[#This Row],[Hole ID]]&amp;"_"&amp;Data_PLT[[#This Row],[Sample ID]])</f>
        <v/>
      </c>
      <c r="E364" s="6"/>
      <c r="F364" s="6"/>
      <c r="G364" s="63" t="e" cm="1">
        <f t="array" ref="G364">_xlfn.XLOOKUP(1,(A364=Geotech!$A$4:$A$11100)*(Data_PLT[[#This Row],[Depth (m)]]&gt;=Geotech!$C$4:$C$11100)*(Data_PLT[[#This Row],[Depth (m)]]&lt;Geotech!$D$4:$D$11100),Geotech!$M$4:$M$11100)</f>
        <v>#N/A</v>
      </c>
      <c r="H364" s="6"/>
      <c r="I364" s="63" t="e">
        <f>VLOOKUP(Data_PLT[[#This Row],[Hole ID]],Data_Log[[Hole ID]:[Core size]],20,FALSE)</f>
        <v>#N/A</v>
      </c>
      <c r="J364" s="13" t="e">
        <f>VLOOKUP(Data_PLT[[#This Row],[Core Size]],Table_CoreSize[],2,FALSE)</f>
        <v>#N/A</v>
      </c>
      <c r="K364" s="19"/>
      <c r="L364" s="19"/>
      <c r="M364" s="5"/>
      <c r="N364" s="5"/>
      <c r="O364" s="6"/>
      <c r="P364" s="13" t="str">
        <f>IF(Data_PLT[[#This Row],[Failure type]]="","",IF(OR(Data_PLT[[#This Row],[Failure type]]="Invalid",Data_PLT[[#This Row],[Failure type]]="Chipped",Data_PLT[[#This Row],[Failure type]]="Penetrate",Data_PLT[[#This Row],[Failure type]]="Did not break"),"Invalid","Valid"))</f>
        <v/>
      </c>
      <c r="Q364" s="6"/>
      <c r="R364" s="11"/>
      <c r="S364" s="13" t="str">
        <f>IF(Data_PLT[[#This Row],[Test type]]="Diametral",Data_PLT[[#This Row],[Diameter (mm)]],IF(Data_PLT[[#This Row],[Test type]]="Axial",SQRT(4*Data_PLT[[#This Row],[Diameter (mm)]]*Data_PLT[[#This Row],[Length or width (mm)]]/PI()),"ERROR"))</f>
        <v>ERROR</v>
      </c>
      <c r="T364" s="13" t="e">
        <f>(Data_PLT[[#This Row],[Load (kN)]]*1000)/Data_PLT[[#This Row],[Equiv. Diam. (mm)]]^2</f>
        <v>#VALUE!</v>
      </c>
      <c r="U364" s="13" t="e">
        <f>(Data_PLT[[#This Row],[Equiv. Diam. (mm)]]/50)^0.45</f>
        <v>#VALUE!</v>
      </c>
      <c r="V364" s="13" t="e">
        <f>Data_PLT[[#This Row],[Is (MPa)]]*Data_PLT[[#This Row],[F]]</f>
        <v>#VALUE!</v>
      </c>
      <c r="W364" s="13" t="str">
        <f>Data_PLT[[#This Row],[Failure Validity]]&amp;"-"&amp;Data_PLT[[#This Row],[Test type]]</f>
        <v>-</v>
      </c>
      <c r="X364" s="13" t="e">
        <f>Data_PLT[[#This Row],[Is50 (MPa)]]*VLOOKUP("Min",Table_PLT_Conversion[],2,FALSE)</f>
        <v>#VALUE!</v>
      </c>
      <c r="Y364" s="13" t="e">
        <f>Data_PLT[[#This Row],[Is50 (MPa)]]*VLOOKUP("Avg",Table_PLT_Conversion[],2,FALSE)</f>
        <v>#VALUE!</v>
      </c>
      <c r="Z364" s="13" t="e">
        <f>Data_PLT[[#This Row],[Is50 (MPa)]]*VLOOKUP("Max",Table_PLT_Conversion[],2,FALSE)</f>
        <v>#VALUE!</v>
      </c>
      <c r="AA364" s="62" t="e">
        <f>MATCH(LOOKUP(Data_PLT[[#This Row],[UCS min (MPa)]],Table_FieldStrength[Min UCS]),Table_FieldStrength[Min UCS],0)-1</f>
        <v>#VALUE!</v>
      </c>
      <c r="AB364" s="62" t="e">
        <f>MATCH(LOOKUP(Data_PLT[[#This Row],[UCS avg (MPa)]],Table_FieldStrength[Min UCS]),Table_FieldStrength[Min UCS],0)-1</f>
        <v>#VALUE!</v>
      </c>
      <c r="AC364" s="62" t="e">
        <f>MATCH(LOOKUP(Data_PLT[[#This Row],[UCS max (MPa)]],Table_FieldStrength[Min UCS]),Table_FieldStrength[Min UCS],0)-1</f>
        <v>#VALUE!</v>
      </c>
      <c r="AD364" s="68" t="e">
        <f>Data_PLT[[#This Row],[Test code]]&amp;"-"&amp;Data_PLT[[#This Row],[UCS min code]]</f>
        <v>#VALUE!</v>
      </c>
      <c r="AE364" s="68" t="e">
        <f>Data_PLT[[#This Row],[Test code]]&amp;"-"&amp;Data_PLT[[#This Row],[UCS avg code]]</f>
        <v>#VALUE!</v>
      </c>
      <c r="AF364" s="67" t="e">
        <f>Data_PLT[[#This Row],[Test code]]&amp;"-"&amp;Data_PLT[[#This Row],[UCS max code]]</f>
        <v>#VALUE!</v>
      </c>
      <c r="AG364" s="67" t="e">
        <f>Data_PLT[[#This Row],[Failure type]]&amp;"-"&amp;Data_PLT[[#This Row],[Test type]]&amp;"-"&amp;(IF(Data_PLT[[#This Row],[Is50 (MPa)]]&lt;1,1,IF(Data_PLT[[#This Row],[Is50 (MPa)]]&lt;2,2,IF(Data_PLT[[#This Row],[Is50 (MPa)]]&lt;4,3,IF(Data_PLT[[#This Row],[Is50 (MPa)]]&lt;8,4,5)))))</f>
        <v>#VALUE!</v>
      </c>
    </row>
    <row r="365" spans="2:33" x14ac:dyDescent="0.25">
      <c r="B365" s="88" t="e">
        <f>VLOOKUP(Data_PLT[[#This Row],[Hole ID]],Data_Log[],2,FALSE)</f>
        <v>#N/A</v>
      </c>
      <c r="C365" s="63" t="str">
        <f>IF(Data_PLT[[#This Row],[Hole ID]]="","",
IF(COUNTIF($A$4:A365,Data_PLT[[#This Row],[Hole ID]])=1,1,
IF(A365=A364,C364+1,
COUNTIF($A$4:A365,Data_PLT[[#This Row],[Hole ID]]))))</f>
        <v/>
      </c>
      <c r="D365" s="63" t="str">
        <f>IF(Data_PLT[[#This Row],[Hole ID]]="","",Data_PLT[[#This Row],[Hole ID]]&amp;"_"&amp;Data_PLT[[#This Row],[Sample ID]])</f>
        <v/>
      </c>
      <c r="E365" s="6"/>
      <c r="F365" s="6"/>
      <c r="G365" s="63" t="e" cm="1">
        <f t="array" ref="G365">_xlfn.XLOOKUP(1,(A365=Geotech!$A$4:$A$11100)*(Data_PLT[[#This Row],[Depth (m)]]&gt;=Geotech!$C$4:$C$11100)*(Data_PLT[[#This Row],[Depth (m)]]&lt;Geotech!$D$4:$D$11100),Geotech!$M$4:$M$11100)</f>
        <v>#N/A</v>
      </c>
      <c r="H365" s="6"/>
      <c r="I365" s="63" t="e">
        <f>VLOOKUP(Data_PLT[[#This Row],[Hole ID]],Data_Log[[Hole ID]:[Core size]],20,FALSE)</f>
        <v>#N/A</v>
      </c>
      <c r="J365" s="13" t="e">
        <f>VLOOKUP(Data_PLT[[#This Row],[Core Size]],Table_CoreSize[],2,FALSE)</f>
        <v>#N/A</v>
      </c>
      <c r="K365" s="19"/>
      <c r="L365" s="19"/>
      <c r="M365" s="5"/>
      <c r="N365" s="5"/>
      <c r="O365" s="6"/>
      <c r="P365" s="13" t="str">
        <f>IF(Data_PLT[[#This Row],[Failure type]]="","",IF(OR(Data_PLT[[#This Row],[Failure type]]="Invalid",Data_PLT[[#This Row],[Failure type]]="Chipped",Data_PLT[[#This Row],[Failure type]]="Penetrate",Data_PLT[[#This Row],[Failure type]]="Did not break"),"Invalid","Valid"))</f>
        <v/>
      </c>
      <c r="Q365" s="6"/>
      <c r="R365" s="11"/>
      <c r="S365" s="13" t="str">
        <f>IF(Data_PLT[[#This Row],[Test type]]="Diametral",Data_PLT[[#This Row],[Diameter (mm)]],IF(Data_PLT[[#This Row],[Test type]]="Axial",SQRT(4*Data_PLT[[#This Row],[Diameter (mm)]]*Data_PLT[[#This Row],[Length or width (mm)]]/PI()),"ERROR"))</f>
        <v>ERROR</v>
      </c>
      <c r="T365" s="13" t="e">
        <f>(Data_PLT[[#This Row],[Load (kN)]]*1000)/Data_PLT[[#This Row],[Equiv. Diam. (mm)]]^2</f>
        <v>#VALUE!</v>
      </c>
      <c r="U365" s="13" t="e">
        <f>(Data_PLT[[#This Row],[Equiv. Diam. (mm)]]/50)^0.45</f>
        <v>#VALUE!</v>
      </c>
      <c r="V365" s="13" t="e">
        <f>Data_PLT[[#This Row],[Is (MPa)]]*Data_PLT[[#This Row],[F]]</f>
        <v>#VALUE!</v>
      </c>
      <c r="W365" s="13" t="str">
        <f>Data_PLT[[#This Row],[Failure Validity]]&amp;"-"&amp;Data_PLT[[#This Row],[Test type]]</f>
        <v>-</v>
      </c>
      <c r="X365" s="13" t="e">
        <f>Data_PLT[[#This Row],[Is50 (MPa)]]*VLOOKUP("Min",Table_PLT_Conversion[],2,FALSE)</f>
        <v>#VALUE!</v>
      </c>
      <c r="Y365" s="13" t="e">
        <f>Data_PLT[[#This Row],[Is50 (MPa)]]*VLOOKUP("Avg",Table_PLT_Conversion[],2,FALSE)</f>
        <v>#VALUE!</v>
      </c>
      <c r="Z365" s="13" t="e">
        <f>Data_PLT[[#This Row],[Is50 (MPa)]]*VLOOKUP("Max",Table_PLT_Conversion[],2,FALSE)</f>
        <v>#VALUE!</v>
      </c>
      <c r="AA365" s="62" t="e">
        <f>MATCH(LOOKUP(Data_PLT[[#This Row],[UCS min (MPa)]],Table_FieldStrength[Min UCS]),Table_FieldStrength[Min UCS],0)-1</f>
        <v>#VALUE!</v>
      </c>
      <c r="AB365" s="62" t="e">
        <f>MATCH(LOOKUP(Data_PLT[[#This Row],[UCS avg (MPa)]],Table_FieldStrength[Min UCS]),Table_FieldStrength[Min UCS],0)-1</f>
        <v>#VALUE!</v>
      </c>
      <c r="AC365" s="62" t="e">
        <f>MATCH(LOOKUP(Data_PLT[[#This Row],[UCS max (MPa)]],Table_FieldStrength[Min UCS]),Table_FieldStrength[Min UCS],0)-1</f>
        <v>#VALUE!</v>
      </c>
      <c r="AD365" s="68" t="e">
        <f>Data_PLT[[#This Row],[Test code]]&amp;"-"&amp;Data_PLT[[#This Row],[UCS min code]]</f>
        <v>#VALUE!</v>
      </c>
      <c r="AE365" s="68" t="e">
        <f>Data_PLT[[#This Row],[Test code]]&amp;"-"&amp;Data_PLT[[#This Row],[UCS avg code]]</f>
        <v>#VALUE!</v>
      </c>
      <c r="AF365" s="67" t="e">
        <f>Data_PLT[[#This Row],[Test code]]&amp;"-"&amp;Data_PLT[[#This Row],[UCS max code]]</f>
        <v>#VALUE!</v>
      </c>
      <c r="AG365" s="67" t="e">
        <f>Data_PLT[[#This Row],[Failure type]]&amp;"-"&amp;Data_PLT[[#This Row],[Test type]]&amp;"-"&amp;(IF(Data_PLT[[#This Row],[Is50 (MPa)]]&lt;1,1,IF(Data_PLT[[#This Row],[Is50 (MPa)]]&lt;2,2,IF(Data_PLT[[#This Row],[Is50 (MPa)]]&lt;4,3,IF(Data_PLT[[#This Row],[Is50 (MPa)]]&lt;8,4,5)))))</f>
        <v>#VALUE!</v>
      </c>
    </row>
    <row r="366" spans="2:33" x14ac:dyDescent="0.25">
      <c r="B366" s="88" t="e">
        <f>VLOOKUP(Data_PLT[[#This Row],[Hole ID]],Data_Log[],2,FALSE)</f>
        <v>#N/A</v>
      </c>
      <c r="C366" s="63" t="str">
        <f>IF(Data_PLT[[#This Row],[Hole ID]]="","",
IF(COUNTIF($A$4:A366,Data_PLT[[#This Row],[Hole ID]])=1,1,
IF(A366=A365,C365+1,
COUNTIF($A$4:A366,Data_PLT[[#This Row],[Hole ID]]))))</f>
        <v/>
      </c>
      <c r="D366" s="63" t="str">
        <f>IF(Data_PLT[[#This Row],[Hole ID]]="","",Data_PLT[[#This Row],[Hole ID]]&amp;"_"&amp;Data_PLT[[#This Row],[Sample ID]])</f>
        <v/>
      </c>
      <c r="E366" s="6"/>
      <c r="F366" s="6"/>
      <c r="G366" s="63" t="e" cm="1">
        <f t="array" ref="G366">_xlfn.XLOOKUP(1,(A366=Geotech!$A$4:$A$11100)*(Data_PLT[[#This Row],[Depth (m)]]&gt;=Geotech!$C$4:$C$11100)*(Data_PLT[[#This Row],[Depth (m)]]&lt;Geotech!$D$4:$D$11100),Geotech!$M$4:$M$11100)</f>
        <v>#N/A</v>
      </c>
      <c r="H366" s="6"/>
      <c r="I366" s="63" t="e">
        <f>VLOOKUP(Data_PLT[[#This Row],[Hole ID]],Data_Log[[Hole ID]:[Core size]],20,FALSE)</f>
        <v>#N/A</v>
      </c>
      <c r="J366" s="13" t="e">
        <f>VLOOKUP(Data_PLT[[#This Row],[Core Size]],Table_CoreSize[],2,FALSE)</f>
        <v>#N/A</v>
      </c>
      <c r="K366" s="19"/>
      <c r="L366" s="19"/>
      <c r="M366" s="5"/>
      <c r="N366" s="5"/>
      <c r="O366" s="6"/>
      <c r="P366" s="13" t="str">
        <f>IF(Data_PLT[[#This Row],[Failure type]]="","",IF(OR(Data_PLT[[#This Row],[Failure type]]="Invalid",Data_PLT[[#This Row],[Failure type]]="Chipped",Data_PLT[[#This Row],[Failure type]]="Penetrate",Data_PLT[[#This Row],[Failure type]]="Did not break"),"Invalid","Valid"))</f>
        <v/>
      </c>
      <c r="Q366" s="6"/>
      <c r="R366" s="11"/>
      <c r="S366" s="13" t="str">
        <f>IF(Data_PLT[[#This Row],[Test type]]="Diametral",Data_PLT[[#This Row],[Diameter (mm)]],IF(Data_PLT[[#This Row],[Test type]]="Axial",SQRT(4*Data_PLT[[#This Row],[Diameter (mm)]]*Data_PLT[[#This Row],[Length or width (mm)]]/PI()),"ERROR"))</f>
        <v>ERROR</v>
      </c>
      <c r="T366" s="13" t="e">
        <f>(Data_PLT[[#This Row],[Load (kN)]]*1000)/Data_PLT[[#This Row],[Equiv. Diam. (mm)]]^2</f>
        <v>#VALUE!</v>
      </c>
      <c r="U366" s="13" t="e">
        <f>(Data_PLT[[#This Row],[Equiv. Diam. (mm)]]/50)^0.45</f>
        <v>#VALUE!</v>
      </c>
      <c r="V366" s="13" t="e">
        <f>Data_PLT[[#This Row],[Is (MPa)]]*Data_PLT[[#This Row],[F]]</f>
        <v>#VALUE!</v>
      </c>
      <c r="W366" s="13" t="str">
        <f>Data_PLT[[#This Row],[Failure Validity]]&amp;"-"&amp;Data_PLT[[#This Row],[Test type]]</f>
        <v>-</v>
      </c>
      <c r="X366" s="13" t="e">
        <f>Data_PLT[[#This Row],[Is50 (MPa)]]*VLOOKUP("Min",Table_PLT_Conversion[],2,FALSE)</f>
        <v>#VALUE!</v>
      </c>
      <c r="Y366" s="13" t="e">
        <f>Data_PLT[[#This Row],[Is50 (MPa)]]*VLOOKUP("Avg",Table_PLT_Conversion[],2,FALSE)</f>
        <v>#VALUE!</v>
      </c>
      <c r="Z366" s="13" t="e">
        <f>Data_PLT[[#This Row],[Is50 (MPa)]]*VLOOKUP("Max",Table_PLT_Conversion[],2,FALSE)</f>
        <v>#VALUE!</v>
      </c>
      <c r="AA366" s="62" t="e">
        <f>MATCH(LOOKUP(Data_PLT[[#This Row],[UCS min (MPa)]],Table_FieldStrength[Min UCS]),Table_FieldStrength[Min UCS],0)-1</f>
        <v>#VALUE!</v>
      </c>
      <c r="AB366" s="62" t="e">
        <f>MATCH(LOOKUP(Data_PLT[[#This Row],[UCS avg (MPa)]],Table_FieldStrength[Min UCS]),Table_FieldStrength[Min UCS],0)-1</f>
        <v>#VALUE!</v>
      </c>
      <c r="AC366" s="62" t="e">
        <f>MATCH(LOOKUP(Data_PLT[[#This Row],[UCS max (MPa)]],Table_FieldStrength[Min UCS]),Table_FieldStrength[Min UCS],0)-1</f>
        <v>#VALUE!</v>
      </c>
      <c r="AD366" s="68" t="e">
        <f>Data_PLT[[#This Row],[Test code]]&amp;"-"&amp;Data_PLT[[#This Row],[UCS min code]]</f>
        <v>#VALUE!</v>
      </c>
      <c r="AE366" s="68" t="e">
        <f>Data_PLT[[#This Row],[Test code]]&amp;"-"&amp;Data_PLT[[#This Row],[UCS avg code]]</f>
        <v>#VALUE!</v>
      </c>
      <c r="AF366" s="67" t="e">
        <f>Data_PLT[[#This Row],[Test code]]&amp;"-"&amp;Data_PLT[[#This Row],[UCS max code]]</f>
        <v>#VALUE!</v>
      </c>
      <c r="AG366" s="67" t="e">
        <f>Data_PLT[[#This Row],[Failure type]]&amp;"-"&amp;Data_PLT[[#This Row],[Test type]]&amp;"-"&amp;(IF(Data_PLT[[#This Row],[Is50 (MPa)]]&lt;1,1,IF(Data_PLT[[#This Row],[Is50 (MPa)]]&lt;2,2,IF(Data_PLT[[#This Row],[Is50 (MPa)]]&lt;4,3,IF(Data_PLT[[#This Row],[Is50 (MPa)]]&lt;8,4,5)))))</f>
        <v>#VALUE!</v>
      </c>
    </row>
    <row r="367" spans="2:33" x14ac:dyDescent="0.25">
      <c r="B367" s="88" t="e">
        <f>VLOOKUP(Data_PLT[[#This Row],[Hole ID]],Data_Log[],2,FALSE)</f>
        <v>#N/A</v>
      </c>
      <c r="C367" s="63" t="str">
        <f>IF(Data_PLT[[#This Row],[Hole ID]]="","",
IF(COUNTIF($A$4:A367,Data_PLT[[#This Row],[Hole ID]])=1,1,
IF(A367=A366,C366+1,
COUNTIF($A$4:A367,Data_PLT[[#This Row],[Hole ID]]))))</f>
        <v/>
      </c>
      <c r="D367" s="63" t="str">
        <f>IF(Data_PLT[[#This Row],[Hole ID]]="","",Data_PLT[[#This Row],[Hole ID]]&amp;"_"&amp;Data_PLT[[#This Row],[Sample ID]])</f>
        <v/>
      </c>
      <c r="E367" s="6"/>
      <c r="F367" s="6"/>
      <c r="G367" s="63" t="e" cm="1">
        <f t="array" ref="G367">_xlfn.XLOOKUP(1,(A367=Geotech!$A$4:$A$11100)*(Data_PLT[[#This Row],[Depth (m)]]&gt;=Geotech!$C$4:$C$11100)*(Data_PLT[[#This Row],[Depth (m)]]&lt;Geotech!$D$4:$D$11100),Geotech!$M$4:$M$11100)</f>
        <v>#N/A</v>
      </c>
      <c r="H367" s="6"/>
      <c r="I367" s="63" t="e">
        <f>VLOOKUP(Data_PLT[[#This Row],[Hole ID]],Data_Log[[Hole ID]:[Core size]],20,FALSE)</f>
        <v>#N/A</v>
      </c>
      <c r="J367" s="13" t="e">
        <f>VLOOKUP(Data_PLT[[#This Row],[Core Size]],Table_CoreSize[],2,FALSE)</f>
        <v>#N/A</v>
      </c>
      <c r="K367" s="19"/>
      <c r="L367" s="19"/>
      <c r="M367" s="5"/>
      <c r="N367" s="5"/>
      <c r="O367" s="6"/>
      <c r="P367" s="13" t="str">
        <f>IF(Data_PLT[[#This Row],[Failure type]]="","",IF(OR(Data_PLT[[#This Row],[Failure type]]="Invalid",Data_PLT[[#This Row],[Failure type]]="Chipped",Data_PLT[[#This Row],[Failure type]]="Penetrate",Data_PLT[[#This Row],[Failure type]]="Did not break"),"Invalid","Valid"))</f>
        <v/>
      </c>
      <c r="Q367" s="6"/>
      <c r="R367" s="11"/>
      <c r="S367" s="13" t="str">
        <f>IF(Data_PLT[[#This Row],[Test type]]="Diametral",Data_PLT[[#This Row],[Diameter (mm)]],IF(Data_PLT[[#This Row],[Test type]]="Axial",SQRT(4*Data_PLT[[#This Row],[Diameter (mm)]]*Data_PLT[[#This Row],[Length or width (mm)]]/PI()),"ERROR"))</f>
        <v>ERROR</v>
      </c>
      <c r="T367" s="13" t="e">
        <f>(Data_PLT[[#This Row],[Load (kN)]]*1000)/Data_PLT[[#This Row],[Equiv. Diam. (mm)]]^2</f>
        <v>#VALUE!</v>
      </c>
      <c r="U367" s="13" t="e">
        <f>(Data_PLT[[#This Row],[Equiv. Diam. (mm)]]/50)^0.45</f>
        <v>#VALUE!</v>
      </c>
      <c r="V367" s="13" t="e">
        <f>Data_PLT[[#This Row],[Is (MPa)]]*Data_PLT[[#This Row],[F]]</f>
        <v>#VALUE!</v>
      </c>
      <c r="W367" s="13" t="str">
        <f>Data_PLT[[#This Row],[Failure Validity]]&amp;"-"&amp;Data_PLT[[#This Row],[Test type]]</f>
        <v>-</v>
      </c>
      <c r="X367" s="13" t="e">
        <f>Data_PLT[[#This Row],[Is50 (MPa)]]*VLOOKUP("Min",Table_PLT_Conversion[],2,FALSE)</f>
        <v>#VALUE!</v>
      </c>
      <c r="Y367" s="13" t="e">
        <f>Data_PLT[[#This Row],[Is50 (MPa)]]*VLOOKUP("Avg",Table_PLT_Conversion[],2,FALSE)</f>
        <v>#VALUE!</v>
      </c>
      <c r="Z367" s="13" t="e">
        <f>Data_PLT[[#This Row],[Is50 (MPa)]]*VLOOKUP("Max",Table_PLT_Conversion[],2,FALSE)</f>
        <v>#VALUE!</v>
      </c>
      <c r="AA367" s="62" t="e">
        <f>MATCH(LOOKUP(Data_PLT[[#This Row],[UCS min (MPa)]],Table_FieldStrength[Min UCS]),Table_FieldStrength[Min UCS],0)-1</f>
        <v>#VALUE!</v>
      </c>
      <c r="AB367" s="62" t="e">
        <f>MATCH(LOOKUP(Data_PLT[[#This Row],[UCS avg (MPa)]],Table_FieldStrength[Min UCS]),Table_FieldStrength[Min UCS],0)-1</f>
        <v>#VALUE!</v>
      </c>
      <c r="AC367" s="62" t="e">
        <f>MATCH(LOOKUP(Data_PLT[[#This Row],[UCS max (MPa)]],Table_FieldStrength[Min UCS]),Table_FieldStrength[Min UCS],0)-1</f>
        <v>#VALUE!</v>
      </c>
      <c r="AD367" s="68" t="e">
        <f>Data_PLT[[#This Row],[Test code]]&amp;"-"&amp;Data_PLT[[#This Row],[UCS min code]]</f>
        <v>#VALUE!</v>
      </c>
      <c r="AE367" s="68" t="e">
        <f>Data_PLT[[#This Row],[Test code]]&amp;"-"&amp;Data_PLT[[#This Row],[UCS avg code]]</f>
        <v>#VALUE!</v>
      </c>
      <c r="AF367" s="67" t="e">
        <f>Data_PLT[[#This Row],[Test code]]&amp;"-"&amp;Data_PLT[[#This Row],[UCS max code]]</f>
        <v>#VALUE!</v>
      </c>
      <c r="AG367" s="67" t="e">
        <f>Data_PLT[[#This Row],[Failure type]]&amp;"-"&amp;Data_PLT[[#This Row],[Test type]]&amp;"-"&amp;(IF(Data_PLT[[#This Row],[Is50 (MPa)]]&lt;1,1,IF(Data_PLT[[#This Row],[Is50 (MPa)]]&lt;2,2,IF(Data_PLT[[#This Row],[Is50 (MPa)]]&lt;4,3,IF(Data_PLT[[#This Row],[Is50 (MPa)]]&lt;8,4,5)))))</f>
        <v>#VALUE!</v>
      </c>
    </row>
    <row r="368" spans="2:33" x14ac:dyDescent="0.25">
      <c r="B368" s="88" t="e">
        <f>VLOOKUP(Data_PLT[[#This Row],[Hole ID]],Data_Log[],2,FALSE)</f>
        <v>#N/A</v>
      </c>
      <c r="C368" s="63" t="str">
        <f>IF(Data_PLT[[#This Row],[Hole ID]]="","",
IF(COUNTIF($A$4:A368,Data_PLT[[#This Row],[Hole ID]])=1,1,
IF(A368=A367,C367+1,
COUNTIF($A$4:A368,Data_PLT[[#This Row],[Hole ID]]))))</f>
        <v/>
      </c>
      <c r="D368" s="63" t="str">
        <f>IF(Data_PLT[[#This Row],[Hole ID]]="","",Data_PLT[[#This Row],[Hole ID]]&amp;"_"&amp;Data_PLT[[#This Row],[Sample ID]])</f>
        <v/>
      </c>
      <c r="E368" s="6"/>
      <c r="F368" s="6"/>
      <c r="G368" s="63" t="e" cm="1">
        <f t="array" ref="G368">_xlfn.XLOOKUP(1,(A368=Geotech!$A$4:$A$11100)*(Data_PLT[[#This Row],[Depth (m)]]&gt;=Geotech!$C$4:$C$11100)*(Data_PLT[[#This Row],[Depth (m)]]&lt;Geotech!$D$4:$D$11100),Geotech!$M$4:$M$11100)</f>
        <v>#N/A</v>
      </c>
      <c r="H368" s="6"/>
      <c r="I368" s="63" t="e">
        <f>VLOOKUP(Data_PLT[[#This Row],[Hole ID]],Data_Log[[Hole ID]:[Core size]],20,FALSE)</f>
        <v>#N/A</v>
      </c>
      <c r="J368" s="13" t="e">
        <f>VLOOKUP(Data_PLT[[#This Row],[Core Size]],Table_CoreSize[],2,FALSE)</f>
        <v>#N/A</v>
      </c>
      <c r="K368" s="19"/>
      <c r="L368" s="19"/>
      <c r="M368" s="5"/>
      <c r="N368" s="5"/>
      <c r="O368" s="6"/>
      <c r="P368" s="13" t="str">
        <f>IF(Data_PLT[[#This Row],[Failure type]]="","",IF(OR(Data_PLT[[#This Row],[Failure type]]="Invalid",Data_PLT[[#This Row],[Failure type]]="Chipped",Data_PLT[[#This Row],[Failure type]]="Penetrate",Data_PLT[[#This Row],[Failure type]]="Did not break"),"Invalid","Valid"))</f>
        <v/>
      </c>
      <c r="Q368" s="6"/>
      <c r="R368" s="11"/>
      <c r="S368" s="13" t="str">
        <f>IF(Data_PLT[[#This Row],[Test type]]="Diametral",Data_PLT[[#This Row],[Diameter (mm)]],IF(Data_PLT[[#This Row],[Test type]]="Axial",SQRT(4*Data_PLT[[#This Row],[Diameter (mm)]]*Data_PLT[[#This Row],[Length or width (mm)]]/PI()),"ERROR"))</f>
        <v>ERROR</v>
      </c>
      <c r="T368" s="13" t="e">
        <f>(Data_PLT[[#This Row],[Load (kN)]]*1000)/Data_PLT[[#This Row],[Equiv. Diam. (mm)]]^2</f>
        <v>#VALUE!</v>
      </c>
      <c r="U368" s="13" t="e">
        <f>(Data_PLT[[#This Row],[Equiv. Diam. (mm)]]/50)^0.45</f>
        <v>#VALUE!</v>
      </c>
      <c r="V368" s="13" t="e">
        <f>Data_PLT[[#This Row],[Is (MPa)]]*Data_PLT[[#This Row],[F]]</f>
        <v>#VALUE!</v>
      </c>
      <c r="W368" s="13" t="str">
        <f>Data_PLT[[#This Row],[Failure Validity]]&amp;"-"&amp;Data_PLT[[#This Row],[Test type]]</f>
        <v>-</v>
      </c>
      <c r="X368" s="13" t="e">
        <f>Data_PLT[[#This Row],[Is50 (MPa)]]*VLOOKUP("Min",Table_PLT_Conversion[],2,FALSE)</f>
        <v>#VALUE!</v>
      </c>
      <c r="Y368" s="13" t="e">
        <f>Data_PLT[[#This Row],[Is50 (MPa)]]*VLOOKUP("Avg",Table_PLT_Conversion[],2,FALSE)</f>
        <v>#VALUE!</v>
      </c>
      <c r="Z368" s="13" t="e">
        <f>Data_PLT[[#This Row],[Is50 (MPa)]]*VLOOKUP("Max",Table_PLT_Conversion[],2,FALSE)</f>
        <v>#VALUE!</v>
      </c>
      <c r="AA368" s="62" t="e">
        <f>MATCH(LOOKUP(Data_PLT[[#This Row],[UCS min (MPa)]],Table_FieldStrength[Min UCS]),Table_FieldStrength[Min UCS],0)-1</f>
        <v>#VALUE!</v>
      </c>
      <c r="AB368" s="62" t="e">
        <f>MATCH(LOOKUP(Data_PLT[[#This Row],[UCS avg (MPa)]],Table_FieldStrength[Min UCS]),Table_FieldStrength[Min UCS],0)-1</f>
        <v>#VALUE!</v>
      </c>
      <c r="AC368" s="62" t="e">
        <f>MATCH(LOOKUP(Data_PLT[[#This Row],[UCS max (MPa)]],Table_FieldStrength[Min UCS]),Table_FieldStrength[Min UCS],0)-1</f>
        <v>#VALUE!</v>
      </c>
      <c r="AD368" s="68" t="e">
        <f>Data_PLT[[#This Row],[Test code]]&amp;"-"&amp;Data_PLT[[#This Row],[UCS min code]]</f>
        <v>#VALUE!</v>
      </c>
      <c r="AE368" s="68" t="e">
        <f>Data_PLT[[#This Row],[Test code]]&amp;"-"&amp;Data_PLT[[#This Row],[UCS avg code]]</f>
        <v>#VALUE!</v>
      </c>
      <c r="AF368" s="67" t="e">
        <f>Data_PLT[[#This Row],[Test code]]&amp;"-"&amp;Data_PLT[[#This Row],[UCS max code]]</f>
        <v>#VALUE!</v>
      </c>
      <c r="AG368" s="67" t="e">
        <f>Data_PLT[[#This Row],[Failure type]]&amp;"-"&amp;Data_PLT[[#This Row],[Test type]]&amp;"-"&amp;(IF(Data_PLT[[#This Row],[Is50 (MPa)]]&lt;1,1,IF(Data_PLT[[#This Row],[Is50 (MPa)]]&lt;2,2,IF(Data_PLT[[#This Row],[Is50 (MPa)]]&lt;4,3,IF(Data_PLT[[#This Row],[Is50 (MPa)]]&lt;8,4,5)))))</f>
        <v>#VALUE!</v>
      </c>
    </row>
    <row r="369" spans="2:33" x14ac:dyDescent="0.25">
      <c r="B369" s="88" t="e">
        <f>VLOOKUP(Data_PLT[[#This Row],[Hole ID]],Data_Log[],2,FALSE)</f>
        <v>#N/A</v>
      </c>
      <c r="C369" s="63" t="str">
        <f>IF(Data_PLT[[#This Row],[Hole ID]]="","",
IF(COUNTIF($A$4:A369,Data_PLT[[#This Row],[Hole ID]])=1,1,
IF(A369=A368,C368+1,
COUNTIF($A$4:A369,Data_PLT[[#This Row],[Hole ID]]))))</f>
        <v/>
      </c>
      <c r="D369" s="63" t="str">
        <f>IF(Data_PLT[[#This Row],[Hole ID]]="","",Data_PLT[[#This Row],[Hole ID]]&amp;"_"&amp;Data_PLT[[#This Row],[Sample ID]])</f>
        <v/>
      </c>
      <c r="E369" s="6"/>
      <c r="F369" s="6"/>
      <c r="G369" s="63" t="e" cm="1">
        <f t="array" ref="G369">_xlfn.XLOOKUP(1,(A369=Geotech!$A$4:$A$11100)*(Data_PLT[[#This Row],[Depth (m)]]&gt;=Geotech!$C$4:$C$11100)*(Data_PLT[[#This Row],[Depth (m)]]&lt;Geotech!$D$4:$D$11100),Geotech!$M$4:$M$11100)</f>
        <v>#N/A</v>
      </c>
      <c r="H369" s="6"/>
      <c r="I369" s="63" t="e">
        <f>VLOOKUP(Data_PLT[[#This Row],[Hole ID]],Data_Log[[Hole ID]:[Core size]],20,FALSE)</f>
        <v>#N/A</v>
      </c>
      <c r="J369" s="13" t="e">
        <f>VLOOKUP(Data_PLT[[#This Row],[Core Size]],Table_CoreSize[],2,FALSE)</f>
        <v>#N/A</v>
      </c>
      <c r="K369" s="19"/>
      <c r="L369" s="19"/>
      <c r="M369" s="5"/>
      <c r="N369" s="5"/>
      <c r="O369" s="6"/>
      <c r="P369" s="13" t="str">
        <f>IF(Data_PLT[[#This Row],[Failure type]]="","",IF(OR(Data_PLT[[#This Row],[Failure type]]="Invalid",Data_PLT[[#This Row],[Failure type]]="Chipped",Data_PLT[[#This Row],[Failure type]]="Penetrate",Data_PLT[[#This Row],[Failure type]]="Did not break"),"Invalid","Valid"))</f>
        <v/>
      </c>
      <c r="Q369" s="6"/>
      <c r="R369" s="11"/>
      <c r="S369" s="13" t="str">
        <f>IF(Data_PLT[[#This Row],[Test type]]="Diametral",Data_PLT[[#This Row],[Diameter (mm)]],IF(Data_PLT[[#This Row],[Test type]]="Axial",SQRT(4*Data_PLT[[#This Row],[Diameter (mm)]]*Data_PLT[[#This Row],[Length or width (mm)]]/PI()),"ERROR"))</f>
        <v>ERROR</v>
      </c>
      <c r="T369" s="13" t="e">
        <f>(Data_PLT[[#This Row],[Load (kN)]]*1000)/Data_PLT[[#This Row],[Equiv. Diam. (mm)]]^2</f>
        <v>#VALUE!</v>
      </c>
      <c r="U369" s="13" t="e">
        <f>(Data_PLT[[#This Row],[Equiv. Diam. (mm)]]/50)^0.45</f>
        <v>#VALUE!</v>
      </c>
      <c r="V369" s="13" t="e">
        <f>Data_PLT[[#This Row],[Is (MPa)]]*Data_PLT[[#This Row],[F]]</f>
        <v>#VALUE!</v>
      </c>
      <c r="W369" s="13" t="str">
        <f>Data_PLT[[#This Row],[Failure Validity]]&amp;"-"&amp;Data_PLT[[#This Row],[Test type]]</f>
        <v>-</v>
      </c>
      <c r="X369" s="13" t="e">
        <f>Data_PLT[[#This Row],[Is50 (MPa)]]*VLOOKUP("Min",Table_PLT_Conversion[],2,FALSE)</f>
        <v>#VALUE!</v>
      </c>
      <c r="Y369" s="13" t="e">
        <f>Data_PLT[[#This Row],[Is50 (MPa)]]*VLOOKUP("Avg",Table_PLT_Conversion[],2,FALSE)</f>
        <v>#VALUE!</v>
      </c>
      <c r="Z369" s="13" t="e">
        <f>Data_PLT[[#This Row],[Is50 (MPa)]]*VLOOKUP("Max",Table_PLT_Conversion[],2,FALSE)</f>
        <v>#VALUE!</v>
      </c>
      <c r="AA369" s="62" t="e">
        <f>MATCH(LOOKUP(Data_PLT[[#This Row],[UCS min (MPa)]],Table_FieldStrength[Min UCS]),Table_FieldStrength[Min UCS],0)-1</f>
        <v>#VALUE!</v>
      </c>
      <c r="AB369" s="62" t="e">
        <f>MATCH(LOOKUP(Data_PLT[[#This Row],[UCS avg (MPa)]],Table_FieldStrength[Min UCS]),Table_FieldStrength[Min UCS],0)-1</f>
        <v>#VALUE!</v>
      </c>
      <c r="AC369" s="62" t="e">
        <f>MATCH(LOOKUP(Data_PLT[[#This Row],[UCS max (MPa)]],Table_FieldStrength[Min UCS]),Table_FieldStrength[Min UCS],0)-1</f>
        <v>#VALUE!</v>
      </c>
      <c r="AD369" s="68" t="e">
        <f>Data_PLT[[#This Row],[Test code]]&amp;"-"&amp;Data_PLT[[#This Row],[UCS min code]]</f>
        <v>#VALUE!</v>
      </c>
      <c r="AE369" s="68" t="e">
        <f>Data_PLT[[#This Row],[Test code]]&amp;"-"&amp;Data_PLT[[#This Row],[UCS avg code]]</f>
        <v>#VALUE!</v>
      </c>
      <c r="AF369" s="67" t="e">
        <f>Data_PLT[[#This Row],[Test code]]&amp;"-"&amp;Data_PLT[[#This Row],[UCS max code]]</f>
        <v>#VALUE!</v>
      </c>
      <c r="AG369" s="67" t="e">
        <f>Data_PLT[[#This Row],[Failure type]]&amp;"-"&amp;Data_PLT[[#This Row],[Test type]]&amp;"-"&amp;(IF(Data_PLT[[#This Row],[Is50 (MPa)]]&lt;1,1,IF(Data_PLT[[#This Row],[Is50 (MPa)]]&lt;2,2,IF(Data_PLT[[#This Row],[Is50 (MPa)]]&lt;4,3,IF(Data_PLT[[#This Row],[Is50 (MPa)]]&lt;8,4,5)))))</f>
        <v>#VALUE!</v>
      </c>
    </row>
    <row r="370" spans="2:33" x14ac:dyDescent="0.25">
      <c r="B370" s="88" t="e">
        <f>VLOOKUP(Data_PLT[[#This Row],[Hole ID]],Data_Log[],2,FALSE)</f>
        <v>#N/A</v>
      </c>
      <c r="C370" s="63" t="str">
        <f>IF(Data_PLT[[#This Row],[Hole ID]]="","",
IF(COUNTIF($A$4:A370,Data_PLT[[#This Row],[Hole ID]])=1,1,
IF(A370=A369,C369+1,
COUNTIF($A$4:A370,Data_PLT[[#This Row],[Hole ID]]))))</f>
        <v/>
      </c>
      <c r="D370" s="63" t="str">
        <f>IF(Data_PLT[[#This Row],[Hole ID]]="","",Data_PLT[[#This Row],[Hole ID]]&amp;"_"&amp;Data_PLT[[#This Row],[Sample ID]])</f>
        <v/>
      </c>
      <c r="E370" s="6"/>
      <c r="F370" s="6"/>
      <c r="G370" s="63" t="e" cm="1">
        <f t="array" ref="G370">_xlfn.XLOOKUP(1,(A370=Geotech!$A$4:$A$11100)*(Data_PLT[[#This Row],[Depth (m)]]&gt;=Geotech!$C$4:$C$11100)*(Data_PLT[[#This Row],[Depth (m)]]&lt;Geotech!$D$4:$D$11100),Geotech!$M$4:$M$11100)</f>
        <v>#N/A</v>
      </c>
      <c r="H370" s="6"/>
      <c r="I370" s="63" t="e">
        <f>VLOOKUP(Data_PLT[[#This Row],[Hole ID]],Data_Log[[Hole ID]:[Core size]],20,FALSE)</f>
        <v>#N/A</v>
      </c>
      <c r="J370" s="13" t="e">
        <f>VLOOKUP(Data_PLT[[#This Row],[Core Size]],Table_CoreSize[],2,FALSE)</f>
        <v>#N/A</v>
      </c>
      <c r="K370" s="19"/>
      <c r="L370" s="19"/>
      <c r="M370" s="5"/>
      <c r="N370" s="5"/>
      <c r="O370" s="6"/>
      <c r="P370" s="13" t="str">
        <f>IF(Data_PLT[[#This Row],[Failure type]]="","",IF(OR(Data_PLT[[#This Row],[Failure type]]="Invalid",Data_PLT[[#This Row],[Failure type]]="Chipped",Data_PLT[[#This Row],[Failure type]]="Penetrate",Data_PLT[[#This Row],[Failure type]]="Did not break"),"Invalid","Valid"))</f>
        <v/>
      </c>
      <c r="Q370" s="6"/>
      <c r="R370" s="11"/>
      <c r="S370" s="13" t="str">
        <f>IF(Data_PLT[[#This Row],[Test type]]="Diametral",Data_PLT[[#This Row],[Diameter (mm)]],IF(Data_PLT[[#This Row],[Test type]]="Axial",SQRT(4*Data_PLT[[#This Row],[Diameter (mm)]]*Data_PLT[[#This Row],[Length or width (mm)]]/PI()),"ERROR"))</f>
        <v>ERROR</v>
      </c>
      <c r="T370" s="13" t="e">
        <f>(Data_PLT[[#This Row],[Load (kN)]]*1000)/Data_PLT[[#This Row],[Equiv. Diam. (mm)]]^2</f>
        <v>#VALUE!</v>
      </c>
      <c r="U370" s="13" t="e">
        <f>(Data_PLT[[#This Row],[Equiv. Diam. (mm)]]/50)^0.45</f>
        <v>#VALUE!</v>
      </c>
      <c r="V370" s="13" t="e">
        <f>Data_PLT[[#This Row],[Is (MPa)]]*Data_PLT[[#This Row],[F]]</f>
        <v>#VALUE!</v>
      </c>
      <c r="W370" s="13" t="str">
        <f>Data_PLT[[#This Row],[Failure Validity]]&amp;"-"&amp;Data_PLT[[#This Row],[Test type]]</f>
        <v>-</v>
      </c>
      <c r="X370" s="13" t="e">
        <f>Data_PLT[[#This Row],[Is50 (MPa)]]*VLOOKUP("Min",Table_PLT_Conversion[],2,FALSE)</f>
        <v>#VALUE!</v>
      </c>
      <c r="Y370" s="13" t="e">
        <f>Data_PLT[[#This Row],[Is50 (MPa)]]*VLOOKUP("Avg",Table_PLT_Conversion[],2,FALSE)</f>
        <v>#VALUE!</v>
      </c>
      <c r="Z370" s="13" t="e">
        <f>Data_PLT[[#This Row],[Is50 (MPa)]]*VLOOKUP("Max",Table_PLT_Conversion[],2,FALSE)</f>
        <v>#VALUE!</v>
      </c>
      <c r="AA370" s="62" t="e">
        <f>MATCH(LOOKUP(Data_PLT[[#This Row],[UCS min (MPa)]],Table_FieldStrength[Min UCS]),Table_FieldStrength[Min UCS],0)-1</f>
        <v>#VALUE!</v>
      </c>
      <c r="AB370" s="62" t="e">
        <f>MATCH(LOOKUP(Data_PLT[[#This Row],[UCS avg (MPa)]],Table_FieldStrength[Min UCS]),Table_FieldStrength[Min UCS],0)-1</f>
        <v>#VALUE!</v>
      </c>
      <c r="AC370" s="62" t="e">
        <f>MATCH(LOOKUP(Data_PLT[[#This Row],[UCS max (MPa)]],Table_FieldStrength[Min UCS]),Table_FieldStrength[Min UCS],0)-1</f>
        <v>#VALUE!</v>
      </c>
      <c r="AD370" s="68" t="e">
        <f>Data_PLT[[#This Row],[Test code]]&amp;"-"&amp;Data_PLT[[#This Row],[UCS min code]]</f>
        <v>#VALUE!</v>
      </c>
      <c r="AE370" s="68" t="e">
        <f>Data_PLT[[#This Row],[Test code]]&amp;"-"&amp;Data_PLT[[#This Row],[UCS avg code]]</f>
        <v>#VALUE!</v>
      </c>
      <c r="AF370" s="67" t="e">
        <f>Data_PLT[[#This Row],[Test code]]&amp;"-"&amp;Data_PLT[[#This Row],[UCS max code]]</f>
        <v>#VALUE!</v>
      </c>
      <c r="AG370" s="67" t="e">
        <f>Data_PLT[[#This Row],[Failure type]]&amp;"-"&amp;Data_PLT[[#This Row],[Test type]]&amp;"-"&amp;(IF(Data_PLT[[#This Row],[Is50 (MPa)]]&lt;1,1,IF(Data_PLT[[#This Row],[Is50 (MPa)]]&lt;2,2,IF(Data_PLT[[#This Row],[Is50 (MPa)]]&lt;4,3,IF(Data_PLT[[#This Row],[Is50 (MPa)]]&lt;8,4,5)))))</f>
        <v>#VALUE!</v>
      </c>
    </row>
    <row r="371" spans="2:33" x14ac:dyDescent="0.25">
      <c r="B371" s="88" t="e">
        <f>VLOOKUP(Data_PLT[[#This Row],[Hole ID]],Data_Log[],2,FALSE)</f>
        <v>#N/A</v>
      </c>
      <c r="C371" s="63" t="str">
        <f>IF(Data_PLT[[#This Row],[Hole ID]]="","",
IF(COUNTIF($A$4:A371,Data_PLT[[#This Row],[Hole ID]])=1,1,
IF(A371=A370,C370+1,
COUNTIF($A$4:A371,Data_PLT[[#This Row],[Hole ID]]))))</f>
        <v/>
      </c>
      <c r="D371" s="63" t="str">
        <f>IF(Data_PLT[[#This Row],[Hole ID]]="","",Data_PLT[[#This Row],[Hole ID]]&amp;"_"&amp;Data_PLT[[#This Row],[Sample ID]])</f>
        <v/>
      </c>
      <c r="E371" s="6"/>
      <c r="F371" s="6"/>
      <c r="G371" s="63" t="e" cm="1">
        <f t="array" ref="G371">_xlfn.XLOOKUP(1,(A371=Geotech!$A$4:$A$11100)*(Data_PLT[[#This Row],[Depth (m)]]&gt;=Geotech!$C$4:$C$11100)*(Data_PLT[[#This Row],[Depth (m)]]&lt;Geotech!$D$4:$D$11100),Geotech!$M$4:$M$11100)</f>
        <v>#N/A</v>
      </c>
      <c r="H371" s="6"/>
      <c r="I371" s="63" t="e">
        <f>VLOOKUP(Data_PLT[[#This Row],[Hole ID]],Data_Log[[Hole ID]:[Core size]],20,FALSE)</f>
        <v>#N/A</v>
      </c>
      <c r="J371" s="13" t="e">
        <f>VLOOKUP(Data_PLT[[#This Row],[Core Size]],Table_CoreSize[],2,FALSE)</f>
        <v>#N/A</v>
      </c>
      <c r="K371" s="19"/>
      <c r="L371" s="19"/>
      <c r="M371" s="5"/>
      <c r="N371" s="5"/>
      <c r="O371" s="6"/>
      <c r="P371" s="13" t="str">
        <f>IF(Data_PLT[[#This Row],[Failure type]]="","",IF(OR(Data_PLT[[#This Row],[Failure type]]="Invalid",Data_PLT[[#This Row],[Failure type]]="Chipped",Data_PLT[[#This Row],[Failure type]]="Penetrate",Data_PLT[[#This Row],[Failure type]]="Did not break"),"Invalid","Valid"))</f>
        <v/>
      </c>
      <c r="Q371" s="6"/>
      <c r="R371" s="11"/>
      <c r="S371" s="13" t="str">
        <f>IF(Data_PLT[[#This Row],[Test type]]="Diametral",Data_PLT[[#This Row],[Diameter (mm)]],IF(Data_PLT[[#This Row],[Test type]]="Axial",SQRT(4*Data_PLT[[#This Row],[Diameter (mm)]]*Data_PLT[[#This Row],[Length or width (mm)]]/PI()),"ERROR"))</f>
        <v>ERROR</v>
      </c>
      <c r="T371" s="13" t="e">
        <f>(Data_PLT[[#This Row],[Load (kN)]]*1000)/Data_PLT[[#This Row],[Equiv. Diam. (mm)]]^2</f>
        <v>#VALUE!</v>
      </c>
      <c r="U371" s="13" t="e">
        <f>(Data_PLT[[#This Row],[Equiv. Diam. (mm)]]/50)^0.45</f>
        <v>#VALUE!</v>
      </c>
      <c r="V371" s="13" t="e">
        <f>Data_PLT[[#This Row],[Is (MPa)]]*Data_PLT[[#This Row],[F]]</f>
        <v>#VALUE!</v>
      </c>
      <c r="W371" s="13" t="str">
        <f>Data_PLT[[#This Row],[Failure Validity]]&amp;"-"&amp;Data_PLT[[#This Row],[Test type]]</f>
        <v>-</v>
      </c>
      <c r="X371" s="13" t="e">
        <f>Data_PLT[[#This Row],[Is50 (MPa)]]*VLOOKUP("Min",Table_PLT_Conversion[],2,FALSE)</f>
        <v>#VALUE!</v>
      </c>
      <c r="Y371" s="13" t="e">
        <f>Data_PLT[[#This Row],[Is50 (MPa)]]*VLOOKUP("Avg",Table_PLT_Conversion[],2,FALSE)</f>
        <v>#VALUE!</v>
      </c>
      <c r="Z371" s="13" t="e">
        <f>Data_PLT[[#This Row],[Is50 (MPa)]]*VLOOKUP("Max",Table_PLT_Conversion[],2,FALSE)</f>
        <v>#VALUE!</v>
      </c>
      <c r="AA371" s="62" t="e">
        <f>MATCH(LOOKUP(Data_PLT[[#This Row],[UCS min (MPa)]],Table_FieldStrength[Min UCS]),Table_FieldStrength[Min UCS],0)-1</f>
        <v>#VALUE!</v>
      </c>
      <c r="AB371" s="62" t="e">
        <f>MATCH(LOOKUP(Data_PLT[[#This Row],[UCS avg (MPa)]],Table_FieldStrength[Min UCS]),Table_FieldStrength[Min UCS],0)-1</f>
        <v>#VALUE!</v>
      </c>
      <c r="AC371" s="62" t="e">
        <f>MATCH(LOOKUP(Data_PLT[[#This Row],[UCS max (MPa)]],Table_FieldStrength[Min UCS]),Table_FieldStrength[Min UCS],0)-1</f>
        <v>#VALUE!</v>
      </c>
      <c r="AD371" s="68" t="e">
        <f>Data_PLT[[#This Row],[Test code]]&amp;"-"&amp;Data_PLT[[#This Row],[UCS min code]]</f>
        <v>#VALUE!</v>
      </c>
      <c r="AE371" s="68" t="e">
        <f>Data_PLT[[#This Row],[Test code]]&amp;"-"&amp;Data_PLT[[#This Row],[UCS avg code]]</f>
        <v>#VALUE!</v>
      </c>
      <c r="AF371" s="67" t="e">
        <f>Data_PLT[[#This Row],[Test code]]&amp;"-"&amp;Data_PLT[[#This Row],[UCS max code]]</f>
        <v>#VALUE!</v>
      </c>
      <c r="AG371" s="67" t="e">
        <f>Data_PLT[[#This Row],[Failure type]]&amp;"-"&amp;Data_PLT[[#This Row],[Test type]]&amp;"-"&amp;(IF(Data_PLT[[#This Row],[Is50 (MPa)]]&lt;1,1,IF(Data_PLT[[#This Row],[Is50 (MPa)]]&lt;2,2,IF(Data_PLT[[#This Row],[Is50 (MPa)]]&lt;4,3,IF(Data_PLT[[#This Row],[Is50 (MPa)]]&lt;8,4,5)))))</f>
        <v>#VALUE!</v>
      </c>
    </row>
    <row r="372" spans="2:33" x14ac:dyDescent="0.25">
      <c r="B372" s="88" t="e">
        <f>VLOOKUP(Data_PLT[[#This Row],[Hole ID]],Data_Log[],2,FALSE)</f>
        <v>#N/A</v>
      </c>
      <c r="C372" s="63" t="str">
        <f>IF(Data_PLT[[#This Row],[Hole ID]]="","",
IF(COUNTIF($A$4:A372,Data_PLT[[#This Row],[Hole ID]])=1,1,
IF(A372=A371,C371+1,
COUNTIF($A$4:A372,Data_PLT[[#This Row],[Hole ID]]))))</f>
        <v/>
      </c>
      <c r="D372" s="63" t="str">
        <f>IF(Data_PLT[[#This Row],[Hole ID]]="","",Data_PLT[[#This Row],[Hole ID]]&amp;"_"&amp;Data_PLT[[#This Row],[Sample ID]])</f>
        <v/>
      </c>
      <c r="E372" s="6"/>
      <c r="F372" s="6"/>
      <c r="G372" s="63" t="e" cm="1">
        <f t="array" ref="G372">_xlfn.XLOOKUP(1,(A372=Geotech!$A$4:$A$11100)*(Data_PLT[[#This Row],[Depth (m)]]&gt;=Geotech!$C$4:$C$11100)*(Data_PLT[[#This Row],[Depth (m)]]&lt;Geotech!$D$4:$D$11100),Geotech!$M$4:$M$11100)</f>
        <v>#N/A</v>
      </c>
      <c r="H372" s="6"/>
      <c r="I372" s="63" t="e">
        <f>VLOOKUP(Data_PLT[[#This Row],[Hole ID]],Data_Log[[Hole ID]:[Core size]],20,FALSE)</f>
        <v>#N/A</v>
      </c>
      <c r="J372" s="13" t="e">
        <f>VLOOKUP(Data_PLT[[#This Row],[Core Size]],Table_CoreSize[],2,FALSE)</f>
        <v>#N/A</v>
      </c>
      <c r="K372" s="19"/>
      <c r="L372" s="19"/>
      <c r="M372" s="5"/>
      <c r="N372" s="5"/>
      <c r="O372" s="6"/>
      <c r="P372" s="13" t="str">
        <f>IF(Data_PLT[[#This Row],[Failure type]]="","",IF(OR(Data_PLT[[#This Row],[Failure type]]="Invalid",Data_PLT[[#This Row],[Failure type]]="Chipped",Data_PLT[[#This Row],[Failure type]]="Penetrate",Data_PLT[[#This Row],[Failure type]]="Did not break"),"Invalid","Valid"))</f>
        <v/>
      </c>
      <c r="Q372" s="6"/>
      <c r="R372" s="11"/>
      <c r="S372" s="13" t="str">
        <f>IF(Data_PLT[[#This Row],[Test type]]="Diametral",Data_PLT[[#This Row],[Diameter (mm)]],IF(Data_PLT[[#This Row],[Test type]]="Axial",SQRT(4*Data_PLT[[#This Row],[Diameter (mm)]]*Data_PLT[[#This Row],[Length or width (mm)]]/PI()),"ERROR"))</f>
        <v>ERROR</v>
      </c>
      <c r="T372" s="13" t="e">
        <f>(Data_PLT[[#This Row],[Load (kN)]]*1000)/Data_PLT[[#This Row],[Equiv. Diam. (mm)]]^2</f>
        <v>#VALUE!</v>
      </c>
      <c r="U372" s="13" t="e">
        <f>(Data_PLT[[#This Row],[Equiv. Diam. (mm)]]/50)^0.45</f>
        <v>#VALUE!</v>
      </c>
      <c r="V372" s="13" t="e">
        <f>Data_PLT[[#This Row],[Is (MPa)]]*Data_PLT[[#This Row],[F]]</f>
        <v>#VALUE!</v>
      </c>
      <c r="W372" s="13" t="str">
        <f>Data_PLT[[#This Row],[Failure Validity]]&amp;"-"&amp;Data_PLT[[#This Row],[Test type]]</f>
        <v>-</v>
      </c>
      <c r="X372" s="13" t="e">
        <f>Data_PLT[[#This Row],[Is50 (MPa)]]*VLOOKUP("Min",Table_PLT_Conversion[],2,FALSE)</f>
        <v>#VALUE!</v>
      </c>
      <c r="Y372" s="13" t="e">
        <f>Data_PLT[[#This Row],[Is50 (MPa)]]*VLOOKUP("Avg",Table_PLT_Conversion[],2,FALSE)</f>
        <v>#VALUE!</v>
      </c>
      <c r="Z372" s="13" t="e">
        <f>Data_PLT[[#This Row],[Is50 (MPa)]]*VLOOKUP("Max",Table_PLT_Conversion[],2,FALSE)</f>
        <v>#VALUE!</v>
      </c>
      <c r="AA372" s="62" t="e">
        <f>MATCH(LOOKUP(Data_PLT[[#This Row],[UCS min (MPa)]],Table_FieldStrength[Min UCS]),Table_FieldStrength[Min UCS],0)-1</f>
        <v>#VALUE!</v>
      </c>
      <c r="AB372" s="62" t="e">
        <f>MATCH(LOOKUP(Data_PLT[[#This Row],[UCS avg (MPa)]],Table_FieldStrength[Min UCS]),Table_FieldStrength[Min UCS],0)-1</f>
        <v>#VALUE!</v>
      </c>
      <c r="AC372" s="62" t="e">
        <f>MATCH(LOOKUP(Data_PLT[[#This Row],[UCS max (MPa)]],Table_FieldStrength[Min UCS]),Table_FieldStrength[Min UCS],0)-1</f>
        <v>#VALUE!</v>
      </c>
      <c r="AD372" s="68" t="e">
        <f>Data_PLT[[#This Row],[Test code]]&amp;"-"&amp;Data_PLT[[#This Row],[UCS min code]]</f>
        <v>#VALUE!</v>
      </c>
      <c r="AE372" s="68" t="e">
        <f>Data_PLT[[#This Row],[Test code]]&amp;"-"&amp;Data_PLT[[#This Row],[UCS avg code]]</f>
        <v>#VALUE!</v>
      </c>
      <c r="AF372" s="67" t="e">
        <f>Data_PLT[[#This Row],[Test code]]&amp;"-"&amp;Data_PLT[[#This Row],[UCS max code]]</f>
        <v>#VALUE!</v>
      </c>
      <c r="AG372" s="67" t="e">
        <f>Data_PLT[[#This Row],[Failure type]]&amp;"-"&amp;Data_PLT[[#This Row],[Test type]]&amp;"-"&amp;(IF(Data_PLT[[#This Row],[Is50 (MPa)]]&lt;1,1,IF(Data_PLT[[#This Row],[Is50 (MPa)]]&lt;2,2,IF(Data_PLT[[#This Row],[Is50 (MPa)]]&lt;4,3,IF(Data_PLT[[#This Row],[Is50 (MPa)]]&lt;8,4,5)))))</f>
        <v>#VALUE!</v>
      </c>
    </row>
    <row r="373" spans="2:33" x14ac:dyDescent="0.25">
      <c r="B373" s="88" t="e">
        <f>VLOOKUP(Data_PLT[[#This Row],[Hole ID]],Data_Log[],2,FALSE)</f>
        <v>#N/A</v>
      </c>
      <c r="C373" s="63" t="str">
        <f>IF(Data_PLT[[#This Row],[Hole ID]]="","",
IF(COUNTIF($A$4:A373,Data_PLT[[#This Row],[Hole ID]])=1,1,
IF(A373=A372,C372+1,
COUNTIF($A$4:A373,Data_PLT[[#This Row],[Hole ID]]))))</f>
        <v/>
      </c>
      <c r="D373" s="63" t="str">
        <f>IF(Data_PLT[[#This Row],[Hole ID]]="","",Data_PLT[[#This Row],[Hole ID]]&amp;"_"&amp;Data_PLT[[#This Row],[Sample ID]])</f>
        <v/>
      </c>
      <c r="E373" s="6"/>
      <c r="F373" s="6"/>
      <c r="G373" s="63" t="e" cm="1">
        <f t="array" ref="G373">_xlfn.XLOOKUP(1,(A373=Geotech!$A$4:$A$11100)*(Data_PLT[[#This Row],[Depth (m)]]&gt;=Geotech!$C$4:$C$11100)*(Data_PLT[[#This Row],[Depth (m)]]&lt;Geotech!$D$4:$D$11100),Geotech!$M$4:$M$11100)</f>
        <v>#N/A</v>
      </c>
      <c r="H373" s="6"/>
      <c r="I373" s="63" t="e">
        <f>VLOOKUP(Data_PLT[[#This Row],[Hole ID]],Data_Log[[Hole ID]:[Core size]],20,FALSE)</f>
        <v>#N/A</v>
      </c>
      <c r="J373" s="13" t="e">
        <f>VLOOKUP(Data_PLT[[#This Row],[Core Size]],Table_CoreSize[],2,FALSE)</f>
        <v>#N/A</v>
      </c>
      <c r="K373" s="19"/>
      <c r="L373" s="19"/>
      <c r="M373" s="5"/>
      <c r="N373" s="5"/>
      <c r="O373" s="6"/>
      <c r="P373" s="13" t="str">
        <f>IF(Data_PLT[[#This Row],[Failure type]]="","",IF(OR(Data_PLT[[#This Row],[Failure type]]="Invalid",Data_PLT[[#This Row],[Failure type]]="Chipped",Data_PLT[[#This Row],[Failure type]]="Penetrate",Data_PLT[[#This Row],[Failure type]]="Did not break"),"Invalid","Valid"))</f>
        <v/>
      </c>
      <c r="Q373" s="6"/>
      <c r="R373" s="11"/>
      <c r="S373" s="13" t="str">
        <f>IF(Data_PLT[[#This Row],[Test type]]="Diametral",Data_PLT[[#This Row],[Diameter (mm)]],IF(Data_PLT[[#This Row],[Test type]]="Axial",SQRT(4*Data_PLT[[#This Row],[Diameter (mm)]]*Data_PLT[[#This Row],[Length or width (mm)]]/PI()),"ERROR"))</f>
        <v>ERROR</v>
      </c>
      <c r="T373" s="13" t="e">
        <f>(Data_PLT[[#This Row],[Load (kN)]]*1000)/Data_PLT[[#This Row],[Equiv. Diam. (mm)]]^2</f>
        <v>#VALUE!</v>
      </c>
      <c r="U373" s="13" t="e">
        <f>(Data_PLT[[#This Row],[Equiv. Diam. (mm)]]/50)^0.45</f>
        <v>#VALUE!</v>
      </c>
      <c r="V373" s="13" t="e">
        <f>Data_PLT[[#This Row],[Is (MPa)]]*Data_PLT[[#This Row],[F]]</f>
        <v>#VALUE!</v>
      </c>
      <c r="W373" s="13" t="str">
        <f>Data_PLT[[#This Row],[Failure Validity]]&amp;"-"&amp;Data_PLT[[#This Row],[Test type]]</f>
        <v>-</v>
      </c>
      <c r="X373" s="13" t="e">
        <f>Data_PLT[[#This Row],[Is50 (MPa)]]*VLOOKUP("Min",Table_PLT_Conversion[],2,FALSE)</f>
        <v>#VALUE!</v>
      </c>
      <c r="Y373" s="13" t="e">
        <f>Data_PLT[[#This Row],[Is50 (MPa)]]*VLOOKUP("Avg",Table_PLT_Conversion[],2,FALSE)</f>
        <v>#VALUE!</v>
      </c>
      <c r="Z373" s="13" t="e">
        <f>Data_PLT[[#This Row],[Is50 (MPa)]]*VLOOKUP("Max",Table_PLT_Conversion[],2,FALSE)</f>
        <v>#VALUE!</v>
      </c>
      <c r="AA373" s="62" t="e">
        <f>MATCH(LOOKUP(Data_PLT[[#This Row],[UCS min (MPa)]],Table_FieldStrength[Min UCS]),Table_FieldStrength[Min UCS],0)-1</f>
        <v>#VALUE!</v>
      </c>
      <c r="AB373" s="62" t="e">
        <f>MATCH(LOOKUP(Data_PLT[[#This Row],[UCS avg (MPa)]],Table_FieldStrength[Min UCS]),Table_FieldStrength[Min UCS],0)-1</f>
        <v>#VALUE!</v>
      </c>
      <c r="AC373" s="62" t="e">
        <f>MATCH(LOOKUP(Data_PLT[[#This Row],[UCS max (MPa)]],Table_FieldStrength[Min UCS]),Table_FieldStrength[Min UCS],0)-1</f>
        <v>#VALUE!</v>
      </c>
      <c r="AD373" s="68" t="e">
        <f>Data_PLT[[#This Row],[Test code]]&amp;"-"&amp;Data_PLT[[#This Row],[UCS min code]]</f>
        <v>#VALUE!</v>
      </c>
      <c r="AE373" s="68" t="e">
        <f>Data_PLT[[#This Row],[Test code]]&amp;"-"&amp;Data_PLT[[#This Row],[UCS avg code]]</f>
        <v>#VALUE!</v>
      </c>
      <c r="AF373" s="67" t="e">
        <f>Data_PLT[[#This Row],[Test code]]&amp;"-"&amp;Data_PLT[[#This Row],[UCS max code]]</f>
        <v>#VALUE!</v>
      </c>
      <c r="AG373" s="67" t="e">
        <f>Data_PLT[[#This Row],[Failure type]]&amp;"-"&amp;Data_PLT[[#This Row],[Test type]]&amp;"-"&amp;(IF(Data_PLT[[#This Row],[Is50 (MPa)]]&lt;1,1,IF(Data_PLT[[#This Row],[Is50 (MPa)]]&lt;2,2,IF(Data_PLT[[#This Row],[Is50 (MPa)]]&lt;4,3,IF(Data_PLT[[#This Row],[Is50 (MPa)]]&lt;8,4,5)))))</f>
        <v>#VALUE!</v>
      </c>
    </row>
    <row r="374" spans="2:33" x14ac:dyDescent="0.25">
      <c r="B374" s="88" t="e">
        <f>VLOOKUP(Data_PLT[[#This Row],[Hole ID]],Data_Log[],2,FALSE)</f>
        <v>#N/A</v>
      </c>
      <c r="C374" s="63" t="str">
        <f>IF(Data_PLT[[#This Row],[Hole ID]]="","",
IF(COUNTIF($A$4:A374,Data_PLT[[#This Row],[Hole ID]])=1,1,
IF(A374=A373,C373+1,
COUNTIF($A$4:A374,Data_PLT[[#This Row],[Hole ID]]))))</f>
        <v/>
      </c>
      <c r="D374" s="63" t="str">
        <f>IF(Data_PLT[[#This Row],[Hole ID]]="","",Data_PLT[[#This Row],[Hole ID]]&amp;"_"&amp;Data_PLT[[#This Row],[Sample ID]])</f>
        <v/>
      </c>
      <c r="E374" s="6"/>
      <c r="F374" s="6"/>
      <c r="G374" s="63" t="e" cm="1">
        <f t="array" ref="G374">_xlfn.XLOOKUP(1,(A374=Geotech!$A$4:$A$11100)*(Data_PLT[[#This Row],[Depth (m)]]&gt;=Geotech!$C$4:$C$11100)*(Data_PLT[[#This Row],[Depth (m)]]&lt;Geotech!$D$4:$D$11100),Geotech!$M$4:$M$11100)</f>
        <v>#N/A</v>
      </c>
      <c r="H374" s="6"/>
      <c r="I374" s="63" t="e">
        <f>VLOOKUP(Data_PLT[[#This Row],[Hole ID]],Data_Log[[Hole ID]:[Core size]],20,FALSE)</f>
        <v>#N/A</v>
      </c>
      <c r="J374" s="13" t="e">
        <f>VLOOKUP(Data_PLT[[#This Row],[Core Size]],Table_CoreSize[],2,FALSE)</f>
        <v>#N/A</v>
      </c>
      <c r="K374" s="19"/>
      <c r="L374" s="19"/>
      <c r="M374" s="5"/>
      <c r="N374" s="5"/>
      <c r="O374" s="6"/>
      <c r="P374" s="13" t="str">
        <f>IF(Data_PLT[[#This Row],[Failure type]]="","",IF(OR(Data_PLT[[#This Row],[Failure type]]="Invalid",Data_PLT[[#This Row],[Failure type]]="Chipped",Data_PLT[[#This Row],[Failure type]]="Penetrate",Data_PLT[[#This Row],[Failure type]]="Did not break"),"Invalid","Valid"))</f>
        <v/>
      </c>
      <c r="Q374" s="6"/>
      <c r="R374" s="11"/>
      <c r="S374" s="13" t="str">
        <f>IF(Data_PLT[[#This Row],[Test type]]="Diametral",Data_PLT[[#This Row],[Diameter (mm)]],IF(Data_PLT[[#This Row],[Test type]]="Axial",SQRT(4*Data_PLT[[#This Row],[Diameter (mm)]]*Data_PLT[[#This Row],[Length or width (mm)]]/PI()),"ERROR"))</f>
        <v>ERROR</v>
      </c>
      <c r="T374" s="13" t="e">
        <f>(Data_PLT[[#This Row],[Load (kN)]]*1000)/Data_PLT[[#This Row],[Equiv. Diam. (mm)]]^2</f>
        <v>#VALUE!</v>
      </c>
      <c r="U374" s="13" t="e">
        <f>(Data_PLT[[#This Row],[Equiv. Diam. (mm)]]/50)^0.45</f>
        <v>#VALUE!</v>
      </c>
      <c r="V374" s="13" t="e">
        <f>Data_PLT[[#This Row],[Is (MPa)]]*Data_PLT[[#This Row],[F]]</f>
        <v>#VALUE!</v>
      </c>
      <c r="W374" s="13" t="str">
        <f>Data_PLT[[#This Row],[Failure Validity]]&amp;"-"&amp;Data_PLT[[#This Row],[Test type]]</f>
        <v>-</v>
      </c>
      <c r="X374" s="13" t="e">
        <f>Data_PLT[[#This Row],[Is50 (MPa)]]*VLOOKUP("Min",Table_PLT_Conversion[],2,FALSE)</f>
        <v>#VALUE!</v>
      </c>
      <c r="Y374" s="13" t="e">
        <f>Data_PLT[[#This Row],[Is50 (MPa)]]*VLOOKUP("Avg",Table_PLT_Conversion[],2,FALSE)</f>
        <v>#VALUE!</v>
      </c>
      <c r="Z374" s="13" t="e">
        <f>Data_PLT[[#This Row],[Is50 (MPa)]]*VLOOKUP("Max",Table_PLT_Conversion[],2,FALSE)</f>
        <v>#VALUE!</v>
      </c>
      <c r="AA374" s="62" t="e">
        <f>MATCH(LOOKUP(Data_PLT[[#This Row],[UCS min (MPa)]],Table_FieldStrength[Min UCS]),Table_FieldStrength[Min UCS],0)-1</f>
        <v>#VALUE!</v>
      </c>
      <c r="AB374" s="62" t="e">
        <f>MATCH(LOOKUP(Data_PLT[[#This Row],[UCS avg (MPa)]],Table_FieldStrength[Min UCS]),Table_FieldStrength[Min UCS],0)-1</f>
        <v>#VALUE!</v>
      </c>
      <c r="AC374" s="62" t="e">
        <f>MATCH(LOOKUP(Data_PLT[[#This Row],[UCS max (MPa)]],Table_FieldStrength[Min UCS]),Table_FieldStrength[Min UCS],0)-1</f>
        <v>#VALUE!</v>
      </c>
      <c r="AD374" s="68" t="e">
        <f>Data_PLT[[#This Row],[Test code]]&amp;"-"&amp;Data_PLT[[#This Row],[UCS min code]]</f>
        <v>#VALUE!</v>
      </c>
      <c r="AE374" s="68" t="e">
        <f>Data_PLT[[#This Row],[Test code]]&amp;"-"&amp;Data_PLT[[#This Row],[UCS avg code]]</f>
        <v>#VALUE!</v>
      </c>
      <c r="AF374" s="67" t="e">
        <f>Data_PLT[[#This Row],[Test code]]&amp;"-"&amp;Data_PLT[[#This Row],[UCS max code]]</f>
        <v>#VALUE!</v>
      </c>
      <c r="AG374" s="67" t="e">
        <f>Data_PLT[[#This Row],[Failure type]]&amp;"-"&amp;Data_PLT[[#This Row],[Test type]]&amp;"-"&amp;(IF(Data_PLT[[#This Row],[Is50 (MPa)]]&lt;1,1,IF(Data_PLT[[#This Row],[Is50 (MPa)]]&lt;2,2,IF(Data_PLT[[#This Row],[Is50 (MPa)]]&lt;4,3,IF(Data_PLT[[#This Row],[Is50 (MPa)]]&lt;8,4,5)))))</f>
        <v>#VALUE!</v>
      </c>
    </row>
    <row r="375" spans="2:33" x14ac:dyDescent="0.25">
      <c r="B375" s="88" t="e">
        <f>VLOOKUP(Data_PLT[[#This Row],[Hole ID]],Data_Log[],2,FALSE)</f>
        <v>#N/A</v>
      </c>
      <c r="C375" s="63" t="str">
        <f>IF(Data_PLT[[#This Row],[Hole ID]]="","",
IF(COUNTIF($A$4:A375,Data_PLT[[#This Row],[Hole ID]])=1,1,
IF(A375=A374,C374+1,
COUNTIF($A$4:A375,Data_PLT[[#This Row],[Hole ID]]))))</f>
        <v/>
      </c>
      <c r="D375" s="63" t="str">
        <f>IF(Data_PLT[[#This Row],[Hole ID]]="","",Data_PLT[[#This Row],[Hole ID]]&amp;"_"&amp;Data_PLT[[#This Row],[Sample ID]])</f>
        <v/>
      </c>
      <c r="E375" s="6"/>
      <c r="F375" s="6"/>
      <c r="G375" s="63" t="e" cm="1">
        <f t="array" ref="G375">_xlfn.XLOOKUP(1,(A375=Geotech!$A$4:$A$11100)*(Data_PLT[[#This Row],[Depth (m)]]&gt;=Geotech!$C$4:$C$11100)*(Data_PLT[[#This Row],[Depth (m)]]&lt;Geotech!$D$4:$D$11100),Geotech!$M$4:$M$11100)</f>
        <v>#N/A</v>
      </c>
      <c r="H375" s="6"/>
      <c r="I375" s="63" t="e">
        <f>VLOOKUP(Data_PLT[[#This Row],[Hole ID]],Data_Log[[Hole ID]:[Core size]],20,FALSE)</f>
        <v>#N/A</v>
      </c>
      <c r="J375" s="13" t="e">
        <f>VLOOKUP(Data_PLT[[#This Row],[Core Size]],Table_CoreSize[],2,FALSE)</f>
        <v>#N/A</v>
      </c>
      <c r="K375" s="19"/>
      <c r="L375" s="19"/>
      <c r="M375" s="5"/>
      <c r="N375" s="5"/>
      <c r="O375" s="6"/>
      <c r="P375" s="13" t="str">
        <f>IF(Data_PLT[[#This Row],[Failure type]]="","",IF(OR(Data_PLT[[#This Row],[Failure type]]="Invalid",Data_PLT[[#This Row],[Failure type]]="Chipped",Data_PLT[[#This Row],[Failure type]]="Penetrate",Data_PLT[[#This Row],[Failure type]]="Did not break"),"Invalid","Valid"))</f>
        <v/>
      </c>
      <c r="Q375" s="6"/>
      <c r="R375" s="11"/>
      <c r="S375" s="13" t="str">
        <f>IF(Data_PLT[[#This Row],[Test type]]="Diametral",Data_PLT[[#This Row],[Diameter (mm)]],IF(Data_PLT[[#This Row],[Test type]]="Axial",SQRT(4*Data_PLT[[#This Row],[Diameter (mm)]]*Data_PLT[[#This Row],[Length or width (mm)]]/PI()),"ERROR"))</f>
        <v>ERROR</v>
      </c>
      <c r="T375" s="13" t="e">
        <f>(Data_PLT[[#This Row],[Load (kN)]]*1000)/Data_PLT[[#This Row],[Equiv. Diam. (mm)]]^2</f>
        <v>#VALUE!</v>
      </c>
      <c r="U375" s="13" t="e">
        <f>(Data_PLT[[#This Row],[Equiv. Diam. (mm)]]/50)^0.45</f>
        <v>#VALUE!</v>
      </c>
      <c r="V375" s="13" t="e">
        <f>Data_PLT[[#This Row],[Is (MPa)]]*Data_PLT[[#This Row],[F]]</f>
        <v>#VALUE!</v>
      </c>
      <c r="W375" s="13" t="str">
        <f>Data_PLT[[#This Row],[Failure Validity]]&amp;"-"&amp;Data_PLT[[#This Row],[Test type]]</f>
        <v>-</v>
      </c>
      <c r="X375" s="13" t="e">
        <f>Data_PLT[[#This Row],[Is50 (MPa)]]*VLOOKUP("Min",Table_PLT_Conversion[],2,FALSE)</f>
        <v>#VALUE!</v>
      </c>
      <c r="Y375" s="13" t="e">
        <f>Data_PLT[[#This Row],[Is50 (MPa)]]*VLOOKUP("Avg",Table_PLT_Conversion[],2,FALSE)</f>
        <v>#VALUE!</v>
      </c>
      <c r="Z375" s="13" t="e">
        <f>Data_PLT[[#This Row],[Is50 (MPa)]]*VLOOKUP("Max",Table_PLT_Conversion[],2,FALSE)</f>
        <v>#VALUE!</v>
      </c>
      <c r="AA375" s="62" t="e">
        <f>MATCH(LOOKUP(Data_PLT[[#This Row],[UCS min (MPa)]],Table_FieldStrength[Min UCS]),Table_FieldStrength[Min UCS],0)-1</f>
        <v>#VALUE!</v>
      </c>
      <c r="AB375" s="62" t="e">
        <f>MATCH(LOOKUP(Data_PLT[[#This Row],[UCS avg (MPa)]],Table_FieldStrength[Min UCS]),Table_FieldStrength[Min UCS],0)-1</f>
        <v>#VALUE!</v>
      </c>
      <c r="AC375" s="62" t="e">
        <f>MATCH(LOOKUP(Data_PLT[[#This Row],[UCS max (MPa)]],Table_FieldStrength[Min UCS]),Table_FieldStrength[Min UCS],0)-1</f>
        <v>#VALUE!</v>
      </c>
      <c r="AD375" s="68" t="e">
        <f>Data_PLT[[#This Row],[Test code]]&amp;"-"&amp;Data_PLT[[#This Row],[UCS min code]]</f>
        <v>#VALUE!</v>
      </c>
      <c r="AE375" s="68" t="e">
        <f>Data_PLT[[#This Row],[Test code]]&amp;"-"&amp;Data_PLT[[#This Row],[UCS avg code]]</f>
        <v>#VALUE!</v>
      </c>
      <c r="AF375" s="67" t="e">
        <f>Data_PLT[[#This Row],[Test code]]&amp;"-"&amp;Data_PLT[[#This Row],[UCS max code]]</f>
        <v>#VALUE!</v>
      </c>
      <c r="AG375" s="67" t="e">
        <f>Data_PLT[[#This Row],[Failure type]]&amp;"-"&amp;Data_PLT[[#This Row],[Test type]]&amp;"-"&amp;(IF(Data_PLT[[#This Row],[Is50 (MPa)]]&lt;1,1,IF(Data_PLT[[#This Row],[Is50 (MPa)]]&lt;2,2,IF(Data_PLT[[#This Row],[Is50 (MPa)]]&lt;4,3,IF(Data_PLT[[#This Row],[Is50 (MPa)]]&lt;8,4,5)))))</f>
        <v>#VALUE!</v>
      </c>
    </row>
    <row r="376" spans="2:33" x14ac:dyDescent="0.25">
      <c r="B376" s="88" t="e">
        <f>VLOOKUP(Data_PLT[[#This Row],[Hole ID]],Data_Log[],2,FALSE)</f>
        <v>#N/A</v>
      </c>
      <c r="C376" s="63" t="str">
        <f>IF(Data_PLT[[#This Row],[Hole ID]]="","",
IF(COUNTIF($A$4:A376,Data_PLT[[#This Row],[Hole ID]])=1,1,
IF(A376=A375,C375+1,
COUNTIF($A$4:A376,Data_PLT[[#This Row],[Hole ID]]))))</f>
        <v/>
      </c>
      <c r="D376" s="63" t="str">
        <f>IF(Data_PLT[[#This Row],[Hole ID]]="","",Data_PLT[[#This Row],[Hole ID]]&amp;"_"&amp;Data_PLT[[#This Row],[Sample ID]])</f>
        <v/>
      </c>
      <c r="E376" s="6"/>
      <c r="F376" s="6"/>
      <c r="G376" s="63" t="e" cm="1">
        <f t="array" ref="G376">_xlfn.XLOOKUP(1,(A376=Geotech!$A$4:$A$11100)*(Data_PLT[[#This Row],[Depth (m)]]&gt;=Geotech!$C$4:$C$11100)*(Data_PLT[[#This Row],[Depth (m)]]&lt;Geotech!$D$4:$D$11100),Geotech!$M$4:$M$11100)</f>
        <v>#N/A</v>
      </c>
      <c r="H376" s="6"/>
      <c r="I376" s="63" t="e">
        <f>VLOOKUP(Data_PLT[[#This Row],[Hole ID]],Data_Log[[Hole ID]:[Core size]],20,FALSE)</f>
        <v>#N/A</v>
      </c>
      <c r="J376" s="13" t="e">
        <f>VLOOKUP(Data_PLT[[#This Row],[Core Size]],Table_CoreSize[],2,FALSE)</f>
        <v>#N/A</v>
      </c>
      <c r="K376" s="19"/>
      <c r="L376" s="19"/>
      <c r="M376" s="5"/>
      <c r="N376" s="5"/>
      <c r="O376" s="6"/>
      <c r="P376" s="13" t="str">
        <f>IF(Data_PLT[[#This Row],[Failure type]]="","",IF(OR(Data_PLT[[#This Row],[Failure type]]="Invalid",Data_PLT[[#This Row],[Failure type]]="Chipped",Data_PLT[[#This Row],[Failure type]]="Penetrate",Data_PLT[[#This Row],[Failure type]]="Did not break"),"Invalid","Valid"))</f>
        <v/>
      </c>
      <c r="Q376" s="6"/>
      <c r="R376" s="11"/>
      <c r="S376" s="13" t="str">
        <f>IF(Data_PLT[[#This Row],[Test type]]="Diametral",Data_PLT[[#This Row],[Diameter (mm)]],IF(Data_PLT[[#This Row],[Test type]]="Axial",SQRT(4*Data_PLT[[#This Row],[Diameter (mm)]]*Data_PLT[[#This Row],[Length or width (mm)]]/PI()),"ERROR"))</f>
        <v>ERROR</v>
      </c>
      <c r="T376" s="13" t="e">
        <f>(Data_PLT[[#This Row],[Load (kN)]]*1000)/Data_PLT[[#This Row],[Equiv. Diam. (mm)]]^2</f>
        <v>#VALUE!</v>
      </c>
      <c r="U376" s="13" t="e">
        <f>(Data_PLT[[#This Row],[Equiv. Diam. (mm)]]/50)^0.45</f>
        <v>#VALUE!</v>
      </c>
      <c r="V376" s="13" t="e">
        <f>Data_PLT[[#This Row],[Is (MPa)]]*Data_PLT[[#This Row],[F]]</f>
        <v>#VALUE!</v>
      </c>
      <c r="W376" s="13" t="str">
        <f>Data_PLT[[#This Row],[Failure Validity]]&amp;"-"&amp;Data_PLT[[#This Row],[Test type]]</f>
        <v>-</v>
      </c>
      <c r="X376" s="13" t="e">
        <f>Data_PLT[[#This Row],[Is50 (MPa)]]*VLOOKUP("Min",Table_PLT_Conversion[],2,FALSE)</f>
        <v>#VALUE!</v>
      </c>
      <c r="Y376" s="13" t="e">
        <f>Data_PLT[[#This Row],[Is50 (MPa)]]*VLOOKUP("Avg",Table_PLT_Conversion[],2,FALSE)</f>
        <v>#VALUE!</v>
      </c>
      <c r="Z376" s="13" t="e">
        <f>Data_PLT[[#This Row],[Is50 (MPa)]]*VLOOKUP("Max",Table_PLT_Conversion[],2,FALSE)</f>
        <v>#VALUE!</v>
      </c>
      <c r="AA376" s="62" t="e">
        <f>MATCH(LOOKUP(Data_PLT[[#This Row],[UCS min (MPa)]],Table_FieldStrength[Min UCS]),Table_FieldStrength[Min UCS],0)-1</f>
        <v>#VALUE!</v>
      </c>
      <c r="AB376" s="62" t="e">
        <f>MATCH(LOOKUP(Data_PLT[[#This Row],[UCS avg (MPa)]],Table_FieldStrength[Min UCS]),Table_FieldStrength[Min UCS],0)-1</f>
        <v>#VALUE!</v>
      </c>
      <c r="AC376" s="62" t="e">
        <f>MATCH(LOOKUP(Data_PLT[[#This Row],[UCS max (MPa)]],Table_FieldStrength[Min UCS]),Table_FieldStrength[Min UCS],0)-1</f>
        <v>#VALUE!</v>
      </c>
      <c r="AD376" s="68" t="e">
        <f>Data_PLT[[#This Row],[Test code]]&amp;"-"&amp;Data_PLT[[#This Row],[UCS min code]]</f>
        <v>#VALUE!</v>
      </c>
      <c r="AE376" s="68" t="e">
        <f>Data_PLT[[#This Row],[Test code]]&amp;"-"&amp;Data_PLT[[#This Row],[UCS avg code]]</f>
        <v>#VALUE!</v>
      </c>
      <c r="AF376" s="67" t="e">
        <f>Data_PLT[[#This Row],[Test code]]&amp;"-"&amp;Data_PLT[[#This Row],[UCS max code]]</f>
        <v>#VALUE!</v>
      </c>
      <c r="AG376" s="67" t="e">
        <f>Data_PLT[[#This Row],[Failure type]]&amp;"-"&amp;Data_PLT[[#This Row],[Test type]]&amp;"-"&amp;(IF(Data_PLT[[#This Row],[Is50 (MPa)]]&lt;1,1,IF(Data_PLT[[#This Row],[Is50 (MPa)]]&lt;2,2,IF(Data_PLT[[#This Row],[Is50 (MPa)]]&lt;4,3,IF(Data_PLT[[#This Row],[Is50 (MPa)]]&lt;8,4,5)))))</f>
        <v>#VALUE!</v>
      </c>
    </row>
    <row r="377" spans="2:33" x14ac:dyDescent="0.25">
      <c r="B377" s="88" t="e">
        <f>VLOOKUP(Data_PLT[[#This Row],[Hole ID]],Data_Log[],2,FALSE)</f>
        <v>#N/A</v>
      </c>
      <c r="C377" s="63" t="str">
        <f>IF(Data_PLT[[#This Row],[Hole ID]]="","",
IF(COUNTIF($A$4:A377,Data_PLT[[#This Row],[Hole ID]])=1,1,
IF(A377=A376,C376+1,
COUNTIF($A$4:A377,Data_PLT[[#This Row],[Hole ID]]))))</f>
        <v/>
      </c>
      <c r="D377" s="63" t="str">
        <f>IF(Data_PLT[[#This Row],[Hole ID]]="","",Data_PLT[[#This Row],[Hole ID]]&amp;"_"&amp;Data_PLT[[#This Row],[Sample ID]])</f>
        <v/>
      </c>
      <c r="E377" s="6"/>
      <c r="F377" s="6"/>
      <c r="G377" s="63" t="e" cm="1">
        <f t="array" ref="G377">_xlfn.XLOOKUP(1,(A377=Geotech!$A$4:$A$11100)*(Data_PLT[[#This Row],[Depth (m)]]&gt;=Geotech!$C$4:$C$11100)*(Data_PLT[[#This Row],[Depth (m)]]&lt;Geotech!$D$4:$D$11100),Geotech!$M$4:$M$11100)</f>
        <v>#N/A</v>
      </c>
      <c r="H377" s="6"/>
      <c r="I377" s="63" t="e">
        <f>VLOOKUP(Data_PLT[[#This Row],[Hole ID]],Data_Log[[Hole ID]:[Core size]],20,FALSE)</f>
        <v>#N/A</v>
      </c>
      <c r="J377" s="13" t="e">
        <f>VLOOKUP(Data_PLT[[#This Row],[Core Size]],Table_CoreSize[],2,FALSE)</f>
        <v>#N/A</v>
      </c>
      <c r="K377" s="19"/>
      <c r="L377" s="19"/>
      <c r="M377" s="5"/>
      <c r="N377" s="5"/>
      <c r="O377" s="6"/>
      <c r="P377" s="13" t="str">
        <f>IF(Data_PLT[[#This Row],[Failure type]]="","",IF(OR(Data_PLT[[#This Row],[Failure type]]="Invalid",Data_PLT[[#This Row],[Failure type]]="Chipped",Data_PLT[[#This Row],[Failure type]]="Penetrate",Data_PLT[[#This Row],[Failure type]]="Did not break"),"Invalid","Valid"))</f>
        <v/>
      </c>
      <c r="Q377" s="6"/>
      <c r="R377" s="11"/>
      <c r="S377" s="13" t="str">
        <f>IF(Data_PLT[[#This Row],[Test type]]="Diametral",Data_PLT[[#This Row],[Diameter (mm)]],IF(Data_PLT[[#This Row],[Test type]]="Axial",SQRT(4*Data_PLT[[#This Row],[Diameter (mm)]]*Data_PLT[[#This Row],[Length or width (mm)]]/PI()),"ERROR"))</f>
        <v>ERROR</v>
      </c>
      <c r="T377" s="13" t="e">
        <f>(Data_PLT[[#This Row],[Load (kN)]]*1000)/Data_PLT[[#This Row],[Equiv. Diam. (mm)]]^2</f>
        <v>#VALUE!</v>
      </c>
      <c r="U377" s="13" t="e">
        <f>(Data_PLT[[#This Row],[Equiv. Diam. (mm)]]/50)^0.45</f>
        <v>#VALUE!</v>
      </c>
      <c r="V377" s="13" t="e">
        <f>Data_PLT[[#This Row],[Is (MPa)]]*Data_PLT[[#This Row],[F]]</f>
        <v>#VALUE!</v>
      </c>
      <c r="W377" s="13" t="str">
        <f>Data_PLT[[#This Row],[Failure Validity]]&amp;"-"&amp;Data_PLT[[#This Row],[Test type]]</f>
        <v>-</v>
      </c>
      <c r="X377" s="13" t="e">
        <f>Data_PLT[[#This Row],[Is50 (MPa)]]*VLOOKUP("Min",Table_PLT_Conversion[],2,FALSE)</f>
        <v>#VALUE!</v>
      </c>
      <c r="Y377" s="13" t="e">
        <f>Data_PLT[[#This Row],[Is50 (MPa)]]*VLOOKUP("Avg",Table_PLT_Conversion[],2,FALSE)</f>
        <v>#VALUE!</v>
      </c>
      <c r="Z377" s="13" t="e">
        <f>Data_PLT[[#This Row],[Is50 (MPa)]]*VLOOKUP("Max",Table_PLT_Conversion[],2,FALSE)</f>
        <v>#VALUE!</v>
      </c>
      <c r="AA377" s="62" t="e">
        <f>MATCH(LOOKUP(Data_PLT[[#This Row],[UCS min (MPa)]],Table_FieldStrength[Min UCS]),Table_FieldStrength[Min UCS],0)-1</f>
        <v>#VALUE!</v>
      </c>
      <c r="AB377" s="62" t="e">
        <f>MATCH(LOOKUP(Data_PLT[[#This Row],[UCS avg (MPa)]],Table_FieldStrength[Min UCS]),Table_FieldStrength[Min UCS],0)-1</f>
        <v>#VALUE!</v>
      </c>
      <c r="AC377" s="62" t="e">
        <f>MATCH(LOOKUP(Data_PLT[[#This Row],[UCS max (MPa)]],Table_FieldStrength[Min UCS]),Table_FieldStrength[Min UCS],0)-1</f>
        <v>#VALUE!</v>
      </c>
      <c r="AD377" s="68" t="e">
        <f>Data_PLT[[#This Row],[Test code]]&amp;"-"&amp;Data_PLT[[#This Row],[UCS min code]]</f>
        <v>#VALUE!</v>
      </c>
      <c r="AE377" s="68" t="e">
        <f>Data_PLT[[#This Row],[Test code]]&amp;"-"&amp;Data_PLT[[#This Row],[UCS avg code]]</f>
        <v>#VALUE!</v>
      </c>
      <c r="AF377" s="67" t="e">
        <f>Data_PLT[[#This Row],[Test code]]&amp;"-"&amp;Data_PLT[[#This Row],[UCS max code]]</f>
        <v>#VALUE!</v>
      </c>
      <c r="AG377" s="67" t="e">
        <f>Data_PLT[[#This Row],[Failure type]]&amp;"-"&amp;Data_PLT[[#This Row],[Test type]]&amp;"-"&amp;(IF(Data_PLT[[#This Row],[Is50 (MPa)]]&lt;1,1,IF(Data_PLT[[#This Row],[Is50 (MPa)]]&lt;2,2,IF(Data_PLT[[#This Row],[Is50 (MPa)]]&lt;4,3,IF(Data_PLT[[#This Row],[Is50 (MPa)]]&lt;8,4,5)))))</f>
        <v>#VALUE!</v>
      </c>
    </row>
    <row r="378" spans="2:33" x14ac:dyDescent="0.25">
      <c r="B378" s="88" t="e">
        <f>VLOOKUP(Data_PLT[[#This Row],[Hole ID]],Data_Log[],2,FALSE)</f>
        <v>#N/A</v>
      </c>
      <c r="C378" s="63" t="str">
        <f>IF(Data_PLT[[#This Row],[Hole ID]]="","",
IF(COUNTIF($A$4:A378,Data_PLT[[#This Row],[Hole ID]])=1,1,
IF(A378=A377,C377+1,
COUNTIF($A$4:A378,Data_PLT[[#This Row],[Hole ID]]))))</f>
        <v/>
      </c>
      <c r="D378" s="63" t="str">
        <f>IF(Data_PLT[[#This Row],[Hole ID]]="","",Data_PLT[[#This Row],[Hole ID]]&amp;"_"&amp;Data_PLT[[#This Row],[Sample ID]])</f>
        <v/>
      </c>
      <c r="E378" s="6"/>
      <c r="F378" s="6"/>
      <c r="G378" s="63" t="e" cm="1">
        <f t="array" ref="G378">_xlfn.XLOOKUP(1,(A378=Geotech!$A$4:$A$11100)*(Data_PLT[[#This Row],[Depth (m)]]&gt;=Geotech!$C$4:$C$11100)*(Data_PLT[[#This Row],[Depth (m)]]&lt;Geotech!$D$4:$D$11100),Geotech!$M$4:$M$11100)</f>
        <v>#N/A</v>
      </c>
      <c r="H378" s="6"/>
      <c r="I378" s="63" t="e">
        <f>VLOOKUP(Data_PLT[[#This Row],[Hole ID]],Data_Log[[Hole ID]:[Core size]],20,FALSE)</f>
        <v>#N/A</v>
      </c>
      <c r="J378" s="13" t="e">
        <f>VLOOKUP(Data_PLT[[#This Row],[Core Size]],Table_CoreSize[],2,FALSE)</f>
        <v>#N/A</v>
      </c>
      <c r="K378" s="19"/>
      <c r="L378" s="19"/>
      <c r="M378" s="5"/>
      <c r="N378" s="5"/>
      <c r="O378" s="6"/>
      <c r="P378" s="13" t="str">
        <f>IF(Data_PLT[[#This Row],[Failure type]]="","",IF(OR(Data_PLT[[#This Row],[Failure type]]="Invalid",Data_PLT[[#This Row],[Failure type]]="Chipped",Data_PLT[[#This Row],[Failure type]]="Penetrate",Data_PLT[[#This Row],[Failure type]]="Did not break"),"Invalid","Valid"))</f>
        <v/>
      </c>
      <c r="Q378" s="6"/>
      <c r="R378" s="11"/>
      <c r="S378" s="13" t="str">
        <f>IF(Data_PLT[[#This Row],[Test type]]="Diametral",Data_PLT[[#This Row],[Diameter (mm)]],IF(Data_PLT[[#This Row],[Test type]]="Axial",SQRT(4*Data_PLT[[#This Row],[Diameter (mm)]]*Data_PLT[[#This Row],[Length or width (mm)]]/PI()),"ERROR"))</f>
        <v>ERROR</v>
      </c>
      <c r="T378" s="13" t="e">
        <f>(Data_PLT[[#This Row],[Load (kN)]]*1000)/Data_PLT[[#This Row],[Equiv. Diam. (mm)]]^2</f>
        <v>#VALUE!</v>
      </c>
      <c r="U378" s="13" t="e">
        <f>(Data_PLT[[#This Row],[Equiv. Diam. (mm)]]/50)^0.45</f>
        <v>#VALUE!</v>
      </c>
      <c r="V378" s="13" t="e">
        <f>Data_PLT[[#This Row],[Is (MPa)]]*Data_PLT[[#This Row],[F]]</f>
        <v>#VALUE!</v>
      </c>
      <c r="W378" s="13" t="str">
        <f>Data_PLT[[#This Row],[Failure Validity]]&amp;"-"&amp;Data_PLT[[#This Row],[Test type]]</f>
        <v>-</v>
      </c>
      <c r="X378" s="13" t="e">
        <f>Data_PLT[[#This Row],[Is50 (MPa)]]*VLOOKUP("Min",Table_PLT_Conversion[],2,FALSE)</f>
        <v>#VALUE!</v>
      </c>
      <c r="Y378" s="13" t="e">
        <f>Data_PLT[[#This Row],[Is50 (MPa)]]*VLOOKUP("Avg",Table_PLT_Conversion[],2,FALSE)</f>
        <v>#VALUE!</v>
      </c>
      <c r="Z378" s="13" t="e">
        <f>Data_PLT[[#This Row],[Is50 (MPa)]]*VLOOKUP("Max",Table_PLT_Conversion[],2,FALSE)</f>
        <v>#VALUE!</v>
      </c>
      <c r="AA378" s="62" t="e">
        <f>MATCH(LOOKUP(Data_PLT[[#This Row],[UCS min (MPa)]],Table_FieldStrength[Min UCS]),Table_FieldStrength[Min UCS],0)-1</f>
        <v>#VALUE!</v>
      </c>
      <c r="AB378" s="62" t="e">
        <f>MATCH(LOOKUP(Data_PLT[[#This Row],[UCS avg (MPa)]],Table_FieldStrength[Min UCS]),Table_FieldStrength[Min UCS],0)-1</f>
        <v>#VALUE!</v>
      </c>
      <c r="AC378" s="62" t="e">
        <f>MATCH(LOOKUP(Data_PLT[[#This Row],[UCS max (MPa)]],Table_FieldStrength[Min UCS]),Table_FieldStrength[Min UCS],0)-1</f>
        <v>#VALUE!</v>
      </c>
      <c r="AD378" s="68" t="e">
        <f>Data_PLT[[#This Row],[Test code]]&amp;"-"&amp;Data_PLT[[#This Row],[UCS min code]]</f>
        <v>#VALUE!</v>
      </c>
      <c r="AE378" s="68" t="e">
        <f>Data_PLT[[#This Row],[Test code]]&amp;"-"&amp;Data_PLT[[#This Row],[UCS avg code]]</f>
        <v>#VALUE!</v>
      </c>
      <c r="AF378" s="67" t="e">
        <f>Data_PLT[[#This Row],[Test code]]&amp;"-"&amp;Data_PLT[[#This Row],[UCS max code]]</f>
        <v>#VALUE!</v>
      </c>
      <c r="AG378" s="67" t="e">
        <f>Data_PLT[[#This Row],[Failure type]]&amp;"-"&amp;Data_PLT[[#This Row],[Test type]]&amp;"-"&amp;(IF(Data_PLT[[#This Row],[Is50 (MPa)]]&lt;1,1,IF(Data_PLT[[#This Row],[Is50 (MPa)]]&lt;2,2,IF(Data_PLT[[#This Row],[Is50 (MPa)]]&lt;4,3,IF(Data_PLT[[#This Row],[Is50 (MPa)]]&lt;8,4,5)))))</f>
        <v>#VALUE!</v>
      </c>
    </row>
    <row r="379" spans="2:33" x14ac:dyDescent="0.25">
      <c r="B379" s="88" t="e">
        <f>VLOOKUP(Data_PLT[[#This Row],[Hole ID]],Data_Log[],2,FALSE)</f>
        <v>#N/A</v>
      </c>
      <c r="C379" s="63" t="str">
        <f>IF(Data_PLT[[#This Row],[Hole ID]]="","",
IF(COUNTIF($A$4:A379,Data_PLT[[#This Row],[Hole ID]])=1,1,
IF(A379=A378,C378+1,
COUNTIF($A$4:A379,Data_PLT[[#This Row],[Hole ID]]))))</f>
        <v/>
      </c>
      <c r="D379" s="63" t="str">
        <f>IF(Data_PLT[[#This Row],[Hole ID]]="","",Data_PLT[[#This Row],[Hole ID]]&amp;"_"&amp;Data_PLT[[#This Row],[Sample ID]])</f>
        <v/>
      </c>
      <c r="E379" s="6"/>
      <c r="F379" s="6"/>
      <c r="G379" s="63" t="e" cm="1">
        <f t="array" ref="G379">_xlfn.XLOOKUP(1,(A379=Geotech!$A$4:$A$11100)*(Data_PLT[[#This Row],[Depth (m)]]&gt;=Geotech!$C$4:$C$11100)*(Data_PLT[[#This Row],[Depth (m)]]&lt;Geotech!$D$4:$D$11100),Geotech!$M$4:$M$11100)</f>
        <v>#N/A</v>
      </c>
      <c r="H379" s="6"/>
      <c r="I379" s="63" t="e">
        <f>VLOOKUP(Data_PLT[[#This Row],[Hole ID]],Data_Log[[Hole ID]:[Core size]],20,FALSE)</f>
        <v>#N/A</v>
      </c>
      <c r="J379" s="13" t="e">
        <f>VLOOKUP(Data_PLT[[#This Row],[Core Size]],Table_CoreSize[],2,FALSE)</f>
        <v>#N/A</v>
      </c>
      <c r="K379" s="19"/>
      <c r="L379" s="19"/>
      <c r="M379" s="5"/>
      <c r="N379" s="5"/>
      <c r="O379" s="6"/>
      <c r="P379" s="13" t="str">
        <f>IF(Data_PLT[[#This Row],[Failure type]]="","",IF(OR(Data_PLT[[#This Row],[Failure type]]="Invalid",Data_PLT[[#This Row],[Failure type]]="Chipped",Data_PLT[[#This Row],[Failure type]]="Penetrate",Data_PLT[[#This Row],[Failure type]]="Did not break"),"Invalid","Valid"))</f>
        <v/>
      </c>
      <c r="Q379" s="6"/>
      <c r="R379" s="11"/>
      <c r="S379" s="13" t="str">
        <f>IF(Data_PLT[[#This Row],[Test type]]="Diametral",Data_PLT[[#This Row],[Diameter (mm)]],IF(Data_PLT[[#This Row],[Test type]]="Axial",SQRT(4*Data_PLT[[#This Row],[Diameter (mm)]]*Data_PLT[[#This Row],[Length or width (mm)]]/PI()),"ERROR"))</f>
        <v>ERROR</v>
      </c>
      <c r="T379" s="13" t="e">
        <f>(Data_PLT[[#This Row],[Load (kN)]]*1000)/Data_PLT[[#This Row],[Equiv. Diam. (mm)]]^2</f>
        <v>#VALUE!</v>
      </c>
      <c r="U379" s="13" t="e">
        <f>(Data_PLT[[#This Row],[Equiv. Diam. (mm)]]/50)^0.45</f>
        <v>#VALUE!</v>
      </c>
      <c r="V379" s="13" t="e">
        <f>Data_PLT[[#This Row],[Is (MPa)]]*Data_PLT[[#This Row],[F]]</f>
        <v>#VALUE!</v>
      </c>
      <c r="W379" s="13" t="str">
        <f>Data_PLT[[#This Row],[Failure Validity]]&amp;"-"&amp;Data_PLT[[#This Row],[Test type]]</f>
        <v>-</v>
      </c>
      <c r="X379" s="13" t="e">
        <f>Data_PLT[[#This Row],[Is50 (MPa)]]*VLOOKUP("Min",Table_PLT_Conversion[],2,FALSE)</f>
        <v>#VALUE!</v>
      </c>
      <c r="Y379" s="13" t="e">
        <f>Data_PLT[[#This Row],[Is50 (MPa)]]*VLOOKUP("Avg",Table_PLT_Conversion[],2,FALSE)</f>
        <v>#VALUE!</v>
      </c>
      <c r="Z379" s="13" t="e">
        <f>Data_PLT[[#This Row],[Is50 (MPa)]]*VLOOKUP("Max",Table_PLT_Conversion[],2,FALSE)</f>
        <v>#VALUE!</v>
      </c>
      <c r="AA379" s="62" t="e">
        <f>MATCH(LOOKUP(Data_PLT[[#This Row],[UCS min (MPa)]],Table_FieldStrength[Min UCS]),Table_FieldStrength[Min UCS],0)-1</f>
        <v>#VALUE!</v>
      </c>
      <c r="AB379" s="62" t="e">
        <f>MATCH(LOOKUP(Data_PLT[[#This Row],[UCS avg (MPa)]],Table_FieldStrength[Min UCS]),Table_FieldStrength[Min UCS],0)-1</f>
        <v>#VALUE!</v>
      </c>
      <c r="AC379" s="62" t="e">
        <f>MATCH(LOOKUP(Data_PLT[[#This Row],[UCS max (MPa)]],Table_FieldStrength[Min UCS]),Table_FieldStrength[Min UCS],0)-1</f>
        <v>#VALUE!</v>
      </c>
      <c r="AD379" s="68" t="e">
        <f>Data_PLT[[#This Row],[Test code]]&amp;"-"&amp;Data_PLT[[#This Row],[UCS min code]]</f>
        <v>#VALUE!</v>
      </c>
      <c r="AE379" s="68" t="e">
        <f>Data_PLT[[#This Row],[Test code]]&amp;"-"&amp;Data_PLT[[#This Row],[UCS avg code]]</f>
        <v>#VALUE!</v>
      </c>
      <c r="AF379" s="67" t="e">
        <f>Data_PLT[[#This Row],[Test code]]&amp;"-"&amp;Data_PLT[[#This Row],[UCS max code]]</f>
        <v>#VALUE!</v>
      </c>
      <c r="AG379" s="67" t="e">
        <f>Data_PLT[[#This Row],[Failure type]]&amp;"-"&amp;Data_PLT[[#This Row],[Test type]]&amp;"-"&amp;(IF(Data_PLT[[#This Row],[Is50 (MPa)]]&lt;1,1,IF(Data_PLT[[#This Row],[Is50 (MPa)]]&lt;2,2,IF(Data_PLT[[#This Row],[Is50 (MPa)]]&lt;4,3,IF(Data_PLT[[#This Row],[Is50 (MPa)]]&lt;8,4,5)))))</f>
        <v>#VALUE!</v>
      </c>
    </row>
    <row r="380" spans="2:33" x14ac:dyDescent="0.25">
      <c r="B380" s="88" t="e">
        <f>VLOOKUP(Data_PLT[[#This Row],[Hole ID]],Data_Log[],2,FALSE)</f>
        <v>#N/A</v>
      </c>
      <c r="C380" s="63" t="str">
        <f>IF(Data_PLT[[#This Row],[Hole ID]]="","",
IF(COUNTIF($A$4:A380,Data_PLT[[#This Row],[Hole ID]])=1,1,
IF(A380=A379,C379+1,
COUNTIF($A$4:A380,Data_PLT[[#This Row],[Hole ID]]))))</f>
        <v/>
      </c>
      <c r="D380" s="63" t="str">
        <f>IF(Data_PLT[[#This Row],[Hole ID]]="","",Data_PLT[[#This Row],[Hole ID]]&amp;"_"&amp;Data_PLT[[#This Row],[Sample ID]])</f>
        <v/>
      </c>
      <c r="E380" s="6"/>
      <c r="F380" s="6"/>
      <c r="G380" s="63" t="e" cm="1">
        <f t="array" ref="G380">_xlfn.XLOOKUP(1,(A380=Geotech!$A$4:$A$11100)*(Data_PLT[[#This Row],[Depth (m)]]&gt;=Geotech!$C$4:$C$11100)*(Data_PLT[[#This Row],[Depth (m)]]&lt;Geotech!$D$4:$D$11100),Geotech!$M$4:$M$11100)</f>
        <v>#N/A</v>
      </c>
      <c r="H380" s="6"/>
      <c r="I380" s="63" t="e">
        <f>VLOOKUP(Data_PLT[[#This Row],[Hole ID]],Data_Log[[Hole ID]:[Core size]],20,FALSE)</f>
        <v>#N/A</v>
      </c>
      <c r="J380" s="13" t="e">
        <f>VLOOKUP(Data_PLT[[#This Row],[Core Size]],Table_CoreSize[],2,FALSE)</f>
        <v>#N/A</v>
      </c>
      <c r="K380" s="19"/>
      <c r="L380" s="19"/>
      <c r="M380" s="5"/>
      <c r="N380" s="5"/>
      <c r="O380" s="6"/>
      <c r="P380" s="13" t="str">
        <f>IF(Data_PLT[[#This Row],[Failure type]]="","",IF(OR(Data_PLT[[#This Row],[Failure type]]="Invalid",Data_PLT[[#This Row],[Failure type]]="Chipped",Data_PLT[[#This Row],[Failure type]]="Penetrate",Data_PLT[[#This Row],[Failure type]]="Did not break"),"Invalid","Valid"))</f>
        <v/>
      </c>
      <c r="Q380" s="6"/>
      <c r="R380" s="11"/>
      <c r="S380" s="13" t="str">
        <f>IF(Data_PLT[[#This Row],[Test type]]="Diametral",Data_PLT[[#This Row],[Diameter (mm)]],IF(Data_PLT[[#This Row],[Test type]]="Axial",SQRT(4*Data_PLT[[#This Row],[Diameter (mm)]]*Data_PLT[[#This Row],[Length or width (mm)]]/PI()),"ERROR"))</f>
        <v>ERROR</v>
      </c>
      <c r="T380" s="13" t="e">
        <f>(Data_PLT[[#This Row],[Load (kN)]]*1000)/Data_PLT[[#This Row],[Equiv. Diam. (mm)]]^2</f>
        <v>#VALUE!</v>
      </c>
      <c r="U380" s="13" t="e">
        <f>(Data_PLT[[#This Row],[Equiv. Diam. (mm)]]/50)^0.45</f>
        <v>#VALUE!</v>
      </c>
      <c r="V380" s="13" t="e">
        <f>Data_PLT[[#This Row],[Is (MPa)]]*Data_PLT[[#This Row],[F]]</f>
        <v>#VALUE!</v>
      </c>
      <c r="W380" s="13" t="str">
        <f>Data_PLT[[#This Row],[Failure Validity]]&amp;"-"&amp;Data_PLT[[#This Row],[Test type]]</f>
        <v>-</v>
      </c>
      <c r="X380" s="13" t="e">
        <f>Data_PLT[[#This Row],[Is50 (MPa)]]*VLOOKUP("Min",Table_PLT_Conversion[],2,FALSE)</f>
        <v>#VALUE!</v>
      </c>
      <c r="Y380" s="13" t="e">
        <f>Data_PLT[[#This Row],[Is50 (MPa)]]*VLOOKUP("Avg",Table_PLT_Conversion[],2,FALSE)</f>
        <v>#VALUE!</v>
      </c>
      <c r="Z380" s="13" t="e">
        <f>Data_PLT[[#This Row],[Is50 (MPa)]]*VLOOKUP("Max",Table_PLT_Conversion[],2,FALSE)</f>
        <v>#VALUE!</v>
      </c>
      <c r="AA380" s="62" t="e">
        <f>MATCH(LOOKUP(Data_PLT[[#This Row],[UCS min (MPa)]],Table_FieldStrength[Min UCS]),Table_FieldStrength[Min UCS],0)-1</f>
        <v>#VALUE!</v>
      </c>
      <c r="AB380" s="62" t="e">
        <f>MATCH(LOOKUP(Data_PLT[[#This Row],[UCS avg (MPa)]],Table_FieldStrength[Min UCS]),Table_FieldStrength[Min UCS],0)-1</f>
        <v>#VALUE!</v>
      </c>
      <c r="AC380" s="62" t="e">
        <f>MATCH(LOOKUP(Data_PLT[[#This Row],[UCS max (MPa)]],Table_FieldStrength[Min UCS]),Table_FieldStrength[Min UCS],0)-1</f>
        <v>#VALUE!</v>
      </c>
      <c r="AD380" s="68" t="e">
        <f>Data_PLT[[#This Row],[Test code]]&amp;"-"&amp;Data_PLT[[#This Row],[UCS min code]]</f>
        <v>#VALUE!</v>
      </c>
      <c r="AE380" s="68" t="e">
        <f>Data_PLT[[#This Row],[Test code]]&amp;"-"&amp;Data_PLT[[#This Row],[UCS avg code]]</f>
        <v>#VALUE!</v>
      </c>
      <c r="AF380" s="67" t="e">
        <f>Data_PLT[[#This Row],[Test code]]&amp;"-"&amp;Data_PLT[[#This Row],[UCS max code]]</f>
        <v>#VALUE!</v>
      </c>
      <c r="AG380" s="67" t="e">
        <f>Data_PLT[[#This Row],[Failure type]]&amp;"-"&amp;Data_PLT[[#This Row],[Test type]]&amp;"-"&amp;(IF(Data_PLT[[#This Row],[Is50 (MPa)]]&lt;1,1,IF(Data_PLT[[#This Row],[Is50 (MPa)]]&lt;2,2,IF(Data_PLT[[#This Row],[Is50 (MPa)]]&lt;4,3,IF(Data_PLT[[#This Row],[Is50 (MPa)]]&lt;8,4,5)))))</f>
        <v>#VALUE!</v>
      </c>
    </row>
    <row r="381" spans="2:33" x14ac:dyDescent="0.25">
      <c r="B381" s="88" t="e">
        <f>VLOOKUP(Data_PLT[[#This Row],[Hole ID]],Data_Log[],2,FALSE)</f>
        <v>#N/A</v>
      </c>
      <c r="C381" s="63" t="str">
        <f>IF(Data_PLT[[#This Row],[Hole ID]]="","",
IF(COUNTIF($A$4:A381,Data_PLT[[#This Row],[Hole ID]])=1,1,
IF(A381=A380,C380+1,
COUNTIF($A$4:A381,Data_PLT[[#This Row],[Hole ID]]))))</f>
        <v/>
      </c>
      <c r="D381" s="63" t="str">
        <f>IF(Data_PLT[[#This Row],[Hole ID]]="","",Data_PLT[[#This Row],[Hole ID]]&amp;"_"&amp;Data_PLT[[#This Row],[Sample ID]])</f>
        <v/>
      </c>
      <c r="E381" s="6"/>
      <c r="F381" s="6"/>
      <c r="G381" s="63" t="e" cm="1">
        <f t="array" ref="G381">_xlfn.XLOOKUP(1,(A381=Geotech!$A$4:$A$11100)*(Data_PLT[[#This Row],[Depth (m)]]&gt;=Geotech!$C$4:$C$11100)*(Data_PLT[[#This Row],[Depth (m)]]&lt;Geotech!$D$4:$D$11100),Geotech!$M$4:$M$11100)</f>
        <v>#N/A</v>
      </c>
      <c r="H381" s="6"/>
      <c r="I381" s="63" t="e">
        <f>VLOOKUP(Data_PLT[[#This Row],[Hole ID]],Data_Log[[Hole ID]:[Core size]],20,FALSE)</f>
        <v>#N/A</v>
      </c>
      <c r="J381" s="13" t="e">
        <f>VLOOKUP(Data_PLT[[#This Row],[Core Size]],Table_CoreSize[],2,FALSE)</f>
        <v>#N/A</v>
      </c>
      <c r="K381" s="19"/>
      <c r="L381" s="19"/>
      <c r="M381" s="5"/>
      <c r="N381" s="5"/>
      <c r="O381" s="6"/>
      <c r="P381" s="13" t="str">
        <f>IF(Data_PLT[[#This Row],[Failure type]]="","",IF(OR(Data_PLT[[#This Row],[Failure type]]="Invalid",Data_PLT[[#This Row],[Failure type]]="Chipped",Data_PLT[[#This Row],[Failure type]]="Penetrate",Data_PLT[[#This Row],[Failure type]]="Did not break"),"Invalid","Valid"))</f>
        <v/>
      </c>
      <c r="Q381" s="6"/>
      <c r="R381" s="11"/>
      <c r="S381" s="13" t="str">
        <f>IF(Data_PLT[[#This Row],[Test type]]="Diametral",Data_PLT[[#This Row],[Diameter (mm)]],IF(Data_PLT[[#This Row],[Test type]]="Axial",SQRT(4*Data_PLT[[#This Row],[Diameter (mm)]]*Data_PLT[[#This Row],[Length or width (mm)]]/PI()),"ERROR"))</f>
        <v>ERROR</v>
      </c>
      <c r="T381" s="13" t="e">
        <f>(Data_PLT[[#This Row],[Load (kN)]]*1000)/Data_PLT[[#This Row],[Equiv. Diam. (mm)]]^2</f>
        <v>#VALUE!</v>
      </c>
      <c r="U381" s="13" t="e">
        <f>(Data_PLT[[#This Row],[Equiv. Diam. (mm)]]/50)^0.45</f>
        <v>#VALUE!</v>
      </c>
      <c r="V381" s="13" t="e">
        <f>Data_PLT[[#This Row],[Is (MPa)]]*Data_PLT[[#This Row],[F]]</f>
        <v>#VALUE!</v>
      </c>
      <c r="W381" s="13" t="str">
        <f>Data_PLT[[#This Row],[Failure Validity]]&amp;"-"&amp;Data_PLT[[#This Row],[Test type]]</f>
        <v>-</v>
      </c>
      <c r="X381" s="13" t="e">
        <f>Data_PLT[[#This Row],[Is50 (MPa)]]*VLOOKUP("Min",Table_PLT_Conversion[],2,FALSE)</f>
        <v>#VALUE!</v>
      </c>
      <c r="Y381" s="13" t="e">
        <f>Data_PLT[[#This Row],[Is50 (MPa)]]*VLOOKUP("Avg",Table_PLT_Conversion[],2,FALSE)</f>
        <v>#VALUE!</v>
      </c>
      <c r="Z381" s="13" t="e">
        <f>Data_PLT[[#This Row],[Is50 (MPa)]]*VLOOKUP("Max",Table_PLT_Conversion[],2,FALSE)</f>
        <v>#VALUE!</v>
      </c>
      <c r="AA381" s="62" t="e">
        <f>MATCH(LOOKUP(Data_PLT[[#This Row],[UCS min (MPa)]],Table_FieldStrength[Min UCS]),Table_FieldStrength[Min UCS],0)-1</f>
        <v>#VALUE!</v>
      </c>
      <c r="AB381" s="62" t="e">
        <f>MATCH(LOOKUP(Data_PLT[[#This Row],[UCS avg (MPa)]],Table_FieldStrength[Min UCS]),Table_FieldStrength[Min UCS],0)-1</f>
        <v>#VALUE!</v>
      </c>
      <c r="AC381" s="62" t="e">
        <f>MATCH(LOOKUP(Data_PLT[[#This Row],[UCS max (MPa)]],Table_FieldStrength[Min UCS]),Table_FieldStrength[Min UCS],0)-1</f>
        <v>#VALUE!</v>
      </c>
      <c r="AD381" s="68" t="e">
        <f>Data_PLT[[#This Row],[Test code]]&amp;"-"&amp;Data_PLT[[#This Row],[UCS min code]]</f>
        <v>#VALUE!</v>
      </c>
      <c r="AE381" s="68" t="e">
        <f>Data_PLT[[#This Row],[Test code]]&amp;"-"&amp;Data_PLT[[#This Row],[UCS avg code]]</f>
        <v>#VALUE!</v>
      </c>
      <c r="AF381" s="67" t="e">
        <f>Data_PLT[[#This Row],[Test code]]&amp;"-"&amp;Data_PLT[[#This Row],[UCS max code]]</f>
        <v>#VALUE!</v>
      </c>
      <c r="AG381" s="67" t="e">
        <f>Data_PLT[[#This Row],[Failure type]]&amp;"-"&amp;Data_PLT[[#This Row],[Test type]]&amp;"-"&amp;(IF(Data_PLT[[#This Row],[Is50 (MPa)]]&lt;1,1,IF(Data_PLT[[#This Row],[Is50 (MPa)]]&lt;2,2,IF(Data_PLT[[#This Row],[Is50 (MPa)]]&lt;4,3,IF(Data_PLT[[#This Row],[Is50 (MPa)]]&lt;8,4,5)))))</f>
        <v>#VALUE!</v>
      </c>
    </row>
    <row r="382" spans="2:33" x14ac:dyDescent="0.25">
      <c r="B382" s="88" t="e">
        <f>VLOOKUP(Data_PLT[[#This Row],[Hole ID]],Data_Log[],2,FALSE)</f>
        <v>#N/A</v>
      </c>
      <c r="C382" s="63" t="str">
        <f>IF(Data_PLT[[#This Row],[Hole ID]]="","",
IF(COUNTIF($A$4:A382,Data_PLT[[#This Row],[Hole ID]])=1,1,
IF(A382=A381,C381+1,
COUNTIF($A$4:A382,Data_PLT[[#This Row],[Hole ID]]))))</f>
        <v/>
      </c>
      <c r="D382" s="63" t="str">
        <f>IF(Data_PLT[[#This Row],[Hole ID]]="","",Data_PLT[[#This Row],[Hole ID]]&amp;"_"&amp;Data_PLT[[#This Row],[Sample ID]])</f>
        <v/>
      </c>
      <c r="E382" s="6"/>
      <c r="F382" s="6"/>
      <c r="G382" s="63" t="e" cm="1">
        <f t="array" ref="G382">_xlfn.XLOOKUP(1,(A382=Geotech!$A$4:$A$11100)*(Data_PLT[[#This Row],[Depth (m)]]&gt;=Geotech!$C$4:$C$11100)*(Data_PLT[[#This Row],[Depth (m)]]&lt;Geotech!$D$4:$D$11100),Geotech!$M$4:$M$11100)</f>
        <v>#N/A</v>
      </c>
      <c r="H382" s="6"/>
      <c r="I382" s="63" t="e">
        <f>VLOOKUP(Data_PLT[[#This Row],[Hole ID]],Data_Log[[Hole ID]:[Core size]],20,FALSE)</f>
        <v>#N/A</v>
      </c>
      <c r="J382" s="13" t="e">
        <f>VLOOKUP(Data_PLT[[#This Row],[Core Size]],Table_CoreSize[],2,FALSE)</f>
        <v>#N/A</v>
      </c>
      <c r="K382" s="19"/>
      <c r="L382" s="19"/>
      <c r="M382" s="5"/>
      <c r="N382" s="5"/>
      <c r="O382" s="6"/>
      <c r="P382" s="13" t="str">
        <f>IF(Data_PLT[[#This Row],[Failure type]]="","",IF(OR(Data_PLT[[#This Row],[Failure type]]="Invalid",Data_PLT[[#This Row],[Failure type]]="Chipped",Data_PLT[[#This Row],[Failure type]]="Penetrate",Data_PLT[[#This Row],[Failure type]]="Did not break"),"Invalid","Valid"))</f>
        <v/>
      </c>
      <c r="Q382" s="6"/>
      <c r="R382" s="11"/>
      <c r="S382" s="13" t="str">
        <f>IF(Data_PLT[[#This Row],[Test type]]="Diametral",Data_PLT[[#This Row],[Diameter (mm)]],IF(Data_PLT[[#This Row],[Test type]]="Axial",SQRT(4*Data_PLT[[#This Row],[Diameter (mm)]]*Data_PLT[[#This Row],[Length or width (mm)]]/PI()),"ERROR"))</f>
        <v>ERROR</v>
      </c>
      <c r="T382" s="13" t="e">
        <f>(Data_PLT[[#This Row],[Load (kN)]]*1000)/Data_PLT[[#This Row],[Equiv. Diam. (mm)]]^2</f>
        <v>#VALUE!</v>
      </c>
      <c r="U382" s="13" t="e">
        <f>(Data_PLT[[#This Row],[Equiv. Diam. (mm)]]/50)^0.45</f>
        <v>#VALUE!</v>
      </c>
      <c r="V382" s="13" t="e">
        <f>Data_PLT[[#This Row],[Is (MPa)]]*Data_PLT[[#This Row],[F]]</f>
        <v>#VALUE!</v>
      </c>
      <c r="W382" s="13" t="str">
        <f>Data_PLT[[#This Row],[Failure Validity]]&amp;"-"&amp;Data_PLT[[#This Row],[Test type]]</f>
        <v>-</v>
      </c>
      <c r="X382" s="13" t="e">
        <f>Data_PLT[[#This Row],[Is50 (MPa)]]*VLOOKUP("Min",Table_PLT_Conversion[],2,FALSE)</f>
        <v>#VALUE!</v>
      </c>
      <c r="Y382" s="13" t="e">
        <f>Data_PLT[[#This Row],[Is50 (MPa)]]*VLOOKUP("Avg",Table_PLT_Conversion[],2,FALSE)</f>
        <v>#VALUE!</v>
      </c>
      <c r="Z382" s="13" t="e">
        <f>Data_PLT[[#This Row],[Is50 (MPa)]]*VLOOKUP("Max",Table_PLT_Conversion[],2,FALSE)</f>
        <v>#VALUE!</v>
      </c>
      <c r="AA382" s="62" t="e">
        <f>MATCH(LOOKUP(Data_PLT[[#This Row],[UCS min (MPa)]],Table_FieldStrength[Min UCS]),Table_FieldStrength[Min UCS],0)-1</f>
        <v>#VALUE!</v>
      </c>
      <c r="AB382" s="62" t="e">
        <f>MATCH(LOOKUP(Data_PLT[[#This Row],[UCS avg (MPa)]],Table_FieldStrength[Min UCS]),Table_FieldStrength[Min UCS],0)-1</f>
        <v>#VALUE!</v>
      </c>
      <c r="AC382" s="62" t="e">
        <f>MATCH(LOOKUP(Data_PLT[[#This Row],[UCS max (MPa)]],Table_FieldStrength[Min UCS]),Table_FieldStrength[Min UCS],0)-1</f>
        <v>#VALUE!</v>
      </c>
      <c r="AD382" s="68" t="e">
        <f>Data_PLT[[#This Row],[Test code]]&amp;"-"&amp;Data_PLT[[#This Row],[UCS min code]]</f>
        <v>#VALUE!</v>
      </c>
      <c r="AE382" s="68" t="e">
        <f>Data_PLT[[#This Row],[Test code]]&amp;"-"&amp;Data_PLT[[#This Row],[UCS avg code]]</f>
        <v>#VALUE!</v>
      </c>
      <c r="AF382" s="67" t="e">
        <f>Data_PLT[[#This Row],[Test code]]&amp;"-"&amp;Data_PLT[[#This Row],[UCS max code]]</f>
        <v>#VALUE!</v>
      </c>
      <c r="AG382" s="67" t="e">
        <f>Data_PLT[[#This Row],[Failure type]]&amp;"-"&amp;Data_PLT[[#This Row],[Test type]]&amp;"-"&amp;(IF(Data_PLT[[#This Row],[Is50 (MPa)]]&lt;1,1,IF(Data_PLT[[#This Row],[Is50 (MPa)]]&lt;2,2,IF(Data_PLT[[#This Row],[Is50 (MPa)]]&lt;4,3,IF(Data_PLT[[#This Row],[Is50 (MPa)]]&lt;8,4,5)))))</f>
        <v>#VALUE!</v>
      </c>
    </row>
    <row r="383" spans="2:33" x14ac:dyDescent="0.25">
      <c r="B383" s="88" t="e">
        <f>VLOOKUP(Data_PLT[[#This Row],[Hole ID]],Data_Log[],2,FALSE)</f>
        <v>#N/A</v>
      </c>
      <c r="C383" s="63" t="str">
        <f>IF(Data_PLT[[#This Row],[Hole ID]]="","",
IF(COUNTIF($A$4:A383,Data_PLT[[#This Row],[Hole ID]])=1,1,
IF(A383=A382,C382+1,
COUNTIF($A$4:A383,Data_PLT[[#This Row],[Hole ID]]))))</f>
        <v/>
      </c>
      <c r="D383" s="63" t="str">
        <f>IF(Data_PLT[[#This Row],[Hole ID]]="","",Data_PLT[[#This Row],[Hole ID]]&amp;"_"&amp;Data_PLT[[#This Row],[Sample ID]])</f>
        <v/>
      </c>
      <c r="E383" s="6"/>
      <c r="F383" s="6"/>
      <c r="G383" s="63" t="e" cm="1">
        <f t="array" ref="G383">_xlfn.XLOOKUP(1,(A383=Geotech!$A$4:$A$11100)*(Data_PLT[[#This Row],[Depth (m)]]&gt;=Geotech!$C$4:$C$11100)*(Data_PLT[[#This Row],[Depth (m)]]&lt;Geotech!$D$4:$D$11100),Geotech!$M$4:$M$11100)</f>
        <v>#N/A</v>
      </c>
      <c r="H383" s="6"/>
      <c r="I383" s="63" t="e">
        <f>VLOOKUP(Data_PLT[[#This Row],[Hole ID]],Data_Log[[Hole ID]:[Core size]],20,FALSE)</f>
        <v>#N/A</v>
      </c>
      <c r="J383" s="13" t="e">
        <f>VLOOKUP(Data_PLT[[#This Row],[Core Size]],Table_CoreSize[],2,FALSE)</f>
        <v>#N/A</v>
      </c>
      <c r="K383" s="19"/>
      <c r="L383" s="19"/>
      <c r="M383" s="5"/>
      <c r="N383" s="5"/>
      <c r="O383" s="6"/>
      <c r="P383" s="13" t="str">
        <f>IF(Data_PLT[[#This Row],[Failure type]]="","",IF(OR(Data_PLT[[#This Row],[Failure type]]="Invalid",Data_PLT[[#This Row],[Failure type]]="Chipped",Data_PLT[[#This Row],[Failure type]]="Penetrate",Data_PLT[[#This Row],[Failure type]]="Did not break"),"Invalid","Valid"))</f>
        <v/>
      </c>
      <c r="Q383" s="6"/>
      <c r="R383" s="11"/>
      <c r="S383" s="13" t="str">
        <f>IF(Data_PLT[[#This Row],[Test type]]="Diametral",Data_PLT[[#This Row],[Diameter (mm)]],IF(Data_PLT[[#This Row],[Test type]]="Axial",SQRT(4*Data_PLT[[#This Row],[Diameter (mm)]]*Data_PLT[[#This Row],[Length or width (mm)]]/PI()),"ERROR"))</f>
        <v>ERROR</v>
      </c>
      <c r="T383" s="13" t="e">
        <f>(Data_PLT[[#This Row],[Load (kN)]]*1000)/Data_PLT[[#This Row],[Equiv. Diam. (mm)]]^2</f>
        <v>#VALUE!</v>
      </c>
      <c r="U383" s="13" t="e">
        <f>(Data_PLT[[#This Row],[Equiv. Diam. (mm)]]/50)^0.45</f>
        <v>#VALUE!</v>
      </c>
      <c r="V383" s="13" t="e">
        <f>Data_PLT[[#This Row],[Is (MPa)]]*Data_PLT[[#This Row],[F]]</f>
        <v>#VALUE!</v>
      </c>
      <c r="W383" s="13" t="str">
        <f>Data_PLT[[#This Row],[Failure Validity]]&amp;"-"&amp;Data_PLT[[#This Row],[Test type]]</f>
        <v>-</v>
      </c>
      <c r="X383" s="13" t="e">
        <f>Data_PLT[[#This Row],[Is50 (MPa)]]*VLOOKUP("Min",Table_PLT_Conversion[],2,FALSE)</f>
        <v>#VALUE!</v>
      </c>
      <c r="Y383" s="13" t="e">
        <f>Data_PLT[[#This Row],[Is50 (MPa)]]*VLOOKUP("Avg",Table_PLT_Conversion[],2,FALSE)</f>
        <v>#VALUE!</v>
      </c>
      <c r="Z383" s="13" t="e">
        <f>Data_PLT[[#This Row],[Is50 (MPa)]]*VLOOKUP("Max",Table_PLT_Conversion[],2,FALSE)</f>
        <v>#VALUE!</v>
      </c>
      <c r="AA383" s="62" t="e">
        <f>MATCH(LOOKUP(Data_PLT[[#This Row],[UCS min (MPa)]],Table_FieldStrength[Min UCS]),Table_FieldStrength[Min UCS],0)-1</f>
        <v>#VALUE!</v>
      </c>
      <c r="AB383" s="62" t="e">
        <f>MATCH(LOOKUP(Data_PLT[[#This Row],[UCS avg (MPa)]],Table_FieldStrength[Min UCS]),Table_FieldStrength[Min UCS],0)-1</f>
        <v>#VALUE!</v>
      </c>
      <c r="AC383" s="62" t="e">
        <f>MATCH(LOOKUP(Data_PLT[[#This Row],[UCS max (MPa)]],Table_FieldStrength[Min UCS]),Table_FieldStrength[Min UCS],0)-1</f>
        <v>#VALUE!</v>
      </c>
      <c r="AD383" s="68" t="e">
        <f>Data_PLT[[#This Row],[Test code]]&amp;"-"&amp;Data_PLT[[#This Row],[UCS min code]]</f>
        <v>#VALUE!</v>
      </c>
      <c r="AE383" s="68" t="e">
        <f>Data_PLT[[#This Row],[Test code]]&amp;"-"&amp;Data_PLT[[#This Row],[UCS avg code]]</f>
        <v>#VALUE!</v>
      </c>
      <c r="AF383" s="67" t="e">
        <f>Data_PLT[[#This Row],[Test code]]&amp;"-"&amp;Data_PLT[[#This Row],[UCS max code]]</f>
        <v>#VALUE!</v>
      </c>
      <c r="AG383" s="67" t="e">
        <f>Data_PLT[[#This Row],[Failure type]]&amp;"-"&amp;Data_PLT[[#This Row],[Test type]]&amp;"-"&amp;(IF(Data_PLT[[#This Row],[Is50 (MPa)]]&lt;1,1,IF(Data_PLT[[#This Row],[Is50 (MPa)]]&lt;2,2,IF(Data_PLT[[#This Row],[Is50 (MPa)]]&lt;4,3,IF(Data_PLT[[#This Row],[Is50 (MPa)]]&lt;8,4,5)))))</f>
        <v>#VALUE!</v>
      </c>
    </row>
    <row r="384" spans="2:33" x14ac:dyDescent="0.25">
      <c r="B384" s="88" t="e">
        <f>VLOOKUP(Data_PLT[[#This Row],[Hole ID]],Data_Log[],2,FALSE)</f>
        <v>#N/A</v>
      </c>
      <c r="C384" s="63" t="str">
        <f>IF(Data_PLT[[#This Row],[Hole ID]]="","",
IF(COUNTIF($A$4:A384,Data_PLT[[#This Row],[Hole ID]])=1,1,
IF(A384=A383,C383+1,
COUNTIF($A$4:A384,Data_PLT[[#This Row],[Hole ID]]))))</f>
        <v/>
      </c>
      <c r="D384" s="63" t="str">
        <f>IF(Data_PLT[[#This Row],[Hole ID]]="","",Data_PLT[[#This Row],[Hole ID]]&amp;"_"&amp;Data_PLT[[#This Row],[Sample ID]])</f>
        <v/>
      </c>
      <c r="E384" s="6"/>
      <c r="F384" s="6"/>
      <c r="G384" s="63" t="e" cm="1">
        <f t="array" ref="G384">_xlfn.XLOOKUP(1,(A384=Geotech!$A$4:$A$11100)*(Data_PLT[[#This Row],[Depth (m)]]&gt;=Geotech!$C$4:$C$11100)*(Data_PLT[[#This Row],[Depth (m)]]&lt;Geotech!$D$4:$D$11100),Geotech!$M$4:$M$11100)</f>
        <v>#N/A</v>
      </c>
      <c r="H384" s="6"/>
      <c r="I384" s="63" t="e">
        <f>VLOOKUP(Data_PLT[[#This Row],[Hole ID]],Data_Log[[Hole ID]:[Core size]],20,FALSE)</f>
        <v>#N/A</v>
      </c>
      <c r="J384" s="13" t="e">
        <f>VLOOKUP(Data_PLT[[#This Row],[Core Size]],Table_CoreSize[],2,FALSE)</f>
        <v>#N/A</v>
      </c>
      <c r="K384" s="19"/>
      <c r="L384" s="19"/>
      <c r="M384" s="5"/>
      <c r="N384" s="5"/>
      <c r="O384" s="6"/>
      <c r="P384" s="13" t="str">
        <f>IF(Data_PLT[[#This Row],[Failure type]]="","",IF(OR(Data_PLT[[#This Row],[Failure type]]="Invalid",Data_PLT[[#This Row],[Failure type]]="Chipped",Data_PLT[[#This Row],[Failure type]]="Penetrate",Data_PLT[[#This Row],[Failure type]]="Did not break"),"Invalid","Valid"))</f>
        <v/>
      </c>
      <c r="Q384" s="6"/>
      <c r="R384" s="11"/>
      <c r="S384" s="13" t="str">
        <f>IF(Data_PLT[[#This Row],[Test type]]="Diametral",Data_PLT[[#This Row],[Diameter (mm)]],IF(Data_PLT[[#This Row],[Test type]]="Axial",SQRT(4*Data_PLT[[#This Row],[Diameter (mm)]]*Data_PLT[[#This Row],[Length or width (mm)]]/PI()),"ERROR"))</f>
        <v>ERROR</v>
      </c>
      <c r="T384" s="13" t="e">
        <f>(Data_PLT[[#This Row],[Load (kN)]]*1000)/Data_PLT[[#This Row],[Equiv. Diam. (mm)]]^2</f>
        <v>#VALUE!</v>
      </c>
      <c r="U384" s="13" t="e">
        <f>(Data_PLT[[#This Row],[Equiv. Diam. (mm)]]/50)^0.45</f>
        <v>#VALUE!</v>
      </c>
      <c r="V384" s="13" t="e">
        <f>Data_PLT[[#This Row],[Is (MPa)]]*Data_PLT[[#This Row],[F]]</f>
        <v>#VALUE!</v>
      </c>
      <c r="W384" s="13" t="str">
        <f>Data_PLT[[#This Row],[Failure Validity]]&amp;"-"&amp;Data_PLT[[#This Row],[Test type]]</f>
        <v>-</v>
      </c>
      <c r="X384" s="13" t="e">
        <f>Data_PLT[[#This Row],[Is50 (MPa)]]*VLOOKUP("Min",Table_PLT_Conversion[],2,FALSE)</f>
        <v>#VALUE!</v>
      </c>
      <c r="Y384" s="13" t="e">
        <f>Data_PLT[[#This Row],[Is50 (MPa)]]*VLOOKUP("Avg",Table_PLT_Conversion[],2,FALSE)</f>
        <v>#VALUE!</v>
      </c>
      <c r="Z384" s="13" t="e">
        <f>Data_PLT[[#This Row],[Is50 (MPa)]]*VLOOKUP("Max",Table_PLT_Conversion[],2,FALSE)</f>
        <v>#VALUE!</v>
      </c>
      <c r="AA384" s="62" t="e">
        <f>MATCH(LOOKUP(Data_PLT[[#This Row],[UCS min (MPa)]],Table_FieldStrength[Min UCS]),Table_FieldStrength[Min UCS],0)-1</f>
        <v>#VALUE!</v>
      </c>
      <c r="AB384" s="62" t="e">
        <f>MATCH(LOOKUP(Data_PLT[[#This Row],[UCS avg (MPa)]],Table_FieldStrength[Min UCS]),Table_FieldStrength[Min UCS],0)-1</f>
        <v>#VALUE!</v>
      </c>
      <c r="AC384" s="62" t="e">
        <f>MATCH(LOOKUP(Data_PLT[[#This Row],[UCS max (MPa)]],Table_FieldStrength[Min UCS]),Table_FieldStrength[Min UCS],0)-1</f>
        <v>#VALUE!</v>
      </c>
      <c r="AD384" s="68" t="e">
        <f>Data_PLT[[#This Row],[Test code]]&amp;"-"&amp;Data_PLT[[#This Row],[UCS min code]]</f>
        <v>#VALUE!</v>
      </c>
      <c r="AE384" s="68" t="e">
        <f>Data_PLT[[#This Row],[Test code]]&amp;"-"&amp;Data_PLT[[#This Row],[UCS avg code]]</f>
        <v>#VALUE!</v>
      </c>
      <c r="AF384" s="67" t="e">
        <f>Data_PLT[[#This Row],[Test code]]&amp;"-"&amp;Data_PLT[[#This Row],[UCS max code]]</f>
        <v>#VALUE!</v>
      </c>
      <c r="AG384" s="67" t="e">
        <f>Data_PLT[[#This Row],[Failure type]]&amp;"-"&amp;Data_PLT[[#This Row],[Test type]]&amp;"-"&amp;(IF(Data_PLT[[#This Row],[Is50 (MPa)]]&lt;1,1,IF(Data_PLT[[#This Row],[Is50 (MPa)]]&lt;2,2,IF(Data_PLT[[#This Row],[Is50 (MPa)]]&lt;4,3,IF(Data_PLT[[#This Row],[Is50 (MPa)]]&lt;8,4,5)))))</f>
        <v>#VALUE!</v>
      </c>
    </row>
    <row r="385" spans="2:33" x14ac:dyDescent="0.25">
      <c r="B385" s="88" t="e">
        <f>VLOOKUP(Data_PLT[[#This Row],[Hole ID]],Data_Log[],2,FALSE)</f>
        <v>#N/A</v>
      </c>
      <c r="C385" s="63" t="str">
        <f>IF(Data_PLT[[#This Row],[Hole ID]]="","",
IF(COUNTIF($A$4:A385,Data_PLT[[#This Row],[Hole ID]])=1,1,
IF(A385=A384,C384+1,
COUNTIF($A$4:A385,Data_PLT[[#This Row],[Hole ID]]))))</f>
        <v/>
      </c>
      <c r="D385" s="63" t="str">
        <f>IF(Data_PLT[[#This Row],[Hole ID]]="","",Data_PLT[[#This Row],[Hole ID]]&amp;"_"&amp;Data_PLT[[#This Row],[Sample ID]])</f>
        <v/>
      </c>
      <c r="E385" s="6"/>
      <c r="F385" s="6"/>
      <c r="G385" s="63" t="e" cm="1">
        <f t="array" ref="G385">_xlfn.XLOOKUP(1,(A385=Geotech!$A$4:$A$11100)*(Data_PLT[[#This Row],[Depth (m)]]&gt;=Geotech!$C$4:$C$11100)*(Data_PLT[[#This Row],[Depth (m)]]&lt;Geotech!$D$4:$D$11100),Geotech!$M$4:$M$11100)</f>
        <v>#N/A</v>
      </c>
      <c r="H385" s="6"/>
      <c r="I385" s="63" t="e">
        <f>VLOOKUP(Data_PLT[[#This Row],[Hole ID]],Data_Log[[Hole ID]:[Core size]],20,FALSE)</f>
        <v>#N/A</v>
      </c>
      <c r="J385" s="13" t="e">
        <f>VLOOKUP(Data_PLT[[#This Row],[Core Size]],Table_CoreSize[],2,FALSE)</f>
        <v>#N/A</v>
      </c>
      <c r="K385" s="19"/>
      <c r="L385" s="19"/>
      <c r="M385" s="5"/>
      <c r="N385" s="5"/>
      <c r="O385" s="6"/>
      <c r="P385" s="13" t="str">
        <f>IF(Data_PLT[[#This Row],[Failure type]]="","",IF(OR(Data_PLT[[#This Row],[Failure type]]="Invalid",Data_PLT[[#This Row],[Failure type]]="Chipped",Data_PLT[[#This Row],[Failure type]]="Penetrate",Data_PLT[[#This Row],[Failure type]]="Did not break"),"Invalid","Valid"))</f>
        <v/>
      </c>
      <c r="Q385" s="6"/>
      <c r="R385" s="11"/>
      <c r="S385" s="13" t="str">
        <f>IF(Data_PLT[[#This Row],[Test type]]="Diametral",Data_PLT[[#This Row],[Diameter (mm)]],IF(Data_PLT[[#This Row],[Test type]]="Axial",SQRT(4*Data_PLT[[#This Row],[Diameter (mm)]]*Data_PLT[[#This Row],[Length or width (mm)]]/PI()),"ERROR"))</f>
        <v>ERROR</v>
      </c>
      <c r="T385" s="13" t="e">
        <f>(Data_PLT[[#This Row],[Load (kN)]]*1000)/Data_PLT[[#This Row],[Equiv. Diam. (mm)]]^2</f>
        <v>#VALUE!</v>
      </c>
      <c r="U385" s="13" t="e">
        <f>(Data_PLT[[#This Row],[Equiv. Diam. (mm)]]/50)^0.45</f>
        <v>#VALUE!</v>
      </c>
      <c r="V385" s="13" t="e">
        <f>Data_PLT[[#This Row],[Is (MPa)]]*Data_PLT[[#This Row],[F]]</f>
        <v>#VALUE!</v>
      </c>
      <c r="W385" s="13" t="str">
        <f>Data_PLT[[#This Row],[Failure Validity]]&amp;"-"&amp;Data_PLT[[#This Row],[Test type]]</f>
        <v>-</v>
      </c>
      <c r="X385" s="13" t="e">
        <f>Data_PLT[[#This Row],[Is50 (MPa)]]*VLOOKUP("Min",Table_PLT_Conversion[],2,FALSE)</f>
        <v>#VALUE!</v>
      </c>
      <c r="Y385" s="13" t="e">
        <f>Data_PLT[[#This Row],[Is50 (MPa)]]*VLOOKUP("Avg",Table_PLT_Conversion[],2,FALSE)</f>
        <v>#VALUE!</v>
      </c>
      <c r="Z385" s="13" t="e">
        <f>Data_PLT[[#This Row],[Is50 (MPa)]]*VLOOKUP("Max",Table_PLT_Conversion[],2,FALSE)</f>
        <v>#VALUE!</v>
      </c>
      <c r="AA385" s="62" t="e">
        <f>MATCH(LOOKUP(Data_PLT[[#This Row],[UCS min (MPa)]],Table_FieldStrength[Min UCS]),Table_FieldStrength[Min UCS],0)-1</f>
        <v>#VALUE!</v>
      </c>
      <c r="AB385" s="62" t="e">
        <f>MATCH(LOOKUP(Data_PLT[[#This Row],[UCS avg (MPa)]],Table_FieldStrength[Min UCS]),Table_FieldStrength[Min UCS],0)-1</f>
        <v>#VALUE!</v>
      </c>
      <c r="AC385" s="62" t="e">
        <f>MATCH(LOOKUP(Data_PLT[[#This Row],[UCS max (MPa)]],Table_FieldStrength[Min UCS]),Table_FieldStrength[Min UCS],0)-1</f>
        <v>#VALUE!</v>
      </c>
      <c r="AD385" s="68" t="e">
        <f>Data_PLT[[#This Row],[Test code]]&amp;"-"&amp;Data_PLT[[#This Row],[UCS min code]]</f>
        <v>#VALUE!</v>
      </c>
      <c r="AE385" s="68" t="e">
        <f>Data_PLT[[#This Row],[Test code]]&amp;"-"&amp;Data_PLT[[#This Row],[UCS avg code]]</f>
        <v>#VALUE!</v>
      </c>
      <c r="AF385" s="67" t="e">
        <f>Data_PLT[[#This Row],[Test code]]&amp;"-"&amp;Data_PLT[[#This Row],[UCS max code]]</f>
        <v>#VALUE!</v>
      </c>
      <c r="AG385" s="67" t="e">
        <f>Data_PLT[[#This Row],[Failure type]]&amp;"-"&amp;Data_PLT[[#This Row],[Test type]]&amp;"-"&amp;(IF(Data_PLT[[#This Row],[Is50 (MPa)]]&lt;1,1,IF(Data_PLT[[#This Row],[Is50 (MPa)]]&lt;2,2,IF(Data_PLT[[#This Row],[Is50 (MPa)]]&lt;4,3,IF(Data_PLT[[#This Row],[Is50 (MPa)]]&lt;8,4,5)))))</f>
        <v>#VALUE!</v>
      </c>
    </row>
    <row r="386" spans="2:33" x14ac:dyDescent="0.25">
      <c r="B386" s="88" t="e">
        <f>VLOOKUP(Data_PLT[[#This Row],[Hole ID]],Data_Log[],2,FALSE)</f>
        <v>#N/A</v>
      </c>
      <c r="C386" s="63" t="str">
        <f>IF(Data_PLT[[#This Row],[Hole ID]]="","",
IF(COUNTIF($A$4:A386,Data_PLT[[#This Row],[Hole ID]])=1,1,
IF(A386=A385,C385+1,
COUNTIF($A$4:A386,Data_PLT[[#This Row],[Hole ID]]))))</f>
        <v/>
      </c>
      <c r="D386" s="63" t="str">
        <f>IF(Data_PLT[[#This Row],[Hole ID]]="","",Data_PLT[[#This Row],[Hole ID]]&amp;"_"&amp;Data_PLT[[#This Row],[Sample ID]])</f>
        <v/>
      </c>
      <c r="E386" s="6"/>
      <c r="F386" s="6"/>
      <c r="G386" s="63" t="e" cm="1">
        <f t="array" ref="G386">_xlfn.XLOOKUP(1,(A386=Geotech!$A$4:$A$11100)*(Data_PLT[[#This Row],[Depth (m)]]&gt;=Geotech!$C$4:$C$11100)*(Data_PLT[[#This Row],[Depth (m)]]&lt;Geotech!$D$4:$D$11100),Geotech!$M$4:$M$11100)</f>
        <v>#N/A</v>
      </c>
      <c r="H386" s="6"/>
      <c r="I386" s="63" t="e">
        <f>VLOOKUP(Data_PLT[[#This Row],[Hole ID]],Data_Log[[Hole ID]:[Core size]],20,FALSE)</f>
        <v>#N/A</v>
      </c>
      <c r="J386" s="13" t="e">
        <f>VLOOKUP(Data_PLT[[#This Row],[Core Size]],Table_CoreSize[],2,FALSE)</f>
        <v>#N/A</v>
      </c>
      <c r="K386" s="19"/>
      <c r="L386" s="19"/>
      <c r="M386" s="5"/>
      <c r="N386" s="5"/>
      <c r="O386" s="6"/>
      <c r="P386" s="13" t="str">
        <f>IF(Data_PLT[[#This Row],[Failure type]]="","",IF(OR(Data_PLT[[#This Row],[Failure type]]="Invalid",Data_PLT[[#This Row],[Failure type]]="Chipped",Data_PLT[[#This Row],[Failure type]]="Penetrate",Data_PLT[[#This Row],[Failure type]]="Did not break"),"Invalid","Valid"))</f>
        <v/>
      </c>
      <c r="Q386" s="6"/>
      <c r="R386" s="11"/>
      <c r="S386" s="13" t="str">
        <f>IF(Data_PLT[[#This Row],[Test type]]="Diametral",Data_PLT[[#This Row],[Diameter (mm)]],IF(Data_PLT[[#This Row],[Test type]]="Axial",SQRT(4*Data_PLT[[#This Row],[Diameter (mm)]]*Data_PLT[[#This Row],[Length or width (mm)]]/PI()),"ERROR"))</f>
        <v>ERROR</v>
      </c>
      <c r="T386" s="13" t="e">
        <f>(Data_PLT[[#This Row],[Load (kN)]]*1000)/Data_PLT[[#This Row],[Equiv. Diam. (mm)]]^2</f>
        <v>#VALUE!</v>
      </c>
      <c r="U386" s="13" t="e">
        <f>(Data_PLT[[#This Row],[Equiv. Diam. (mm)]]/50)^0.45</f>
        <v>#VALUE!</v>
      </c>
      <c r="V386" s="13" t="e">
        <f>Data_PLT[[#This Row],[Is (MPa)]]*Data_PLT[[#This Row],[F]]</f>
        <v>#VALUE!</v>
      </c>
      <c r="W386" s="13" t="str">
        <f>Data_PLT[[#This Row],[Failure Validity]]&amp;"-"&amp;Data_PLT[[#This Row],[Test type]]</f>
        <v>-</v>
      </c>
      <c r="X386" s="13" t="e">
        <f>Data_PLT[[#This Row],[Is50 (MPa)]]*VLOOKUP("Min",Table_PLT_Conversion[],2,FALSE)</f>
        <v>#VALUE!</v>
      </c>
      <c r="Y386" s="13" t="e">
        <f>Data_PLT[[#This Row],[Is50 (MPa)]]*VLOOKUP("Avg",Table_PLT_Conversion[],2,FALSE)</f>
        <v>#VALUE!</v>
      </c>
      <c r="Z386" s="13" t="e">
        <f>Data_PLT[[#This Row],[Is50 (MPa)]]*VLOOKUP("Max",Table_PLT_Conversion[],2,FALSE)</f>
        <v>#VALUE!</v>
      </c>
      <c r="AA386" s="62" t="e">
        <f>MATCH(LOOKUP(Data_PLT[[#This Row],[UCS min (MPa)]],Table_FieldStrength[Min UCS]),Table_FieldStrength[Min UCS],0)-1</f>
        <v>#VALUE!</v>
      </c>
      <c r="AB386" s="62" t="e">
        <f>MATCH(LOOKUP(Data_PLT[[#This Row],[UCS avg (MPa)]],Table_FieldStrength[Min UCS]),Table_FieldStrength[Min UCS],0)-1</f>
        <v>#VALUE!</v>
      </c>
      <c r="AC386" s="62" t="e">
        <f>MATCH(LOOKUP(Data_PLT[[#This Row],[UCS max (MPa)]],Table_FieldStrength[Min UCS]),Table_FieldStrength[Min UCS],0)-1</f>
        <v>#VALUE!</v>
      </c>
      <c r="AD386" s="68" t="e">
        <f>Data_PLT[[#This Row],[Test code]]&amp;"-"&amp;Data_PLT[[#This Row],[UCS min code]]</f>
        <v>#VALUE!</v>
      </c>
      <c r="AE386" s="68" t="e">
        <f>Data_PLT[[#This Row],[Test code]]&amp;"-"&amp;Data_PLT[[#This Row],[UCS avg code]]</f>
        <v>#VALUE!</v>
      </c>
      <c r="AF386" s="67" t="e">
        <f>Data_PLT[[#This Row],[Test code]]&amp;"-"&amp;Data_PLT[[#This Row],[UCS max code]]</f>
        <v>#VALUE!</v>
      </c>
      <c r="AG386" s="67" t="e">
        <f>Data_PLT[[#This Row],[Failure type]]&amp;"-"&amp;Data_PLT[[#This Row],[Test type]]&amp;"-"&amp;(IF(Data_PLT[[#This Row],[Is50 (MPa)]]&lt;1,1,IF(Data_PLT[[#This Row],[Is50 (MPa)]]&lt;2,2,IF(Data_PLT[[#This Row],[Is50 (MPa)]]&lt;4,3,IF(Data_PLT[[#This Row],[Is50 (MPa)]]&lt;8,4,5)))))</f>
        <v>#VALUE!</v>
      </c>
    </row>
    <row r="387" spans="2:33" x14ac:dyDescent="0.25">
      <c r="B387" s="88" t="e">
        <f>VLOOKUP(Data_PLT[[#This Row],[Hole ID]],Data_Log[],2,FALSE)</f>
        <v>#N/A</v>
      </c>
      <c r="C387" s="63" t="str">
        <f>IF(Data_PLT[[#This Row],[Hole ID]]="","",
IF(COUNTIF($A$4:A387,Data_PLT[[#This Row],[Hole ID]])=1,1,
IF(A387=A386,C386+1,
COUNTIF($A$4:A387,Data_PLT[[#This Row],[Hole ID]]))))</f>
        <v/>
      </c>
      <c r="D387" s="63" t="str">
        <f>IF(Data_PLT[[#This Row],[Hole ID]]="","",Data_PLT[[#This Row],[Hole ID]]&amp;"_"&amp;Data_PLT[[#This Row],[Sample ID]])</f>
        <v/>
      </c>
      <c r="E387" s="6"/>
      <c r="F387" s="6"/>
      <c r="G387" s="63" t="e" cm="1">
        <f t="array" ref="G387">_xlfn.XLOOKUP(1,(A387=Geotech!$A$4:$A$11100)*(Data_PLT[[#This Row],[Depth (m)]]&gt;=Geotech!$C$4:$C$11100)*(Data_PLT[[#This Row],[Depth (m)]]&lt;Geotech!$D$4:$D$11100),Geotech!$M$4:$M$11100)</f>
        <v>#N/A</v>
      </c>
      <c r="H387" s="6"/>
      <c r="I387" s="63" t="e">
        <f>VLOOKUP(Data_PLT[[#This Row],[Hole ID]],Data_Log[[Hole ID]:[Core size]],20,FALSE)</f>
        <v>#N/A</v>
      </c>
      <c r="J387" s="13" t="e">
        <f>VLOOKUP(Data_PLT[[#This Row],[Core Size]],Table_CoreSize[],2,FALSE)</f>
        <v>#N/A</v>
      </c>
      <c r="K387" s="19"/>
      <c r="L387" s="19"/>
      <c r="M387" s="5"/>
      <c r="N387" s="5"/>
      <c r="O387" s="6"/>
      <c r="P387" s="13" t="str">
        <f>IF(Data_PLT[[#This Row],[Failure type]]="","",IF(OR(Data_PLT[[#This Row],[Failure type]]="Invalid",Data_PLT[[#This Row],[Failure type]]="Chipped",Data_PLT[[#This Row],[Failure type]]="Penetrate",Data_PLT[[#This Row],[Failure type]]="Did not break"),"Invalid","Valid"))</f>
        <v/>
      </c>
      <c r="Q387" s="6"/>
      <c r="R387" s="11"/>
      <c r="S387" s="13" t="str">
        <f>IF(Data_PLT[[#This Row],[Test type]]="Diametral",Data_PLT[[#This Row],[Diameter (mm)]],IF(Data_PLT[[#This Row],[Test type]]="Axial",SQRT(4*Data_PLT[[#This Row],[Diameter (mm)]]*Data_PLT[[#This Row],[Length or width (mm)]]/PI()),"ERROR"))</f>
        <v>ERROR</v>
      </c>
      <c r="T387" s="13" t="e">
        <f>(Data_PLT[[#This Row],[Load (kN)]]*1000)/Data_PLT[[#This Row],[Equiv. Diam. (mm)]]^2</f>
        <v>#VALUE!</v>
      </c>
      <c r="U387" s="13" t="e">
        <f>(Data_PLT[[#This Row],[Equiv. Diam. (mm)]]/50)^0.45</f>
        <v>#VALUE!</v>
      </c>
      <c r="V387" s="13" t="e">
        <f>Data_PLT[[#This Row],[Is (MPa)]]*Data_PLT[[#This Row],[F]]</f>
        <v>#VALUE!</v>
      </c>
      <c r="W387" s="13" t="str">
        <f>Data_PLT[[#This Row],[Failure Validity]]&amp;"-"&amp;Data_PLT[[#This Row],[Test type]]</f>
        <v>-</v>
      </c>
      <c r="X387" s="13" t="e">
        <f>Data_PLT[[#This Row],[Is50 (MPa)]]*VLOOKUP("Min",Table_PLT_Conversion[],2,FALSE)</f>
        <v>#VALUE!</v>
      </c>
      <c r="Y387" s="13" t="e">
        <f>Data_PLT[[#This Row],[Is50 (MPa)]]*VLOOKUP("Avg",Table_PLT_Conversion[],2,FALSE)</f>
        <v>#VALUE!</v>
      </c>
      <c r="Z387" s="13" t="e">
        <f>Data_PLT[[#This Row],[Is50 (MPa)]]*VLOOKUP("Max",Table_PLT_Conversion[],2,FALSE)</f>
        <v>#VALUE!</v>
      </c>
      <c r="AA387" s="62" t="e">
        <f>MATCH(LOOKUP(Data_PLT[[#This Row],[UCS min (MPa)]],Table_FieldStrength[Min UCS]),Table_FieldStrength[Min UCS],0)-1</f>
        <v>#VALUE!</v>
      </c>
      <c r="AB387" s="62" t="e">
        <f>MATCH(LOOKUP(Data_PLT[[#This Row],[UCS avg (MPa)]],Table_FieldStrength[Min UCS]),Table_FieldStrength[Min UCS],0)-1</f>
        <v>#VALUE!</v>
      </c>
      <c r="AC387" s="62" t="e">
        <f>MATCH(LOOKUP(Data_PLT[[#This Row],[UCS max (MPa)]],Table_FieldStrength[Min UCS]),Table_FieldStrength[Min UCS],0)-1</f>
        <v>#VALUE!</v>
      </c>
      <c r="AD387" s="68" t="e">
        <f>Data_PLT[[#This Row],[Test code]]&amp;"-"&amp;Data_PLT[[#This Row],[UCS min code]]</f>
        <v>#VALUE!</v>
      </c>
      <c r="AE387" s="68" t="e">
        <f>Data_PLT[[#This Row],[Test code]]&amp;"-"&amp;Data_PLT[[#This Row],[UCS avg code]]</f>
        <v>#VALUE!</v>
      </c>
      <c r="AF387" s="67" t="e">
        <f>Data_PLT[[#This Row],[Test code]]&amp;"-"&amp;Data_PLT[[#This Row],[UCS max code]]</f>
        <v>#VALUE!</v>
      </c>
      <c r="AG387" s="67" t="e">
        <f>Data_PLT[[#This Row],[Failure type]]&amp;"-"&amp;Data_PLT[[#This Row],[Test type]]&amp;"-"&amp;(IF(Data_PLT[[#This Row],[Is50 (MPa)]]&lt;1,1,IF(Data_PLT[[#This Row],[Is50 (MPa)]]&lt;2,2,IF(Data_PLT[[#This Row],[Is50 (MPa)]]&lt;4,3,IF(Data_PLT[[#This Row],[Is50 (MPa)]]&lt;8,4,5)))))</f>
        <v>#VALUE!</v>
      </c>
    </row>
    <row r="388" spans="2:33" x14ac:dyDescent="0.25">
      <c r="B388" s="88" t="e">
        <f>VLOOKUP(Data_PLT[[#This Row],[Hole ID]],Data_Log[],2,FALSE)</f>
        <v>#N/A</v>
      </c>
      <c r="C388" s="63" t="str">
        <f>IF(Data_PLT[[#This Row],[Hole ID]]="","",
IF(COUNTIF($A$4:A388,Data_PLT[[#This Row],[Hole ID]])=1,1,
IF(A388=A387,C387+1,
COUNTIF($A$4:A388,Data_PLT[[#This Row],[Hole ID]]))))</f>
        <v/>
      </c>
      <c r="D388" s="63" t="str">
        <f>IF(Data_PLT[[#This Row],[Hole ID]]="","",Data_PLT[[#This Row],[Hole ID]]&amp;"_"&amp;Data_PLT[[#This Row],[Sample ID]])</f>
        <v/>
      </c>
      <c r="E388" s="6"/>
      <c r="F388" s="6"/>
      <c r="G388" s="63" t="e" cm="1">
        <f t="array" ref="G388">_xlfn.XLOOKUP(1,(A388=Geotech!$A$4:$A$11100)*(Data_PLT[[#This Row],[Depth (m)]]&gt;=Geotech!$C$4:$C$11100)*(Data_PLT[[#This Row],[Depth (m)]]&lt;Geotech!$D$4:$D$11100),Geotech!$M$4:$M$11100)</f>
        <v>#N/A</v>
      </c>
      <c r="H388" s="6"/>
      <c r="I388" s="63" t="e">
        <f>VLOOKUP(Data_PLT[[#This Row],[Hole ID]],Data_Log[[Hole ID]:[Core size]],20,FALSE)</f>
        <v>#N/A</v>
      </c>
      <c r="J388" s="13" t="e">
        <f>VLOOKUP(Data_PLT[[#This Row],[Core Size]],Table_CoreSize[],2,FALSE)</f>
        <v>#N/A</v>
      </c>
      <c r="K388" s="19"/>
      <c r="L388" s="19"/>
      <c r="M388" s="5"/>
      <c r="N388" s="5"/>
      <c r="O388" s="6"/>
      <c r="P388" s="13" t="str">
        <f>IF(Data_PLT[[#This Row],[Failure type]]="","",IF(OR(Data_PLT[[#This Row],[Failure type]]="Invalid",Data_PLT[[#This Row],[Failure type]]="Chipped",Data_PLT[[#This Row],[Failure type]]="Penetrate",Data_PLT[[#This Row],[Failure type]]="Did not break"),"Invalid","Valid"))</f>
        <v/>
      </c>
      <c r="Q388" s="6"/>
      <c r="R388" s="11"/>
      <c r="S388" s="13" t="str">
        <f>IF(Data_PLT[[#This Row],[Test type]]="Diametral",Data_PLT[[#This Row],[Diameter (mm)]],IF(Data_PLT[[#This Row],[Test type]]="Axial",SQRT(4*Data_PLT[[#This Row],[Diameter (mm)]]*Data_PLT[[#This Row],[Length or width (mm)]]/PI()),"ERROR"))</f>
        <v>ERROR</v>
      </c>
      <c r="T388" s="13" t="e">
        <f>(Data_PLT[[#This Row],[Load (kN)]]*1000)/Data_PLT[[#This Row],[Equiv. Diam. (mm)]]^2</f>
        <v>#VALUE!</v>
      </c>
      <c r="U388" s="13" t="e">
        <f>(Data_PLT[[#This Row],[Equiv. Diam. (mm)]]/50)^0.45</f>
        <v>#VALUE!</v>
      </c>
      <c r="V388" s="13" t="e">
        <f>Data_PLT[[#This Row],[Is (MPa)]]*Data_PLT[[#This Row],[F]]</f>
        <v>#VALUE!</v>
      </c>
      <c r="W388" s="13" t="str">
        <f>Data_PLT[[#This Row],[Failure Validity]]&amp;"-"&amp;Data_PLT[[#This Row],[Test type]]</f>
        <v>-</v>
      </c>
      <c r="X388" s="13" t="e">
        <f>Data_PLT[[#This Row],[Is50 (MPa)]]*VLOOKUP("Min",Table_PLT_Conversion[],2,FALSE)</f>
        <v>#VALUE!</v>
      </c>
      <c r="Y388" s="13" t="e">
        <f>Data_PLT[[#This Row],[Is50 (MPa)]]*VLOOKUP("Avg",Table_PLT_Conversion[],2,FALSE)</f>
        <v>#VALUE!</v>
      </c>
      <c r="Z388" s="13" t="e">
        <f>Data_PLT[[#This Row],[Is50 (MPa)]]*VLOOKUP("Max",Table_PLT_Conversion[],2,FALSE)</f>
        <v>#VALUE!</v>
      </c>
      <c r="AA388" s="62" t="e">
        <f>MATCH(LOOKUP(Data_PLT[[#This Row],[UCS min (MPa)]],Table_FieldStrength[Min UCS]),Table_FieldStrength[Min UCS],0)-1</f>
        <v>#VALUE!</v>
      </c>
      <c r="AB388" s="62" t="e">
        <f>MATCH(LOOKUP(Data_PLT[[#This Row],[UCS avg (MPa)]],Table_FieldStrength[Min UCS]),Table_FieldStrength[Min UCS],0)-1</f>
        <v>#VALUE!</v>
      </c>
      <c r="AC388" s="62" t="e">
        <f>MATCH(LOOKUP(Data_PLT[[#This Row],[UCS max (MPa)]],Table_FieldStrength[Min UCS]),Table_FieldStrength[Min UCS],0)-1</f>
        <v>#VALUE!</v>
      </c>
      <c r="AD388" s="68" t="e">
        <f>Data_PLT[[#This Row],[Test code]]&amp;"-"&amp;Data_PLT[[#This Row],[UCS min code]]</f>
        <v>#VALUE!</v>
      </c>
      <c r="AE388" s="68" t="e">
        <f>Data_PLT[[#This Row],[Test code]]&amp;"-"&amp;Data_PLT[[#This Row],[UCS avg code]]</f>
        <v>#VALUE!</v>
      </c>
      <c r="AF388" s="67" t="e">
        <f>Data_PLT[[#This Row],[Test code]]&amp;"-"&amp;Data_PLT[[#This Row],[UCS max code]]</f>
        <v>#VALUE!</v>
      </c>
      <c r="AG388" s="67" t="e">
        <f>Data_PLT[[#This Row],[Failure type]]&amp;"-"&amp;Data_PLT[[#This Row],[Test type]]&amp;"-"&amp;(IF(Data_PLT[[#This Row],[Is50 (MPa)]]&lt;1,1,IF(Data_PLT[[#This Row],[Is50 (MPa)]]&lt;2,2,IF(Data_PLT[[#This Row],[Is50 (MPa)]]&lt;4,3,IF(Data_PLT[[#This Row],[Is50 (MPa)]]&lt;8,4,5)))))</f>
        <v>#VALUE!</v>
      </c>
    </row>
    <row r="389" spans="2:33" x14ac:dyDescent="0.25">
      <c r="B389" s="88" t="e">
        <f>VLOOKUP(Data_PLT[[#This Row],[Hole ID]],Data_Log[],2,FALSE)</f>
        <v>#N/A</v>
      </c>
      <c r="C389" s="63" t="str">
        <f>IF(Data_PLT[[#This Row],[Hole ID]]="","",
IF(COUNTIF($A$4:A389,Data_PLT[[#This Row],[Hole ID]])=1,1,
IF(A389=A388,C388+1,
COUNTIF($A$4:A389,Data_PLT[[#This Row],[Hole ID]]))))</f>
        <v/>
      </c>
      <c r="D389" s="63" t="str">
        <f>IF(Data_PLT[[#This Row],[Hole ID]]="","",Data_PLT[[#This Row],[Hole ID]]&amp;"_"&amp;Data_PLT[[#This Row],[Sample ID]])</f>
        <v/>
      </c>
      <c r="E389" s="6"/>
      <c r="F389" s="6"/>
      <c r="G389" s="63" t="e" cm="1">
        <f t="array" ref="G389">_xlfn.XLOOKUP(1,(A389=Geotech!$A$4:$A$11100)*(Data_PLT[[#This Row],[Depth (m)]]&gt;=Geotech!$C$4:$C$11100)*(Data_PLT[[#This Row],[Depth (m)]]&lt;Geotech!$D$4:$D$11100),Geotech!$M$4:$M$11100)</f>
        <v>#N/A</v>
      </c>
      <c r="H389" s="6"/>
      <c r="I389" s="63" t="e">
        <f>VLOOKUP(Data_PLT[[#This Row],[Hole ID]],Data_Log[[Hole ID]:[Core size]],20,FALSE)</f>
        <v>#N/A</v>
      </c>
      <c r="J389" s="13" t="e">
        <f>VLOOKUP(Data_PLT[[#This Row],[Core Size]],Table_CoreSize[],2,FALSE)</f>
        <v>#N/A</v>
      </c>
      <c r="K389" s="19"/>
      <c r="L389" s="19"/>
      <c r="M389" s="5"/>
      <c r="N389" s="5"/>
      <c r="O389" s="6"/>
      <c r="P389" s="13" t="str">
        <f>IF(Data_PLT[[#This Row],[Failure type]]="","",IF(OR(Data_PLT[[#This Row],[Failure type]]="Invalid",Data_PLT[[#This Row],[Failure type]]="Chipped",Data_PLT[[#This Row],[Failure type]]="Penetrate",Data_PLT[[#This Row],[Failure type]]="Did not break"),"Invalid","Valid"))</f>
        <v/>
      </c>
      <c r="Q389" s="6"/>
      <c r="R389" s="11"/>
      <c r="S389" s="13" t="str">
        <f>IF(Data_PLT[[#This Row],[Test type]]="Diametral",Data_PLT[[#This Row],[Diameter (mm)]],IF(Data_PLT[[#This Row],[Test type]]="Axial",SQRT(4*Data_PLT[[#This Row],[Diameter (mm)]]*Data_PLT[[#This Row],[Length or width (mm)]]/PI()),"ERROR"))</f>
        <v>ERROR</v>
      </c>
      <c r="T389" s="13" t="e">
        <f>(Data_PLT[[#This Row],[Load (kN)]]*1000)/Data_PLT[[#This Row],[Equiv. Diam. (mm)]]^2</f>
        <v>#VALUE!</v>
      </c>
      <c r="U389" s="13" t="e">
        <f>(Data_PLT[[#This Row],[Equiv. Diam. (mm)]]/50)^0.45</f>
        <v>#VALUE!</v>
      </c>
      <c r="V389" s="13" t="e">
        <f>Data_PLT[[#This Row],[Is (MPa)]]*Data_PLT[[#This Row],[F]]</f>
        <v>#VALUE!</v>
      </c>
      <c r="W389" s="13" t="str">
        <f>Data_PLT[[#This Row],[Failure Validity]]&amp;"-"&amp;Data_PLT[[#This Row],[Test type]]</f>
        <v>-</v>
      </c>
      <c r="X389" s="13" t="e">
        <f>Data_PLT[[#This Row],[Is50 (MPa)]]*VLOOKUP("Min",Table_PLT_Conversion[],2,FALSE)</f>
        <v>#VALUE!</v>
      </c>
      <c r="Y389" s="13" t="e">
        <f>Data_PLT[[#This Row],[Is50 (MPa)]]*VLOOKUP("Avg",Table_PLT_Conversion[],2,FALSE)</f>
        <v>#VALUE!</v>
      </c>
      <c r="Z389" s="13" t="e">
        <f>Data_PLT[[#This Row],[Is50 (MPa)]]*VLOOKUP("Max",Table_PLT_Conversion[],2,FALSE)</f>
        <v>#VALUE!</v>
      </c>
      <c r="AA389" s="62" t="e">
        <f>MATCH(LOOKUP(Data_PLT[[#This Row],[UCS min (MPa)]],Table_FieldStrength[Min UCS]),Table_FieldStrength[Min UCS],0)-1</f>
        <v>#VALUE!</v>
      </c>
      <c r="AB389" s="62" t="e">
        <f>MATCH(LOOKUP(Data_PLT[[#This Row],[UCS avg (MPa)]],Table_FieldStrength[Min UCS]),Table_FieldStrength[Min UCS],0)-1</f>
        <v>#VALUE!</v>
      </c>
      <c r="AC389" s="62" t="e">
        <f>MATCH(LOOKUP(Data_PLT[[#This Row],[UCS max (MPa)]],Table_FieldStrength[Min UCS]),Table_FieldStrength[Min UCS],0)-1</f>
        <v>#VALUE!</v>
      </c>
      <c r="AD389" s="68" t="e">
        <f>Data_PLT[[#This Row],[Test code]]&amp;"-"&amp;Data_PLT[[#This Row],[UCS min code]]</f>
        <v>#VALUE!</v>
      </c>
      <c r="AE389" s="68" t="e">
        <f>Data_PLT[[#This Row],[Test code]]&amp;"-"&amp;Data_PLT[[#This Row],[UCS avg code]]</f>
        <v>#VALUE!</v>
      </c>
      <c r="AF389" s="67" t="e">
        <f>Data_PLT[[#This Row],[Test code]]&amp;"-"&amp;Data_PLT[[#This Row],[UCS max code]]</f>
        <v>#VALUE!</v>
      </c>
      <c r="AG389" s="67" t="e">
        <f>Data_PLT[[#This Row],[Failure type]]&amp;"-"&amp;Data_PLT[[#This Row],[Test type]]&amp;"-"&amp;(IF(Data_PLT[[#This Row],[Is50 (MPa)]]&lt;1,1,IF(Data_PLT[[#This Row],[Is50 (MPa)]]&lt;2,2,IF(Data_PLT[[#This Row],[Is50 (MPa)]]&lt;4,3,IF(Data_PLT[[#This Row],[Is50 (MPa)]]&lt;8,4,5)))))</f>
        <v>#VALUE!</v>
      </c>
    </row>
    <row r="390" spans="2:33" x14ac:dyDescent="0.25">
      <c r="B390" s="88" t="e">
        <f>VLOOKUP(Data_PLT[[#This Row],[Hole ID]],Data_Log[],2,FALSE)</f>
        <v>#N/A</v>
      </c>
      <c r="C390" s="63" t="str">
        <f>IF(Data_PLT[[#This Row],[Hole ID]]="","",
IF(COUNTIF($A$4:A390,Data_PLT[[#This Row],[Hole ID]])=1,1,
IF(A390=A389,C389+1,
COUNTIF($A$4:A390,Data_PLT[[#This Row],[Hole ID]]))))</f>
        <v/>
      </c>
      <c r="D390" s="63" t="str">
        <f>IF(Data_PLT[[#This Row],[Hole ID]]="","",Data_PLT[[#This Row],[Hole ID]]&amp;"_"&amp;Data_PLT[[#This Row],[Sample ID]])</f>
        <v/>
      </c>
      <c r="E390" s="6"/>
      <c r="F390" s="6"/>
      <c r="G390" s="63" t="e" cm="1">
        <f t="array" ref="G390">_xlfn.XLOOKUP(1,(A390=Geotech!$A$4:$A$11100)*(Data_PLT[[#This Row],[Depth (m)]]&gt;=Geotech!$C$4:$C$11100)*(Data_PLT[[#This Row],[Depth (m)]]&lt;Geotech!$D$4:$D$11100),Geotech!$M$4:$M$11100)</f>
        <v>#N/A</v>
      </c>
      <c r="H390" s="6"/>
      <c r="I390" s="63" t="e">
        <f>VLOOKUP(Data_PLT[[#This Row],[Hole ID]],Data_Log[[Hole ID]:[Core size]],20,FALSE)</f>
        <v>#N/A</v>
      </c>
      <c r="J390" s="13" t="e">
        <f>VLOOKUP(Data_PLT[[#This Row],[Core Size]],Table_CoreSize[],2,FALSE)</f>
        <v>#N/A</v>
      </c>
      <c r="K390" s="19"/>
      <c r="L390" s="19"/>
      <c r="M390" s="5"/>
      <c r="N390" s="5"/>
      <c r="O390" s="6"/>
      <c r="P390" s="13" t="str">
        <f>IF(Data_PLT[[#This Row],[Failure type]]="","",IF(OR(Data_PLT[[#This Row],[Failure type]]="Invalid",Data_PLT[[#This Row],[Failure type]]="Chipped",Data_PLT[[#This Row],[Failure type]]="Penetrate",Data_PLT[[#This Row],[Failure type]]="Did not break"),"Invalid","Valid"))</f>
        <v/>
      </c>
      <c r="Q390" s="6"/>
      <c r="R390" s="11"/>
      <c r="S390" s="13" t="str">
        <f>IF(Data_PLT[[#This Row],[Test type]]="Diametral",Data_PLT[[#This Row],[Diameter (mm)]],IF(Data_PLT[[#This Row],[Test type]]="Axial",SQRT(4*Data_PLT[[#This Row],[Diameter (mm)]]*Data_PLT[[#This Row],[Length or width (mm)]]/PI()),"ERROR"))</f>
        <v>ERROR</v>
      </c>
      <c r="T390" s="13" t="e">
        <f>(Data_PLT[[#This Row],[Load (kN)]]*1000)/Data_PLT[[#This Row],[Equiv. Diam. (mm)]]^2</f>
        <v>#VALUE!</v>
      </c>
      <c r="U390" s="13" t="e">
        <f>(Data_PLT[[#This Row],[Equiv. Diam. (mm)]]/50)^0.45</f>
        <v>#VALUE!</v>
      </c>
      <c r="V390" s="13" t="e">
        <f>Data_PLT[[#This Row],[Is (MPa)]]*Data_PLT[[#This Row],[F]]</f>
        <v>#VALUE!</v>
      </c>
      <c r="W390" s="13" t="str">
        <f>Data_PLT[[#This Row],[Failure Validity]]&amp;"-"&amp;Data_PLT[[#This Row],[Test type]]</f>
        <v>-</v>
      </c>
      <c r="X390" s="13" t="e">
        <f>Data_PLT[[#This Row],[Is50 (MPa)]]*VLOOKUP("Min",Table_PLT_Conversion[],2,FALSE)</f>
        <v>#VALUE!</v>
      </c>
      <c r="Y390" s="13" t="e">
        <f>Data_PLT[[#This Row],[Is50 (MPa)]]*VLOOKUP("Avg",Table_PLT_Conversion[],2,FALSE)</f>
        <v>#VALUE!</v>
      </c>
      <c r="Z390" s="13" t="e">
        <f>Data_PLT[[#This Row],[Is50 (MPa)]]*VLOOKUP("Max",Table_PLT_Conversion[],2,FALSE)</f>
        <v>#VALUE!</v>
      </c>
      <c r="AA390" s="62" t="e">
        <f>MATCH(LOOKUP(Data_PLT[[#This Row],[UCS min (MPa)]],Table_FieldStrength[Min UCS]),Table_FieldStrength[Min UCS],0)-1</f>
        <v>#VALUE!</v>
      </c>
      <c r="AB390" s="62" t="e">
        <f>MATCH(LOOKUP(Data_PLT[[#This Row],[UCS avg (MPa)]],Table_FieldStrength[Min UCS]),Table_FieldStrength[Min UCS],0)-1</f>
        <v>#VALUE!</v>
      </c>
      <c r="AC390" s="62" t="e">
        <f>MATCH(LOOKUP(Data_PLT[[#This Row],[UCS max (MPa)]],Table_FieldStrength[Min UCS]),Table_FieldStrength[Min UCS],0)-1</f>
        <v>#VALUE!</v>
      </c>
      <c r="AD390" s="68" t="e">
        <f>Data_PLT[[#This Row],[Test code]]&amp;"-"&amp;Data_PLT[[#This Row],[UCS min code]]</f>
        <v>#VALUE!</v>
      </c>
      <c r="AE390" s="68" t="e">
        <f>Data_PLT[[#This Row],[Test code]]&amp;"-"&amp;Data_PLT[[#This Row],[UCS avg code]]</f>
        <v>#VALUE!</v>
      </c>
      <c r="AF390" s="67" t="e">
        <f>Data_PLT[[#This Row],[Test code]]&amp;"-"&amp;Data_PLT[[#This Row],[UCS max code]]</f>
        <v>#VALUE!</v>
      </c>
      <c r="AG390" s="67" t="e">
        <f>Data_PLT[[#This Row],[Failure type]]&amp;"-"&amp;Data_PLT[[#This Row],[Test type]]&amp;"-"&amp;(IF(Data_PLT[[#This Row],[Is50 (MPa)]]&lt;1,1,IF(Data_PLT[[#This Row],[Is50 (MPa)]]&lt;2,2,IF(Data_PLT[[#This Row],[Is50 (MPa)]]&lt;4,3,IF(Data_PLT[[#This Row],[Is50 (MPa)]]&lt;8,4,5)))))</f>
        <v>#VALUE!</v>
      </c>
    </row>
    <row r="391" spans="2:33" x14ac:dyDescent="0.25">
      <c r="B391" s="88" t="e">
        <f>VLOOKUP(Data_PLT[[#This Row],[Hole ID]],Data_Log[],2,FALSE)</f>
        <v>#N/A</v>
      </c>
      <c r="C391" s="63" t="str">
        <f>IF(Data_PLT[[#This Row],[Hole ID]]="","",
IF(COUNTIF($A$4:A391,Data_PLT[[#This Row],[Hole ID]])=1,1,
IF(A391=A390,C390+1,
COUNTIF($A$4:A391,Data_PLT[[#This Row],[Hole ID]]))))</f>
        <v/>
      </c>
      <c r="D391" s="63" t="str">
        <f>IF(Data_PLT[[#This Row],[Hole ID]]="","",Data_PLT[[#This Row],[Hole ID]]&amp;"_"&amp;Data_PLT[[#This Row],[Sample ID]])</f>
        <v/>
      </c>
      <c r="E391" s="6"/>
      <c r="F391" s="6"/>
      <c r="G391" s="63" t="e" cm="1">
        <f t="array" ref="G391">_xlfn.XLOOKUP(1,(A391=Geotech!$A$4:$A$11100)*(Data_PLT[[#This Row],[Depth (m)]]&gt;=Geotech!$C$4:$C$11100)*(Data_PLT[[#This Row],[Depth (m)]]&lt;Geotech!$D$4:$D$11100),Geotech!$M$4:$M$11100)</f>
        <v>#N/A</v>
      </c>
      <c r="H391" s="6"/>
      <c r="I391" s="63" t="e">
        <f>VLOOKUP(Data_PLT[[#This Row],[Hole ID]],Data_Log[[Hole ID]:[Core size]],20,FALSE)</f>
        <v>#N/A</v>
      </c>
      <c r="J391" s="13" t="e">
        <f>VLOOKUP(Data_PLT[[#This Row],[Core Size]],Table_CoreSize[],2,FALSE)</f>
        <v>#N/A</v>
      </c>
      <c r="K391" s="19"/>
      <c r="L391" s="19"/>
      <c r="M391" s="5"/>
      <c r="N391" s="5"/>
      <c r="O391" s="6"/>
      <c r="P391" s="13" t="str">
        <f>IF(Data_PLT[[#This Row],[Failure type]]="","",IF(OR(Data_PLT[[#This Row],[Failure type]]="Invalid",Data_PLT[[#This Row],[Failure type]]="Chipped",Data_PLT[[#This Row],[Failure type]]="Penetrate",Data_PLT[[#This Row],[Failure type]]="Did not break"),"Invalid","Valid"))</f>
        <v/>
      </c>
      <c r="Q391" s="6"/>
      <c r="R391" s="11"/>
      <c r="S391" s="13" t="str">
        <f>IF(Data_PLT[[#This Row],[Test type]]="Diametral",Data_PLT[[#This Row],[Diameter (mm)]],IF(Data_PLT[[#This Row],[Test type]]="Axial",SQRT(4*Data_PLT[[#This Row],[Diameter (mm)]]*Data_PLT[[#This Row],[Length or width (mm)]]/PI()),"ERROR"))</f>
        <v>ERROR</v>
      </c>
      <c r="T391" s="13" t="e">
        <f>(Data_PLT[[#This Row],[Load (kN)]]*1000)/Data_PLT[[#This Row],[Equiv. Diam. (mm)]]^2</f>
        <v>#VALUE!</v>
      </c>
      <c r="U391" s="13" t="e">
        <f>(Data_PLT[[#This Row],[Equiv. Diam. (mm)]]/50)^0.45</f>
        <v>#VALUE!</v>
      </c>
      <c r="V391" s="13" t="e">
        <f>Data_PLT[[#This Row],[Is (MPa)]]*Data_PLT[[#This Row],[F]]</f>
        <v>#VALUE!</v>
      </c>
      <c r="W391" s="13" t="str">
        <f>Data_PLT[[#This Row],[Failure Validity]]&amp;"-"&amp;Data_PLT[[#This Row],[Test type]]</f>
        <v>-</v>
      </c>
      <c r="X391" s="13" t="e">
        <f>Data_PLT[[#This Row],[Is50 (MPa)]]*VLOOKUP("Min",Table_PLT_Conversion[],2,FALSE)</f>
        <v>#VALUE!</v>
      </c>
      <c r="Y391" s="13" t="e">
        <f>Data_PLT[[#This Row],[Is50 (MPa)]]*VLOOKUP("Avg",Table_PLT_Conversion[],2,FALSE)</f>
        <v>#VALUE!</v>
      </c>
      <c r="Z391" s="13" t="e">
        <f>Data_PLT[[#This Row],[Is50 (MPa)]]*VLOOKUP("Max",Table_PLT_Conversion[],2,FALSE)</f>
        <v>#VALUE!</v>
      </c>
      <c r="AA391" s="62" t="e">
        <f>MATCH(LOOKUP(Data_PLT[[#This Row],[UCS min (MPa)]],Table_FieldStrength[Min UCS]),Table_FieldStrength[Min UCS],0)-1</f>
        <v>#VALUE!</v>
      </c>
      <c r="AB391" s="62" t="e">
        <f>MATCH(LOOKUP(Data_PLT[[#This Row],[UCS avg (MPa)]],Table_FieldStrength[Min UCS]),Table_FieldStrength[Min UCS],0)-1</f>
        <v>#VALUE!</v>
      </c>
      <c r="AC391" s="62" t="e">
        <f>MATCH(LOOKUP(Data_PLT[[#This Row],[UCS max (MPa)]],Table_FieldStrength[Min UCS]),Table_FieldStrength[Min UCS],0)-1</f>
        <v>#VALUE!</v>
      </c>
      <c r="AD391" s="68" t="e">
        <f>Data_PLT[[#This Row],[Test code]]&amp;"-"&amp;Data_PLT[[#This Row],[UCS min code]]</f>
        <v>#VALUE!</v>
      </c>
      <c r="AE391" s="68" t="e">
        <f>Data_PLT[[#This Row],[Test code]]&amp;"-"&amp;Data_PLT[[#This Row],[UCS avg code]]</f>
        <v>#VALUE!</v>
      </c>
      <c r="AF391" s="67" t="e">
        <f>Data_PLT[[#This Row],[Test code]]&amp;"-"&amp;Data_PLT[[#This Row],[UCS max code]]</f>
        <v>#VALUE!</v>
      </c>
      <c r="AG391" s="67" t="e">
        <f>Data_PLT[[#This Row],[Failure type]]&amp;"-"&amp;Data_PLT[[#This Row],[Test type]]&amp;"-"&amp;(IF(Data_PLT[[#This Row],[Is50 (MPa)]]&lt;1,1,IF(Data_PLT[[#This Row],[Is50 (MPa)]]&lt;2,2,IF(Data_PLT[[#This Row],[Is50 (MPa)]]&lt;4,3,IF(Data_PLT[[#This Row],[Is50 (MPa)]]&lt;8,4,5)))))</f>
        <v>#VALUE!</v>
      </c>
    </row>
    <row r="392" spans="2:33" x14ac:dyDescent="0.25">
      <c r="B392" s="88" t="e">
        <f>VLOOKUP(Data_PLT[[#This Row],[Hole ID]],Data_Log[],2,FALSE)</f>
        <v>#N/A</v>
      </c>
      <c r="C392" s="63" t="str">
        <f>IF(Data_PLT[[#This Row],[Hole ID]]="","",
IF(COUNTIF($A$4:A392,Data_PLT[[#This Row],[Hole ID]])=1,1,
IF(A392=A391,C391+1,
COUNTIF($A$4:A392,Data_PLT[[#This Row],[Hole ID]]))))</f>
        <v/>
      </c>
      <c r="D392" s="63" t="str">
        <f>IF(Data_PLT[[#This Row],[Hole ID]]="","",Data_PLT[[#This Row],[Hole ID]]&amp;"_"&amp;Data_PLT[[#This Row],[Sample ID]])</f>
        <v/>
      </c>
      <c r="E392" s="6"/>
      <c r="F392" s="6"/>
      <c r="G392" s="63" t="e" cm="1">
        <f t="array" ref="G392">_xlfn.XLOOKUP(1,(A392=Geotech!$A$4:$A$11100)*(Data_PLT[[#This Row],[Depth (m)]]&gt;=Geotech!$C$4:$C$11100)*(Data_PLT[[#This Row],[Depth (m)]]&lt;Geotech!$D$4:$D$11100),Geotech!$M$4:$M$11100)</f>
        <v>#N/A</v>
      </c>
      <c r="H392" s="6"/>
      <c r="I392" s="63" t="e">
        <f>VLOOKUP(Data_PLT[[#This Row],[Hole ID]],Data_Log[[Hole ID]:[Core size]],20,FALSE)</f>
        <v>#N/A</v>
      </c>
      <c r="J392" s="13" t="e">
        <f>VLOOKUP(Data_PLT[[#This Row],[Core Size]],Table_CoreSize[],2,FALSE)</f>
        <v>#N/A</v>
      </c>
      <c r="K392" s="19"/>
      <c r="L392" s="19"/>
      <c r="M392" s="5"/>
      <c r="N392" s="5"/>
      <c r="O392" s="6"/>
      <c r="P392" s="13" t="str">
        <f>IF(Data_PLT[[#This Row],[Failure type]]="","",IF(OR(Data_PLT[[#This Row],[Failure type]]="Invalid",Data_PLT[[#This Row],[Failure type]]="Chipped",Data_PLT[[#This Row],[Failure type]]="Penetrate",Data_PLT[[#This Row],[Failure type]]="Did not break"),"Invalid","Valid"))</f>
        <v/>
      </c>
      <c r="Q392" s="6"/>
      <c r="R392" s="11"/>
      <c r="S392" s="13" t="str">
        <f>IF(Data_PLT[[#This Row],[Test type]]="Diametral",Data_PLT[[#This Row],[Diameter (mm)]],IF(Data_PLT[[#This Row],[Test type]]="Axial",SQRT(4*Data_PLT[[#This Row],[Diameter (mm)]]*Data_PLT[[#This Row],[Length or width (mm)]]/PI()),"ERROR"))</f>
        <v>ERROR</v>
      </c>
      <c r="T392" s="13" t="e">
        <f>(Data_PLT[[#This Row],[Load (kN)]]*1000)/Data_PLT[[#This Row],[Equiv. Diam. (mm)]]^2</f>
        <v>#VALUE!</v>
      </c>
      <c r="U392" s="13" t="e">
        <f>(Data_PLT[[#This Row],[Equiv. Diam. (mm)]]/50)^0.45</f>
        <v>#VALUE!</v>
      </c>
      <c r="V392" s="13" t="e">
        <f>Data_PLT[[#This Row],[Is (MPa)]]*Data_PLT[[#This Row],[F]]</f>
        <v>#VALUE!</v>
      </c>
      <c r="W392" s="13" t="str">
        <f>Data_PLT[[#This Row],[Failure Validity]]&amp;"-"&amp;Data_PLT[[#This Row],[Test type]]</f>
        <v>-</v>
      </c>
      <c r="X392" s="13" t="e">
        <f>Data_PLT[[#This Row],[Is50 (MPa)]]*VLOOKUP("Min",Table_PLT_Conversion[],2,FALSE)</f>
        <v>#VALUE!</v>
      </c>
      <c r="Y392" s="13" t="e">
        <f>Data_PLT[[#This Row],[Is50 (MPa)]]*VLOOKUP("Avg",Table_PLT_Conversion[],2,FALSE)</f>
        <v>#VALUE!</v>
      </c>
      <c r="Z392" s="13" t="e">
        <f>Data_PLT[[#This Row],[Is50 (MPa)]]*VLOOKUP("Max",Table_PLT_Conversion[],2,FALSE)</f>
        <v>#VALUE!</v>
      </c>
      <c r="AA392" s="62" t="e">
        <f>MATCH(LOOKUP(Data_PLT[[#This Row],[UCS min (MPa)]],Table_FieldStrength[Min UCS]),Table_FieldStrength[Min UCS],0)-1</f>
        <v>#VALUE!</v>
      </c>
      <c r="AB392" s="62" t="e">
        <f>MATCH(LOOKUP(Data_PLT[[#This Row],[UCS avg (MPa)]],Table_FieldStrength[Min UCS]),Table_FieldStrength[Min UCS],0)-1</f>
        <v>#VALUE!</v>
      </c>
      <c r="AC392" s="62" t="e">
        <f>MATCH(LOOKUP(Data_PLT[[#This Row],[UCS max (MPa)]],Table_FieldStrength[Min UCS]),Table_FieldStrength[Min UCS],0)-1</f>
        <v>#VALUE!</v>
      </c>
      <c r="AD392" s="68" t="e">
        <f>Data_PLT[[#This Row],[Test code]]&amp;"-"&amp;Data_PLT[[#This Row],[UCS min code]]</f>
        <v>#VALUE!</v>
      </c>
      <c r="AE392" s="68" t="e">
        <f>Data_PLT[[#This Row],[Test code]]&amp;"-"&amp;Data_PLT[[#This Row],[UCS avg code]]</f>
        <v>#VALUE!</v>
      </c>
      <c r="AF392" s="67" t="e">
        <f>Data_PLT[[#This Row],[Test code]]&amp;"-"&amp;Data_PLT[[#This Row],[UCS max code]]</f>
        <v>#VALUE!</v>
      </c>
      <c r="AG392" s="67" t="e">
        <f>Data_PLT[[#This Row],[Failure type]]&amp;"-"&amp;Data_PLT[[#This Row],[Test type]]&amp;"-"&amp;(IF(Data_PLT[[#This Row],[Is50 (MPa)]]&lt;1,1,IF(Data_PLT[[#This Row],[Is50 (MPa)]]&lt;2,2,IF(Data_PLT[[#This Row],[Is50 (MPa)]]&lt;4,3,IF(Data_PLT[[#This Row],[Is50 (MPa)]]&lt;8,4,5)))))</f>
        <v>#VALUE!</v>
      </c>
    </row>
    <row r="393" spans="2:33" x14ac:dyDescent="0.25">
      <c r="B393" s="88" t="e">
        <f>VLOOKUP(Data_PLT[[#This Row],[Hole ID]],Data_Log[],2,FALSE)</f>
        <v>#N/A</v>
      </c>
      <c r="C393" s="63" t="str">
        <f>IF(Data_PLT[[#This Row],[Hole ID]]="","",
IF(COUNTIF($A$4:A393,Data_PLT[[#This Row],[Hole ID]])=1,1,
IF(A393=A392,C392+1,
COUNTIF($A$4:A393,Data_PLT[[#This Row],[Hole ID]]))))</f>
        <v/>
      </c>
      <c r="D393" s="63" t="str">
        <f>IF(Data_PLT[[#This Row],[Hole ID]]="","",Data_PLT[[#This Row],[Hole ID]]&amp;"_"&amp;Data_PLT[[#This Row],[Sample ID]])</f>
        <v/>
      </c>
      <c r="E393" s="6"/>
      <c r="F393" s="6"/>
      <c r="G393" s="63" t="e" cm="1">
        <f t="array" ref="G393">_xlfn.XLOOKUP(1,(A393=Geotech!$A$4:$A$11100)*(Data_PLT[[#This Row],[Depth (m)]]&gt;=Geotech!$C$4:$C$11100)*(Data_PLT[[#This Row],[Depth (m)]]&lt;Geotech!$D$4:$D$11100),Geotech!$M$4:$M$11100)</f>
        <v>#N/A</v>
      </c>
      <c r="H393" s="6"/>
      <c r="I393" s="63" t="e">
        <f>VLOOKUP(Data_PLT[[#This Row],[Hole ID]],Data_Log[[Hole ID]:[Core size]],20,FALSE)</f>
        <v>#N/A</v>
      </c>
      <c r="J393" s="13" t="e">
        <f>VLOOKUP(Data_PLT[[#This Row],[Core Size]],Table_CoreSize[],2,FALSE)</f>
        <v>#N/A</v>
      </c>
      <c r="K393" s="19"/>
      <c r="L393" s="19"/>
      <c r="M393" s="5"/>
      <c r="N393" s="5"/>
      <c r="O393" s="6"/>
      <c r="P393" s="13" t="str">
        <f>IF(Data_PLT[[#This Row],[Failure type]]="","",IF(OR(Data_PLT[[#This Row],[Failure type]]="Invalid",Data_PLT[[#This Row],[Failure type]]="Chipped",Data_PLT[[#This Row],[Failure type]]="Penetrate",Data_PLT[[#This Row],[Failure type]]="Did not break"),"Invalid","Valid"))</f>
        <v/>
      </c>
      <c r="Q393" s="6"/>
      <c r="R393" s="11"/>
      <c r="S393" s="13" t="str">
        <f>IF(Data_PLT[[#This Row],[Test type]]="Diametral",Data_PLT[[#This Row],[Diameter (mm)]],IF(Data_PLT[[#This Row],[Test type]]="Axial",SQRT(4*Data_PLT[[#This Row],[Diameter (mm)]]*Data_PLT[[#This Row],[Length or width (mm)]]/PI()),"ERROR"))</f>
        <v>ERROR</v>
      </c>
      <c r="T393" s="13" t="e">
        <f>(Data_PLT[[#This Row],[Load (kN)]]*1000)/Data_PLT[[#This Row],[Equiv. Diam. (mm)]]^2</f>
        <v>#VALUE!</v>
      </c>
      <c r="U393" s="13" t="e">
        <f>(Data_PLT[[#This Row],[Equiv. Diam. (mm)]]/50)^0.45</f>
        <v>#VALUE!</v>
      </c>
      <c r="V393" s="13" t="e">
        <f>Data_PLT[[#This Row],[Is (MPa)]]*Data_PLT[[#This Row],[F]]</f>
        <v>#VALUE!</v>
      </c>
      <c r="W393" s="13" t="str">
        <f>Data_PLT[[#This Row],[Failure Validity]]&amp;"-"&amp;Data_PLT[[#This Row],[Test type]]</f>
        <v>-</v>
      </c>
      <c r="X393" s="13" t="e">
        <f>Data_PLT[[#This Row],[Is50 (MPa)]]*VLOOKUP("Min",Table_PLT_Conversion[],2,FALSE)</f>
        <v>#VALUE!</v>
      </c>
      <c r="Y393" s="13" t="e">
        <f>Data_PLT[[#This Row],[Is50 (MPa)]]*VLOOKUP("Avg",Table_PLT_Conversion[],2,FALSE)</f>
        <v>#VALUE!</v>
      </c>
      <c r="Z393" s="13" t="e">
        <f>Data_PLT[[#This Row],[Is50 (MPa)]]*VLOOKUP("Max",Table_PLT_Conversion[],2,FALSE)</f>
        <v>#VALUE!</v>
      </c>
      <c r="AA393" s="62" t="e">
        <f>MATCH(LOOKUP(Data_PLT[[#This Row],[UCS min (MPa)]],Table_FieldStrength[Min UCS]),Table_FieldStrength[Min UCS],0)-1</f>
        <v>#VALUE!</v>
      </c>
      <c r="AB393" s="62" t="e">
        <f>MATCH(LOOKUP(Data_PLT[[#This Row],[UCS avg (MPa)]],Table_FieldStrength[Min UCS]),Table_FieldStrength[Min UCS],0)-1</f>
        <v>#VALUE!</v>
      </c>
      <c r="AC393" s="62" t="e">
        <f>MATCH(LOOKUP(Data_PLT[[#This Row],[UCS max (MPa)]],Table_FieldStrength[Min UCS]),Table_FieldStrength[Min UCS],0)-1</f>
        <v>#VALUE!</v>
      </c>
      <c r="AD393" s="68" t="e">
        <f>Data_PLT[[#This Row],[Test code]]&amp;"-"&amp;Data_PLT[[#This Row],[UCS min code]]</f>
        <v>#VALUE!</v>
      </c>
      <c r="AE393" s="68" t="e">
        <f>Data_PLT[[#This Row],[Test code]]&amp;"-"&amp;Data_PLT[[#This Row],[UCS avg code]]</f>
        <v>#VALUE!</v>
      </c>
      <c r="AF393" s="67" t="e">
        <f>Data_PLT[[#This Row],[Test code]]&amp;"-"&amp;Data_PLT[[#This Row],[UCS max code]]</f>
        <v>#VALUE!</v>
      </c>
      <c r="AG393" s="67" t="e">
        <f>Data_PLT[[#This Row],[Failure type]]&amp;"-"&amp;Data_PLT[[#This Row],[Test type]]&amp;"-"&amp;(IF(Data_PLT[[#This Row],[Is50 (MPa)]]&lt;1,1,IF(Data_PLT[[#This Row],[Is50 (MPa)]]&lt;2,2,IF(Data_PLT[[#This Row],[Is50 (MPa)]]&lt;4,3,IF(Data_PLT[[#This Row],[Is50 (MPa)]]&lt;8,4,5)))))</f>
        <v>#VALUE!</v>
      </c>
    </row>
    <row r="394" spans="2:33" x14ac:dyDescent="0.25">
      <c r="B394" s="88" t="e">
        <f>VLOOKUP(Data_PLT[[#This Row],[Hole ID]],Data_Log[],2,FALSE)</f>
        <v>#N/A</v>
      </c>
      <c r="C394" s="63" t="str">
        <f>IF(Data_PLT[[#This Row],[Hole ID]]="","",
IF(COUNTIF($A$4:A394,Data_PLT[[#This Row],[Hole ID]])=1,1,
IF(A394=A393,C393+1,
COUNTIF($A$4:A394,Data_PLT[[#This Row],[Hole ID]]))))</f>
        <v/>
      </c>
      <c r="D394" s="63" t="str">
        <f>IF(Data_PLT[[#This Row],[Hole ID]]="","",Data_PLT[[#This Row],[Hole ID]]&amp;"_"&amp;Data_PLT[[#This Row],[Sample ID]])</f>
        <v/>
      </c>
      <c r="E394" s="6"/>
      <c r="F394" s="6"/>
      <c r="G394" s="63" t="e" cm="1">
        <f t="array" ref="G394">_xlfn.XLOOKUP(1,(A394=Geotech!$A$4:$A$11100)*(Data_PLT[[#This Row],[Depth (m)]]&gt;=Geotech!$C$4:$C$11100)*(Data_PLT[[#This Row],[Depth (m)]]&lt;Geotech!$D$4:$D$11100),Geotech!$M$4:$M$11100)</f>
        <v>#N/A</v>
      </c>
      <c r="H394" s="6"/>
      <c r="I394" s="63" t="e">
        <f>VLOOKUP(Data_PLT[[#This Row],[Hole ID]],Data_Log[[Hole ID]:[Core size]],20,FALSE)</f>
        <v>#N/A</v>
      </c>
      <c r="J394" s="13" t="e">
        <f>VLOOKUP(Data_PLT[[#This Row],[Core Size]],Table_CoreSize[],2,FALSE)</f>
        <v>#N/A</v>
      </c>
      <c r="K394" s="19"/>
      <c r="L394" s="19"/>
      <c r="M394" s="5"/>
      <c r="N394" s="5"/>
      <c r="O394" s="6"/>
      <c r="P394" s="13" t="str">
        <f>IF(Data_PLT[[#This Row],[Failure type]]="","",IF(OR(Data_PLT[[#This Row],[Failure type]]="Invalid",Data_PLT[[#This Row],[Failure type]]="Chipped",Data_PLT[[#This Row],[Failure type]]="Penetrate",Data_PLT[[#This Row],[Failure type]]="Did not break"),"Invalid","Valid"))</f>
        <v/>
      </c>
      <c r="Q394" s="6"/>
      <c r="R394" s="11"/>
      <c r="S394" s="13" t="str">
        <f>IF(Data_PLT[[#This Row],[Test type]]="Diametral",Data_PLT[[#This Row],[Diameter (mm)]],IF(Data_PLT[[#This Row],[Test type]]="Axial",SQRT(4*Data_PLT[[#This Row],[Diameter (mm)]]*Data_PLT[[#This Row],[Length or width (mm)]]/PI()),"ERROR"))</f>
        <v>ERROR</v>
      </c>
      <c r="T394" s="13" t="e">
        <f>(Data_PLT[[#This Row],[Load (kN)]]*1000)/Data_PLT[[#This Row],[Equiv. Diam. (mm)]]^2</f>
        <v>#VALUE!</v>
      </c>
      <c r="U394" s="13" t="e">
        <f>(Data_PLT[[#This Row],[Equiv. Diam. (mm)]]/50)^0.45</f>
        <v>#VALUE!</v>
      </c>
      <c r="V394" s="13" t="e">
        <f>Data_PLT[[#This Row],[Is (MPa)]]*Data_PLT[[#This Row],[F]]</f>
        <v>#VALUE!</v>
      </c>
      <c r="W394" s="13" t="str">
        <f>Data_PLT[[#This Row],[Failure Validity]]&amp;"-"&amp;Data_PLT[[#This Row],[Test type]]</f>
        <v>-</v>
      </c>
      <c r="X394" s="13" t="e">
        <f>Data_PLT[[#This Row],[Is50 (MPa)]]*VLOOKUP("Min",Table_PLT_Conversion[],2,FALSE)</f>
        <v>#VALUE!</v>
      </c>
      <c r="Y394" s="13" t="e">
        <f>Data_PLT[[#This Row],[Is50 (MPa)]]*VLOOKUP("Avg",Table_PLT_Conversion[],2,FALSE)</f>
        <v>#VALUE!</v>
      </c>
      <c r="Z394" s="13" t="e">
        <f>Data_PLT[[#This Row],[Is50 (MPa)]]*VLOOKUP("Max",Table_PLT_Conversion[],2,FALSE)</f>
        <v>#VALUE!</v>
      </c>
      <c r="AA394" s="62" t="e">
        <f>MATCH(LOOKUP(Data_PLT[[#This Row],[UCS min (MPa)]],Table_FieldStrength[Min UCS]),Table_FieldStrength[Min UCS],0)-1</f>
        <v>#VALUE!</v>
      </c>
      <c r="AB394" s="62" t="e">
        <f>MATCH(LOOKUP(Data_PLT[[#This Row],[UCS avg (MPa)]],Table_FieldStrength[Min UCS]),Table_FieldStrength[Min UCS],0)-1</f>
        <v>#VALUE!</v>
      </c>
      <c r="AC394" s="62" t="e">
        <f>MATCH(LOOKUP(Data_PLT[[#This Row],[UCS max (MPa)]],Table_FieldStrength[Min UCS]),Table_FieldStrength[Min UCS],0)-1</f>
        <v>#VALUE!</v>
      </c>
      <c r="AD394" s="68" t="e">
        <f>Data_PLT[[#This Row],[Test code]]&amp;"-"&amp;Data_PLT[[#This Row],[UCS min code]]</f>
        <v>#VALUE!</v>
      </c>
      <c r="AE394" s="68" t="e">
        <f>Data_PLT[[#This Row],[Test code]]&amp;"-"&amp;Data_PLT[[#This Row],[UCS avg code]]</f>
        <v>#VALUE!</v>
      </c>
      <c r="AF394" s="67" t="e">
        <f>Data_PLT[[#This Row],[Test code]]&amp;"-"&amp;Data_PLT[[#This Row],[UCS max code]]</f>
        <v>#VALUE!</v>
      </c>
      <c r="AG394" s="67" t="e">
        <f>Data_PLT[[#This Row],[Failure type]]&amp;"-"&amp;Data_PLT[[#This Row],[Test type]]&amp;"-"&amp;(IF(Data_PLT[[#This Row],[Is50 (MPa)]]&lt;1,1,IF(Data_PLT[[#This Row],[Is50 (MPa)]]&lt;2,2,IF(Data_PLT[[#This Row],[Is50 (MPa)]]&lt;4,3,IF(Data_PLT[[#This Row],[Is50 (MPa)]]&lt;8,4,5)))))</f>
        <v>#VALUE!</v>
      </c>
    </row>
    <row r="395" spans="2:33" x14ac:dyDescent="0.25">
      <c r="B395" s="88" t="e">
        <f>VLOOKUP(Data_PLT[[#This Row],[Hole ID]],Data_Log[],2,FALSE)</f>
        <v>#N/A</v>
      </c>
      <c r="C395" s="63" t="str">
        <f>IF(Data_PLT[[#This Row],[Hole ID]]="","",
IF(COUNTIF($A$4:A395,Data_PLT[[#This Row],[Hole ID]])=1,1,
IF(A395=A394,C394+1,
COUNTIF($A$4:A395,Data_PLT[[#This Row],[Hole ID]]))))</f>
        <v/>
      </c>
      <c r="D395" s="63" t="str">
        <f>IF(Data_PLT[[#This Row],[Hole ID]]="","",Data_PLT[[#This Row],[Hole ID]]&amp;"_"&amp;Data_PLT[[#This Row],[Sample ID]])</f>
        <v/>
      </c>
      <c r="E395" s="6"/>
      <c r="F395" s="6"/>
      <c r="G395" s="63" t="e" cm="1">
        <f t="array" ref="G395">_xlfn.XLOOKUP(1,(A395=Geotech!$A$4:$A$11100)*(Data_PLT[[#This Row],[Depth (m)]]&gt;=Geotech!$C$4:$C$11100)*(Data_PLT[[#This Row],[Depth (m)]]&lt;Geotech!$D$4:$D$11100),Geotech!$M$4:$M$11100)</f>
        <v>#N/A</v>
      </c>
      <c r="H395" s="6"/>
      <c r="I395" s="63" t="e">
        <f>VLOOKUP(Data_PLT[[#This Row],[Hole ID]],Data_Log[[Hole ID]:[Core size]],20,FALSE)</f>
        <v>#N/A</v>
      </c>
      <c r="J395" s="13" t="e">
        <f>VLOOKUP(Data_PLT[[#This Row],[Core Size]],Table_CoreSize[],2,FALSE)</f>
        <v>#N/A</v>
      </c>
      <c r="K395" s="19"/>
      <c r="L395" s="19"/>
      <c r="M395" s="5"/>
      <c r="N395" s="5"/>
      <c r="O395" s="6"/>
      <c r="P395" s="13" t="str">
        <f>IF(Data_PLT[[#This Row],[Failure type]]="","",IF(OR(Data_PLT[[#This Row],[Failure type]]="Invalid",Data_PLT[[#This Row],[Failure type]]="Chipped",Data_PLT[[#This Row],[Failure type]]="Penetrate",Data_PLT[[#This Row],[Failure type]]="Did not break"),"Invalid","Valid"))</f>
        <v/>
      </c>
      <c r="Q395" s="6"/>
      <c r="R395" s="11"/>
      <c r="S395" s="13" t="str">
        <f>IF(Data_PLT[[#This Row],[Test type]]="Diametral",Data_PLT[[#This Row],[Diameter (mm)]],IF(Data_PLT[[#This Row],[Test type]]="Axial",SQRT(4*Data_PLT[[#This Row],[Diameter (mm)]]*Data_PLT[[#This Row],[Length or width (mm)]]/PI()),"ERROR"))</f>
        <v>ERROR</v>
      </c>
      <c r="T395" s="13" t="e">
        <f>(Data_PLT[[#This Row],[Load (kN)]]*1000)/Data_PLT[[#This Row],[Equiv. Diam. (mm)]]^2</f>
        <v>#VALUE!</v>
      </c>
      <c r="U395" s="13" t="e">
        <f>(Data_PLT[[#This Row],[Equiv. Diam. (mm)]]/50)^0.45</f>
        <v>#VALUE!</v>
      </c>
      <c r="V395" s="13" t="e">
        <f>Data_PLT[[#This Row],[Is (MPa)]]*Data_PLT[[#This Row],[F]]</f>
        <v>#VALUE!</v>
      </c>
      <c r="W395" s="13" t="str">
        <f>Data_PLT[[#This Row],[Failure Validity]]&amp;"-"&amp;Data_PLT[[#This Row],[Test type]]</f>
        <v>-</v>
      </c>
      <c r="X395" s="13" t="e">
        <f>Data_PLT[[#This Row],[Is50 (MPa)]]*VLOOKUP("Min",Table_PLT_Conversion[],2,FALSE)</f>
        <v>#VALUE!</v>
      </c>
      <c r="Y395" s="13" t="e">
        <f>Data_PLT[[#This Row],[Is50 (MPa)]]*VLOOKUP("Avg",Table_PLT_Conversion[],2,FALSE)</f>
        <v>#VALUE!</v>
      </c>
      <c r="Z395" s="13" t="e">
        <f>Data_PLT[[#This Row],[Is50 (MPa)]]*VLOOKUP("Max",Table_PLT_Conversion[],2,FALSE)</f>
        <v>#VALUE!</v>
      </c>
      <c r="AA395" s="62" t="e">
        <f>MATCH(LOOKUP(Data_PLT[[#This Row],[UCS min (MPa)]],Table_FieldStrength[Min UCS]),Table_FieldStrength[Min UCS],0)-1</f>
        <v>#VALUE!</v>
      </c>
      <c r="AB395" s="62" t="e">
        <f>MATCH(LOOKUP(Data_PLT[[#This Row],[UCS avg (MPa)]],Table_FieldStrength[Min UCS]),Table_FieldStrength[Min UCS],0)-1</f>
        <v>#VALUE!</v>
      </c>
      <c r="AC395" s="62" t="e">
        <f>MATCH(LOOKUP(Data_PLT[[#This Row],[UCS max (MPa)]],Table_FieldStrength[Min UCS]),Table_FieldStrength[Min UCS],0)-1</f>
        <v>#VALUE!</v>
      </c>
      <c r="AD395" s="68" t="e">
        <f>Data_PLT[[#This Row],[Test code]]&amp;"-"&amp;Data_PLT[[#This Row],[UCS min code]]</f>
        <v>#VALUE!</v>
      </c>
      <c r="AE395" s="68" t="e">
        <f>Data_PLT[[#This Row],[Test code]]&amp;"-"&amp;Data_PLT[[#This Row],[UCS avg code]]</f>
        <v>#VALUE!</v>
      </c>
      <c r="AF395" s="67" t="e">
        <f>Data_PLT[[#This Row],[Test code]]&amp;"-"&amp;Data_PLT[[#This Row],[UCS max code]]</f>
        <v>#VALUE!</v>
      </c>
      <c r="AG395" s="67" t="e">
        <f>Data_PLT[[#This Row],[Failure type]]&amp;"-"&amp;Data_PLT[[#This Row],[Test type]]&amp;"-"&amp;(IF(Data_PLT[[#This Row],[Is50 (MPa)]]&lt;1,1,IF(Data_PLT[[#This Row],[Is50 (MPa)]]&lt;2,2,IF(Data_PLT[[#This Row],[Is50 (MPa)]]&lt;4,3,IF(Data_PLT[[#This Row],[Is50 (MPa)]]&lt;8,4,5)))))</f>
        <v>#VALUE!</v>
      </c>
    </row>
    <row r="396" spans="2:33" x14ac:dyDescent="0.25">
      <c r="B396" s="88" t="e">
        <f>VLOOKUP(Data_PLT[[#This Row],[Hole ID]],Data_Log[],2,FALSE)</f>
        <v>#N/A</v>
      </c>
      <c r="C396" s="63" t="str">
        <f>IF(Data_PLT[[#This Row],[Hole ID]]="","",
IF(COUNTIF($A$4:A396,Data_PLT[[#This Row],[Hole ID]])=1,1,
IF(A396=A395,C395+1,
COUNTIF($A$4:A396,Data_PLT[[#This Row],[Hole ID]]))))</f>
        <v/>
      </c>
      <c r="D396" s="63" t="str">
        <f>IF(Data_PLT[[#This Row],[Hole ID]]="","",Data_PLT[[#This Row],[Hole ID]]&amp;"_"&amp;Data_PLT[[#This Row],[Sample ID]])</f>
        <v/>
      </c>
      <c r="E396" s="6"/>
      <c r="F396" s="6"/>
      <c r="G396" s="63" t="e" cm="1">
        <f t="array" ref="G396">_xlfn.XLOOKUP(1,(A396=Geotech!$A$4:$A$11100)*(Data_PLT[[#This Row],[Depth (m)]]&gt;=Geotech!$C$4:$C$11100)*(Data_PLT[[#This Row],[Depth (m)]]&lt;Geotech!$D$4:$D$11100),Geotech!$M$4:$M$11100)</f>
        <v>#N/A</v>
      </c>
      <c r="H396" s="6"/>
      <c r="I396" s="63" t="e">
        <f>VLOOKUP(Data_PLT[[#This Row],[Hole ID]],Data_Log[[Hole ID]:[Core size]],20,FALSE)</f>
        <v>#N/A</v>
      </c>
      <c r="J396" s="13" t="e">
        <f>VLOOKUP(Data_PLT[[#This Row],[Core Size]],Table_CoreSize[],2,FALSE)</f>
        <v>#N/A</v>
      </c>
      <c r="K396" s="19"/>
      <c r="L396" s="19"/>
      <c r="M396" s="5"/>
      <c r="N396" s="5"/>
      <c r="O396" s="6"/>
      <c r="P396" s="13" t="str">
        <f>IF(Data_PLT[[#This Row],[Failure type]]="","",IF(OR(Data_PLT[[#This Row],[Failure type]]="Invalid",Data_PLT[[#This Row],[Failure type]]="Chipped",Data_PLT[[#This Row],[Failure type]]="Penetrate",Data_PLT[[#This Row],[Failure type]]="Did not break"),"Invalid","Valid"))</f>
        <v/>
      </c>
      <c r="Q396" s="6"/>
      <c r="R396" s="11"/>
      <c r="S396" s="13" t="str">
        <f>IF(Data_PLT[[#This Row],[Test type]]="Diametral",Data_PLT[[#This Row],[Diameter (mm)]],IF(Data_PLT[[#This Row],[Test type]]="Axial",SQRT(4*Data_PLT[[#This Row],[Diameter (mm)]]*Data_PLT[[#This Row],[Length or width (mm)]]/PI()),"ERROR"))</f>
        <v>ERROR</v>
      </c>
      <c r="T396" s="13" t="e">
        <f>(Data_PLT[[#This Row],[Load (kN)]]*1000)/Data_PLT[[#This Row],[Equiv. Diam. (mm)]]^2</f>
        <v>#VALUE!</v>
      </c>
      <c r="U396" s="13" t="e">
        <f>(Data_PLT[[#This Row],[Equiv. Diam. (mm)]]/50)^0.45</f>
        <v>#VALUE!</v>
      </c>
      <c r="V396" s="13" t="e">
        <f>Data_PLT[[#This Row],[Is (MPa)]]*Data_PLT[[#This Row],[F]]</f>
        <v>#VALUE!</v>
      </c>
      <c r="W396" s="13" t="str">
        <f>Data_PLT[[#This Row],[Failure Validity]]&amp;"-"&amp;Data_PLT[[#This Row],[Test type]]</f>
        <v>-</v>
      </c>
      <c r="X396" s="13" t="e">
        <f>Data_PLT[[#This Row],[Is50 (MPa)]]*VLOOKUP("Min",Table_PLT_Conversion[],2,FALSE)</f>
        <v>#VALUE!</v>
      </c>
      <c r="Y396" s="13" t="e">
        <f>Data_PLT[[#This Row],[Is50 (MPa)]]*VLOOKUP("Avg",Table_PLT_Conversion[],2,FALSE)</f>
        <v>#VALUE!</v>
      </c>
      <c r="Z396" s="13" t="e">
        <f>Data_PLT[[#This Row],[Is50 (MPa)]]*VLOOKUP("Max",Table_PLT_Conversion[],2,FALSE)</f>
        <v>#VALUE!</v>
      </c>
      <c r="AA396" s="62" t="e">
        <f>MATCH(LOOKUP(Data_PLT[[#This Row],[UCS min (MPa)]],Table_FieldStrength[Min UCS]),Table_FieldStrength[Min UCS],0)-1</f>
        <v>#VALUE!</v>
      </c>
      <c r="AB396" s="62" t="e">
        <f>MATCH(LOOKUP(Data_PLT[[#This Row],[UCS avg (MPa)]],Table_FieldStrength[Min UCS]),Table_FieldStrength[Min UCS],0)-1</f>
        <v>#VALUE!</v>
      </c>
      <c r="AC396" s="62" t="e">
        <f>MATCH(LOOKUP(Data_PLT[[#This Row],[UCS max (MPa)]],Table_FieldStrength[Min UCS]),Table_FieldStrength[Min UCS],0)-1</f>
        <v>#VALUE!</v>
      </c>
      <c r="AD396" s="68" t="e">
        <f>Data_PLT[[#This Row],[Test code]]&amp;"-"&amp;Data_PLT[[#This Row],[UCS min code]]</f>
        <v>#VALUE!</v>
      </c>
      <c r="AE396" s="68" t="e">
        <f>Data_PLT[[#This Row],[Test code]]&amp;"-"&amp;Data_PLT[[#This Row],[UCS avg code]]</f>
        <v>#VALUE!</v>
      </c>
      <c r="AF396" s="67" t="e">
        <f>Data_PLT[[#This Row],[Test code]]&amp;"-"&amp;Data_PLT[[#This Row],[UCS max code]]</f>
        <v>#VALUE!</v>
      </c>
      <c r="AG396" s="67" t="e">
        <f>Data_PLT[[#This Row],[Failure type]]&amp;"-"&amp;Data_PLT[[#This Row],[Test type]]&amp;"-"&amp;(IF(Data_PLT[[#This Row],[Is50 (MPa)]]&lt;1,1,IF(Data_PLT[[#This Row],[Is50 (MPa)]]&lt;2,2,IF(Data_PLT[[#This Row],[Is50 (MPa)]]&lt;4,3,IF(Data_PLT[[#This Row],[Is50 (MPa)]]&lt;8,4,5)))))</f>
        <v>#VALUE!</v>
      </c>
    </row>
    <row r="397" spans="2:33" x14ac:dyDescent="0.25">
      <c r="B397" s="88" t="e">
        <f>VLOOKUP(Data_PLT[[#This Row],[Hole ID]],Data_Log[],2,FALSE)</f>
        <v>#N/A</v>
      </c>
      <c r="C397" s="63" t="str">
        <f>IF(Data_PLT[[#This Row],[Hole ID]]="","",
IF(COUNTIF($A$4:A397,Data_PLT[[#This Row],[Hole ID]])=1,1,
IF(A397=A396,C396+1,
COUNTIF($A$4:A397,Data_PLT[[#This Row],[Hole ID]]))))</f>
        <v/>
      </c>
      <c r="D397" s="63" t="str">
        <f>IF(Data_PLT[[#This Row],[Hole ID]]="","",Data_PLT[[#This Row],[Hole ID]]&amp;"_"&amp;Data_PLT[[#This Row],[Sample ID]])</f>
        <v/>
      </c>
      <c r="E397" s="6"/>
      <c r="F397" s="6"/>
      <c r="G397" s="63" t="e" cm="1">
        <f t="array" ref="G397">_xlfn.XLOOKUP(1,(A397=Geotech!$A$4:$A$11100)*(Data_PLT[[#This Row],[Depth (m)]]&gt;=Geotech!$C$4:$C$11100)*(Data_PLT[[#This Row],[Depth (m)]]&lt;Geotech!$D$4:$D$11100),Geotech!$M$4:$M$11100)</f>
        <v>#N/A</v>
      </c>
      <c r="H397" s="6"/>
      <c r="I397" s="63" t="e">
        <f>VLOOKUP(Data_PLT[[#This Row],[Hole ID]],Data_Log[[Hole ID]:[Core size]],20,FALSE)</f>
        <v>#N/A</v>
      </c>
      <c r="J397" s="13" t="e">
        <f>VLOOKUP(Data_PLT[[#This Row],[Core Size]],Table_CoreSize[],2,FALSE)</f>
        <v>#N/A</v>
      </c>
      <c r="K397" s="19"/>
      <c r="L397" s="19"/>
      <c r="M397" s="5"/>
      <c r="N397" s="5"/>
      <c r="O397" s="6"/>
      <c r="P397" s="13" t="str">
        <f>IF(Data_PLT[[#This Row],[Failure type]]="","",IF(OR(Data_PLT[[#This Row],[Failure type]]="Invalid",Data_PLT[[#This Row],[Failure type]]="Chipped",Data_PLT[[#This Row],[Failure type]]="Penetrate",Data_PLT[[#This Row],[Failure type]]="Did not break"),"Invalid","Valid"))</f>
        <v/>
      </c>
      <c r="Q397" s="6"/>
      <c r="R397" s="11"/>
      <c r="S397" s="13" t="str">
        <f>IF(Data_PLT[[#This Row],[Test type]]="Diametral",Data_PLT[[#This Row],[Diameter (mm)]],IF(Data_PLT[[#This Row],[Test type]]="Axial",SQRT(4*Data_PLT[[#This Row],[Diameter (mm)]]*Data_PLT[[#This Row],[Length or width (mm)]]/PI()),"ERROR"))</f>
        <v>ERROR</v>
      </c>
      <c r="T397" s="13" t="e">
        <f>(Data_PLT[[#This Row],[Load (kN)]]*1000)/Data_PLT[[#This Row],[Equiv. Diam. (mm)]]^2</f>
        <v>#VALUE!</v>
      </c>
      <c r="U397" s="13" t="e">
        <f>(Data_PLT[[#This Row],[Equiv. Diam. (mm)]]/50)^0.45</f>
        <v>#VALUE!</v>
      </c>
      <c r="V397" s="13" t="e">
        <f>Data_PLT[[#This Row],[Is (MPa)]]*Data_PLT[[#This Row],[F]]</f>
        <v>#VALUE!</v>
      </c>
      <c r="W397" s="13" t="str">
        <f>Data_PLT[[#This Row],[Failure Validity]]&amp;"-"&amp;Data_PLT[[#This Row],[Test type]]</f>
        <v>-</v>
      </c>
      <c r="X397" s="13" t="e">
        <f>Data_PLT[[#This Row],[Is50 (MPa)]]*VLOOKUP("Min",Table_PLT_Conversion[],2,FALSE)</f>
        <v>#VALUE!</v>
      </c>
      <c r="Y397" s="13" t="e">
        <f>Data_PLT[[#This Row],[Is50 (MPa)]]*VLOOKUP("Avg",Table_PLT_Conversion[],2,FALSE)</f>
        <v>#VALUE!</v>
      </c>
      <c r="Z397" s="13" t="e">
        <f>Data_PLT[[#This Row],[Is50 (MPa)]]*VLOOKUP("Max",Table_PLT_Conversion[],2,FALSE)</f>
        <v>#VALUE!</v>
      </c>
      <c r="AA397" s="62" t="e">
        <f>MATCH(LOOKUP(Data_PLT[[#This Row],[UCS min (MPa)]],Table_FieldStrength[Min UCS]),Table_FieldStrength[Min UCS],0)-1</f>
        <v>#VALUE!</v>
      </c>
      <c r="AB397" s="62" t="e">
        <f>MATCH(LOOKUP(Data_PLT[[#This Row],[UCS avg (MPa)]],Table_FieldStrength[Min UCS]),Table_FieldStrength[Min UCS],0)-1</f>
        <v>#VALUE!</v>
      </c>
      <c r="AC397" s="62" t="e">
        <f>MATCH(LOOKUP(Data_PLT[[#This Row],[UCS max (MPa)]],Table_FieldStrength[Min UCS]),Table_FieldStrength[Min UCS],0)-1</f>
        <v>#VALUE!</v>
      </c>
      <c r="AD397" s="68" t="e">
        <f>Data_PLT[[#This Row],[Test code]]&amp;"-"&amp;Data_PLT[[#This Row],[UCS min code]]</f>
        <v>#VALUE!</v>
      </c>
      <c r="AE397" s="68" t="e">
        <f>Data_PLT[[#This Row],[Test code]]&amp;"-"&amp;Data_PLT[[#This Row],[UCS avg code]]</f>
        <v>#VALUE!</v>
      </c>
      <c r="AF397" s="67" t="e">
        <f>Data_PLT[[#This Row],[Test code]]&amp;"-"&amp;Data_PLT[[#This Row],[UCS max code]]</f>
        <v>#VALUE!</v>
      </c>
      <c r="AG397" s="67" t="e">
        <f>Data_PLT[[#This Row],[Failure type]]&amp;"-"&amp;Data_PLT[[#This Row],[Test type]]&amp;"-"&amp;(IF(Data_PLT[[#This Row],[Is50 (MPa)]]&lt;1,1,IF(Data_PLT[[#This Row],[Is50 (MPa)]]&lt;2,2,IF(Data_PLT[[#This Row],[Is50 (MPa)]]&lt;4,3,IF(Data_PLT[[#This Row],[Is50 (MPa)]]&lt;8,4,5)))))</f>
        <v>#VALUE!</v>
      </c>
    </row>
    <row r="398" spans="2:33" x14ac:dyDescent="0.25">
      <c r="B398" s="88" t="e">
        <f>VLOOKUP(Data_PLT[[#This Row],[Hole ID]],Data_Log[],2,FALSE)</f>
        <v>#N/A</v>
      </c>
      <c r="C398" s="63" t="str">
        <f>IF(Data_PLT[[#This Row],[Hole ID]]="","",
IF(COUNTIF($A$4:A398,Data_PLT[[#This Row],[Hole ID]])=1,1,
IF(A398=A397,C397+1,
COUNTIF($A$4:A398,Data_PLT[[#This Row],[Hole ID]]))))</f>
        <v/>
      </c>
      <c r="D398" s="63" t="str">
        <f>IF(Data_PLT[[#This Row],[Hole ID]]="","",Data_PLT[[#This Row],[Hole ID]]&amp;"_"&amp;Data_PLT[[#This Row],[Sample ID]])</f>
        <v/>
      </c>
      <c r="E398" s="6"/>
      <c r="F398" s="6"/>
      <c r="G398" s="63" t="e" cm="1">
        <f t="array" ref="G398">_xlfn.XLOOKUP(1,(A398=Geotech!$A$4:$A$11100)*(Data_PLT[[#This Row],[Depth (m)]]&gt;=Geotech!$C$4:$C$11100)*(Data_PLT[[#This Row],[Depth (m)]]&lt;Geotech!$D$4:$D$11100),Geotech!$M$4:$M$11100)</f>
        <v>#N/A</v>
      </c>
      <c r="H398" s="6"/>
      <c r="I398" s="63" t="e">
        <f>VLOOKUP(Data_PLT[[#This Row],[Hole ID]],Data_Log[[Hole ID]:[Core size]],20,FALSE)</f>
        <v>#N/A</v>
      </c>
      <c r="J398" s="13" t="e">
        <f>VLOOKUP(Data_PLT[[#This Row],[Core Size]],Table_CoreSize[],2,FALSE)</f>
        <v>#N/A</v>
      </c>
      <c r="K398" s="19"/>
      <c r="L398" s="19"/>
      <c r="M398" s="5"/>
      <c r="N398" s="5"/>
      <c r="O398" s="6"/>
      <c r="P398" s="13" t="str">
        <f>IF(Data_PLT[[#This Row],[Failure type]]="","",IF(OR(Data_PLT[[#This Row],[Failure type]]="Invalid",Data_PLT[[#This Row],[Failure type]]="Chipped",Data_PLT[[#This Row],[Failure type]]="Penetrate",Data_PLT[[#This Row],[Failure type]]="Did not break"),"Invalid","Valid"))</f>
        <v/>
      </c>
      <c r="Q398" s="6"/>
      <c r="R398" s="11"/>
      <c r="S398" s="13" t="str">
        <f>IF(Data_PLT[[#This Row],[Test type]]="Diametral",Data_PLT[[#This Row],[Diameter (mm)]],IF(Data_PLT[[#This Row],[Test type]]="Axial",SQRT(4*Data_PLT[[#This Row],[Diameter (mm)]]*Data_PLT[[#This Row],[Length or width (mm)]]/PI()),"ERROR"))</f>
        <v>ERROR</v>
      </c>
      <c r="T398" s="13" t="e">
        <f>(Data_PLT[[#This Row],[Load (kN)]]*1000)/Data_PLT[[#This Row],[Equiv. Diam. (mm)]]^2</f>
        <v>#VALUE!</v>
      </c>
      <c r="U398" s="13" t="e">
        <f>(Data_PLT[[#This Row],[Equiv. Diam. (mm)]]/50)^0.45</f>
        <v>#VALUE!</v>
      </c>
      <c r="V398" s="13" t="e">
        <f>Data_PLT[[#This Row],[Is (MPa)]]*Data_PLT[[#This Row],[F]]</f>
        <v>#VALUE!</v>
      </c>
      <c r="W398" s="13" t="str">
        <f>Data_PLT[[#This Row],[Failure Validity]]&amp;"-"&amp;Data_PLT[[#This Row],[Test type]]</f>
        <v>-</v>
      </c>
      <c r="X398" s="13" t="e">
        <f>Data_PLT[[#This Row],[Is50 (MPa)]]*VLOOKUP("Min",Table_PLT_Conversion[],2,FALSE)</f>
        <v>#VALUE!</v>
      </c>
      <c r="Y398" s="13" t="e">
        <f>Data_PLT[[#This Row],[Is50 (MPa)]]*VLOOKUP("Avg",Table_PLT_Conversion[],2,FALSE)</f>
        <v>#VALUE!</v>
      </c>
      <c r="Z398" s="13" t="e">
        <f>Data_PLT[[#This Row],[Is50 (MPa)]]*VLOOKUP("Max",Table_PLT_Conversion[],2,FALSE)</f>
        <v>#VALUE!</v>
      </c>
      <c r="AA398" s="62" t="e">
        <f>MATCH(LOOKUP(Data_PLT[[#This Row],[UCS min (MPa)]],Table_FieldStrength[Min UCS]),Table_FieldStrength[Min UCS],0)-1</f>
        <v>#VALUE!</v>
      </c>
      <c r="AB398" s="62" t="e">
        <f>MATCH(LOOKUP(Data_PLT[[#This Row],[UCS avg (MPa)]],Table_FieldStrength[Min UCS]),Table_FieldStrength[Min UCS],0)-1</f>
        <v>#VALUE!</v>
      </c>
      <c r="AC398" s="62" t="e">
        <f>MATCH(LOOKUP(Data_PLT[[#This Row],[UCS max (MPa)]],Table_FieldStrength[Min UCS]),Table_FieldStrength[Min UCS],0)-1</f>
        <v>#VALUE!</v>
      </c>
      <c r="AD398" s="68" t="e">
        <f>Data_PLT[[#This Row],[Test code]]&amp;"-"&amp;Data_PLT[[#This Row],[UCS min code]]</f>
        <v>#VALUE!</v>
      </c>
      <c r="AE398" s="68" t="e">
        <f>Data_PLT[[#This Row],[Test code]]&amp;"-"&amp;Data_PLT[[#This Row],[UCS avg code]]</f>
        <v>#VALUE!</v>
      </c>
      <c r="AF398" s="67" t="e">
        <f>Data_PLT[[#This Row],[Test code]]&amp;"-"&amp;Data_PLT[[#This Row],[UCS max code]]</f>
        <v>#VALUE!</v>
      </c>
      <c r="AG398" s="67" t="e">
        <f>Data_PLT[[#This Row],[Failure type]]&amp;"-"&amp;Data_PLT[[#This Row],[Test type]]&amp;"-"&amp;(IF(Data_PLT[[#This Row],[Is50 (MPa)]]&lt;1,1,IF(Data_PLT[[#This Row],[Is50 (MPa)]]&lt;2,2,IF(Data_PLT[[#This Row],[Is50 (MPa)]]&lt;4,3,IF(Data_PLT[[#This Row],[Is50 (MPa)]]&lt;8,4,5)))))</f>
        <v>#VALUE!</v>
      </c>
    </row>
    <row r="399" spans="2:33" x14ac:dyDescent="0.25">
      <c r="B399" s="88" t="e">
        <f>VLOOKUP(Data_PLT[[#This Row],[Hole ID]],Data_Log[],2,FALSE)</f>
        <v>#N/A</v>
      </c>
      <c r="C399" s="63" t="str">
        <f>IF(Data_PLT[[#This Row],[Hole ID]]="","",
IF(COUNTIF($A$4:A399,Data_PLT[[#This Row],[Hole ID]])=1,1,
IF(A399=A398,C398+1,
COUNTIF($A$4:A399,Data_PLT[[#This Row],[Hole ID]]))))</f>
        <v/>
      </c>
      <c r="D399" s="63" t="str">
        <f>IF(Data_PLT[[#This Row],[Hole ID]]="","",Data_PLT[[#This Row],[Hole ID]]&amp;"_"&amp;Data_PLT[[#This Row],[Sample ID]])</f>
        <v/>
      </c>
      <c r="E399" s="6"/>
      <c r="F399" s="6"/>
      <c r="G399" s="63" t="e" cm="1">
        <f t="array" ref="G399">_xlfn.XLOOKUP(1,(A399=Geotech!$A$4:$A$11100)*(Data_PLT[[#This Row],[Depth (m)]]&gt;=Geotech!$C$4:$C$11100)*(Data_PLT[[#This Row],[Depth (m)]]&lt;Geotech!$D$4:$D$11100),Geotech!$M$4:$M$11100)</f>
        <v>#N/A</v>
      </c>
      <c r="H399" s="6"/>
      <c r="I399" s="63" t="e">
        <f>VLOOKUP(Data_PLT[[#This Row],[Hole ID]],Data_Log[[Hole ID]:[Core size]],20,FALSE)</f>
        <v>#N/A</v>
      </c>
      <c r="J399" s="13" t="e">
        <f>VLOOKUP(Data_PLT[[#This Row],[Core Size]],Table_CoreSize[],2,FALSE)</f>
        <v>#N/A</v>
      </c>
      <c r="K399" s="19"/>
      <c r="L399" s="19"/>
      <c r="M399" s="5"/>
      <c r="N399" s="5"/>
      <c r="O399" s="6"/>
      <c r="P399" s="13" t="str">
        <f>IF(Data_PLT[[#This Row],[Failure type]]="","",IF(OR(Data_PLT[[#This Row],[Failure type]]="Invalid",Data_PLT[[#This Row],[Failure type]]="Chipped",Data_PLT[[#This Row],[Failure type]]="Penetrate",Data_PLT[[#This Row],[Failure type]]="Did not break"),"Invalid","Valid"))</f>
        <v/>
      </c>
      <c r="Q399" s="6"/>
      <c r="R399" s="11"/>
      <c r="S399" s="13" t="str">
        <f>IF(Data_PLT[[#This Row],[Test type]]="Diametral",Data_PLT[[#This Row],[Diameter (mm)]],IF(Data_PLT[[#This Row],[Test type]]="Axial",SQRT(4*Data_PLT[[#This Row],[Diameter (mm)]]*Data_PLT[[#This Row],[Length or width (mm)]]/PI()),"ERROR"))</f>
        <v>ERROR</v>
      </c>
      <c r="T399" s="13" t="e">
        <f>(Data_PLT[[#This Row],[Load (kN)]]*1000)/Data_PLT[[#This Row],[Equiv. Diam. (mm)]]^2</f>
        <v>#VALUE!</v>
      </c>
      <c r="U399" s="13" t="e">
        <f>(Data_PLT[[#This Row],[Equiv. Diam. (mm)]]/50)^0.45</f>
        <v>#VALUE!</v>
      </c>
      <c r="V399" s="13" t="e">
        <f>Data_PLT[[#This Row],[Is (MPa)]]*Data_PLT[[#This Row],[F]]</f>
        <v>#VALUE!</v>
      </c>
      <c r="W399" s="13" t="str">
        <f>Data_PLT[[#This Row],[Failure Validity]]&amp;"-"&amp;Data_PLT[[#This Row],[Test type]]</f>
        <v>-</v>
      </c>
      <c r="X399" s="13" t="e">
        <f>Data_PLT[[#This Row],[Is50 (MPa)]]*VLOOKUP("Min",Table_PLT_Conversion[],2,FALSE)</f>
        <v>#VALUE!</v>
      </c>
      <c r="Y399" s="13" t="e">
        <f>Data_PLT[[#This Row],[Is50 (MPa)]]*VLOOKUP("Avg",Table_PLT_Conversion[],2,FALSE)</f>
        <v>#VALUE!</v>
      </c>
      <c r="Z399" s="13" t="e">
        <f>Data_PLT[[#This Row],[Is50 (MPa)]]*VLOOKUP("Max",Table_PLT_Conversion[],2,FALSE)</f>
        <v>#VALUE!</v>
      </c>
      <c r="AA399" s="62" t="e">
        <f>MATCH(LOOKUP(Data_PLT[[#This Row],[UCS min (MPa)]],Table_FieldStrength[Min UCS]),Table_FieldStrength[Min UCS],0)-1</f>
        <v>#VALUE!</v>
      </c>
      <c r="AB399" s="62" t="e">
        <f>MATCH(LOOKUP(Data_PLT[[#This Row],[UCS avg (MPa)]],Table_FieldStrength[Min UCS]),Table_FieldStrength[Min UCS],0)-1</f>
        <v>#VALUE!</v>
      </c>
      <c r="AC399" s="62" t="e">
        <f>MATCH(LOOKUP(Data_PLT[[#This Row],[UCS max (MPa)]],Table_FieldStrength[Min UCS]),Table_FieldStrength[Min UCS],0)-1</f>
        <v>#VALUE!</v>
      </c>
      <c r="AD399" s="68" t="e">
        <f>Data_PLT[[#This Row],[Test code]]&amp;"-"&amp;Data_PLT[[#This Row],[UCS min code]]</f>
        <v>#VALUE!</v>
      </c>
      <c r="AE399" s="68" t="e">
        <f>Data_PLT[[#This Row],[Test code]]&amp;"-"&amp;Data_PLT[[#This Row],[UCS avg code]]</f>
        <v>#VALUE!</v>
      </c>
      <c r="AF399" s="67" t="e">
        <f>Data_PLT[[#This Row],[Test code]]&amp;"-"&amp;Data_PLT[[#This Row],[UCS max code]]</f>
        <v>#VALUE!</v>
      </c>
      <c r="AG399" s="67" t="e">
        <f>Data_PLT[[#This Row],[Failure type]]&amp;"-"&amp;Data_PLT[[#This Row],[Test type]]&amp;"-"&amp;(IF(Data_PLT[[#This Row],[Is50 (MPa)]]&lt;1,1,IF(Data_PLT[[#This Row],[Is50 (MPa)]]&lt;2,2,IF(Data_PLT[[#This Row],[Is50 (MPa)]]&lt;4,3,IF(Data_PLT[[#This Row],[Is50 (MPa)]]&lt;8,4,5)))))</f>
        <v>#VALUE!</v>
      </c>
    </row>
    <row r="400" spans="2:33" x14ac:dyDescent="0.25">
      <c r="B400" s="88" t="e">
        <f>VLOOKUP(Data_PLT[[#This Row],[Hole ID]],Data_Log[],2,FALSE)</f>
        <v>#N/A</v>
      </c>
      <c r="C400" s="63" t="str">
        <f>IF(Data_PLT[[#This Row],[Hole ID]]="","",
IF(COUNTIF($A$4:A400,Data_PLT[[#This Row],[Hole ID]])=1,1,
IF(A400=A399,C399+1,
COUNTIF($A$4:A400,Data_PLT[[#This Row],[Hole ID]]))))</f>
        <v/>
      </c>
      <c r="D400" s="63" t="str">
        <f>IF(Data_PLT[[#This Row],[Hole ID]]="","",Data_PLT[[#This Row],[Hole ID]]&amp;"_"&amp;Data_PLT[[#This Row],[Sample ID]])</f>
        <v/>
      </c>
      <c r="E400" s="6"/>
      <c r="F400" s="6"/>
      <c r="G400" s="63" t="e" cm="1">
        <f t="array" ref="G400">_xlfn.XLOOKUP(1,(A400=Geotech!$A$4:$A$11100)*(Data_PLT[[#This Row],[Depth (m)]]&gt;=Geotech!$C$4:$C$11100)*(Data_PLT[[#This Row],[Depth (m)]]&lt;Geotech!$D$4:$D$11100),Geotech!$M$4:$M$11100)</f>
        <v>#N/A</v>
      </c>
      <c r="H400" s="6"/>
      <c r="I400" s="63" t="e">
        <f>VLOOKUP(Data_PLT[[#This Row],[Hole ID]],Data_Log[[Hole ID]:[Core size]],20,FALSE)</f>
        <v>#N/A</v>
      </c>
      <c r="J400" s="13" t="e">
        <f>VLOOKUP(Data_PLT[[#This Row],[Core Size]],Table_CoreSize[],2,FALSE)</f>
        <v>#N/A</v>
      </c>
      <c r="K400" s="19"/>
      <c r="L400" s="19"/>
      <c r="M400" s="5"/>
      <c r="N400" s="5"/>
      <c r="O400" s="6"/>
      <c r="P400" s="13" t="str">
        <f>IF(Data_PLT[[#This Row],[Failure type]]="","",IF(OR(Data_PLT[[#This Row],[Failure type]]="Invalid",Data_PLT[[#This Row],[Failure type]]="Chipped",Data_PLT[[#This Row],[Failure type]]="Penetrate",Data_PLT[[#This Row],[Failure type]]="Did not break"),"Invalid","Valid"))</f>
        <v/>
      </c>
      <c r="Q400" s="6"/>
      <c r="R400" s="11"/>
      <c r="S400" s="13" t="str">
        <f>IF(Data_PLT[[#This Row],[Test type]]="Diametral",Data_PLT[[#This Row],[Diameter (mm)]],IF(Data_PLT[[#This Row],[Test type]]="Axial",SQRT(4*Data_PLT[[#This Row],[Diameter (mm)]]*Data_PLT[[#This Row],[Length or width (mm)]]/PI()),"ERROR"))</f>
        <v>ERROR</v>
      </c>
      <c r="T400" s="13" t="e">
        <f>(Data_PLT[[#This Row],[Load (kN)]]*1000)/Data_PLT[[#This Row],[Equiv. Diam. (mm)]]^2</f>
        <v>#VALUE!</v>
      </c>
      <c r="U400" s="13" t="e">
        <f>(Data_PLT[[#This Row],[Equiv. Diam. (mm)]]/50)^0.45</f>
        <v>#VALUE!</v>
      </c>
      <c r="V400" s="13" t="e">
        <f>Data_PLT[[#This Row],[Is (MPa)]]*Data_PLT[[#This Row],[F]]</f>
        <v>#VALUE!</v>
      </c>
      <c r="W400" s="13" t="str">
        <f>Data_PLT[[#This Row],[Failure Validity]]&amp;"-"&amp;Data_PLT[[#This Row],[Test type]]</f>
        <v>-</v>
      </c>
      <c r="X400" s="13" t="e">
        <f>Data_PLT[[#This Row],[Is50 (MPa)]]*VLOOKUP("Min",Table_PLT_Conversion[],2,FALSE)</f>
        <v>#VALUE!</v>
      </c>
      <c r="Y400" s="13" t="e">
        <f>Data_PLT[[#This Row],[Is50 (MPa)]]*VLOOKUP("Avg",Table_PLT_Conversion[],2,FALSE)</f>
        <v>#VALUE!</v>
      </c>
      <c r="Z400" s="13" t="e">
        <f>Data_PLT[[#This Row],[Is50 (MPa)]]*VLOOKUP("Max",Table_PLT_Conversion[],2,FALSE)</f>
        <v>#VALUE!</v>
      </c>
      <c r="AA400" s="62" t="e">
        <f>MATCH(LOOKUP(Data_PLT[[#This Row],[UCS min (MPa)]],Table_FieldStrength[Min UCS]),Table_FieldStrength[Min UCS],0)-1</f>
        <v>#VALUE!</v>
      </c>
      <c r="AB400" s="62" t="e">
        <f>MATCH(LOOKUP(Data_PLT[[#This Row],[UCS avg (MPa)]],Table_FieldStrength[Min UCS]),Table_FieldStrength[Min UCS],0)-1</f>
        <v>#VALUE!</v>
      </c>
      <c r="AC400" s="62" t="e">
        <f>MATCH(LOOKUP(Data_PLT[[#This Row],[UCS max (MPa)]],Table_FieldStrength[Min UCS]),Table_FieldStrength[Min UCS],0)-1</f>
        <v>#VALUE!</v>
      </c>
      <c r="AD400" s="68" t="e">
        <f>Data_PLT[[#This Row],[Test code]]&amp;"-"&amp;Data_PLT[[#This Row],[UCS min code]]</f>
        <v>#VALUE!</v>
      </c>
      <c r="AE400" s="68" t="e">
        <f>Data_PLT[[#This Row],[Test code]]&amp;"-"&amp;Data_PLT[[#This Row],[UCS avg code]]</f>
        <v>#VALUE!</v>
      </c>
      <c r="AF400" s="67" t="e">
        <f>Data_PLT[[#This Row],[Test code]]&amp;"-"&amp;Data_PLT[[#This Row],[UCS max code]]</f>
        <v>#VALUE!</v>
      </c>
      <c r="AG400" s="67" t="e">
        <f>Data_PLT[[#This Row],[Failure type]]&amp;"-"&amp;Data_PLT[[#This Row],[Test type]]&amp;"-"&amp;(IF(Data_PLT[[#This Row],[Is50 (MPa)]]&lt;1,1,IF(Data_PLT[[#This Row],[Is50 (MPa)]]&lt;2,2,IF(Data_PLT[[#This Row],[Is50 (MPa)]]&lt;4,3,IF(Data_PLT[[#This Row],[Is50 (MPa)]]&lt;8,4,5)))))</f>
        <v>#VALUE!</v>
      </c>
    </row>
    <row r="401" spans="2:33" x14ac:dyDescent="0.25">
      <c r="B401" s="88" t="e">
        <f>VLOOKUP(Data_PLT[[#This Row],[Hole ID]],Data_Log[],2,FALSE)</f>
        <v>#N/A</v>
      </c>
      <c r="C401" s="63" t="str">
        <f>IF(Data_PLT[[#This Row],[Hole ID]]="","",
IF(COUNTIF($A$4:A401,Data_PLT[[#This Row],[Hole ID]])=1,1,
IF(A401=A400,C400+1,
COUNTIF($A$4:A401,Data_PLT[[#This Row],[Hole ID]]))))</f>
        <v/>
      </c>
      <c r="D401" s="63" t="str">
        <f>IF(Data_PLT[[#This Row],[Hole ID]]="","",Data_PLT[[#This Row],[Hole ID]]&amp;"_"&amp;Data_PLT[[#This Row],[Sample ID]])</f>
        <v/>
      </c>
      <c r="E401" s="6"/>
      <c r="F401" s="6"/>
      <c r="G401" s="63" t="e" cm="1">
        <f t="array" ref="G401">_xlfn.XLOOKUP(1,(A401=Geotech!$A$4:$A$11100)*(Data_PLT[[#This Row],[Depth (m)]]&gt;=Geotech!$C$4:$C$11100)*(Data_PLT[[#This Row],[Depth (m)]]&lt;Geotech!$D$4:$D$11100),Geotech!$M$4:$M$11100)</f>
        <v>#N/A</v>
      </c>
      <c r="H401" s="6"/>
      <c r="I401" s="63" t="e">
        <f>VLOOKUP(Data_PLT[[#This Row],[Hole ID]],Data_Log[[Hole ID]:[Core size]],20,FALSE)</f>
        <v>#N/A</v>
      </c>
      <c r="J401" s="13" t="e">
        <f>VLOOKUP(Data_PLT[[#This Row],[Core Size]],Table_CoreSize[],2,FALSE)</f>
        <v>#N/A</v>
      </c>
      <c r="K401" s="19"/>
      <c r="L401" s="19"/>
      <c r="M401" s="5"/>
      <c r="N401" s="5"/>
      <c r="O401" s="6"/>
      <c r="P401" s="13" t="str">
        <f>IF(Data_PLT[[#This Row],[Failure type]]="","",IF(OR(Data_PLT[[#This Row],[Failure type]]="Invalid",Data_PLT[[#This Row],[Failure type]]="Chipped",Data_PLT[[#This Row],[Failure type]]="Penetrate",Data_PLT[[#This Row],[Failure type]]="Did not break"),"Invalid","Valid"))</f>
        <v/>
      </c>
      <c r="Q401" s="6"/>
      <c r="R401" s="11"/>
      <c r="S401" s="13" t="str">
        <f>IF(Data_PLT[[#This Row],[Test type]]="Diametral",Data_PLT[[#This Row],[Diameter (mm)]],IF(Data_PLT[[#This Row],[Test type]]="Axial",SQRT(4*Data_PLT[[#This Row],[Diameter (mm)]]*Data_PLT[[#This Row],[Length or width (mm)]]/PI()),"ERROR"))</f>
        <v>ERROR</v>
      </c>
      <c r="T401" s="13" t="e">
        <f>(Data_PLT[[#This Row],[Load (kN)]]*1000)/Data_PLT[[#This Row],[Equiv. Diam. (mm)]]^2</f>
        <v>#VALUE!</v>
      </c>
      <c r="U401" s="13" t="e">
        <f>(Data_PLT[[#This Row],[Equiv. Diam. (mm)]]/50)^0.45</f>
        <v>#VALUE!</v>
      </c>
      <c r="V401" s="13" t="e">
        <f>Data_PLT[[#This Row],[Is (MPa)]]*Data_PLT[[#This Row],[F]]</f>
        <v>#VALUE!</v>
      </c>
      <c r="W401" s="13" t="str">
        <f>Data_PLT[[#This Row],[Failure Validity]]&amp;"-"&amp;Data_PLT[[#This Row],[Test type]]</f>
        <v>-</v>
      </c>
      <c r="X401" s="13" t="e">
        <f>Data_PLT[[#This Row],[Is50 (MPa)]]*VLOOKUP("Min",Table_PLT_Conversion[],2,FALSE)</f>
        <v>#VALUE!</v>
      </c>
      <c r="Y401" s="13" t="e">
        <f>Data_PLT[[#This Row],[Is50 (MPa)]]*VLOOKUP("Avg",Table_PLT_Conversion[],2,FALSE)</f>
        <v>#VALUE!</v>
      </c>
      <c r="Z401" s="13" t="e">
        <f>Data_PLT[[#This Row],[Is50 (MPa)]]*VLOOKUP("Max",Table_PLT_Conversion[],2,FALSE)</f>
        <v>#VALUE!</v>
      </c>
      <c r="AA401" s="62" t="e">
        <f>MATCH(LOOKUP(Data_PLT[[#This Row],[UCS min (MPa)]],Table_FieldStrength[Min UCS]),Table_FieldStrength[Min UCS],0)-1</f>
        <v>#VALUE!</v>
      </c>
      <c r="AB401" s="62" t="e">
        <f>MATCH(LOOKUP(Data_PLT[[#This Row],[UCS avg (MPa)]],Table_FieldStrength[Min UCS]),Table_FieldStrength[Min UCS],0)-1</f>
        <v>#VALUE!</v>
      </c>
      <c r="AC401" s="62" t="e">
        <f>MATCH(LOOKUP(Data_PLT[[#This Row],[UCS max (MPa)]],Table_FieldStrength[Min UCS]),Table_FieldStrength[Min UCS],0)-1</f>
        <v>#VALUE!</v>
      </c>
      <c r="AD401" s="68" t="e">
        <f>Data_PLT[[#This Row],[Test code]]&amp;"-"&amp;Data_PLT[[#This Row],[UCS min code]]</f>
        <v>#VALUE!</v>
      </c>
      <c r="AE401" s="68" t="e">
        <f>Data_PLT[[#This Row],[Test code]]&amp;"-"&amp;Data_PLT[[#This Row],[UCS avg code]]</f>
        <v>#VALUE!</v>
      </c>
      <c r="AF401" s="67" t="e">
        <f>Data_PLT[[#This Row],[Test code]]&amp;"-"&amp;Data_PLT[[#This Row],[UCS max code]]</f>
        <v>#VALUE!</v>
      </c>
      <c r="AG401" s="67" t="e">
        <f>Data_PLT[[#This Row],[Failure type]]&amp;"-"&amp;Data_PLT[[#This Row],[Test type]]&amp;"-"&amp;(IF(Data_PLT[[#This Row],[Is50 (MPa)]]&lt;1,1,IF(Data_PLT[[#This Row],[Is50 (MPa)]]&lt;2,2,IF(Data_PLT[[#This Row],[Is50 (MPa)]]&lt;4,3,IF(Data_PLT[[#This Row],[Is50 (MPa)]]&lt;8,4,5)))))</f>
        <v>#VALUE!</v>
      </c>
    </row>
    <row r="402" spans="2:33" x14ac:dyDescent="0.25">
      <c r="B402" s="88" t="e">
        <f>VLOOKUP(Data_PLT[[#This Row],[Hole ID]],Data_Log[],2,FALSE)</f>
        <v>#N/A</v>
      </c>
      <c r="C402" s="63" t="str">
        <f>IF(Data_PLT[[#This Row],[Hole ID]]="","",
IF(COUNTIF($A$4:A402,Data_PLT[[#This Row],[Hole ID]])=1,1,
IF(A402=A401,C401+1,
COUNTIF($A$4:A402,Data_PLT[[#This Row],[Hole ID]]))))</f>
        <v/>
      </c>
      <c r="D402" s="63" t="str">
        <f>IF(Data_PLT[[#This Row],[Hole ID]]="","",Data_PLT[[#This Row],[Hole ID]]&amp;"_"&amp;Data_PLT[[#This Row],[Sample ID]])</f>
        <v/>
      </c>
      <c r="E402" s="6"/>
      <c r="F402" s="6"/>
      <c r="G402" s="63" t="e" cm="1">
        <f t="array" ref="G402">_xlfn.XLOOKUP(1,(A402=Geotech!$A$4:$A$11100)*(Data_PLT[[#This Row],[Depth (m)]]&gt;=Geotech!$C$4:$C$11100)*(Data_PLT[[#This Row],[Depth (m)]]&lt;Geotech!$D$4:$D$11100),Geotech!$M$4:$M$11100)</f>
        <v>#N/A</v>
      </c>
      <c r="H402" s="6"/>
      <c r="I402" s="63" t="e">
        <f>VLOOKUP(Data_PLT[[#This Row],[Hole ID]],Data_Log[[Hole ID]:[Core size]],20,FALSE)</f>
        <v>#N/A</v>
      </c>
      <c r="J402" s="13" t="e">
        <f>VLOOKUP(Data_PLT[[#This Row],[Core Size]],Table_CoreSize[],2,FALSE)</f>
        <v>#N/A</v>
      </c>
      <c r="K402" s="19"/>
      <c r="L402" s="19"/>
      <c r="M402" s="5"/>
      <c r="N402" s="5"/>
      <c r="O402" s="6"/>
      <c r="P402" s="13" t="str">
        <f>IF(Data_PLT[[#This Row],[Failure type]]="","",IF(OR(Data_PLT[[#This Row],[Failure type]]="Invalid",Data_PLT[[#This Row],[Failure type]]="Chipped",Data_PLT[[#This Row],[Failure type]]="Penetrate",Data_PLT[[#This Row],[Failure type]]="Did not break"),"Invalid","Valid"))</f>
        <v/>
      </c>
      <c r="Q402" s="6"/>
      <c r="R402" s="11"/>
      <c r="S402" s="13" t="str">
        <f>IF(Data_PLT[[#This Row],[Test type]]="Diametral",Data_PLT[[#This Row],[Diameter (mm)]],IF(Data_PLT[[#This Row],[Test type]]="Axial",SQRT(4*Data_PLT[[#This Row],[Diameter (mm)]]*Data_PLT[[#This Row],[Length or width (mm)]]/PI()),"ERROR"))</f>
        <v>ERROR</v>
      </c>
      <c r="T402" s="13" t="e">
        <f>(Data_PLT[[#This Row],[Load (kN)]]*1000)/Data_PLT[[#This Row],[Equiv. Diam. (mm)]]^2</f>
        <v>#VALUE!</v>
      </c>
      <c r="U402" s="13" t="e">
        <f>(Data_PLT[[#This Row],[Equiv. Diam. (mm)]]/50)^0.45</f>
        <v>#VALUE!</v>
      </c>
      <c r="V402" s="13" t="e">
        <f>Data_PLT[[#This Row],[Is (MPa)]]*Data_PLT[[#This Row],[F]]</f>
        <v>#VALUE!</v>
      </c>
      <c r="W402" s="13" t="str">
        <f>Data_PLT[[#This Row],[Failure Validity]]&amp;"-"&amp;Data_PLT[[#This Row],[Test type]]</f>
        <v>-</v>
      </c>
      <c r="X402" s="13" t="e">
        <f>Data_PLT[[#This Row],[Is50 (MPa)]]*VLOOKUP("Min",Table_PLT_Conversion[],2,FALSE)</f>
        <v>#VALUE!</v>
      </c>
      <c r="Y402" s="13" t="e">
        <f>Data_PLT[[#This Row],[Is50 (MPa)]]*VLOOKUP("Avg",Table_PLT_Conversion[],2,FALSE)</f>
        <v>#VALUE!</v>
      </c>
      <c r="Z402" s="13" t="e">
        <f>Data_PLT[[#This Row],[Is50 (MPa)]]*VLOOKUP("Max",Table_PLT_Conversion[],2,FALSE)</f>
        <v>#VALUE!</v>
      </c>
      <c r="AA402" s="62" t="e">
        <f>MATCH(LOOKUP(Data_PLT[[#This Row],[UCS min (MPa)]],Table_FieldStrength[Min UCS]),Table_FieldStrength[Min UCS],0)-1</f>
        <v>#VALUE!</v>
      </c>
      <c r="AB402" s="62" t="e">
        <f>MATCH(LOOKUP(Data_PLT[[#This Row],[UCS avg (MPa)]],Table_FieldStrength[Min UCS]),Table_FieldStrength[Min UCS],0)-1</f>
        <v>#VALUE!</v>
      </c>
      <c r="AC402" s="62" t="e">
        <f>MATCH(LOOKUP(Data_PLT[[#This Row],[UCS max (MPa)]],Table_FieldStrength[Min UCS]),Table_FieldStrength[Min UCS],0)-1</f>
        <v>#VALUE!</v>
      </c>
      <c r="AD402" s="68" t="e">
        <f>Data_PLT[[#This Row],[Test code]]&amp;"-"&amp;Data_PLT[[#This Row],[UCS min code]]</f>
        <v>#VALUE!</v>
      </c>
      <c r="AE402" s="68" t="e">
        <f>Data_PLT[[#This Row],[Test code]]&amp;"-"&amp;Data_PLT[[#This Row],[UCS avg code]]</f>
        <v>#VALUE!</v>
      </c>
      <c r="AF402" s="67" t="e">
        <f>Data_PLT[[#This Row],[Test code]]&amp;"-"&amp;Data_PLT[[#This Row],[UCS max code]]</f>
        <v>#VALUE!</v>
      </c>
      <c r="AG402" s="67" t="e">
        <f>Data_PLT[[#This Row],[Failure type]]&amp;"-"&amp;Data_PLT[[#This Row],[Test type]]&amp;"-"&amp;(IF(Data_PLT[[#This Row],[Is50 (MPa)]]&lt;1,1,IF(Data_PLT[[#This Row],[Is50 (MPa)]]&lt;2,2,IF(Data_PLT[[#This Row],[Is50 (MPa)]]&lt;4,3,IF(Data_PLT[[#This Row],[Is50 (MPa)]]&lt;8,4,5)))))</f>
        <v>#VALUE!</v>
      </c>
    </row>
    <row r="403" spans="2:33" x14ac:dyDescent="0.25">
      <c r="B403" s="88" t="e">
        <f>VLOOKUP(Data_PLT[[#This Row],[Hole ID]],Data_Log[],2,FALSE)</f>
        <v>#N/A</v>
      </c>
      <c r="C403" s="63" t="str">
        <f>IF(Data_PLT[[#This Row],[Hole ID]]="","",
IF(COUNTIF($A$4:A403,Data_PLT[[#This Row],[Hole ID]])=1,1,
IF(A403=A402,C402+1,
COUNTIF($A$4:A403,Data_PLT[[#This Row],[Hole ID]]))))</f>
        <v/>
      </c>
      <c r="D403" s="63" t="str">
        <f>IF(Data_PLT[[#This Row],[Hole ID]]="","",Data_PLT[[#This Row],[Hole ID]]&amp;"_"&amp;Data_PLT[[#This Row],[Sample ID]])</f>
        <v/>
      </c>
      <c r="E403" s="6"/>
      <c r="F403" s="6"/>
      <c r="G403" s="63" t="e" cm="1">
        <f t="array" ref="G403">_xlfn.XLOOKUP(1,(A403=Geotech!$A$4:$A$11100)*(Data_PLT[[#This Row],[Depth (m)]]&gt;=Geotech!$C$4:$C$11100)*(Data_PLT[[#This Row],[Depth (m)]]&lt;Geotech!$D$4:$D$11100),Geotech!$M$4:$M$11100)</f>
        <v>#N/A</v>
      </c>
      <c r="H403" s="6"/>
      <c r="I403" s="63" t="e">
        <f>VLOOKUP(Data_PLT[[#This Row],[Hole ID]],Data_Log[[Hole ID]:[Core size]],20,FALSE)</f>
        <v>#N/A</v>
      </c>
      <c r="J403" s="13" t="e">
        <f>VLOOKUP(Data_PLT[[#This Row],[Core Size]],Table_CoreSize[],2,FALSE)</f>
        <v>#N/A</v>
      </c>
      <c r="K403" s="19"/>
      <c r="L403" s="19"/>
      <c r="M403" s="5"/>
      <c r="N403" s="5"/>
      <c r="O403" s="6"/>
      <c r="P403" s="13" t="str">
        <f>IF(Data_PLT[[#This Row],[Failure type]]="","",IF(OR(Data_PLT[[#This Row],[Failure type]]="Invalid",Data_PLT[[#This Row],[Failure type]]="Chipped",Data_PLT[[#This Row],[Failure type]]="Penetrate",Data_PLT[[#This Row],[Failure type]]="Did not break"),"Invalid","Valid"))</f>
        <v/>
      </c>
      <c r="Q403" s="6"/>
      <c r="R403" s="11"/>
      <c r="S403" s="13" t="str">
        <f>IF(Data_PLT[[#This Row],[Test type]]="Diametral",Data_PLT[[#This Row],[Diameter (mm)]],IF(Data_PLT[[#This Row],[Test type]]="Axial",SQRT(4*Data_PLT[[#This Row],[Diameter (mm)]]*Data_PLT[[#This Row],[Length or width (mm)]]/PI()),"ERROR"))</f>
        <v>ERROR</v>
      </c>
      <c r="T403" s="13" t="e">
        <f>(Data_PLT[[#This Row],[Load (kN)]]*1000)/Data_PLT[[#This Row],[Equiv. Diam. (mm)]]^2</f>
        <v>#VALUE!</v>
      </c>
      <c r="U403" s="13" t="e">
        <f>(Data_PLT[[#This Row],[Equiv. Diam. (mm)]]/50)^0.45</f>
        <v>#VALUE!</v>
      </c>
      <c r="V403" s="13" t="e">
        <f>Data_PLT[[#This Row],[Is (MPa)]]*Data_PLT[[#This Row],[F]]</f>
        <v>#VALUE!</v>
      </c>
      <c r="W403" s="13" t="str">
        <f>Data_PLT[[#This Row],[Failure Validity]]&amp;"-"&amp;Data_PLT[[#This Row],[Test type]]</f>
        <v>-</v>
      </c>
      <c r="X403" s="13" t="e">
        <f>Data_PLT[[#This Row],[Is50 (MPa)]]*VLOOKUP("Min",Table_PLT_Conversion[],2,FALSE)</f>
        <v>#VALUE!</v>
      </c>
      <c r="Y403" s="13" t="e">
        <f>Data_PLT[[#This Row],[Is50 (MPa)]]*VLOOKUP("Avg",Table_PLT_Conversion[],2,FALSE)</f>
        <v>#VALUE!</v>
      </c>
      <c r="Z403" s="13" t="e">
        <f>Data_PLT[[#This Row],[Is50 (MPa)]]*VLOOKUP("Max",Table_PLT_Conversion[],2,FALSE)</f>
        <v>#VALUE!</v>
      </c>
      <c r="AA403" s="62" t="e">
        <f>MATCH(LOOKUP(Data_PLT[[#This Row],[UCS min (MPa)]],Table_FieldStrength[Min UCS]),Table_FieldStrength[Min UCS],0)-1</f>
        <v>#VALUE!</v>
      </c>
      <c r="AB403" s="62" t="e">
        <f>MATCH(LOOKUP(Data_PLT[[#This Row],[UCS avg (MPa)]],Table_FieldStrength[Min UCS]),Table_FieldStrength[Min UCS],0)-1</f>
        <v>#VALUE!</v>
      </c>
      <c r="AC403" s="62" t="e">
        <f>MATCH(LOOKUP(Data_PLT[[#This Row],[UCS max (MPa)]],Table_FieldStrength[Min UCS]),Table_FieldStrength[Min UCS],0)-1</f>
        <v>#VALUE!</v>
      </c>
      <c r="AD403" s="68" t="e">
        <f>Data_PLT[[#This Row],[Test code]]&amp;"-"&amp;Data_PLT[[#This Row],[UCS min code]]</f>
        <v>#VALUE!</v>
      </c>
      <c r="AE403" s="68" t="e">
        <f>Data_PLT[[#This Row],[Test code]]&amp;"-"&amp;Data_PLT[[#This Row],[UCS avg code]]</f>
        <v>#VALUE!</v>
      </c>
      <c r="AF403" s="67" t="e">
        <f>Data_PLT[[#This Row],[Test code]]&amp;"-"&amp;Data_PLT[[#This Row],[UCS max code]]</f>
        <v>#VALUE!</v>
      </c>
      <c r="AG403" s="67" t="e">
        <f>Data_PLT[[#This Row],[Failure type]]&amp;"-"&amp;Data_PLT[[#This Row],[Test type]]&amp;"-"&amp;(IF(Data_PLT[[#This Row],[Is50 (MPa)]]&lt;1,1,IF(Data_PLT[[#This Row],[Is50 (MPa)]]&lt;2,2,IF(Data_PLT[[#This Row],[Is50 (MPa)]]&lt;4,3,IF(Data_PLT[[#This Row],[Is50 (MPa)]]&lt;8,4,5)))))</f>
        <v>#VALUE!</v>
      </c>
    </row>
    <row r="404" spans="2:33" x14ac:dyDescent="0.25">
      <c r="B404" s="88" t="e">
        <f>VLOOKUP(Data_PLT[[#This Row],[Hole ID]],Data_Log[],2,FALSE)</f>
        <v>#N/A</v>
      </c>
      <c r="C404" s="63" t="str">
        <f>IF(Data_PLT[[#This Row],[Hole ID]]="","",
IF(COUNTIF($A$4:A404,Data_PLT[[#This Row],[Hole ID]])=1,1,
IF(A404=A403,C403+1,
COUNTIF($A$4:A404,Data_PLT[[#This Row],[Hole ID]]))))</f>
        <v/>
      </c>
      <c r="D404" s="63" t="str">
        <f>IF(Data_PLT[[#This Row],[Hole ID]]="","",Data_PLT[[#This Row],[Hole ID]]&amp;"_"&amp;Data_PLT[[#This Row],[Sample ID]])</f>
        <v/>
      </c>
      <c r="E404" s="6"/>
      <c r="F404" s="6"/>
      <c r="G404" s="63" t="e" cm="1">
        <f t="array" ref="G404">_xlfn.XLOOKUP(1,(A404=Geotech!$A$4:$A$11100)*(Data_PLT[[#This Row],[Depth (m)]]&gt;=Geotech!$C$4:$C$11100)*(Data_PLT[[#This Row],[Depth (m)]]&lt;Geotech!$D$4:$D$11100),Geotech!$M$4:$M$11100)</f>
        <v>#N/A</v>
      </c>
      <c r="H404" s="6"/>
      <c r="I404" s="63" t="e">
        <f>VLOOKUP(Data_PLT[[#This Row],[Hole ID]],Data_Log[[Hole ID]:[Core size]],20,FALSE)</f>
        <v>#N/A</v>
      </c>
      <c r="J404" s="13" t="e">
        <f>VLOOKUP(Data_PLT[[#This Row],[Core Size]],Table_CoreSize[],2,FALSE)</f>
        <v>#N/A</v>
      </c>
      <c r="K404" s="19"/>
      <c r="L404" s="19"/>
      <c r="M404" s="5"/>
      <c r="N404" s="5"/>
      <c r="O404" s="6"/>
      <c r="P404" s="13" t="str">
        <f>IF(Data_PLT[[#This Row],[Failure type]]="","",IF(OR(Data_PLT[[#This Row],[Failure type]]="Invalid",Data_PLT[[#This Row],[Failure type]]="Chipped",Data_PLT[[#This Row],[Failure type]]="Penetrate",Data_PLT[[#This Row],[Failure type]]="Did not break"),"Invalid","Valid"))</f>
        <v/>
      </c>
      <c r="Q404" s="6"/>
      <c r="R404" s="11"/>
      <c r="S404" s="13" t="str">
        <f>IF(Data_PLT[[#This Row],[Test type]]="Diametral",Data_PLT[[#This Row],[Diameter (mm)]],IF(Data_PLT[[#This Row],[Test type]]="Axial",SQRT(4*Data_PLT[[#This Row],[Diameter (mm)]]*Data_PLT[[#This Row],[Length or width (mm)]]/PI()),"ERROR"))</f>
        <v>ERROR</v>
      </c>
      <c r="T404" s="13" t="e">
        <f>(Data_PLT[[#This Row],[Load (kN)]]*1000)/Data_PLT[[#This Row],[Equiv. Diam. (mm)]]^2</f>
        <v>#VALUE!</v>
      </c>
      <c r="U404" s="13" t="e">
        <f>(Data_PLT[[#This Row],[Equiv. Diam. (mm)]]/50)^0.45</f>
        <v>#VALUE!</v>
      </c>
      <c r="V404" s="13" t="e">
        <f>Data_PLT[[#This Row],[Is (MPa)]]*Data_PLT[[#This Row],[F]]</f>
        <v>#VALUE!</v>
      </c>
      <c r="W404" s="13" t="str">
        <f>Data_PLT[[#This Row],[Failure Validity]]&amp;"-"&amp;Data_PLT[[#This Row],[Test type]]</f>
        <v>-</v>
      </c>
      <c r="X404" s="13" t="e">
        <f>Data_PLT[[#This Row],[Is50 (MPa)]]*VLOOKUP("Min",Table_PLT_Conversion[],2,FALSE)</f>
        <v>#VALUE!</v>
      </c>
      <c r="Y404" s="13" t="e">
        <f>Data_PLT[[#This Row],[Is50 (MPa)]]*VLOOKUP("Avg",Table_PLT_Conversion[],2,FALSE)</f>
        <v>#VALUE!</v>
      </c>
      <c r="Z404" s="13" t="e">
        <f>Data_PLT[[#This Row],[Is50 (MPa)]]*VLOOKUP("Max",Table_PLT_Conversion[],2,FALSE)</f>
        <v>#VALUE!</v>
      </c>
      <c r="AA404" s="62" t="e">
        <f>MATCH(LOOKUP(Data_PLT[[#This Row],[UCS min (MPa)]],Table_FieldStrength[Min UCS]),Table_FieldStrength[Min UCS],0)-1</f>
        <v>#VALUE!</v>
      </c>
      <c r="AB404" s="62" t="e">
        <f>MATCH(LOOKUP(Data_PLT[[#This Row],[UCS avg (MPa)]],Table_FieldStrength[Min UCS]),Table_FieldStrength[Min UCS],0)-1</f>
        <v>#VALUE!</v>
      </c>
      <c r="AC404" s="62" t="e">
        <f>MATCH(LOOKUP(Data_PLT[[#This Row],[UCS max (MPa)]],Table_FieldStrength[Min UCS]),Table_FieldStrength[Min UCS],0)-1</f>
        <v>#VALUE!</v>
      </c>
      <c r="AD404" s="68" t="e">
        <f>Data_PLT[[#This Row],[Test code]]&amp;"-"&amp;Data_PLT[[#This Row],[UCS min code]]</f>
        <v>#VALUE!</v>
      </c>
      <c r="AE404" s="68" t="e">
        <f>Data_PLT[[#This Row],[Test code]]&amp;"-"&amp;Data_PLT[[#This Row],[UCS avg code]]</f>
        <v>#VALUE!</v>
      </c>
      <c r="AF404" s="67" t="e">
        <f>Data_PLT[[#This Row],[Test code]]&amp;"-"&amp;Data_PLT[[#This Row],[UCS max code]]</f>
        <v>#VALUE!</v>
      </c>
      <c r="AG404" s="67" t="e">
        <f>Data_PLT[[#This Row],[Failure type]]&amp;"-"&amp;Data_PLT[[#This Row],[Test type]]&amp;"-"&amp;(IF(Data_PLT[[#This Row],[Is50 (MPa)]]&lt;1,1,IF(Data_PLT[[#This Row],[Is50 (MPa)]]&lt;2,2,IF(Data_PLT[[#This Row],[Is50 (MPa)]]&lt;4,3,IF(Data_PLT[[#This Row],[Is50 (MPa)]]&lt;8,4,5)))))</f>
        <v>#VALUE!</v>
      </c>
    </row>
    <row r="405" spans="2:33" x14ac:dyDescent="0.25">
      <c r="B405" s="88" t="e">
        <f>VLOOKUP(Data_PLT[[#This Row],[Hole ID]],Data_Log[],2,FALSE)</f>
        <v>#N/A</v>
      </c>
      <c r="C405" s="63" t="str">
        <f>IF(Data_PLT[[#This Row],[Hole ID]]="","",
IF(COUNTIF($A$4:A405,Data_PLT[[#This Row],[Hole ID]])=1,1,
IF(A405=A404,C404+1,
COUNTIF($A$4:A405,Data_PLT[[#This Row],[Hole ID]]))))</f>
        <v/>
      </c>
      <c r="D405" s="63" t="str">
        <f>IF(Data_PLT[[#This Row],[Hole ID]]="","",Data_PLT[[#This Row],[Hole ID]]&amp;"_"&amp;Data_PLT[[#This Row],[Sample ID]])</f>
        <v/>
      </c>
      <c r="E405" s="6"/>
      <c r="F405" s="6"/>
      <c r="G405" s="63" t="e" cm="1">
        <f t="array" ref="G405">_xlfn.XLOOKUP(1,(A405=Geotech!$A$4:$A$11100)*(Data_PLT[[#This Row],[Depth (m)]]&gt;=Geotech!$C$4:$C$11100)*(Data_PLT[[#This Row],[Depth (m)]]&lt;Geotech!$D$4:$D$11100),Geotech!$M$4:$M$11100)</f>
        <v>#N/A</v>
      </c>
      <c r="H405" s="6"/>
      <c r="I405" s="63" t="e">
        <f>VLOOKUP(Data_PLT[[#This Row],[Hole ID]],Data_Log[[Hole ID]:[Core size]],20,FALSE)</f>
        <v>#N/A</v>
      </c>
      <c r="J405" s="13" t="e">
        <f>VLOOKUP(Data_PLT[[#This Row],[Core Size]],Table_CoreSize[],2,FALSE)</f>
        <v>#N/A</v>
      </c>
      <c r="K405" s="19"/>
      <c r="L405" s="19"/>
      <c r="M405" s="5"/>
      <c r="N405" s="5"/>
      <c r="O405" s="6"/>
      <c r="P405" s="13" t="str">
        <f>IF(Data_PLT[[#This Row],[Failure type]]="","",IF(OR(Data_PLT[[#This Row],[Failure type]]="Invalid",Data_PLT[[#This Row],[Failure type]]="Chipped",Data_PLT[[#This Row],[Failure type]]="Penetrate",Data_PLT[[#This Row],[Failure type]]="Did not break"),"Invalid","Valid"))</f>
        <v/>
      </c>
      <c r="Q405" s="6"/>
      <c r="R405" s="11"/>
      <c r="S405" s="13" t="str">
        <f>IF(Data_PLT[[#This Row],[Test type]]="Diametral",Data_PLT[[#This Row],[Diameter (mm)]],IF(Data_PLT[[#This Row],[Test type]]="Axial",SQRT(4*Data_PLT[[#This Row],[Diameter (mm)]]*Data_PLT[[#This Row],[Length or width (mm)]]/PI()),"ERROR"))</f>
        <v>ERROR</v>
      </c>
      <c r="T405" s="13" t="e">
        <f>(Data_PLT[[#This Row],[Load (kN)]]*1000)/Data_PLT[[#This Row],[Equiv. Diam. (mm)]]^2</f>
        <v>#VALUE!</v>
      </c>
      <c r="U405" s="13" t="e">
        <f>(Data_PLT[[#This Row],[Equiv. Diam. (mm)]]/50)^0.45</f>
        <v>#VALUE!</v>
      </c>
      <c r="V405" s="13" t="e">
        <f>Data_PLT[[#This Row],[Is (MPa)]]*Data_PLT[[#This Row],[F]]</f>
        <v>#VALUE!</v>
      </c>
      <c r="W405" s="13" t="str">
        <f>Data_PLT[[#This Row],[Failure Validity]]&amp;"-"&amp;Data_PLT[[#This Row],[Test type]]</f>
        <v>-</v>
      </c>
      <c r="X405" s="13" t="e">
        <f>Data_PLT[[#This Row],[Is50 (MPa)]]*VLOOKUP("Min",Table_PLT_Conversion[],2,FALSE)</f>
        <v>#VALUE!</v>
      </c>
      <c r="Y405" s="13" t="e">
        <f>Data_PLT[[#This Row],[Is50 (MPa)]]*VLOOKUP("Avg",Table_PLT_Conversion[],2,FALSE)</f>
        <v>#VALUE!</v>
      </c>
      <c r="Z405" s="13" t="e">
        <f>Data_PLT[[#This Row],[Is50 (MPa)]]*VLOOKUP("Max",Table_PLT_Conversion[],2,FALSE)</f>
        <v>#VALUE!</v>
      </c>
      <c r="AA405" s="62" t="e">
        <f>MATCH(LOOKUP(Data_PLT[[#This Row],[UCS min (MPa)]],Table_FieldStrength[Min UCS]),Table_FieldStrength[Min UCS],0)-1</f>
        <v>#VALUE!</v>
      </c>
      <c r="AB405" s="62" t="e">
        <f>MATCH(LOOKUP(Data_PLT[[#This Row],[UCS avg (MPa)]],Table_FieldStrength[Min UCS]),Table_FieldStrength[Min UCS],0)-1</f>
        <v>#VALUE!</v>
      </c>
      <c r="AC405" s="62" t="e">
        <f>MATCH(LOOKUP(Data_PLT[[#This Row],[UCS max (MPa)]],Table_FieldStrength[Min UCS]),Table_FieldStrength[Min UCS],0)-1</f>
        <v>#VALUE!</v>
      </c>
      <c r="AD405" s="68" t="e">
        <f>Data_PLT[[#This Row],[Test code]]&amp;"-"&amp;Data_PLT[[#This Row],[UCS min code]]</f>
        <v>#VALUE!</v>
      </c>
      <c r="AE405" s="68" t="e">
        <f>Data_PLT[[#This Row],[Test code]]&amp;"-"&amp;Data_PLT[[#This Row],[UCS avg code]]</f>
        <v>#VALUE!</v>
      </c>
      <c r="AF405" s="67" t="e">
        <f>Data_PLT[[#This Row],[Test code]]&amp;"-"&amp;Data_PLT[[#This Row],[UCS max code]]</f>
        <v>#VALUE!</v>
      </c>
      <c r="AG405" s="67" t="e">
        <f>Data_PLT[[#This Row],[Failure type]]&amp;"-"&amp;Data_PLT[[#This Row],[Test type]]&amp;"-"&amp;(IF(Data_PLT[[#This Row],[Is50 (MPa)]]&lt;1,1,IF(Data_PLT[[#This Row],[Is50 (MPa)]]&lt;2,2,IF(Data_PLT[[#This Row],[Is50 (MPa)]]&lt;4,3,IF(Data_PLT[[#This Row],[Is50 (MPa)]]&lt;8,4,5)))))</f>
        <v>#VALUE!</v>
      </c>
    </row>
    <row r="406" spans="2:33" x14ac:dyDescent="0.25">
      <c r="B406" s="88" t="e">
        <f>VLOOKUP(Data_PLT[[#This Row],[Hole ID]],Data_Log[],2,FALSE)</f>
        <v>#N/A</v>
      </c>
      <c r="C406" s="63" t="str">
        <f>IF(Data_PLT[[#This Row],[Hole ID]]="","",
IF(COUNTIF($A$4:A406,Data_PLT[[#This Row],[Hole ID]])=1,1,
IF(A406=A405,C405+1,
COUNTIF($A$4:A406,Data_PLT[[#This Row],[Hole ID]]))))</f>
        <v/>
      </c>
      <c r="D406" s="63" t="str">
        <f>IF(Data_PLT[[#This Row],[Hole ID]]="","",Data_PLT[[#This Row],[Hole ID]]&amp;"_"&amp;Data_PLT[[#This Row],[Sample ID]])</f>
        <v/>
      </c>
      <c r="E406" s="6"/>
      <c r="F406" s="6"/>
      <c r="G406" s="63" t="e" cm="1">
        <f t="array" ref="G406">_xlfn.XLOOKUP(1,(A406=Geotech!$A$4:$A$11100)*(Data_PLT[[#This Row],[Depth (m)]]&gt;=Geotech!$C$4:$C$11100)*(Data_PLT[[#This Row],[Depth (m)]]&lt;Geotech!$D$4:$D$11100),Geotech!$M$4:$M$11100)</f>
        <v>#N/A</v>
      </c>
      <c r="H406" s="6"/>
      <c r="I406" s="63" t="e">
        <f>VLOOKUP(Data_PLT[[#This Row],[Hole ID]],Data_Log[[Hole ID]:[Core size]],20,FALSE)</f>
        <v>#N/A</v>
      </c>
      <c r="J406" s="13" t="e">
        <f>VLOOKUP(Data_PLT[[#This Row],[Core Size]],Table_CoreSize[],2,FALSE)</f>
        <v>#N/A</v>
      </c>
      <c r="K406" s="19"/>
      <c r="L406" s="19"/>
      <c r="M406" s="5"/>
      <c r="N406" s="5"/>
      <c r="O406" s="6"/>
      <c r="P406" s="13" t="str">
        <f>IF(Data_PLT[[#This Row],[Failure type]]="","",IF(OR(Data_PLT[[#This Row],[Failure type]]="Invalid",Data_PLT[[#This Row],[Failure type]]="Chipped",Data_PLT[[#This Row],[Failure type]]="Penetrate",Data_PLT[[#This Row],[Failure type]]="Did not break"),"Invalid","Valid"))</f>
        <v/>
      </c>
      <c r="Q406" s="6"/>
      <c r="R406" s="11"/>
      <c r="S406" s="13" t="str">
        <f>IF(Data_PLT[[#This Row],[Test type]]="Diametral",Data_PLT[[#This Row],[Diameter (mm)]],IF(Data_PLT[[#This Row],[Test type]]="Axial",SQRT(4*Data_PLT[[#This Row],[Diameter (mm)]]*Data_PLT[[#This Row],[Length or width (mm)]]/PI()),"ERROR"))</f>
        <v>ERROR</v>
      </c>
      <c r="T406" s="13" t="e">
        <f>(Data_PLT[[#This Row],[Load (kN)]]*1000)/Data_PLT[[#This Row],[Equiv. Diam. (mm)]]^2</f>
        <v>#VALUE!</v>
      </c>
      <c r="U406" s="13" t="e">
        <f>(Data_PLT[[#This Row],[Equiv. Diam. (mm)]]/50)^0.45</f>
        <v>#VALUE!</v>
      </c>
      <c r="V406" s="13" t="e">
        <f>Data_PLT[[#This Row],[Is (MPa)]]*Data_PLT[[#This Row],[F]]</f>
        <v>#VALUE!</v>
      </c>
      <c r="W406" s="13" t="str">
        <f>Data_PLT[[#This Row],[Failure Validity]]&amp;"-"&amp;Data_PLT[[#This Row],[Test type]]</f>
        <v>-</v>
      </c>
      <c r="X406" s="13" t="e">
        <f>Data_PLT[[#This Row],[Is50 (MPa)]]*VLOOKUP("Min",Table_PLT_Conversion[],2,FALSE)</f>
        <v>#VALUE!</v>
      </c>
      <c r="Y406" s="13" t="e">
        <f>Data_PLT[[#This Row],[Is50 (MPa)]]*VLOOKUP("Avg",Table_PLT_Conversion[],2,FALSE)</f>
        <v>#VALUE!</v>
      </c>
      <c r="Z406" s="13" t="e">
        <f>Data_PLT[[#This Row],[Is50 (MPa)]]*VLOOKUP("Max",Table_PLT_Conversion[],2,FALSE)</f>
        <v>#VALUE!</v>
      </c>
      <c r="AA406" s="62" t="e">
        <f>MATCH(LOOKUP(Data_PLT[[#This Row],[UCS min (MPa)]],Table_FieldStrength[Min UCS]),Table_FieldStrength[Min UCS],0)-1</f>
        <v>#VALUE!</v>
      </c>
      <c r="AB406" s="62" t="e">
        <f>MATCH(LOOKUP(Data_PLT[[#This Row],[UCS avg (MPa)]],Table_FieldStrength[Min UCS]),Table_FieldStrength[Min UCS],0)-1</f>
        <v>#VALUE!</v>
      </c>
      <c r="AC406" s="62" t="e">
        <f>MATCH(LOOKUP(Data_PLT[[#This Row],[UCS max (MPa)]],Table_FieldStrength[Min UCS]),Table_FieldStrength[Min UCS],0)-1</f>
        <v>#VALUE!</v>
      </c>
      <c r="AD406" s="68" t="e">
        <f>Data_PLT[[#This Row],[Test code]]&amp;"-"&amp;Data_PLT[[#This Row],[UCS min code]]</f>
        <v>#VALUE!</v>
      </c>
      <c r="AE406" s="68" t="e">
        <f>Data_PLT[[#This Row],[Test code]]&amp;"-"&amp;Data_PLT[[#This Row],[UCS avg code]]</f>
        <v>#VALUE!</v>
      </c>
      <c r="AF406" s="67" t="e">
        <f>Data_PLT[[#This Row],[Test code]]&amp;"-"&amp;Data_PLT[[#This Row],[UCS max code]]</f>
        <v>#VALUE!</v>
      </c>
      <c r="AG406" s="67" t="e">
        <f>Data_PLT[[#This Row],[Failure type]]&amp;"-"&amp;Data_PLT[[#This Row],[Test type]]&amp;"-"&amp;(IF(Data_PLT[[#This Row],[Is50 (MPa)]]&lt;1,1,IF(Data_PLT[[#This Row],[Is50 (MPa)]]&lt;2,2,IF(Data_PLT[[#This Row],[Is50 (MPa)]]&lt;4,3,IF(Data_PLT[[#This Row],[Is50 (MPa)]]&lt;8,4,5)))))</f>
        <v>#VALUE!</v>
      </c>
    </row>
    <row r="407" spans="2:33" x14ac:dyDescent="0.25">
      <c r="B407" s="88" t="e">
        <f>VLOOKUP(Data_PLT[[#This Row],[Hole ID]],Data_Log[],2,FALSE)</f>
        <v>#N/A</v>
      </c>
      <c r="C407" s="63" t="str">
        <f>IF(Data_PLT[[#This Row],[Hole ID]]="","",
IF(COUNTIF($A$4:A407,Data_PLT[[#This Row],[Hole ID]])=1,1,
IF(A407=A406,C406+1,
COUNTIF($A$4:A407,Data_PLT[[#This Row],[Hole ID]]))))</f>
        <v/>
      </c>
      <c r="D407" s="63" t="str">
        <f>IF(Data_PLT[[#This Row],[Hole ID]]="","",Data_PLT[[#This Row],[Hole ID]]&amp;"_"&amp;Data_PLT[[#This Row],[Sample ID]])</f>
        <v/>
      </c>
      <c r="E407" s="6"/>
      <c r="F407" s="6"/>
      <c r="G407" s="63" t="e" cm="1">
        <f t="array" ref="G407">_xlfn.XLOOKUP(1,(A407=Geotech!$A$4:$A$11100)*(Data_PLT[[#This Row],[Depth (m)]]&gt;=Geotech!$C$4:$C$11100)*(Data_PLT[[#This Row],[Depth (m)]]&lt;Geotech!$D$4:$D$11100),Geotech!$M$4:$M$11100)</f>
        <v>#N/A</v>
      </c>
      <c r="H407" s="6"/>
      <c r="I407" s="63" t="e">
        <f>VLOOKUP(Data_PLT[[#This Row],[Hole ID]],Data_Log[[Hole ID]:[Core size]],20,FALSE)</f>
        <v>#N/A</v>
      </c>
      <c r="J407" s="13" t="e">
        <f>VLOOKUP(Data_PLT[[#This Row],[Core Size]],Table_CoreSize[],2,FALSE)</f>
        <v>#N/A</v>
      </c>
      <c r="K407" s="19"/>
      <c r="L407" s="19"/>
      <c r="M407" s="5"/>
      <c r="N407" s="5"/>
      <c r="O407" s="6"/>
      <c r="P407" s="13" t="str">
        <f>IF(Data_PLT[[#This Row],[Failure type]]="","",IF(OR(Data_PLT[[#This Row],[Failure type]]="Invalid",Data_PLT[[#This Row],[Failure type]]="Chipped",Data_PLT[[#This Row],[Failure type]]="Penetrate",Data_PLT[[#This Row],[Failure type]]="Did not break"),"Invalid","Valid"))</f>
        <v/>
      </c>
      <c r="Q407" s="6"/>
      <c r="R407" s="11"/>
      <c r="S407" s="13" t="str">
        <f>IF(Data_PLT[[#This Row],[Test type]]="Diametral",Data_PLT[[#This Row],[Diameter (mm)]],IF(Data_PLT[[#This Row],[Test type]]="Axial",SQRT(4*Data_PLT[[#This Row],[Diameter (mm)]]*Data_PLT[[#This Row],[Length or width (mm)]]/PI()),"ERROR"))</f>
        <v>ERROR</v>
      </c>
      <c r="T407" s="13" t="e">
        <f>(Data_PLT[[#This Row],[Load (kN)]]*1000)/Data_PLT[[#This Row],[Equiv. Diam. (mm)]]^2</f>
        <v>#VALUE!</v>
      </c>
      <c r="U407" s="13" t="e">
        <f>(Data_PLT[[#This Row],[Equiv. Diam. (mm)]]/50)^0.45</f>
        <v>#VALUE!</v>
      </c>
      <c r="V407" s="13" t="e">
        <f>Data_PLT[[#This Row],[Is (MPa)]]*Data_PLT[[#This Row],[F]]</f>
        <v>#VALUE!</v>
      </c>
      <c r="W407" s="13" t="str">
        <f>Data_PLT[[#This Row],[Failure Validity]]&amp;"-"&amp;Data_PLT[[#This Row],[Test type]]</f>
        <v>-</v>
      </c>
      <c r="X407" s="13" t="e">
        <f>Data_PLT[[#This Row],[Is50 (MPa)]]*VLOOKUP("Min",Table_PLT_Conversion[],2,FALSE)</f>
        <v>#VALUE!</v>
      </c>
      <c r="Y407" s="13" t="e">
        <f>Data_PLT[[#This Row],[Is50 (MPa)]]*VLOOKUP("Avg",Table_PLT_Conversion[],2,FALSE)</f>
        <v>#VALUE!</v>
      </c>
      <c r="Z407" s="13" t="e">
        <f>Data_PLT[[#This Row],[Is50 (MPa)]]*VLOOKUP("Max",Table_PLT_Conversion[],2,FALSE)</f>
        <v>#VALUE!</v>
      </c>
      <c r="AA407" s="62" t="e">
        <f>MATCH(LOOKUP(Data_PLT[[#This Row],[UCS min (MPa)]],Table_FieldStrength[Min UCS]),Table_FieldStrength[Min UCS],0)-1</f>
        <v>#VALUE!</v>
      </c>
      <c r="AB407" s="62" t="e">
        <f>MATCH(LOOKUP(Data_PLT[[#This Row],[UCS avg (MPa)]],Table_FieldStrength[Min UCS]),Table_FieldStrength[Min UCS],0)-1</f>
        <v>#VALUE!</v>
      </c>
      <c r="AC407" s="62" t="e">
        <f>MATCH(LOOKUP(Data_PLT[[#This Row],[UCS max (MPa)]],Table_FieldStrength[Min UCS]),Table_FieldStrength[Min UCS],0)-1</f>
        <v>#VALUE!</v>
      </c>
      <c r="AD407" s="68" t="e">
        <f>Data_PLT[[#This Row],[Test code]]&amp;"-"&amp;Data_PLT[[#This Row],[UCS min code]]</f>
        <v>#VALUE!</v>
      </c>
      <c r="AE407" s="68" t="e">
        <f>Data_PLT[[#This Row],[Test code]]&amp;"-"&amp;Data_PLT[[#This Row],[UCS avg code]]</f>
        <v>#VALUE!</v>
      </c>
      <c r="AF407" s="67" t="e">
        <f>Data_PLT[[#This Row],[Test code]]&amp;"-"&amp;Data_PLT[[#This Row],[UCS max code]]</f>
        <v>#VALUE!</v>
      </c>
      <c r="AG407" s="67" t="e">
        <f>Data_PLT[[#This Row],[Failure type]]&amp;"-"&amp;Data_PLT[[#This Row],[Test type]]&amp;"-"&amp;(IF(Data_PLT[[#This Row],[Is50 (MPa)]]&lt;1,1,IF(Data_PLT[[#This Row],[Is50 (MPa)]]&lt;2,2,IF(Data_PLT[[#This Row],[Is50 (MPa)]]&lt;4,3,IF(Data_PLT[[#This Row],[Is50 (MPa)]]&lt;8,4,5)))))</f>
        <v>#VALUE!</v>
      </c>
    </row>
    <row r="408" spans="2:33" x14ac:dyDescent="0.25">
      <c r="B408" s="88" t="e">
        <f>VLOOKUP(Data_PLT[[#This Row],[Hole ID]],Data_Log[],2,FALSE)</f>
        <v>#N/A</v>
      </c>
      <c r="C408" s="63" t="str">
        <f>IF(Data_PLT[[#This Row],[Hole ID]]="","",
IF(COUNTIF($A$4:A408,Data_PLT[[#This Row],[Hole ID]])=1,1,
IF(A408=A407,C407+1,
COUNTIF($A$4:A408,Data_PLT[[#This Row],[Hole ID]]))))</f>
        <v/>
      </c>
      <c r="D408" s="63" t="str">
        <f>IF(Data_PLT[[#This Row],[Hole ID]]="","",Data_PLT[[#This Row],[Hole ID]]&amp;"_"&amp;Data_PLT[[#This Row],[Sample ID]])</f>
        <v/>
      </c>
      <c r="E408" s="6"/>
      <c r="F408" s="6"/>
      <c r="G408" s="63" t="e" cm="1">
        <f t="array" ref="G408">_xlfn.XLOOKUP(1,(A408=Geotech!$A$4:$A$11100)*(Data_PLT[[#This Row],[Depth (m)]]&gt;=Geotech!$C$4:$C$11100)*(Data_PLT[[#This Row],[Depth (m)]]&lt;Geotech!$D$4:$D$11100),Geotech!$M$4:$M$11100)</f>
        <v>#N/A</v>
      </c>
      <c r="H408" s="6"/>
      <c r="I408" s="63" t="e">
        <f>VLOOKUP(Data_PLT[[#This Row],[Hole ID]],Data_Log[[Hole ID]:[Core size]],20,FALSE)</f>
        <v>#N/A</v>
      </c>
      <c r="J408" s="13" t="e">
        <f>VLOOKUP(Data_PLT[[#This Row],[Core Size]],Table_CoreSize[],2,FALSE)</f>
        <v>#N/A</v>
      </c>
      <c r="K408" s="19"/>
      <c r="L408" s="19"/>
      <c r="M408" s="5"/>
      <c r="N408" s="5"/>
      <c r="O408" s="6"/>
      <c r="P408" s="13" t="str">
        <f>IF(Data_PLT[[#This Row],[Failure type]]="","",IF(OR(Data_PLT[[#This Row],[Failure type]]="Invalid",Data_PLT[[#This Row],[Failure type]]="Chipped",Data_PLT[[#This Row],[Failure type]]="Penetrate",Data_PLT[[#This Row],[Failure type]]="Did not break"),"Invalid","Valid"))</f>
        <v/>
      </c>
      <c r="Q408" s="6"/>
      <c r="R408" s="11"/>
      <c r="S408" s="13" t="str">
        <f>IF(Data_PLT[[#This Row],[Test type]]="Diametral",Data_PLT[[#This Row],[Diameter (mm)]],IF(Data_PLT[[#This Row],[Test type]]="Axial",SQRT(4*Data_PLT[[#This Row],[Diameter (mm)]]*Data_PLT[[#This Row],[Length or width (mm)]]/PI()),"ERROR"))</f>
        <v>ERROR</v>
      </c>
      <c r="T408" s="13" t="e">
        <f>(Data_PLT[[#This Row],[Load (kN)]]*1000)/Data_PLT[[#This Row],[Equiv. Diam. (mm)]]^2</f>
        <v>#VALUE!</v>
      </c>
      <c r="U408" s="13" t="e">
        <f>(Data_PLT[[#This Row],[Equiv. Diam. (mm)]]/50)^0.45</f>
        <v>#VALUE!</v>
      </c>
      <c r="V408" s="13" t="e">
        <f>Data_PLT[[#This Row],[Is (MPa)]]*Data_PLT[[#This Row],[F]]</f>
        <v>#VALUE!</v>
      </c>
      <c r="W408" s="13" t="str">
        <f>Data_PLT[[#This Row],[Failure Validity]]&amp;"-"&amp;Data_PLT[[#This Row],[Test type]]</f>
        <v>-</v>
      </c>
      <c r="X408" s="13" t="e">
        <f>Data_PLT[[#This Row],[Is50 (MPa)]]*VLOOKUP("Min",Table_PLT_Conversion[],2,FALSE)</f>
        <v>#VALUE!</v>
      </c>
      <c r="Y408" s="13" t="e">
        <f>Data_PLT[[#This Row],[Is50 (MPa)]]*VLOOKUP("Avg",Table_PLT_Conversion[],2,FALSE)</f>
        <v>#VALUE!</v>
      </c>
      <c r="Z408" s="13" t="e">
        <f>Data_PLT[[#This Row],[Is50 (MPa)]]*VLOOKUP("Max",Table_PLT_Conversion[],2,FALSE)</f>
        <v>#VALUE!</v>
      </c>
      <c r="AA408" s="62" t="e">
        <f>MATCH(LOOKUP(Data_PLT[[#This Row],[UCS min (MPa)]],Table_FieldStrength[Min UCS]),Table_FieldStrength[Min UCS],0)-1</f>
        <v>#VALUE!</v>
      </c>
      <c r="AB408" s="62" t="e">
        <f>MATCH(LOOKUP(Data_PLT[[#This Row],[UCS avg (MPa)]],Table_FieldStrength[Min UCS]),Table_FieldStrength[Min UCS],0)-1</f>
        <v>#VALUE!</v>
      </c>
      <c r="AC408" s="62" t="e">
        <f>MATCH(LOOKUP(Data_PLT[[#This Row],[UCS max (MPa)]],Table_FieldStrength[Min UCS]),Table_FieldStrength[Min UCS],0)-1</f>
        <v>#VALUE!</v>
      </c>
      <c r="AD408" s="68" t="e">
        <f>Data_PLT[[#This Row],[Test code]]&amp;"-"&amp;Data_PLT[[#This Row],[UCS min code]]</f>
        <v>#VALUE!</v>
      </c>
      <c r="AE408" s="68" t="e">
        <f>Data_PLT[[#This Row],[Test code]]&amp;"-"&amp;Data_PLT[[#This Row],[UCS avg code]]</f>
        <v>#VALUE!</v>
      </c>
      <c r="AF408" s="67" t="e">
        <f>Data_PLT[[#This Row],[Test code]]&amp;"-"&amp;Data_PLT[[#This Row],[UCS max code]]</f>
        <v>#VALUE!</v>
      </c>
      <c r="AG408" s="67" t="e">
        <f>Data_PLT[[#This Row],[Failure type]]&amp;"-"&amp;Data_PLT[[#This Row],[Test type]]&amp;"-"&amp;(IF(Data_PLT[[#This Row],[Is50 (MPa)]]&lt;1,1,IF(Data_PLT[[#This Row],[Is50 (MPa)]]&lt;2,2,IF(Data_PLT[[#This Row],[Is50 (MPa)]]&lt;4,3,IF(Data_PLT[[#This Row],[Is50 (MPa)]]&lt;8,4,5)))))</f>
        <v>#VALUE!</v>
      </c>
    </row>
    <row r="409" spans="2:33" x14ac:dyDescent="0.25">
      <c r="B409" s="88" t="e">
        <f>VLOOKUP(Data_PLT[[#This Row],[Hole ID]],Data_Log[],2,FALSE)</f>
        <v>#N/A</v>
      </c>
      <c r="C409" s="63" t="str">
        <f>IF(Data_PLT[[#This Row],[Hole ID]]="","",
IF(COUNTIF($A$4:A409,Data_PLT[[#This Row],[Hole ID]])=1,1,
IF(A409=A408,C408+1,
COUNTIF($A$4:A409,Data_PLT[[#This Row],[Hole ID]]))))</f>
        <v/>
      </c>
      <c r="D409" s="63" t="str">
        <f>IF(Data_PLT[[#This Row],[Hole ID]]="","",Data_PLT[[#This Row],[Hole ID]]&amp;"_"&amp;Data_PLT[[#This Row],[Sample ID]])</f>
        <v/>
      </c>
      <c r="E409" s="6"/>
      <c r="F409" s="6"/>
      <c r="G409" s="63" t="e" cm="1">
        <f t="array" ref="G409">_xlfn.XLOOKUP(1,(A409=Geotech!$A$4:$A$11100)*(Data_PLT[[#This Row],[Depth (m)]]&gt;=Geotech!$C$4:$C$11100)*(Data_PLT[[#This Row],[Depth (m)]]&lt;Geotech!$D$4:$D$11100),Geotech!$M$4:$M$11100)</f>
        <v>#N/A</v>
      </c>
      <c r="H409" s="6"/>
      <c r="I409" s="63" t="e">
        <f>VLOOKUP(Data_PLT[[#This Row],[Hole ID]],Data_Log[[Hole ID]:[Core size]],20,FALSE)</f>
        <v>#N/A</v>
      </c>
      <c r="J409" s="13" t="e">
        <f>VLOOKUP(Data_PLT[[#This Row],[Core Size]],Table_CoreSize[],2,FALSE)</f>
        <v>#N/A</v>
      </c>
      <c r="K409" s="19"/>
      <c r="L409" s="19"/>
      <c r="M409" s="5"/>
      <c r="N409" s="5"/>
      <c r="O409" s="6"/>
      <c r="P409" s="13" t="str">
        <f>IF(Data_PLT[[#This Row],[Failure type]]="","",IF(OR(Data_PLT[[#This Row],[Failure type]]="Invalid",Data_PLT[[#This Row],[Failure type]]="Chipped",Data_PLT[[#This Row],[Failure type]]="Penetrate",Data_PLT[[#This Row],[Failure type]]="Did not break"),"Invalid","Valid"))</f>
        <v/>
      </c>
      <c r="Q409" s="6"/>
      <c r="R409" s="11"/>
      <c r="S409" s="13" t="str">
        <f>IF(Data_PLT[[#This Row],[Test type]]="Diametral",Data_PLT[[#This Row],[Diameter (mm)]],IF(Data_PLT[[#This Row],[Test type]]="Axial",SQRT(4*Data_PLT[[#This Row],[Diameter (mm)]]*Data_PLT[[#This Row],[Length or width (mm)]]/PI()),"ERROR"))</f>
        <v>ERROR</v>
      </c>
      <c r="T409" s="13" t="e">
        <f>(Data_PLT[[#This Row],[Load (kN)]]*1000)/Data_PLT[[#This Row],[Equiv. Diam. (mm)]]^2</f>
        <v>#VALUE!</v>
      </c>
      <c r="U409" s="13" t="e">
        <f>(Data_PLT[[#This Row],[Equiv. Diam. (mm)]]/50)^0.45</f>
        <v>#VALUE!</v>
      </c>
      <c r="V409" s="13" t="e">
        <f>Data_PLT[[#This Row],[Is (MPa)]]*Data_PLT[[#This Row],[F]]</f>
        <v>#VALUE!</v>
      </c>
      <c r="W409" s="13" t="str">
        <f>Data_PLT[[#This Row],[Failure Validity]]&amp;"-"&amp;Data_PLT[[#This Row],[Test type]]</f>
        <v>-</v>
      </c>
      <c r="X409" s="13" t="e">
        <f>Data_PLT[[#This Row],[Is50 (MPa)]]*VLOOKUP("Min",Table_PLT_Conversion[],2,FALSE)</f>
        <v>#VALUE!</v>
      </c>
      <c r="Y409" s="13" t="e">
        <f>Data_PLT[[#This Row],[Is50 (MPa)]]*VLOOKUP("Avg",Table_PLT_Conversion[],2,FALSE)</f>
        <v>#VALUE!</v>
      </c>
      <c r="Z409" s="13" t="e">
        <f>Data_PLT[[#This Row],[Is50 (MPa)]]*VLOOKUP("Max",Table_PLT_Conversion[],2,FALSE)</f>
        <v>#VALUE!</v>
      </c>
      <c r="AA409" s="62" t="e">
        <f>MATCH(LOOKUP(Data_PLT[[#This Row],[UCS min (MPa)]],Table_FieldStrength[Min UCS]),Table_FieldStrength[Min UCS],0)-1</f>
        <v>#VALUE!</v>
      </c>
      <c r="AB409" s="62" t="e">
        <f>MATCH(LOOKUP(Data_PLT[[#This Row],[UCS avg (MPa)]],Table_FieldStrength[Min UCS]),Table_FieldStrength[Min UCS],0)-1</f>
        <v>#VALUE!</v>
      </c>
      <c r="AC409" s="62" t="e">
        <f>MATCH(LOOKUP(Data_PLT[[#This Row],[UCS max (MPa)]],Table_FieldStrength[Min UCS]),Table_FieldStrength[Min UCS],0)-1</f>
        <v>#VALUE!</v>
      </c>
      <c r="AD409" s="68" t="e">
        <f>Data_PLT[[#This Row],[Test code]]&amp;"-"&amp;Data_PLT[[#This Row],[UCS min code]]</f>
        <v>#VALUE!</v>
      </c>
      <c r="AE409" s="68" t="e">
        <f>Data_PLT[[#This Row],[Test code]]&amp;"-"&amp;Data_PLT[[#This Row],[UCS avg code]]</f>
        <v>#VALUE!</v>
      </c>
      <c r="AF409" s="67" t="e">
        <f>Data_PLT[[#This Row],[Test code]]&amp;"-"&amp;Data_PLT[[#This Row],[UCS max code]]</f>
        <v>#VALUE!</v>
      </c>
      <c r="AG409" s="67" t="e">
        <f>Data_PLT[[#This Row],[Failure type]]&amp;"-"&amp;Data_PLT[[#This Row],[Test type]]&amp;"-"&amp;(IF(Data_PLT[[#This Row],[Is50 (MPa)]]&lt;1,1,IF(Data_PLT[[#This Row],[Is50 (MPa)]]&lt;2,2,IF(Data_PLT[[#This Row],[Is50 (MPa)]]&lt;4,3,IF(Data_PLT[[#This Row],[Is50 (MPa)]]&lt;8,4,5)))))</f>
        <v>#VALUE!</v>
      </c>
    </row>
    <row r="410" spans="2:33" x14ac:dyDescent="0.25">
      <c r="B410" s="88" t="e">
        <f>VLOOKUP(Data_PLT[[#This Row],[Hole ID]],Data_Log[],2,FALSE)</f>
        <v>#N/A</v>
      </c>
      <c r="C410" s="63" t="str">
        <f>IF(Data_PLT[[#This Row],[Hole ID]]="","",
IF(COUNTIF($A$4:A410,Data_PLT[[#This Row],[Hole ID]])=1,1,
IF(A410=A409,C409+1,
COUNTIF($A$4:A410,Data_PLT[[#This Row],[Hole ID]]))))</f>
        <v/>
      </c>
      <c r="D410" s="63" t="str">
        <f>IF(Data_PLT[[#This Row],[Hole ID]]="","",Data_PLT[[#This Row],[Hole ID]]&amp;"_"&amp;Data_PLT[[#This Row],[Sample ID]])</f>
        <v/>
      </c>
      <c r="E410" s="6"/>
      <c r="F410" s="6"/>
      <c r="G410" s="63" t="e" cm="1">
        <f t="array" ref="G410">_xlfn.XLOOKUP(1,(A410=Geotech!$A$4:$A$11100)*(Data_PLT[[#This Row],[Depth (m)]]&gt;=Geotech!$C$4:$C$11100)*(Data_PLT[[#This Row],[Depth (m)]]&lt;Geotech!$D$4:$D$11100),Geotech!$M$4:$M$11100)</f>
        <v>#N/A</v>
      </c>
      <c r="H410" s="6"/>
      <c r="I410" s="63" t="e">
        <f>VLOOKUP(Data_PLT[[#This Row],[Hole ID]],Data_Log[[Hole ID]:[Core size]],20,FALSE)</f>
        <v>#N/A</v>
      </c>
      <c r="J410" s="13" t="e">
        <f>VLOOKUP(Data_PLT[[#This Row],[Core Size]],Table_CoreSize[],2,FALSE)</f>
        <v>#N/A</v>
      </c>
      <c r="K410" s="19"/>
      <c r="L410" s="19"/>
      <c r="M410" s="5"/>
      <c r="N410" s="5"/>
      <c r="O410" s="6"/>
      <c r="P410" s="13" t="str">
        <f>IF(Data_PLT[[#This Row],[Failure type]]="","",IF(OR(Data_PLT[[#This Row],[Failure type]]="Invalid",Data_PLT[[#This Row],[Failure type]]="Chipped",Data_PLT[[#This Row],[Failure type]]="Penetrate",Data_PLT[[#This Row],[Failure type]]="Did not break"),"Invalid","Valid"))</f>
        <v/>
      </c>
      <c r="Q410" s="6"/>
      <c r="R410" s="11"/>
      <c r="S410" s="13" t="str">
        <f>IF(Data_PLT[[#This Row],[Test type]]="Diametral",Data_PLT[[#This Row],[Diameter (mm)]],IF(Data_PLT[[#This Row],[Test type]]="Axial",SQRT(4*Data_PLT[[#This Row],[Diameter (mm)]]*Data_PLT[[#This Row],[Length or width (mm)]]/PI()),"ERROR"))</f>
        <v>ERROR</v>
      </c>
      <c r="T410" s="13" t="e">
        <f>(Data_PLT[[#This Row],[Load (kN)]]*1000)/Data_PLT[[#This Row],[Equiv. Diam. (mm)]]^2</f>
        <v>#VALUE!</v>
      </c>
      <c r="U410" s="13" t="e">
        <f>(Data_PLT[[#This Row],[Equiv. Diam. (mm)]]/50)^0.45</f>
        <v>#VALUE!</v>
      </c>
      <c r="V410" s="13" t="e">
        <f>Data_PLT[[#This Row],[Is (MPa)]]*Data_PLT[[#This Row],[F]]</f>
        <v>#VALUE!</v>
      </c>
      <c r="W410" s="13" t="str">
        <f>Data_PLT[[#This Row],[Failure Validity]]&amp;"-"&amp;Data_PLT[[#This Row],[Test type]]</f>
        <v>-</v>
      </c>
      <c r="X410" s="13" t="e">
        <f>Data_PLT[[#This Row],[Is50 (MPa)]]*VLOOKUP("Min",Table_PLT_Conversion[],2,FALSE)</f>
        <v>#VALUE!</v>
      </c>
      <c r="Y410" s="13" t="e">
        <f>Data_PLT[[#This Row],[Is50 (MPa)]]*VLOOKUP("Avg",Table_PLT_Conversion[],2,FALSE)</f>
        <v>#VALUE!</v>
      </c>
      <c r="Z410" s="13" t="e">
        <f>Data_PLT[[#This Row],[Is50 (MPa)]]*VLOOKUP("Max",Table_PLT_Conversion[],2,FALSE)</f>
        <v>#VALUE!</v>
      </c>
      <c r="AA410" s="62" t="e">
        <f>MATCH(LOOKUP(Data_PLT[[#This Row],[UCS min (MPa)]],Table_FieldStrength[Min UCS]),Table_FieldStrength[Min UCS],0)-1</f>
        <v>#VALUE!</v>
      </c>
      <c r="AB410" s="62" t="e">
        <f>MATCH(LOOKUP(Data_PLT[[#This Row],[UCS avg (MPa)]],Table_FieldStrength[Min UCS]),Table_FieldStrength[Min UCS],0)-1</f>
        <v>#VALUE!</v>
      </c>
      <c r="AC410" s="62" t="e">
        <f>MATCH(LOOKUP(Data_PLT[[#This Row],[UCS max (MPa)]],Table_FieldStrength[Min UCS]),Table_FieldStrength[Min UCS],0)-1</f>
        <v>#VALUE!</v>
      </c>
      <c r="AD410" s="68" t="e">
        <f>Data_PLT[[#This Row],[Test code]]&amp;"-"&amp;Data_PLT[[#This Row],[UCS min code]]</f>
        <v>#VALUE!</v>
      </c>
      <c r="AE410" s="68" t="e">
        <f>Data_PLT[[#This Row],[Test code]]&amp;"-"&amp;Data_PLT[[#This Row],[UCS avg code]]</f>
        <v>#VALUE!</v>
      </c>
      <c r="AF410" s="67" t="e">
        <f>Data_PLT[[#This Row],[Test code]]&amp;"-"&amp;Data_PLT[[#This Row],[UCS max code]]</f>
        <v>#VALUE!</v>
      </c>
      <c r="AG410" s="67" t="e">
        <f>Data_PLT[[#This Row],[Failure type]]&amp;"-"&amp;Data_PLT[[#This Row],[Test type]]&amp;"-"&amp;(IF(Data_PLT[[#This Row],[Is50 (MPa)]]&lt;1,1,IF(Data_PLT[[#This Row],[Is50 (MPa)]]&lt;2,2,IF(Data_PLT[[#This Row],[Is50 (MPa)]]&lt;4,3,IF(Data_PLT[[#This Row],[Is50 (MPa)]]&lt;8,4,5)))))</f>
        <v>#VALUE!</v>
      </c>
    </row>
    <row r="411" spans="2:33" x14ac:dyDescent="0.25">
      <c r="B411" s="88" t="e">
        <f>VLOOKUP(Data_PLT[[#This Row],[Hole ID]],Data_Log[],2,FALSE)</f>
        <v>#N/A</v>
      </c>
      <c r="C411" s="63" t="str">
        <f>IF(Data_PLT[[#This Row],[Hole ID]]="","",
IF(COUNTIF($A$4:A411,Data_PLT[[#This Row],[Hole ID]])=1,1,
IF(A411=A410,C410+1,
COUNTIF($A$4:A411,Data_PLT[[#This Row],[Hole ID]]))))</f>
        <v/>
      </c>
      <c r="D411" s="63" t="str">
        <f>IF(Data_PLT[[#This Row],[Hole ID]]="","",Data_PLT[[#This Row],[Hole ID]]&amp;"_"&amp;Data_PLT[[#This Row],[Sample ID]])</f>
        <v/>
      </c>
      <c r="E411" s="6"/>
      <c r="F411" s="6"/>
      <c r="G411" s="63" t="e" cm="1">
        <f t="array" ref="G411">_xlfn.XLOOKUP(1,(A411=Geotech!$A$4:$A$11100)*(Data_PLT[[#This Row],[Depth (m)]]&gt;=Geotech!$C$4:$C$11100)*(Data_PLT[[#This Row],[Depth (m)]]&lt;Geotech!$D$4:$D$11100),Geotech!$M$4:$M$11100)</f>
        <v>#N/A</v>
      </c>
      <c r="H411" s="6"/>
      <c r="I411" s="63" t="e">
        <f>VLOOKUP(Data_PLT[[#This Row],[Hole ID]],Data_Log[[Hole ID]:[Core size]],20,FALSE)</f>
        <v>#N/A</v>
      </c>
      <c r="J411" s="13" t="e">
        <f>VLOOKUP(Data_PLT[[#This Row],[Core Size]],Table_CoreSize[],2,FALSE)</f>
        <v>#N/A</v>
      </c>
      <c r="K411" s="19"/>
      <c r="L411" s="19"/>
      <c r="M411" s="5"/>
      <c r="N411" s="5"/>
      <c r="O411" s="6"/>
      <c r="P411" s="13" t="str">
        <f>IF(Data_PLT[[#This Row],[Failure type]]="","",IF(OR(Data_PLT[[#This Row],[Failure type]]="Invalid",Data_PLT[[#This Row],[Failure type]]="Chipped",Data_PLT[[#This Row],[Failure type]]="Penetrate",Data_PLT[[#This Row],[Failure type]]="Did not break"),"Invalid","Valid"))</f>
        <v/>
      </c>
      <c r="Q411" s="6"/>
      <c r="R411" s="11"/>
      <c r="S411" s="13" t="str">
        <f>IF(Data_PLT[[#This Row],[Test type]]="Diametral",Data_PLT[[#This Row],[Diameter (mm)]],IF(Data_PLT[[#This Row],[Test type]]="Axial",SQRT(4*Data_PLT[[#This Row],[Diameter (mm)]]*Data_PLT[[#This Row],[Length or width (mm)]]/PI()),"ERROR"))</f>
        <v>ERROR</v>
      </c>
      <c r="T411" s="13" t="e">
        <f>(Data_PLT[[#This Row],[Load (kN)]]*1000)/Data_PLT[[#This Row],[Equiv. Diam. (mm)]]^2</f>
        <v>#VALUE!</v>
      </c>
      <c r="U411" s="13" t="e">
        <f>(Data_PLT[[#This Row],[Equiv. Diam. (mm)]]/50)^0.45</f>
        <v>#VALUE!</v>
      </c>
      <c r="V411" s="13" t="e">
        <f>Data_PLT[[#This Row],[Is (MPa)]]*Data_PLT[[#This Row],[F]]</f>
        <v>#VALUE!</v>
      </c>
      <c r="W411" s="13" t="str">
        <f>Data_PLT[[#This Row],[Failure Validity]]&amp;"-"&amp;Data_PLT[[#This Row],[Test type]]</f>
        <v>-</v>
      </c>
      <c r="X411" s="13" t="e">
        <f>Data_PLT[[#This Row],[Is50 (MPa)]]*VLOOKUP("Min",Table_PLT_Conversion[],2,FALSE)</f>
        <v>#VALUE!</v>
      </c>
      <c r="Y411" s="13" t="e">
        <f>Data_PLT[[#This Row],[Is50 (MPa)]]*VLOOKUP("Avg",Table_PLT_Conversion[],2,FALSE)</f>
        <v>#VALUE!</v>
      </c>
      <c r="Z411" s="13" t="e">
        <f>Data_PLT[[#This Row],[Is50 (MPa)]]*VLOOKUP("Max",Table_PLT_Conversion[],2,FALSE)</f>
        <v>#VALUE!</v>
      </c>
      <c r="AA411" s="62" t="e">
        <f>MATCH(LOOKUP(Data_PLT[[#This Row],[UCS min (MPa)]],Table_FieldStrength[Min UCS]),Table_FieldStrength[Min UCS],0)-1</f>
        <v>#VALUE!</v>
      </c>
      <c r="AB411" s="62" t="e">
        <f>MATCH(LOOKUP(Data_PLT[[#This Row],[UCS avg (MPa)]],Table_FieldStrength[Min UCS]),Table_FieldStrength[Min UCS],0)-1</f>
        <v>#VALUE!</v>
      </c>
      <c r="AC411" s="62" t="e">
        <f>MATCH(LOOKUP(Data_PLT[[#This Row],[UCS max (MPa)]],Table_FieldStrength[Min UCS]),Table_FieldStrength[Min UCS],0)-1</f>
        <v>#VALUE!</v>
      </c>
      <c r="AD411" s="68" t="e">
        <f>Data_PLT[[#This Row],[Test code]]&amp;"-"&amp;Data_PLT[[#This Row],[UCS min code]]</f>
        <v>#VALUE!</v>
      </c>
      <c r="AE411" s="68" t="e">
        <f>Data_PLT[[#This Row],[Test code]]&amp;"-"&amp;Data_PLT[[#This Row],[UCS avg code]]</f>
        <v>#VALUE!</v>
      </c>
      <c r="AF411" s="67" t="e">
        <f>Data_PLT[[#This Row],[Test code]]&amp;"-"&amp;Data_PLT[[#This Row],[UCS max code]]</f>
        <v>#VALUE!</v>
      </c>
      <c r="AG411" s="67" t="e">
        <f>Data_PLT[[#This Row],[Failure type]]&amp;"-"&amp;Data_PLT[[#This Row],[Test type]]&amp;"-"&amp;(IF(Data_PLT[[#This Row],[Is50 (MPa)]]&lt;1,1,IF(Data_PLT[[#This Row],[Is50 (MPa)]]&lt;2,2,IF(Data_PLT[[#This Row],[Is50 (MPa)]]&lt;4,3,IF(Data_PLT[[#This Row],[Is50 (MPa)]]&lt;8,4,5)))))</f>
        <v>#VALUE!</v>
      </c>
    </row>
    <row r="412" spans="2:33" x14ac:dyDescent="0.25">
      <c r="B412" s="88" t="e">
        <f>VLOOKUP(Data_PLT[[#This Row],[Hole ID]],Data_Log[],2,FALSE)</f>
        <v>#N/A</v>
      </c>
      <c r="C412" s="63" t="str">
        <f>IF(Data_PLT[[#This Row],[Hole ID]]="","",
IF(COUNTIF($A$4:A412,Data_PLT[[#This Row],[Hole ID]])=1,1,
IF(A412=A411,C411+1,
COUNTIF($A$4:A412,Data_PLT[[#This Row],[Hole ID]]))))</f>
        <v/>
      </c>
      <c r="D412" s="63" t="str">
        <f>IF(Data_PLT[[#This Row],[Hole ID]]="","",Data_PLT[[#This Row],[Hole ID]]&amp;"_"&amp;Data_PLT[[#This Row],[Sample ID]])</f>
        <v/>
      </c>
      <c r="E412" s="6"/>
      <c r="F412" s="6"/>
      <c r="G412" s="63" t="e" cm="1">
        <f t="array" ref="G412">_xlfn.XLOOKUP(1,(A412=Geotech!$A$4:$A$11100)*(Data_PLT[[#This Row],[Depth (m)]]&gt;=Geotech!$C$4:$C$11100)*(Data_PLT[[#This Row],[Depth (m)]]&lt;Geotech!$D$4:$D$11100),Geotech!$M$4:$M$11100)</f>
        <v>#N/A</v>
      </c>
      <c r="H412" s="6"/>
      <c r="I412" s="63" t="e">
        <f>VLOOKUP(Data_PLT[[#This Row],[Hole ID]],Data_Log[[Hole ID]:[Core size]],20,FALSE)</f>
        <v>#N/A</v>
      </c>
      <c r="J412" s="13" t="e">
        <f>VLOOKUP(Data_PLT[[#This Row],[Core Size]],Table_CoreSize[],2,FALSE)</f>
        <v>#N/A</v>
      </c>
      <c r="K412" s="19"/>
      <c r="L412" s="19"/>
      <c r="M412" s="5"/>
      <c r="N412" s="5"/>
      <c r="O412" s="6"/>
      <c r="P412" s="13" t="str">
        <f>IF(Data_PLT[[#This Row],[Failure type]]="","",IF(OR(Data_PLT[[#This Row],[Failure type]]="Invalid",Data_PLT[[#This Row],[Failure type]]="Chipped",Data_PLT[[#This Row],[Failure type]]="Penetrate",Data_PLT[[#This Row],[Failure type]]="Did not break"),"Invalid","Valid"))</f>
        <v/>
      </c>
      <c r="Q412" s="6"/>
      <c r="R412" s="11"/>
      <c r="S412" s="13" t="str">
        <f>IF(Data_PLT[[#This Row],[Test type]]="Diametral",Data_PLT[[#This Row],[Diameter (mm)]],IF(Data_PLT[[#This Row],[Test type]]="Axial",SQRT(4*Data_PLT[[#This Row],[Diameter (mm)]]*Data_PLT[[#This Row],[Length or width (mm)]]/PI()),"ERROR"))</f>
        <v>ERROR</v>
      </c>
      <c r="T412" s="13" t="e">
        <f>(Data_PLT[[#This Row],[Load (kN)]]*1000)/Data_PLT[[#This Row],[Equiv. Diam. (mm)]]^2</f>
        <v>#VALUE!</v>
      </c>
      <c r="U412" s="13" t="e">
        <f>(Data_PLT[[#This Row],[Equiv. Diam. (mm)]]/50)^0.45</f>
        <v>#VALUE!</v>
      </c>
      <c r="V412" s="13" t="e">
        <f>Data_PLT[[#This Row],[Is (MPa)]]*Data_PLT[[#This Row],[F]]</f>
        <v>#VALUE!</v>
      </c>
      <c r="W412" s="13" t="str">
        <f>Data_PLT[[#This Row],[Failure Validity]]&amp;"-"&amp;Data_PLT[[#This Row],[Test type]]</f>
        <v>-</v>
      </c>
      <c r="X412" s="13" t="e">
        <f>Data_PLT[[#This Row],[Is50 (MPa)]]*VLOOKUP("Min",Table_PLT_Conversion[],2,FALSE)</f>
        <v>#VALUE!</v>
      </c>
      <c r="Y412" s="13" t="e">
        <f>Data_PLT[[#This Row],[Is50 (MPa)]]*VLOOKUP("Avg",Table_PLT_Conversion[],2,FALSE)</f>
        <v>#VALUE!</v>
      </c>
      <c r="Z412" s="13" t="e">
        <f>Data_PLT[[#This Row],[Is50 (MPa)]]*VLOOKUP("Max",Table_PLT_Conversion[],2,FALSE)</f>
        <v>#VALUE!</v>
      </c>
      <c r="AA412" s="62" t="e">
        <f>MATCH(LOOKUP(Data_PLT[[#This Row],[UCS min (MPa)]],Table_FieldStrength[Min UCS]),Table_FieldStrength[Min UCS],0)-1</f>
        <v>#VALUE!</v>
      </c>
      <c r="AB412" s="62" t="e">
        <f>MATCH(LOOKUP(Data_PLT[[#This Row],[UCS avg (MPa)]],Table_FieldStrength[Min UCS]),Table_FieldStrength[Min UCS],0)-1</f>
        <v>#VALUE!</v>
      </c>
      <c r="AC412" s="62" t="e">
        <f>MATCH(LOOKUP(Data_PLT[[#This Row],[UCS max (MPa)]],Table_FieldStrength[Min UCS]),Table_FieldStrength[Min UCS],0)-1</f>
        <v>#VALUE!</v>
      </c>
      <c r="AD412" s="68" t="e">
        <f>Data_PLT[[#This Row],[Test code]]&amp;"-"&amp;Data_PLT[[#This Row],[UCS min code]]</f>
        <v>#VALUE!</v>
      </c>
      <c r="AE412" s="68" t="e">
        <f>Data_PLT[[#This Row],[Test code]]&amp;"-"&amp;Data_PLT[[#This Row],[UCS avg code]]</f>
        <v>#VALUE!</v>
      </c>
      <c r="AF412" s="67" t="e">
        <f>Data_PLT[[#This Row],[Test code]]&amp;"-"&amp;Data_PLT[[#This Row],[UCS max code]]</f>
        <v>#VALUE!</v>
      </c>
      <c r="AG412" s="67" t="e">
        <f>Data_PLT[[#This Row],[Failure type]]&amp;"-"&amp;Data_PLT[[#This Row],[Test type]]&amp;"-"&amp;(IF(Data_PLT[[#This Row],[Is50 (MPa)]]&lt;1,1,IF(Data_PLT[[#This Row],[Is50 (MPa)]]&lt;2,2,IF(Data_PLT[[#This Row],[Is50 (MPa)]]&lt;4,3,IF(Data_PLT[[#This Row],[Is50 (MPa)]]&lt;8,4,5)))))</f>
        <v>#VALUE!</v>
      </c>
    </row>
    <row r="413" spans="2:33" x14ac:dyDescent="0.25">
      <c r="B413" s="88" t="e">
        <f>VLOOKUP(Data_PLT[[#This Row],[Hole ID]],Data_Log[],2,FALSE)</f>
        <v>#N/A</v>
      </c>
      <c r="C413" s="63" t="str">
        <f>IF(Data_PLT[[#This Row],[Hole ID]]="","",
IF(COUNTIF($A$4:A413,Data_PLT[[#This Row],[Hole ID]])=1,1,
IF(A413=A412,C412+1,
COUNTIF($A$4:A413,Data_PLT[[#This Row],[Hole ID]]))))</f>
        <v/>
      </c>
      <c r="D413" s="63" t="str">
        <f>IF(Data_PLT[[#This Row],[Hole ID]]="","",Data_PLT[[#This Row],[Hole ID]]&amp;"_"&amp;Data_PLT[[#This Row],[Sample ID]])</f>
        <v/>
      </c>
      <c r="E413" s="6"/>
      <c r="F413" s="6"/>
      <c r="G413" s="63" t="e" cm="1">
        <f t="array" ref="G413">_xlfn.XLOOKUP(1,(A413=Geotech!$A$4:$A$11100)*(Data_PLT[[#This Row],[Depth (m)]]&gt;=Geotech!$C$4:$C$11100)*(Data_PLT[[#This Row],[Depth (m)]]&lt;Geotech!$D$4:$D$11100),Geotech!$M$4:$M$11100)</f>
        <v>#N/A</v>
      </c>
      <c r="H413" s="6"/>
      <c r="I413" s="63" t="e">
        <f>VLOOKUP(Data_PLT[[#This Row],[Hole ID]],Data_Log[[Hole ID]:[Core size]],20,FALSE)</f>
        <v>#N/A</v>
      </c>
      <c r="J413" s="13" t="e">
        <f>VLOOKUP(Data_PLT[[#This Row],[Core Size]],Table_CoreSize[],2,FALSE)</f>
        <v>#N/A</v>
      </c>
      <c r="K413" s="19"/>
      <c r="L413" s="19"/>
      <c r="M413" s="5"/>
      <c r="N413" s="5"/>
      <c r="O413" s="6"/>
      <c r="P413" s="13" t="str">
        <f>IF(Data_PLT[[#This Row],[Failure type]]="","",IF(OR(Data_PLT[[#This Row],[Failure type]]="Invalid",Data_PLT[[#This Row],[Failure type]]="Chipped",Data_PLT[[#This Row],[Failure type]]="Penetrate",Data_PLT[[#This Row],[Failure type]]="Did not break"),"Invalid","Valid"))</f>
        <v/>
      </c>
      <c r="Q413" s="6"/>
      <c r="R413" s="11"/>
      <c r="S413" s="13" t="str">
        <f>IF(Data_PLT[[#This Row],[Test type]]="Diametral",Data_PLT[[#This Row],[Diameter (mm)]],IF(Data_PLT[[#This Row],[Test type]]="Axial",SQRT(4*Data_PLT[[#This Row],[Diameter (mm)]]*Data_PLT[[#This Row],[Length or width (mm)]]/PI()),"ERROR"))</f>
        <v>ERROR</v>
      </c>
      <c r="T413" s="13" t="e">
        <f>(Data_PLT[[#This Row],[Load (kN)]]*1000)/Data_PLT[[#This Row],[Equiv. Diam. (mm)]]^2</f>
        <v>#VALUE!</v>
      </c>
      <c r="U413" s="13" t="e">
        <f>(Data_PLT[[#This Row],[Equiv. Diam. (mm)]]/50)^0.45</f>
        <v>#VALUE!</v>
      </c>
      <c r="V413" s="13" t="e">
        <f>Data_PLT[[#This Row],[Is (MPa)]]*Data_PLT[[#This Row],[F]]</f>
        <v>#VALUE!</v>
      </c>
      <c r="W413" s="13" t="str">
        <f>Data_PLT[[#This Row],[Failure Validity]]&amp;"-"&amp;Data_PLT[[#This Row],[Test type]]</f>
        <v>-</v>
      </c>
      <c r="X413" s="13" t="e">
        <f>Data_PLT[[#This Row],[Is50 (MPa)]]*VLOOKUP("Min",Table_PLT_Conversion[],2,FALSE)</f>
        <v>#VALUE!</v>
      </c>
      <c r="Y413" s="13" t="e">
        <f>Data_PLT[[#This Row],[Is50 (MPa)]]*VLOOKUP("Avg",Table_PLT_Conversion[],2,FALSE)</f>
        <v>#VALUE!</v>
      </c>
      <c r="Z413" s="13" t="e">
        <f>Data_PLT[[#This Row],[Is50 (MPa)]]*VLOOKUP("Max",Table_PLT_Conversion[],2,FALSE)</f>
        <v>#VALUE!</v>
      </c>
      <c r="AA413" s="62" t="e">
        <f>MATCH(LOOKUP(Data_PLT[[#This Row],[UCS min (MPa)]],Table_FieldStrength[Min UCS]),Table_FieldStrength[Min UCS],0)-1</f>
        <v>#VALUE!</v>
      </c>
      <c r="AB413" s="62" t="e">
        <f>MATCH(LOOKUP(Data_PLT[[#This Row],[UCS avg (MPa)]],Table_FieldStrength[Min UCS]),Table_FieldStrength[Min UCS],0)-1</f>
        <v>#VALUE!</v>
      </c>
      <c r="AC413" s="62" t="e">
        <f>MATCH(LOOKUP(Data_PLT[[#This Row],[UCS max (MPa)]],Table_FieldStrength[Min UCS]),Table_FieldStrength[Min UCS],0)-1</f>
        <v>#VALUE!</v>
      </c>
      <c r="AD413" s="68" t="e">
        <f>Data_PLT[[#This Row],[Test code]]&amp;"-"&amp;Data_PLT[[#This Row],[UCS min code]]</f>
        <v>#VALUE!</v>
      </c>
      <c r="AE413" s="68" t="e">
        <f>Data_PLT[[#This Row],[Test code]]&amp;"-"&amp;Data_PLT[[#This Row],[UCS avg code]]</f>
        <v>#VALUE!</v>
      </c>
      <c r="AF413" s="67" t="e">
        <f>Data_PLT[[#This Row],[Test code]]&amp;"-"&amp;Data_PLT[[#This Row],[UCS max code]]</f>
        <v>#VALUE!</v>
      </c>
      <c r="AG413" s="67" t="e">
        <f>Data_PLT[[#This Row],[Failure type]]&amp;"-"&amp;Data_PLT[[#This Row],[Test type]]&amp;"-"&amp;(IF(Data_PLT[[#This Row],[Is50 (MPa)]]&lt;1,1,IF(Data_PLT[[#This Row],[Is50 (MPa)]]&lt;2,2,IF(Data_PLT[[#This Row],[Is50 (MPa)]]&lt;4,3,IF(Data_PLT[[#This Row],[Is50 (MPa)]]&lt;8,4,5)))))</f>
        <v>#VALUE!</v>
      </c>
    </row>
    <row r="414" spans="2:33" x14ac:dyDescent="0.25">
      <c r="B414" s="88" t="e">
        <f>VLOOKUP(Data_PLT[[#This Row],[Hole ID]],Data_Log[],2,FALSE)</f>
        <v>#N/A</v>
      </c>
      <c r="C414" s="63" t="str">
        <f>IF(Data_PLT[[#This Row],[Hole ID]]="","",
IF(COUNTIF($A$4:A414,Data_PLT[[#This Row],[Hole ID]])=1,1,
IF(A414=A413,C413+1,
COUNTIF($A$4:A414,Data_PLT[[#This Row],[Hole ID]]))))</f>
        <v/>
      </c>
      <c r="D414" s="63" t="str">
        <f>IF(Data_PLT[[#This Row],[Hole ID]]="","",Data_PLT[[#This Row],[Hole ID]]&amp;"_"&amp;Data_PLT[[#This Row],[Sample ID]])</f>
        <v/>
      </c>
      <c r="E414" s="6"/>
      <c r="F414" s="6"/>
      <c r="G414" s="63" t="e" cm="1">
        <f t="array" ref="G414">_xlfn.XLOOKUP(1,(A414=Geotech!$A$4:$A$11100)*(Data_PLT[[#This Row],[Depth (m)]]&gt;=Geotech!$C$4:$C$11100)*(Data_PLT[[#This Row],[Depth (m)]]&lt;Geotech!$D$4:$D$11100),Geotech!$M$4:$M$11100)</f>
        <v>#N/A</v>
      </c>
      <c r="H414" s="6"/>
      <c r="I414" s="63" t="e">
        <f>VLOOKUP(Data_PLT[[#This Row],[Hole ID]],Data_Log[[Hole ID]:[Core size]],20,FALSE)</f>
        <v>#N/A</v>
      </c>
      <c r="J414" s="13" t="e">
        <f>VLOOKUP(Data_PLT[[#This Row],[Core Size]],Table_CoreSize[],2,FALSE)</f>
        <v>#N/A</v>
      </c>
      <c r="K414" s="19"/>
      <c r="L414" s="19"/>
      <c r="M414" s="5"/>
      <c r="N414" s="5"/>
      <c r="O414" s="6"/>
      <c r="P414" s="13" t="str">
        <f>IF(Data_PLT[[#This Row],[Failure type]]="","",IF(OR(Data_PLT[[#This Row],[Failure type]]="Invalid",Data_PLT[[#This Row],[Failure type]]="Chipped",Data_PLT[[#This Row],[Failure type]]="Penetrate",Data_PLT[[#This Row],[Failure type]]="Did not break"),"Invalid","Valid"))</f>
        <v/>
      </c>
      <c r="Q414" s="6"/>
      <c r="R414" s="11"/>
      <c r="S414" s="13" t="str">
        <f>IF(Data_PLT[[#This Row],[Test type]]="Diametral",Data_PLT[[#This Row],[Diameter (mm)]],IF(Data_PLT[[#This Row],[Test type]]="Axial",SQRT(4*Data_PLT[[#This Row],[Diameter (mm)]]*Data_PLT[[#This Row],[Length or width (mm)]]/PI()),"ERROR"))</f>
        <v>ERROR</v>
      </c>
      <c r="T414" s="13" t="e">
        <f>(Data_PLT[[#This Row],[Load (kN)]]*1000)/Data_PLT[[#This Row],[Equiv. Diam. (mm)]]^2</f>
        <v>#VALUE!</v>
      </c>
      <c r="U414" s="13" t="e">
        <f>(Data_PLT[[#This Row],[Equiv. Diam. (mm)]]/50)^0.45</f>
        <v>#VALUE!</v>
      </c>
      <c r="V414" s="13" t="e">
        <f>Data_PLT[[#This Row],[Is (MPa)]]*Data_PLT[[#This Row],[F]]</f>
        <v>#VALUE!</v>
      </c>
      <c r="W414" s="13" t="str">
        <f>Data_PLT[[#This Row],[Failure Validity]]&amp;"-"&amp;Data_PLT[[#This Row],[Test type]]</f>
        <v>-</v>
      </c>
      <c r="X414" s="13" t="e">
        <f>Data_PLT[[#This Row],[Is50 (MPa)]]*VLOOKUP("Min",Table_PLT_Conversion[],2,FALSE)</f>
        <v>#VALUE!</v>
      </c>
      <c r="Y414" s="13" t="e">
        <f>Data_PLT[[#This Row],[Is50 (MPa)]]*VLOOKUP("Avg",Table_PLT_Conversion[],2,FALSE)</f>
        <v>#VALUE!</v>
      </c>
      <c r="Z414" s="13" t="e">
        <f>Data_PLT[[#This Row],[Is50 (MPa)]]*VLOOKUP("Max",Table_PLT_Conversion[],2,FALSE)</f>
        <v>#VALUE!</v>
      </c>
      <c r="AA414" s="62" t="e">
        <f>MATCH(LOOKUP(Data_PLT[[#This Row],[UCS min (MPa)]],Table_FieldStrength[Min UCS]),Table_FieldStrength[Min UCS],0)-1</f>
        <v>#VALUE!</v>
      </c>
      <c r="AB414" s="62" t="e">
        <f>MATCH(LOOKUP(Data_PLT[[#This Row],[UCS avg (MPa)]],Table_FieldStrength[Min UCS]),Table_FieldStrength[Min UCS],0)-1</f>
        <v>#VALUE!</v>
      </c>
      <c r="AC414" s="62" t="e">
        <f>MATCH(LOOKUP(Data_PLT[[#This Row],[UCS max (MPa)]],Table_FieldStrength[Min UCS]),Table_FieldStrength[Min UCS],0)-1</f>
        <v>#VALUE!</v>
      </c>
      <c r="AD414" s="68" t="e">
        <f>Data_PLT[[#This Row],[Test code]]&amp;"-"&amp;Data_PLT[[#This Row],[UCS min code]]</f>
        <v>#VALUE!</v>
      </c>
      <c r="AE414" s="68" t="e">
        <f>Data_PLT[[#This Row],[Test code]]&amp;"-"&amp;Data_PLT[[#This Row],[UCS avg code]]</f>
        <v>#VALUE!</v>
      </c>
      <c r="AF414" s="67" t="e">
        <f>Data_PLT[[#This Row],[Test code]]&amp;"-"&amp;Data_PLT[[#This Row],[UCS max code]]</f>
        <v>#VALUE!</v>
      </c>
      <c r="AG414" s="67" t="e">
        <f>Data_PLT[[#This Row],[Failure type]]&amp;"-"&amp;Data_PLT[[#This Row],[Test type]]&amp;"-"&amp;(IF(Data_PLT[[#This Row],[Is50 (MPa)]]&lt;1,1,IF(Data_PLT[[#This Row],[Is50 (MPa)]]&lt;2,2,IF(Data_PLT[[#This Row],[Is50 (MPa)]]&lt;4,3,IF(Data_PLT[[#This Row],[Is50 (MPa)]]&lt;8,4,5)))))</f>
        <v>#VALUE!</v>
      </c>
    </row>
    <row r="415" spans="2:33" x14ac:dyDescent="0.25">
      <c r="B415" s="88" t="e">
        <f>VLOOKUP(Data_PLT[[#This Row],[Hole ID]],Data_Log[],2,FALSE)</f>
        <v>#N/A</v>
      </c>
      <c r="C415" s="63" t="str">
        <f>IF(Data_PLT[[#This Row],[Hole ID]]="","",
IF(COUNTIF($A$4:A415,Data_PLT[[#This Row],[Hole ID]])=1,1,
IF(A415=A414,C414+1,
COUNTIF($A$4:A415,Data_PLT[[#This Row],[Hole ID]]))))</f>
        <v/>
      </c>
      <c r="D415" s="63" t="str">
        <f>IF(Data_PLT[[#This Row],[Hole ID]]="","",Data_PLT[[#This Row],[Hole ID]]&amp;"_"&amp;Data_PLT[[#This Row],[Sample ID]])</f>
        <v/>
      </c>
      <c r="E415" s="6"/>
      <c r="F415" s="6"/>
      <c r="G415" s="63" t="e" cm="1">
        <f t="array" ref="G415">_xlfn.XLOOKUP(1,(A415=Geotech!$A$4:$A$11100)*(Data_PLT[[#This Row],[Depth (m)]]&gt;=Geotech!$C$4:$C$11100)*(Data_PLT[[#This Row],[Depth (m)]]&lt;Geotech!$D$4:$D$11100),Geotech!$M$4:$M$11100)</f>
        <v>#N/A</v>
      </c>
      <c r="H415" s="6"/>
      <c r="I415" s="63" t="e">
        <f>VLOOKUP(Data_PLT[[#This Row],[Hole ID]],Data_Log[[Hole ID]:[Core size]],20,FALSE)</f>
        <v>#N/A</v>
      </c>
      <c r="J415" s="13" t="e">
        <f>VLOOKUP(Data_PLT[[#This Row],[Core Size]],Table_CoreSize[],2,FALSE)</f>
        <v>#N/A</v>
      </c>
      <c r="K415" s="19"/>
      <c r="L415" s="19"/>
      <c r="M415" s="5"/>
      <c r="N415" s="5"/>
      <c r="O415" s="6"/>
      <c r="P415" s="13" t="str">
        <f>IF(Data_PLT[[#This Row],[Failure type]]="","",IF(OR(Data_PLT[[#This Row],[Failure type]]="Invalid",Data_PLT[[#This Row],[Failure type]]="Chipped",Data_PLT[[#This Row],[Failure type]]="Penetrate",Data_PLT[[#This Row],[Failure type]]="Did not break"),"Invalid","Valid"))</f>
        <v/>
      </c>
      <c r="Q415" s="6"/>
      <c r="R415" s="11"/>
      <c r="S415" s="13" t="str">
        <f>IF(Data_PLT[[#This Row],[Test type]]="Diametral",Data_PLT[[#This Row],[Diameter (mm)]],IF(Data_PLT[[#This Row],[Test type]]="Axial",SQRT(4*Data_PLT[[#This Row],[Diameter (mm)]]*Data_PLT[[#This Row],[Length or width (mm)]]/PI()),"ERROR"))</f>
        <v>ERROR</v>
      </c>
      <c r="T415" s="13" t="e">
        <f>(Data_PLT[[#This Row],[Load (kN)]]*1000)/Data_PLT[[#This Row],[Equiv. Diam. (mm)]]^2</f>
        <v>#VALUE!</v>
      </c>
      <c r="U415" s="13" t="e">
        <f>(Data_PLT[[#This Row],[Equiv. Diam. (mm)]]/50)^0.45</f>
        <v>#VALUE!</v>
      </c>
      <c r="V415" s="13" t="e">
        <f>Data_PLT[[#This Row],[Is (MPa)]]*Data_PLT[[#This Row],[F]]</f>
        <v>#VALUE!</v>
      </c>
      <c r="W415" s="13" t="str">
        <f>Data_PLT[[#This Row],[Failure Validity]]&amp;"-"&amp;Data_PLT[[#This Row],[Test type]]</f>
        <v>-</v>
      </c>
      <c r="X415" s="13" t="e">
        <f>Data_PLT[[#This Row],[Is50 (MPa)]]*VLOOKUP("Min",Table_PLT_Conversion[],2,FALSE)</f>
        <v>#VALUE!</v>
      </c>
      <c r="Y415" s="13" t="e">
        <f>Data_PLT[[#This Row],[Is50 (MPa)]]*VLOOKUP("Avg",Table_PLT_Conversion[],2,FALSE)</f>
        <v>#VALUE!</v>
      </c>
      <c r="Z415" s="13" t="e">
        <f>Data_PLT[[#This Row],[Is50 (MPa)]]*VLOOKUP("Max",Table_PLT_Conversion[],2,FALSE)</f>
        <v>#VALUE!</v>
      </c>
      <c r="AA415" s="62" t="e">
        <f>MATCH(LOOKUP(Data_PLT[[#This Row],[UCS min (MPa)]],Table_FieldStrength[Min UCS]),Table_FieldStrength[Min UCS],0)-1</f>
        <v>#VALUE!</v>
      </c>
      <c r="AB415" s="62" t="e">
        <f>MATCH(LOOKUP(Data_PLT[[#This Row],[UCS avg (MPa)]],Table_FieldStrength[Min UCS]),Table_FieldStrength[Min UCS],0)-1</f>
        <v>#VALUE!</v>
      </c>
      <c r="AC415" s="62" t="e">
        <f>MATCH(LOOKUP(Data_PLT[[#This Row],[UCS max (MPa)]],Table_FieldStrength[Min UCS]),Table_FieldStrength[Min UCS],0)-1</f>
        <v>#VALUE!</v>
      </c>
      <c r="AD415" s="68" t="e">
        <f>Data_PLT[[#This Row],[Test code]]&amp;"-"&amp;Data_PLT[[#This Row],[UCS min code]]</f>
        <v>#VALUE!</v>
      </c>
      <c r="AE415" s="68" t="e">
        <f>Data_PLT[[#This Row],[Test code]]&amp;"-"&amp;Data_PLT[[#This Row],[UCS avg code]]</f>
        <v>#VALUE!</v>
      </c>
      <c r="AF415" s="67" t="e">
        <f>Data_PLT[[#This Row],[Test code]]&amp;"-"&amp;Data_PLT[[#This Row],[UCS max code]]</f>
        <v>#VALUE!</v>
      </c>
      <c r="AG415" s="67" t="e">
        <f>Data_PLT[[#This Row],[Failure type]]&amp;"-"&amp;Data_PLT[[#This Row],[Test type]]&amp;"-"&amp;(IF(Data_PLT[[#This Row],[Is50 (MPa)]]&lt;1,1,IF(Data_PLT[[#This Row],[Is50 (MPa)]]&lt;2,2,IF(Data_PLT[[#This Row],[Is50 (MPa)]]&lt;4,3,IF(Data_PLT[[#This Row],[Is50 (MPa)]]&lt;8,4,5)))))</f>
        <v>#VALUE!</v>
      </c>
    </row>
    <row r="416" spans="2:33" x14ac:dyDescent="0.25">
      <c r="B416" s="88" t="e">
        <f>VLOOKUP(Data_PLT[[#This Row],[Hole ID]],Data_Log[],2,FALSE)</f>
        <v>#N/A</v>
      </c>
      <c r="C416" s="63" t="str">
        <f>IF(Data_PLT[[#This Row],[Hole ID]]="","",
IF(COUNTIF($A$4:A416,Data_PLT[[#This Row],[Hole ID]])=1,1,
IF(A416=A415,C415+1,
COUNTIF($A$4:A416,Data_PLT[[#This Row],[Hole ID]]))))</f>
        <v/>
      </c>
      <c r="D416" s="63" t="str">
        <f>IF(Data_PLT[[#This Row],[Hole ID]]="","",Data_PLT[[#This Row],[Hole ID]]&amp;"_"&amp;Data_PLT[[#This Row],[Sample ID]])</f>
        <v/>
      </c>
      <c r="E416" s="6"/>
      <c r="F416" s="6"/>
      <c r="G416" s="63" t="e" cm="1">
        <f t="array" ref="G416">_xlfn.XLOOKUP(1,(A416=Geotech!$A$4:$A$11100)*(Data_PLT[[#This Row],[Depth (m)]]&gt;=Geotech!$C$4:$C$11100)*(Data_PLT[[#This Row],[Depth (m)]]&lt;Geotech!$D$4:$D$11100),Geotech!$M$4:$M$11100)</f>
        <v>#N/A</v>
      </c>
      <c r="H416" s="6"/>
      <c r="I416" s="63" t="e">
        <f>VLOOKUP(Data_PLT[[#This Row],[Hole ID]],Data_Log[[Hole ID]:[Core size]],20,FALSE)</f>
        <v>#N/A</v>
      </c>
      <c r="J416" s="13" t="e">
        <f>VLOOKUP(Data_PLT[[#This Row],[Core Size]],Table_CoreSize[],2,FALSE)</f>
        <v>#N/A</v>
      </c>
      <c r="K416" s="19"/>
      <c r="L416" s="19"/>
      <c r="M416" s="5"/>
      <c r="N416" s="5"/>
      <c r="O416" s="6"/>
      <c r="P416" s="13" t="str">
        <f>IF(Data_PLT[[#This Row],[Failure type]]="","",IF(OR(Data_PLT[[#This Row],[Failure type]]="Invalid",Data_PLT[[#This Row],[Failure type]]="Chipped",Data_PLT[[#This Row],[Failure type]]="Penetrate",Data_PLT[[#This Row],[Failure type]]="Did not break"),"Invalid","Valid"))</f>
        <v/>
      </c>
      <c r="Q416" s="6"/>
      <c r="R416" s="11"/>
      <c r="S416" s="13" t="str">
        <f>IF(Data_PLT[[#This Row],[Test type]]="Diametral",Data_PLT[[#This Row],[Diameter (mm)]],IF(Data_PLT[[#This Row],[Test type]]="Axial",SQRT(4*Data_PLT[[#This Row],[Diameter (mm)]]*Data_PLT[[#This Row],[Length or width (mm)]]/PI()),"ERROR"))</f>
        <v>ERROR</v>
      </c>
      <c r="T416" s="13" t="e">
        <f>(Data_PLT[[#This Row],[Load (kN)]]*1000)/Data_PLT[[#This Row],[Equiv. Diam. (mm)]]^2</f>
        <v>#VALUE!</v>
      </c>
      <c r="U416" s="13" t="e">
        <f>(Data_PLT[[#This Row],[Equiv. Diam. (mm)]]/50)^0.45</f>
        <v>#VALUE!</v>
      </c>
      <c r="V416" s="13" t="e">
        <f>Data_PLT[[#This Row],[Is (MPa)]]*Data_PLT[[#This Row],[F]]</f>
        <v>#VALUE!</v>
      </c>
      <c r="W416" s="13" t="str">
        <f>Data_PLT[[#This Row],[Failure Validity]]&amp;"-"&amp;Data_PLT[[#This Row],[Test type]]</f>
        <v>-</v>
      </c>
      <c r="X416" s="13" t="e">
        <f>Data_PLT[[#This Row],[Is50 (MPa)]]*VLOOKUP("Min",Table_PLT_Conversion[],2,FALSE)</f>
        <v>#VALUE!</v>
      </c>
      <c r="Y416" s="13" t="e">
        <f>Data_PLT[[#This Row],[Is50 (MPa)]]*VLOOKUP("Avg",Table_PLT_Conversion[],2,FALSE)</f>
        <v>#VALUE!</v>
      </c>
      <c r="Z416" s="13" t="e">
        <f>Data_PLT[[#This Row],[Is50 (MPa)]]*VLOOKUP("Max",Table_PLT_Conversion[],2,FALSE)</f>
        <v>#VALUE!</v>
      </c>
      <c r="AA416" s="62" t="e">
        <f>MATCH(LOOKUP(Data_PLT[[#This Row],[UCS min (MPa)]],Table_FieldStrength[Min UCS]),Table_FieldStrength[Min UCS],0)-1</f>
        <v>#VALUE!</v>
      </c>
      <c r="AB416" s="62" t="e">
        <f>MATCH(LOOKUP(Data_PLT[[#This Row],[UCS avg (MPa)]],Table_FieldStrength[Min UCS]),Table_FieldStrength[Min UCS],0)-1</f>
        <v>#VALUE!</v>
      </c>
      <c r="AC416" s="62" t="e">
        <f>MATCH(LOOKUP(Data_PLT[[#This Row],[UCS max (MPa)]],Table_FieldStrength[Min UCS]),Table_FieldStrength[Min UCS],0)-1</f>
        <v>#VALUE!</v>
      </c>
      <c r="AD416" s="68" t="e">
        <f>Data_PLT[[#This Row],[Test code]]&amp;"-"&amp;Data_PLT[[#This Row],[UCS min code]]</f>
        <v>#VALUE!</v>
      </c>
      <c r="AE416" s="68" t="e">
        <f>Data_PLT[[#This Row],[Test code]]&amp;"-"&amp;Data_PLT[[#This Row],[UCS avg code]]</f>
        <v>#VALUE!</v>
      </c>
      <c r="AF416" s="67" t="e">
        <f>Data_PLT[[#This Row],[Test code]]&amp;"-"&amp;Data_PLT[[#This Row],[UCS max code]]</f>
        <v>#VALUE!</v>
      </c>
      <c r="AG416" s="67" t="e">
        <f>Data_PLT[[#This Row],[Failure type]]&amp;"-"&amp;Data_PLT[[#This Row],[Test type]]&amp;"-"&amp;(IF(Data_PLT[[#This Row],[Is50 (MPa)]]&lt;1,1,IF(Data_PLT[[#This Row],[Is50 (MPa)]]&lt;2,2,IF(Data_PLT[[#This Row],[Is50 (MPa)]]&lt;4,3,IF(Data_PLT[[#This Row],[Is50 (MPa)]]&lt;8,4,5)))))</f>
        <v>#VALUE!</v>
      </c>
    </row>
    <row r="417" spans="2:33" x14ac:dyDescent="0.25">
      <c r="B417" s="88" t="e">
        <f>VLOOKUP(Data_PLT[[#This Row],[Hole ID]],Data_Log[],2,FALSE)</f>
        <v>#N/A</v>
      </c>
      <c r="C417" s="63" t="str">
        <f>IF(Data_PLT[[#This Row],[Hole ID]]="","",
IF(COUNTIF($A$4:A417,Data_PLT[[#This Row],[Hole ID]])=1,1,
IF(A417=A416,C416+1,
COUNTIF($A$4:A417,Data_PLT[[#This Row],[Hole ID]]))))</f>
        <v/>
      </c>
      <c r="D417" s="63" t="str">
        <f>IF(Data_PLT[[#This Row],[Hole ID]]="","",Data_PLT[[#This Row],[Hole ID]]&amp;"_"&amp;Data_PLT[[#This Row],[Sample ID]])</f>
        <v/>
      </c>
      <c r="E417" s="6"/>
      <c r="F417" s="6"/>
      <c r="G417" s="63" t="e" cm="1">
        <f t="array" ref="G417">_xlfn.XLOOKUP(1,(A417=Geotech!$A$4:$A$11100)*(Data_PLT[[#This Row],[Depth (m)]]&gt;=Geotech!$C$4:$C$11100)*(Data_PLT[[#This Row],[Depth (m)]]&lt;Geotech!$D$4:$D$11100),Geotech!$M$4:$M$11100)</f>
        <v>#N/A</v>
      </c>
      <c r="H417" s="6"/>
      <c r="I417" s="63" t="e">
        <f>VLOOKUP(Data_PLT[[#This Row],[Hole ID]],Data_Log[[Hole ID]:[Core size]],20,FALSE)</f>
        <v>#N/A</v>
      </c>
      <c r="J417" s="13" t="e">
        <f>VLOOKUP(Data_PLT[[#This Row],[Core Size]],Table_CoreSize[],2,FALSE)</f>
        <v>#N/A</v>
      </c>
      <c r="K417" s="19"/>
      <c r="L417" s="19"/>
      <c r="M417" s="5"/>
      <c r="N417" s="5"/>
      <c r="O417" s="6"/>
      <c r="P417" s="13" t="str">
        <f>IF(Data_PLT[[#This Row],[Failure type]]="","",IF(OR(Data_PLT[[#This Row],[Failure type]]="Invalid",Data_PLT[[#This Row],[Failure type]]="Chipped",Data_PLT[[#This Row],[Failure type]]="Penetrate",Data_PLT[[#This Row],[Failure type]]="Did not break"),"Invalid","Valid"))</f>
        <v/>
      </c>
      <c r="Q417" s="6"/>
      <c r="R417" s="11"/>
      <c r="S417" s="13" t="str">
        <f>IF(Data_PLT[[#This Row],[Test type]]="Diametral",Data_PLT[[#This Row],[Diameter (mm)]],IF(Data_PLT[[#This Row],[Test type]]="Axial",SQRT(4*Data_PLT[[#This Row],[Diameter (mm)]]*Data_PLT[[#This Row],[Length or width (mm)]]/PI()),"ERROR"))</f>
        <v>ERROR</v>
      </c>
      <c r="T417" s="13" t="e">
        <f>(Data_PLT[[#This Row],[Load (kN)]]*1000)/Data_PLT[[#This Row],[Equiv. Diam. (mm)]]^2</f>
        <v>#VALUE!</v>
      </c>
      <c r="U417" s="13" t="e">
        <f>(Data_PLT[[#This Row],[Equiv. Diam. (mm)]]/50)^0.45</f>
        <v>#VALUE!</v>
      </c>
      <c r="V417" s="13" t="e">
        <f>Data_PLT[[#This Row],[Is (MPa)]]*Data_PLT[[#This Row],[F]]</f>
        <v>#VALUE!</v>
      </c>
      <c r="W417" s="13" t="str">
        <f>Data_PLT[[#This Row],[Failure Validity]]&amp;"-"&amp;Data_PLT[[#This Row],[Test type]]</f>
        <v>-</v>
      </c>
      <c r="X417" s="13" t="e">
        <f>Data_PLT[[#This Row],[Is50 (MPa)]]*VLOOKUP("Min",Table_PLT_Conversion[],2,FALSE)</f>
        <v>#VALUE!</v>
      </c>
      <c r="Y417" s="13" t="e">
        <f>Data_PLT[[#This Row],[Is50 (MPa)]]*VLOOKUP("Avg",Table_PLT_Conversion[],2,FALSE)</f>
        <v>#VALUE!</v>
      </c>
      <c r="Z417" s="13" t="e">
        <f>Data_PLT[[#This Row],[Is50 (MPa)]]*VLOOKUP("Max",Table_PLT_Conversion[],2,FALSE)</f>
        <v>#VALUE!</v>
      </c>
      <c r="AA417" s="62" t="e">
        <f>MATCH(LOOKUP(Data_PLT[[#This Row],[UCS min (MPa)]],Table_FieldStrength[Min UCS]),Table_FieldStrength[Min UCS],0)-1</f>
        <v>#VALUE!</v>
      </c>
      <c r="AB417" s="62" t="e">
        <f>MATCH(LOOKUP(Data_PLT[[#This Row],[UCS avg (MPa)]],Table_FieldStrength[Min UCS]),Table_FieldStrength[Min UCS],0)-1</f>
        <v>#VALUE!</v>
      </c>
      <c r="AC417" s="62" t="e">
        <f>MATCH(LOOKUP(Data_PLT[[#This Row],[UCS max (MPa)]],Table_FieldStrength[Min UCS]),Table_FieldStrength[Min UCS],0)-1</f>
        <v>#VALUE!</v>
      </c>
      <c r="AD417" s="68" t="e">
        <f>Data_PLT[[#This Row],[Test code]]&amp;"-"&amp;Data_PLT[[#This Row],[UCS min code]]</f>
        <v>#VALUE!</v>
      </c>
      <c r="AE417" s="68" t="e">
        <f>Data_PLT[[#This Row],[Test code]]&amp;"-"&amp;Data_PLT[[#This Row],[UCS avg code]]</f>
        <v>#VALUE!</v>
      </c>
      <c r="AF417" s="67" t="e">
        <f>Data_PLT[[#This Row],[Test code]]&amp;"-"&amp;Data_PLT[[#This Row],[UCS max code]]</f>
        <v>#VALUE!</v>
      </c>
      <c r="AG417" s="67" t="e">
        <f>Data_PLT[[#This Row],[Failure type]]&amp;"-"&amp;Data_PLT[[#This Row],[Test type]]&amp;"-"&amp;(IF(Data_PLT[[#This Row],[Is50 (MPa)]]&lt;1,1,IF(Data_PLT[[#This Row],[Is50 (MPa)]]&lt;2,2,IF(Data_PLT[[#This Row],[Is50 (MPa)]]&lt;4,3,IF(Data_PLT[[#This Row],[Is50 (MPa)]]&lt;8,4,5)))))</f>
        <v>#VALUE!</v>
      </c>
    </row>
    <row r="418" spans="2:33" x14ac:dyDescent="0.25">
      <c r="B418" s="88" t="e">
        <f>VLOOKUP(Data_PLT[[#This Row],[Hole ID]],Data_Log[],2,FALSE)</f>
        <v>#N/A</v>
      </c>
      <c r="C418" s="63" t="str">
        <f>IF(Data_PLT[[#This Row],[Hole ID]]="","",
IF(COUNTIF($A$4:A418,Data_PLT[[#This Row],[Hole ID]])=1,1,
IF(A418=A417,C417+1,
COUNTIF($A$4:A418,Data_PLT[[#This Row],[Hole ID]]))))</f>
        <v/>
      </c>
      <c r="D418" s="63" t="str">
        <f>IF(Data_PLT[[#This Row],[Hole ID]]="","",Data_PLT[[#This Row],[Hole ID]]&amp;"_"&amp;Data_PLT[[#This Row],[Sample ID]])</f>
        <v/>
      </c>
      <c r="E418" s="6"/>
      <c r="F418" s="6"/>
      <c r="G418" s="63" t="e" cm="1">
        <f t="array" ref="G418">_xlfn.XLOOKUP(1,(A418=Geotech!$A$4:$A$11100)*(Data_PLT[[#This Row],[Depth (m)]]&gt;=Geotech!$C$4:$C$11100)*(Data_PLT[[#This Row],[Depth (m)]]&lt;Geotech!$D$4:$D$11100),Geotech!$M$4:$M$11100)</f>
        <v>#N/A</v>
      </c>
      <c r="H418" s="6"/>
      <c r="I418" s="63" t="e">
        <f>VLOOKUP(Data_PLT[[#This Row],[Hole ID]],Data_Log[[Hole ID]:[Core size]],20,FALSE)</f>
        <v>#N/A</v>
      </c>
      <c r="J418" s="13" t="e">
        <f>VLOOKUP(Data_PLT[[#This Row],[Core Size]],Table_CoreSize[],2,FALSE)</f>
        <v>#N/A</v>
      </c>
      <c r="K418" s="19"/>
      <c r="L418" s="19"/>
      <c r="M418" s="5"/>
      <c r="N418" s="5"/>
      <c r="O418" s="6"/>
      <c r="P418" s="13" t="str">
        <f>IF(Data_PLT[[#This Row],[Failure type]]="","",IF(OR(Data_PLT[[#This Row],[Failure type]]="Invalid",Data_PLT[[#This Row],[Failure type]]="Chipped",Data_PLT[[#This Row],[Failure type]]="Penetrate",Data_PLT[[#This Row],[Failure type]]="Did not break"),"Invalid","Valid"))</f>
        <v/>
      </c>
      <c r="Q418" s="6"/>
      <c r="R418" s="11"/>
      <c r="S418" s="13" t="str">
        <f>IF(Data_PLT[[#This Row],[Test type]]="Diametral",Data_PLT[[#This Row],[Diameter (mm)]],IF(Data_PLT[[#This Row],[Test type]]="Axial",SQRT(4*Data_PLT[[#This Row],[Diameter (mm)]]*Data_PLT[[#This Row],[Length or width (mm)]]/PI()),"ERROR"))</f>
        <v>ERROR</v>
      </c>
      <c r="T418" s="13" t="e">
        <f>(Data_PLT[[#This Row],[Load (kN)]]*1000)/Data_PLT[[#This Row],[Equiv. Diam. (mm)]]^2</f>
        <v>#VALUE!</v>
      </c>
      <c r="U418" s="13" t="e">
        <f>(Data_PLT[[#This Row],[Equiv. Diam. (mm)]]/50)^0.45</f>
        <v>#VALUE!</v>
      </c>
      <c r="V418" s="13" t="e">
        <f>Data_PLT[[#This Row],[Is (MPa)]]*Data_PLT[[#This Row],[F]]</f>
        <v>#VALUE!</v>
      </c>
      <c r="W418" s="13" t="str">
        <f>Data_PLT[[#This Row],[Failure Validity]]&amp;"-"&amp;Data_PLT[[#This Row],[Test type]]</f>
        <v>-</v>
      </c>
      <c r="X418" s="13" t="e">
        <f>Data_PLT[[#This Row],[Is50 (MPa)]]*VLOOKUP("Min",Table_PLT_Conversion[],2,FALSE)</f>
        <v>#VALUE!</v>
      </c>
      <c r="Y418" s="13" t="e">
        <f>Data_PLT[[#This Row],[Is50 (MPa)]]*VLOOKUP("Avg",Table_PLT_Conversion[],2,FALSE)</f>
        <v>#VALUE!</v>
      </c>
      <c r="Z418" s="13" t="e">
        <f>Data_PLT[[#This Row],[Is50 (MPa)]]*VLOOKUP("Max",Table_PLT_Conversion[],2,FALSE)</f>
        <v>#VALUE!</v>
      </c>
      <c r="AA418" s="62" t="e">
        <f>MATCH(LOOKUP(Data_PLT[[#This Row],[UCS min (MPa)]],Table_FieldStrength[Min UCS]),Table_FieldStrength[Min UCS],0)-1</f>
        <v>#VALUE!</v>
      </c>
      <c r="AB418" s="62" t="e">
        <f>MATCH(LOOKUP(Data_PLT[[#This Row],[UCS avg (MPa)]],Table_FieldStrength[Min UCS]),Table_FieldStrength[Min UCS],0)-1</f>
        <v>#VALUE!</v>
      </c>
      <c r="AC418" s="62" t="e">
        <f>MATCH(LOOKUP(Data_PLT[[#This Row],[UCS max (MPa)]],Table_FieldStrength[Min UCS]),Table_FieldStrength[Min UCS],0)-1</f>
        <v>#VALUE!</v>
      </c>
      <c r="AD418" s="68" t="e">
        <f>Data_PLT[[#This Row],[Test code]]&amp;"-"&amp;Data_PLT[[#This Row],[UCS min code]]</f>
        <v>#VALUE!</v>
      </c>
      <c r="AE418" s="68" t="e">
        <f>Data_PLT[[#This Row],[Test code]]&amp;"-"&amp;Data_PLT[[#This Row],[UCS avg code]]</f>
        <v>#VALUE!</v>
      </c>
      <c r="AF418" s="67" t="e">
        <f>Data_PLT[[#This Row],[Test code]]&amp;"-"&amp;Data_PLT[[#This Row],[UCS max code]]</f>
        <v>#VALUE!</v>
      </c>
      <c r="AG418" s="67" t="e">
        <f>Data_PLT[[#This Row],[Failure type]]&amp;"-"&amp;Data_PLT[[#This Row],[Test type]]&amp;"-"&amp;(IF(Data_PLT[[#This Row],[Is50 (MPa)]]&lt;1,1,IF(Data_PLT[[#This Row],[Is50 (MPa)]]&lt;2,2,IF(Data_PLT[[#This Row],[Is50 (MPa)]]&lt;4,3,IF(Data_PLT[[#This Row],[Is50 (MPa)]]&lt;8,4,5)))))</f>
        <v>#VALUE!</v>
      </c>
    </row>
    <row r="419" spans="2:33" x14ac:dyDescent="0.25">
      <c r="B419" s="88" t="e">
        <f>VLOOKUP(Data_PLT[[#This Row],[Hole ID]],Data_Log[],2,FALSE)</f>
        <v>#N/A</v>
      </c>
      <c r="C419" s="63" t="str">
        <f>IF(Data_PLT[[#This Row],[Hole ID]]="","",
IF(COUNTIF($A$4:A419,Data_PLT[[#This Row],[Hole ID]])=1,1,
IF(A419=A418,C418+1,
COUNTIF($A$4:A419,Data_PLT[[#This Row],[Hole ID]]))))</f>
        <v/>
      </c>
      <c r="D419" s="63" t="str">
        <f>IF(Data_PLT[[#This Row],[Hole ID]]="","",Data_PLT[[#This Row],[Hole ID]]&amp;"_"&amp;Data_PLT[[#This Row],[Sample ID]])</f>
        <v/>
      </c>
      <c r="E419" s="6"/>
      <c r="F419" s="6"/>
      <c r="G419" s="63" t="e" cm="1">
        <f t="array" ref="G419">_xlfn.XLOOKUP(1,(A419=Geotech!$A$4:$A$11100)*(Data_PLT[[#This Row],[Depth (m)]]&gt;=Geotech!$C$4:$C$11100)*(Data_PLT[[#This Row],[Depth (m)]]&lt;Geotech!$D$4:$D$11100),Geotech!$M$4:$M$11100)</f>
        <v>#N/A</v>
      </c>
      <c r="H419" s="6"/>
      <c r="I419" s="63" t="e">
        <f>VLOOKUP(Data_PLT[[#This Row],[Hole ID]],Data_Log[[Hole ID]:[Core size]],20,FALSE)</f>
        <v>#N/A</v>
      </c>
      <c r="J419" s="13" t="e">
        <f>VLOOKUP(Data_PLT[[#This Row],[Core Size]],Table_CoreSize[],2,FALSE)</f>
        <v>#N/A</v>
      </c>
      <c r="K419" s="19"/>
      <c r="L419" s="19"/>
      <c r="M419" s="5"/>
      <c r="N419" s="5"/>
      <c r="O419" s="6"/>
      <c r="P419" s="13" t="str">
        <f>IF(Data_PLT[[#This Row],[Failure type]]="","",IF(OR(Data_PLT[[#This Row],[Failure type]]="Invalid",Data_PLT[[#This Row],[Failure type]]="Chipped",Data_PLT[[#This Row],[Failure type]]="Penetrate",Data_PLT[[#This Row],[Failure type]]="Did not break"),"Invalid","Valid"))</f>
        <v/>
      </c>
      <c r="Q419" s="6"/>
      <c r="R419" s="11"/>
      <c r="S419" s="13" t="str">
        <f>IF(Data_PLT[[#This Row],[Test type]]="Diametral",Data_PLT[[#This Row],[Diameter (mm)]],IF(Data_PLT[[#This Row],[Test type]]="Axial",SQRT(4*Data_PLT[[#This Row],[Diameter (mm)]]*Data_PLT[[#This Row],[Length or width (mm)]]/PI()),"ERROR"))</f>
        <v>ERROR</v>
      </c>
      <c r="T419" s="13" t="e">
        <f>(Data_PLT[[#This Row],[Load (kN)]]*1000)/Data_PLT[[#This Row],[Equiv. Diam. (mm)]]^2</f>
        <v>#VALUE!</v>
      </c>
      <c r="U419" s="13" t="e">
        <f>(Data_PLT[[#This Row],[Equiv. Diam. (mm)]]/50)^0.45</f>
        <v>#VALUE!</v>
      </c>
      <c r="V419" s="13" t="e">
        <f>Data_PLT[[#This Row],[Is (MPa)]]*Data_PLT[[#This Row],[F]]</f>
        <v>#VALUE!</v>
      </c>
      <c r="W419" s="13" t="str">
        <f>Data_PLT[[#This Row],[Failure Validity]]&amp;"-"&amp;Data_PLT[[#This Row],[Test type]]</f>
        <v>-</v>
      </c>
      <c r="X419" s="13" t="e">
        <f>Data_PLT[[#This Row],[Is50 (MPa)]]*VLOOKUP("Min",Table_PLT_Conversion[],2,FALSE)</f>
        <v>#VALUE!</v>
      </c>
      <c r="Y419" s="13" t="e">
        <f>Data_PLT[[#This Row],[Is50 (MPa)]]*VLOOKUP("Avg",Table_PLT_Conversion[],2,FALSE)</f>
        <v>#VALUE!</v>
      </c>
      <c r="Z419" s="13" t="e">
        <f>Data_PLT[[#This Row],[Is50 (MPa)]]*VLOOKUP("Max",Table_PLT_Conversion[],2,FALSE)</f>
        <v>#VALUE!</v>
      </c>
      <c r="AA419" s="62" t="e">
        <f>MATCH(LOOKUP(Data_PLT[[#This Row],[UCS min (MPa)]],Table_FieldStrength[Min UCS]),Table_FieldStrength[Min UCS],0)-1</f>
        <v>#VALUE!</v>
      </c>
      <c r="AB419" s="62" t="e">
        <f>MATCH(LOOKUP(Data_PLT[[#This Row],[UCS avg (MPa)]],Table_FieldStrength[Min UCS]),Table_FieldStrength[Min UCS],0)-1</f>
        <v>#VALUE!</v>
      </c>
      <c r="AC419" s="62" t="e">
        <f>MATCH(LOOKUP(Data_PLT[[#This Row],[UCS max (MPa)]],Table_FieldStrength[Min UCS]),Table_FieldStrength[Min UCS],0)-1</f>
        <v>#VALUE!</v>
      </c>
      <c r="AD419" s="68" t="e">
        <f>Data_PLT[[#This Row],[Test code]]&amp;"-"&amp;Data_PLT[[#This Row],[UCS min code]]</f>
        <v>#VALUE!</v>
      </c>
      <c r="AE419" s="68" t="e">
        <f>Data_PLT[[#This Row],[Test code]]&amp;"-"&amp;Data_PLT[[#This Row],[UCS avg code]]</f>
        <v>#VALUE!</v>
      </c>
      <c r="AF419" s="67" t="e">
        <f>Data_PLT[[#This Row],[Test code]]&amp;"-"&amp;Data_PLT[[#This Row],[UCS max code]]</f>
        <v>#VALUE!</v>
      </c>
      <c r="AG419" s="67" t="e">
        <f>Data_PLT[[#This Row],[Failure type]]&amp;"-"&amp;Data_PLT[[#This Row],[Test type]]&amp;"-"&amp;(IF(Data_PLT[[#This Row],[Is50 (MPa)]]&lt;1,1,IF(Data_PLT[[#This Row],[Is50 (MPa)]]&lt;2,2,IF(Data_PLT[[#This Row],[Is50 (MPa)]]&lt;4,3,IF(Data_PLT[[#This Row],[Is50 (MPa)]]&lt;8,4,5)))))</f>
        <v>#VALUE!</v>
      </c>
    </row>
    <row r="420" spans="2:33" x14ac:dyDescent="0.25">
      <c r="B420" s="88" t="e">
        <f>VLOOKUP(Data_PLT[[#This Row],[Hole ID]],Data_Log[],2,FALSE)</f>
        <v>#N/A</v>
      </c>
      <c r="C420" s="63" t="str">
        <f>IF(Data_PLT[[#This Row],[Hole ID]]="","",
IF(COUNTIF($A$4:A420,Data_PLT[[#This Row],[Hole ID]])=1,1,
IF(A420=A419,C419+1,
COUNTIF($A$4:A420,Data_PLT[[#This Row],[Hole ID]]))))</f>
        <v/>
      </c>
      <c r="D420" s="63" t="str">
        <f>IF(Data_PLT[[#This Row],[Hole ID]]="","",Data_PLT[[#This Row],[Hole ID]]&amp;"_"&amp;Data_PLT[[#This Row],[Sample ID]])</f>
        <v/>
      </c>
      <c r="E420" s="6"/>
      <c r="F420" s="6"/>
      <c r="G420" s="63" t="e" cm="1">
        <f t="array" ref="G420">_xlfn.XLOOKUP(1,(A420=Geotech!$A$4:$A$11100)*(Data_PLT[[#This Row],[Depth (m)]]&gt;=Geotech!$C$4:$C$11100)*(Data_PLT[[#This Row],[Depth (m)]]&lt;Geotech!$D$4:$D$11100),Geotech!$M$4:$M$11100)</f>
        <v>#N/A</v>
      </c>
      <c r="H420" s="6"/>
      <c r="I420" s="63" t="e">
        <f>VLOOKUP(Data_PLT[[#This Row],[Hole ID]],Data_Log[[Hole ID]:[Core size]],20,FALSE)</f>
        <v>#N/A</v>
      </c>
      <c r="J420" s="13" t="e">
        <f>VLOOKUP(Data_PLT[[#This Row],[Core Size]],Table_CoreSize[],2,FALSE)</f>
        <v>#N/A</v>
      </c>
      <c r="K420" s="19"/>
      <c r="L420" s="19"/>
      <c r="M420" s="5"/>
      <c r="N420" s="5"/>
      <c r="O420" s="6"/>
      <c r="P420" s="13" t="str">
        <f>IF(Data_PLT[[#This Row],[Failure type]]="","",IF(OR(Data_PLT[[#This Row],[Failure type]]="Invalid",Data_PLT[[#This Row],[Failure type]]="Chipped",Data_PLT[[#This Row],[Failure type]]="Penetrate",Data_PLT[[#This Row],[Failure type]]="Did not break"),"Invalid","Valid"))</f>
        <v/>
      </c>
      <c r="Q420" s="6"/>
      <c r="R420" s="11"/>
      <c r="S420" s="13" t="str">
        <f>IF(Data_PLT[[#This Row],[Test type]]="Diametral",Data_PLT[[#This Row],[Diameter (mm)]],IF(Data_PLT[[#This Row],[Test type]]="Axial",SQRT(4*Data_PLT[[#This Row],[Diameter (mm)]]*Data_PLT[[#This Row],[Length or width (mm)]]/PI()),"ERROR"))</f>
        <v>ERROR</v>
      </c>
      <c r="T420" s="13" t="e">
        <f>(Data_PLT[[#This Row],[Load (kN)]]*1000)/Data_PLT[[#This Row],[Equiv. Diam. (mm)]]^2</f>
        <v>#VALUE!</v>
      </c>
      <c r="U420" s="13" t="e">
        <f>(Data_PLT[[#This Row],[Equiv. Diam. (mm)]]/50)^0.45</f>
        <v>#VALUE!</v>
      </c>
      <c r="V420" s="13" t="e">
        <f>Data_PLT[[#This Row],[Is (MPa)]]*Data_PLT[[#This Row],[F]]</f>
        <v>#VALUE!</v>
      </c>
      <c r="W420" s="13" t="str">
        <f>Data_PLT[[#This Row],[Failure Validity]]&amp;"-"&amp;Data_PLT[[#This Row],[Test type]]</f>
        <v>-</v>
      </c>
      <c r="X420" s="13" t="e">
        <f>Data_PLT[[#This Row],[Is50 (MPa)]]*VLOOKUP("Min",Table_PLT_Conversion[],2,FALSE)</f>
        <v>#VALUE!</v>
      </c>
      <c r="Y420" s="13" t="e">
        <f>Data_PLT[[#This Row],[Is50 (MPa)]]*VLOOKUP("Avg",Table_PLT_Conversion[],2,FALSE)</f>
        <v>#VALUE!</v>
      </c>
      <c r="Z420" s="13" t="e">
        <f>Data_PLT[[#This Row],[Is50 (MPa)]]*VLOOKUP("Max",Table_PLT_Conversion[],2,FALSE)</f>
        <v>#VALUE!</v>
      </c>
      <c r="AA420" s="62" t="e">
        <f>MATCH(LOOKUP(Data_PLT[[#This Row],[UCS min (MPa)]],Table_FieldStrength[Min UCS]),Table_FieldStrength[Min UCS],0)-1</f>
        <v>#VALUE!</v>
      </c>
      <c r="AB420" s="62" t="e">
        <f>MATCH(LOOKUP(Data_PLT[[#This Row],[UCS avg (MPa)]],Table_FieldStrength[Min UCS]),Table_FieldStrength[Min UCS],0)-1</f>
        <v>#VALUE!</v>
      </c>
      <c r="AC420" s="62" t="e">
        <f>MATCH(LOOKUP(Data_PLT[[#This Row],[UCS max (MPa)]],Table_FieldStrength[Min UCS]),Table_FieldStrength[Min UCS],0)-1</f>
        <v>#VALUE!</v>
      </c>
      <c r="AD420" s="68" t="e">
        <f>Data_PLT[[#This Row],[Test code]]&amp;"-"&amp;Data_PLT[[#This Row],[UCS min code]]</f>
        <v>#VALUE!</v>
      </c>
      <c r="AE420" s="68" t="e">
        <f>Data_PLT[[#This Row],[Test code]]&amp;"-"&amp;Data_PLT[[#This Row],[UCS avg code]]</f>
        <v>#VALUE!</v>
      </c>
      <c r="AF420" s="67" t="e">
        <f>Data_PLT[[#This Row],[Test code]]&amp;"-"&amp;Data_PLT[[#This Row],[UCS max code]]</f>
        <v>#VALUE!</v>
      </c>
      <c r="AG420" s="67" t="e">
        <f>Data_PLT[[#This Row],[Failure type]]&amp;"-"&amp;Data_PLT[[#This Row],[Test type]]&amp;"-"&amp;(IF(Data_PLT[[#This Row],[Is50 (MPa)]]&lt;1,1,IF(Data_PLT[[#This Row],[Is50 (MPa)]]&lt;2,2,IF(Data_PLT[[#This Row],[Is50 (MPa)]]&lt;4,3,IF(Data_PLT[[#This Row],[Is50 (MPa)]]&lt;8,4,5)))))</f>
        <v>#VALUE!</v>
      </c>
    </row>
    <row r="421" spans="2:33" x14ac:dyDescent="0.25">
      <c r="B421" s="88" t="e">
        <f>VLOOKUP(Data_PLT[[#This Row],[Hole ID]],Data_Log[],2,FALSE)</f>
        <v>#N/A</v>
      </c>
      <c r="C421" s="63" t="str">
        <f>IF(Data_PLT[[#This Row],[Hole ID]]="","",
IF(COUNTIF($A$4:A421,Data_PLT[[#This Row],[Hole ID]])=1,1,
IF(A421=A420,C420+1,
COUNTIF($A$4:A421,Data_PLT[[#This Row],[Hole ID]]))))</f>
        <v/>
      </c>
      <c r="D421" s="63" t="str">
        <f>IF(Data_PLT[[#This Row],[Hole ID]]="","",Data_PLT[[#This Row],[Hole ID]]&amp;"_"&amp;Data_PLT[[#This Row],[Sample ID]])</f>
        <v/>
      </c>
      <c r="E421" s="6"/>
      <c r="F421" s="6"/>
      <c r="G421" s="63" t="e" cm="1">
        <f t="array" ref="G421">_xlfn.XLOOKUP(1,(A421=Geotech!$A$4:$A$11100)*(Data_PLT[[#This Row],[Depth (m)]]&gt;=Geotech!$C$4:$C$11100)*(Data_PLT[[#This Row],[Depth (m)]]&lt;Geotech!$D$4:$D$11100),Geotech!$M$4:$M$11100)</f>
        <v>#N/A</v>
      </c>
      <c r="H421" s="6"/>
      <c r="I421" s="63" t="e">
        <f>VLOOKUP(Data_PLT[[#This Row],[Hole ID]],Data_Log[[Hole ID]:[Core size]],20,FALSE)</f>
        <v>#N/A</v>
      </c>
      <c r="J421" s="13" t="e">
        <f>VLOOKUP(Data_PLT[[#This Row],[Core Size]],Table_CoreSize[],2,FALSE)</f>
        <v>#N/A</v>
      </c>
      <c r="K421" s="19"/>
      <c r="L421" s="19"/>
      <c r="M421" s="5"/>
      <c r="N421" s="5"/>
      <c r="O421" s="6"/>
      <c r="P421" s="13" t="str">
        <f>IF(Data_PLT[[#This Row],[Failure type]]="","",IF(OR(Data_PLT[[#This Row],[Failure type]]="Invalid",Data_PLT[[#This Row],[Failure type]]="Chipped",Data_PLT[[#This Row],[Failure type]]="Penetrate",Data_PLT[[#This Row],[Failure type]]="Did not break"),"Invalid","Valid"))</f>
        <v/>
      </c>
      <c r="Q421" s="6"/>
      <c r="R421" s="11"/>
      <c r="S421" s="13" t="str">
        <f>IF(Data_PLT[[#This Row],[Test type]]="Diametral",Data_PLT[[#This Row],[Diameter (mm)]],IF(Data_PLT[[#This Row],[Test type]]="Axial",SQRT(4*Data_PLT[[#This Row],[Diameter (mm)]]*Data_PLT[[#This Row],[Length or width (mm)]]/PI()),"ERROR"))</f>
        <v>ERROR</v>
      </c>
      <c r="T421" s="13" t="e">
        <f>(Data_PLT[[#This Row],[Load (kN)]]*1000)/Data_PLT[[#This Row],[Equiv. Diam. (mm)]]^2</f>
        <v>#VALUE!</v>
      </c>
      <c r="U421" s="13" t="e">
        <f>(Data_PLT[[#This Row],[Equiv. Diam. (mm)]]/50)^0.45</f>
        <v>#VALUE!</v>
      </c>
      <c r="V421" s="13" t="e">
        <f>Data_PLT[[#This Row],[Is (MPa)]]*Data_PLT[[#This Row],[F]]</f>
        <v>#VALUE!</v>
      </c>
      <c r="W421" s="13" t="str">
        <f>Data_PLT[[#This Row],[Failure Validity]]&amp;"-"&amp;Data_PLT[[#This Row],[Test type]]</f>
        <v>-</v>
      </c>
      <c r="X421" s="13" t="e">
        <f>Data_PLT[[#This Row],[Is50 (MPa)]]*VLOOKUP("Min",Table_PLT_Conversion[],2,FALSE)</f>
        <v>#VALUE!</v>
      </c>
      <c r="Y421" s="13" t="e">
        <f>Data_PLT[[#This Row],[Is50 (MPa)]]*VLOOKUP("Avg",Table_PLT_Conversion[],2,FALSE)</f>
        <v>#VALUE!</v>
      </c>
      <c r="Z421" s="13" t="e">
        <f>Data_PLT[[#This Row],[Is50 (MPa)]]*VLOOKUP("Max",Table_PLT_Conversion[],2,FALSE)</f>
        <v>#VALUE!</v>
      </c>
      <c r="AA421" s="62" t="e">
        <f>MATCH(LOOKUP(Data_PLT[[#This Row],[UCS min (MPa)]],Table_FieldStrength[Min UCS]),Table_FieldStrength[Min UCS],0)-1</f>
        <v>#VALUE!</v>
      </c>
      <c r="AB421" s="62" t="e">
        <f>MATCH(LOOKUP(Data_PLT[[#This Row],[UCS avg (MPa)]],Table_FieldStrength[Min UCS]),Table_FieldStrength[Min UCS],0)-1</f>
        <v>#VALUE!</v>
      </c>
      <c r="AC421" s="62" t="e">
        <f>MATCH(LOOKUP(Data_PLT[[#This Row],[UCS max (MPa)]],Table_FieldStrength[Min UCS]),Table_FieldStrength[Min UCS],0)-1</f>
        <v>#VALUE!</v>
      </c>
      <c r="AD421" s="68" t="e">
        <f>Data_PLT[[#This Row],[Test code]]&amp;"-"&amp;Data_PLT[[#This Row],[UCS min code]]</f>
        <v>#VALUE!</v>
      </c>
      <c r="AE421" s="68" t="e">
        <f>Data_PLT[[#This Row],[Test code]]&amp;"-"&amp;Data_PLT[[#This Row],[UCS avg code]]</f>
        <v>#VALUE!</v>
      </c>
      <c r="AF421" s="67" t="e">
        <f>Data_PLT[[#This Row],[Test code]]&amp;"-"&amp;Data_PLT[[#This Row],[UCS max code]]</f>
        <v>#VALUE!</v>
      </c>
      <c r="AG421" s="67" t="e">
        <f>Data_PLT[[#This Row],[Failure type]]&amp;"-"&amp;Data_PLT[[#This Row],[Test type]]&amp;"-"&amp;(IF(Data_PLT[[#This Row],[Is50 (MPa)]]&lt;1,1,IF(Data_PLT[[#This Row],[Is50 (MPa)]]&lt;2,2,IF(Data_PLT[[#This Row],[Is50 (MPa)]]&lt;4,3,IF(Data_PLT[[#This Row],[Is50 (MPa)]]&lt;8,4,5)))))</f>
        <v>#VALUE!</v>
      </c>
    </row>
    <row r="422" spans="2:33" x14ac:dyDescent="0.25">
      <c r="B422" s="88" t="e">
        <f>VLOOKUP(Data_PLT[[#This Row],[Hole ID]],Data_Log[],2,FALSE)</f>
        <v>#N/A</v>
      </c>
      <c r="C422" s="63" t="str">
        <f>IF(Data_PLT[[#This Row],[Hole ID]]="","",
IF(COUNTIF($A$4:A422,Data_PLT[[#This Row],[Hole ID]])=1,1,
IF(A422=A421,C421+1,
COUNTIF($A$4:A422,Data_PLT[[#This Row],[Hole ID]]))))</f>
        <v/>
      </c>
      <c r="D422" s="63" t="str">
        <f>IF(Data_PLT[[#This Row],[Hole ID]]="","",Data_PLT[[#This Row],[Hole ID]]&amp;"_"&amp;Data_PLT[[#This Row],[Sample ID]])</f>
        <v/>
      </c>
      <c r="E422" s="6"/>
      <c r="F422" s="6"/>
      <c r="G422" s="63" t="e" cm="1">
        <f t="array" ref="G422">_xlfn.XLOOKUP(1,(A422=Geotech!$A$4:$A$11100)*(Data_PLT[[#This Row],[Depth (m)]]&gt;=Geotech!$C$4:$C$11100)*(Data_PLT[[#This Row],[Depth (m)]]&lt;Geotech!$D$4:$D$11100),Geotech!$M$4:$M$11100)</f>
        <v>#N/A</v>
      </c>
      <c r="H422" s="6"/>
      <c r="I422" s="63" t="e">
        <f>VLOOKUP(Data_PLT[[#This Row],[Hole ID]],Data_Log[[Hole ID]:[Core size]],20,FALSE)</f>
        <v>#N/A</v>
      </c>
      <c r="J422" s="13" t="e">
        <f>VLOOKUP(Data_PLT[[#This Row],[Core Size]],Table_CoreSize[],2,FALSE)</f>
        <v>#N/A</v>
      </c>
      <c r="K422" s="19"/>
      <c r="L422" s="19"/>
      <c r="M422" s="5"/>
      <c r="N422" s="5"/>
      <c r="O422" s="6"/>
      <c r="P422" s="13" t="str">
        <f>IF(Data_PLT[[#This Row],[Failure type]]="","",IF(OR(Data_PLT[[#This Row],[Failure type]]="Invalid",Data_PLT[[#This Row],[Failure type]]="Chipped",Data_PLT[[#This Row],[Failure type]]="Penetrate",Data_PLT[[#This Row],[Failure type]]="Did not break"),"Invalid","Valid"))</f>
        <v/>
      </c>
      <c r="Q422" s="6"/>
      <c r="R422" s="11"/>
      <c r="S422" s="13" t="str">
        <f>IF(Data_PLT[[#This Row],[Test type]]="Diametral",Data_PLT[[#This Row],[Diameter (mm)]],IF(Data_PLT[[#This Row],[Test type]]="Axial",SQRT(4*Data_PLT[[#This Row],[Diameter (mm)]]*Data_PLT[[#This Row],[Length or width (mm)]]/PI()),"ERROR"))</f>
        <v>ERROR</v>
      </c>
      <c r="T422" s="13" t="e">
        <f>(Data_PLT[[#This Row],[Load (kN)]]*1000)/Data_PLT[[#This Row],[Equiv. Diam. (mm)]]^2</f>
        <v>#VALUE!</v>
      </c>
      <c r="U422" s="13" t="e">
        <f>(Data_PLT[[#This Row],[Equiv. Diam. (mm)]]/50)^0.45</f>
        <v>#VALUE!</v>
      </c>
      <c r="V422" s="13" t="e">
        <f>Data_PLT[[#This Row],[Is (MPa)]]*Data_PLT[[#This Row],[F]]</f>
        <v>#VALUE!</v>
      </c>
      <c r="W422" s="13" t="str">
        <f>Data_PLT[[#This Row],[Failure Validity]]&amp;"-"&amp;Data_PLT[[#This Row],[Test type]]</f>
        <v>-</v>
      </c>
      <c r="X422" s="13" t="e">
        <f>Data_PLT[[#This Row],[Is50 (MPa)]]*VLOOKUP("Min",Table_PLT_Conversion[],2,FALSE)</f>
        <v>#VALUE!</v>
      </c>
      <c r="Y422" s="13" t="e">
        <f>Data_PLT[[#This Row],[Is50 (MPa)]]*VLOOKUP("Avg",Table_PLT_Conversion[],2,FALSE)</f>
        <v>#VALUE!</v>
      </c>
      <c r="Z422" s="13" t="e">
        <f>Data_PLT[[#This Row],[Is50 (MPa)]]*VLOOKUP("Max",Table_PLT_Conversion[],2,FALSE)</f>
        <v>#VALUE!</v>
      </c>
      <c r="AA422" s="62" t="e">
        <f>MATCH(LOOKUP(Data_PLT[[#This Row],[UCS min (MPa)]],Table_FieldStrength[Min UCS]),Table_FieldStrength[Min UCS],0)-1</f>
        <v>#VALUE!</v>
      </c>
      <c r="AB422" s="62" t="e">
        <f>MATCH(LOOKUP(Data_PLT[[#This Row],[UCS avg (MPa)]],Table_FieldStrength[Min UCS]),Table_FieldStrength[Min UCS],0)-1</f>
        <v>#VALUE!</v>
      </c>
      <c r="AC422" s="62" t="e">
        <f>MATCH(LOOKUP(Data_PLT[[#This Row],[UCS max (MPa)]],Table_FieldStrength[Min UCS]),Table_FieldStrength[Min UCS],0)-1</f>
        <v>#VALUE!</v>
      </c>
      <c r="AD422" s="68" t="e">
        <f>Data_PLT[[#This Row],[Test code]]&amp;"-"&amp;Data_PLT[[#This Row],[UCS min code]]</f>
        <v>#VALUE!</v>
      </c>
      <c r="AE422" s="68" t="e">
        <f>Data_PLT[[#This Row],[Test code]]&amp;"-"&amp;Data_PLT[[#This Row],[UCS avg code]]</f>
        <v>#VALUE!</v>
      </c>
      <c r="AF422" s="67" t="e">
        <f>Data_PLT[[#This Row],[Test code]]&amp;"-"&amp;Data_PLT[[#This Row],[UCS max code]]</f>
        <v>#VALUE!</v>
      </c>
      <c r="AG422" s="67" t="e">
        <f>Data_PLT[[#This Row],[Failure type]]&amp;"-"&amp;Data_PLT[[#This Row],[Test type]]&amp;"-"&amp;(IF(Data_PLT[[#This Row],[Is50 (MPa)]]&lt;1,1,IF(Data_PLT[[#This Row],[Is50 (MPa)]]&lt;2,2,IF(Data_PLT[[#This Row],[Is50 (MPa)]]&lt;4,3,IF(Data_PLT[[#This Row],[Is50 (MPa)]]&lt;8,4,5)))))</f>
        <v>#VALUE!</v>
      </c>
    </row>
    <row r="423" spans="2:33" x14ac:dyDescent="0.25">
      <c r="B423" s="88" t="e">
        <f>VLOOKUP(Data_PLT[[#This Row],[Hole ID]],Data_Log[],2,FALSE)</f>
        <v>#N/A</v>
      </c>
      <c r="C423" s="63" t="str">
        <f>IF(Data_PLT[[#This Row],[Hole ID]]="","",
IF(COUNTIF($A$4:A423,Data_PLT[[#This Row],[Hole ID]])=1,1,
IF(A423=A422,C422+1,
COUNTIF($A$4:A423,Data_PLT[[#This Row],[Hole ID]]))))</f>
        <v/>
      </c>
      <c r="D423" s="63" t="str">
        <f>IF(Data_PLT[[#This Row],[Hole ID]]="","",Data_PLT[[#This Row],[Hole ID]]&amp;"_"&amp;Data_PLT[[#This Row],[Sample ID]])</f>
        <v/>
      </c>
      <c r="E423" s="6"/>
      <c r="F423" s="6"/>
      <c r="G423" s="63" t="e" cm="1">
        <f t="array" ref="G423">_xlfn.XLOOKUP(1,(A423=Geotech!$A$4:$A$11100)*(Data_PLT[[#This Row],[Depth (m)]]&gt;=Geotech!$C$4:$C$11100)*(Data_PLT[[#This Row],[Depth (m)]]&lt;Geotech!$D$4:$D$11100),Geotech!$M$4:$M$11100)</f>
        <v>#N/A</v>
      </c>
      <c r="H423" s="6"/>
      <c r="I423" s="63" t="e">
        <f>VLOOKUP(Data_PLT[[#This Row],[Hole ID]],Data_Log[[Hole ID]:[Core size]],20,FALSE)</f>
        <v>#N/A</v>
      </c>
      <c r="J423" s="13" t="e">
        <f>VLOOKUP(Data_PLT[[#This Row],[Core Size]],Table_CoreSize[],2,FALSE)</f>
        <v>#N/A</v>
      </c>
      <c r="K423" s="19"/>
      <c r="L423" s="19"/>
      <c r="M423" s="5"/>
      <c r="N423" s="5"/>
      <c r="O423" s="6"/>
      <c r="P423" s="13" t="str">
        <f>IF(Data_PLT[[#This Row],[Failure type]]="","",IF(OR(Data_PLT[[#This Row],[Failure type]]="Invalid",Data_PLT[[#This Row],[Failure type]]="Chipped",Data_PLT[[#This Row],[Failure type]]="Penetrate",Data_PLT[[#This Row],[Failure type]]="Did not break"),"Invalid","Valid"))</f>
        <v/>
      </c>
      <c r="Q423" s="6"/>
      <c r="R423" s="11"/>
      <c r="S423" s="13" t="str">
        <f>IF(Data_PLT[[#This Row],[Test type]]="Diametral",Data_PLT[[#This Row],[Diameter (mm)]],IF(Data_PLT[[#This Row],[Test type]]="Axial",SQRT(4*Data_PLT[[#This Row],[Diameter (mm)]]*Data_PLT[[#This Row],[Length or width (mm)]]/PI()),"ERROR"))</f>
        <v>ERROR</v>
      </c>
      <c r="T423" s="13" t="e">
        <f>(Data_PLT[[#This Row],[Load (kN)]]*1000)/Data_PLT[[#This Row],[Equiv. Diam. (mm)]]^2</f>
        <v>#VALUE!</v>
      </c>
      <c r="U423" s="13" t="e">
        <f>(Data_PLT[[#This Row],[Equiv. Diam. (mm)]]/50)^0.45</f>
        <v>#VALUE!</v>
      </c>
      <c r="V423" s="13" t="e">
        <f>Data_PLT[[#This Row],[Is (MPa)]]*Data_PLT[[#This Row],[F]]</f>
        <v>#VALUE!</v>
      </c>
      <c r="W423" s="13" t="str">
        <f>Data_PLT[[#This Row],[Failure Validity]]&amp;"-"&amp;Data_PLT[[#This Row],[Test type]]</f>
        <v>-</v>
      </c>
      <c r="X423" s="13" t="e">
        <f>Data_PLT[[#This Row],[Is50 (MPa)]]*VLOOKUP("Min",Table_PLT_Conversion[],2,FALSE)</f>
        <v>#VALUE!</v>
      </c>
      <c r="Y423" s="13" t="e">
        <f>Data_PLT[[#This Row],[Is50 (MPa)]]*VLOOKUP("Avg",Table_PLT_Conversion[],2,FALSE)</f>
        <v>#VALUE!</v>
      </c>
      <c r="Z423" s="13" t="e">
        <f>Data_PLT[[#This Row],[Is50 (MPa)]]*VLOOKUP("Max",Table_PLT_Conversion[],2,FALSE)</f>
        <v>#VALUE!</v>
      </c>
      <c r="AA423" s="62" t="e">
        <f>MATCH(LOOKUP(Data_PLT[[#This Row],[UCS min (MPa)]],Table_FieldStrength[Min UCS]),Table_FieldStrength[Min UCS],0)-1</f>
        <v>#VALUE!</v>
      </c>
      <c r="AB423" s="62" t="e">
        <f>MATCH(LOOKUP(Data_PLT[[#This Row],[UCS avg (MPa)]],Table_FieldStrength[Min UCS]),Table_FieldStrength[Min UCS],0)-1</f>
        <v>#VALUE!</v>
      </c>
      <c r="AC423" s="62" t="e">
        <f>MATCH(LOOKUP(Data_PLT[[#This Row],[UCS max (MPa)]],Table_FieldStrength[Min UCS]),Table_FieldStrength[Min UCS],0)-1</f>
        <v>#VALUE!</v>
      </c>
      <c r="AD423" s="68" t="e">
        <f>Data_PLT[[#This Row],[Test code]]&amp;"-"&amp;Data_PLT[[#This Row],[UCS min code]]</f>
        <v>#VALUE!</v>
      </c>
      <c r="AE423" s="68" t="e">
        <f>Data_PLT[[#This Row],[Test code]]&amp;"-"&amp;Data_PLT[[#This Row],[UCS avg code]]</f>
        <v>#VALUE!</v>
      </c>
      <c r="AF423" s="67" t="e">
        <f>Data_PLT[[#This Row],[Test code]]&amp;"-"&amp;Data_PLT[[#This Row],[UCS max code]]</f>
        <v>#VALUE!</v>
      </c>
      <c r="AG423" s="67" t="e">
        <f>Data_PLT[[#This Row],[Failure type]]&amp;"-"&amp;Data_PLT[[#This Row],[Test type]]&amp;"-"&amp;(IF(Data_PLT[[#This Row],[Is50 (MPa)]]&lt;1,1,IF(Data_PLT[[#This Row],[Is50 (MPa)]]&lt;2,2,IF(Data_PLT[[#This Row],[Is50 (MPa)]]&lt;4,3,IF(Data_PLT[[#This Row],[Is50 (MPa)]]&lt;8,4,5)))))</f>
        <v>#VALUE!</v>
      </c>
    </row>
    <row r="424" spans="2:33" x14ac:dyDescent="0.25">
      <c r="B424" s="88" t="e">
        <f>VLOOKUP(Data_PLT[[#This Row],[Hole ID]],Data_Log[],2,FALSE)</f>
        <v>#N/A</v>
      </c>
      <c r="C424" s="63" t="str">
        <f>IF(Data_PLT[[#This Row],[Hole ID]]="","",
IF(COUNTIF($A$4:A424,Data_PLT[[#This Row],[Hole ID]])=1,1,
IF(A424=A423,C423+1,
COUNTIF($A$4:A424,Data_PLT[[#This Row],[Hole ID]]))))</f>
        <v/>
      </c>
      <c r="D424" s="63" t="str">
        <f>IF(Data_PLT[[#This Row],[Hole ID]]="","",Data_PLT[[#This Row],[Hole ID]]&amp;"_"&amp;Data_PLT[[#This Row],[Sample ID]])</f>
        <v/>
      </c>
      <c r="E424" s="6"/>
      <c r="F424" s="6"/>
      <c r="G424" s="63" t="e" cm="1">
        <f t="array" ref="G424">_xlfn.XLOOKUP(1,(A424=Geotech!$A$4:$A$11100)*(Data_PLT[[#This Row],[Depth (m)]]&gt;=Geotech!$C$4:$C$11100)*(Data_PLT[[#This Row],[Depth (m)]]&lt;Geotech!$D$4:$D$11100),Geotech!$M$4:$M$11100)</f>
        <v>#N/A</v>
      </c>
      <c r="H424" s="6"/>
      <c r="I424" s="63" t="e">
        <f>VLOOKUP(Data_PLT[[#This Row],[Hole ID]],Data_Log[[Hole ID]:[Core size]],20,FALSE)</f>
        <v>#N/A</v>
      </c>
      <c r="J424" s="13" t="e">
        <f>VLOOKUP(Data_PLT[[#This Row],[Core Size]],Table_CoreSize[],2,FALSE)</f>
        <v>#N/A</v>
      </c>
      <c r="K424" s="19"/>
      <c r="L424" s="19"/>
      <c r="M424" s="5"/>
      <c r="N424" s="5"/>
      <c r="O424" s="6"/>
      <c r="P424" s="13" t="str">
        <f>IF(Data_PLT[[#This Row],[Failure type]]="","",IF(OR(Data_PLT[[#This Row],[Failure type]]="Invalid",Data_PLT[[#This Row],[Failure type]]="Chipped",Data_PLT[[#This Row],[Failure type]]="Penetrate",Data_PLT[[#This Row],[Failure type]]="Did not break"),"Invalid","Valid"))</f>
        <v/>
      </c>
      <c r="Q424" s="6"/>
      <c r="R424" s="11"/>
      <c r="S424" s="13" t="str">
        <f>IF(Data_PLT[[#This Row],[Test type]]="Diametral",Data_PLT[[#This Row],[Diameter (mm)]],IF(Data_PLT[[#This Row],[Test type]]="Axial",SQRT(4*Data_PLT[[#This Row],[Diameter (mm)]]*Data_PLT[[#This Row],[Length or width (mm)]]/PI()),"ERROR"))</f>
        <v>ERROR</v>
      </c>
      <c r="T424" s="13" t="e">
        <f>(Data_PLT[[#This Row],[Load (kN)]]*1000)/Data_PLT[[#This Row],[Equiv. Diam. (mm)]]^2</f>
        <v>#VALUE!</v>
      </c>
      <c r="U424" s="13" t="e">
        <f>(Data_PLT[[#This Row],[Equiv. Diam. (mm)]]/50)^0.45</f>
        <v>#VALUE!</v>
      </c>
      <c r="V424" s="13" t="e">
        <f>Data_PLT[[#This Row],[Is (MPa)]]*Data_PLT[[#This Row],[F]]</f>
        <v>#VALUE!</v>
      </c>
      <c r="W424" s="13" t="str">
        <f>Data_PLT[[#This Row],[Failure Validity]]&amp;"-"&amp;Data_PLT[[#This Row],[Test type]]</f>
        <v>-</v>
      </c>
      <c r="X424" s="13" t="e">
        <f>Data_PLT[[#This Row],[Is50 (MPa)]]*VLOOKUP("Min",Table_PLT_Conversion[],2,FALSE)</f>
        <v>#VALUE!</v>
      </c>
      <c r="Y424" s="13" t="e">
        <f>Data_PLT[[#This Row],[Is50 (MPa)]]*VLOOKUP("Avg",Table_PLT_Conversion[],2,FALSE)</f>
        <v>#VALUE!</v>
      </c>
      <c r="Z424" s="13" t="e">
        <f>Data_PLT[[#This Row],[Is50 (MPa)]]*VLOOKUP("Max",Table_PLT_Conversion[],2,FALSE)</f>
        <v>#VALUE!</v>
      </c>
      <c r="AA424" s="62" t="e">
        <f>MATCH(LOOKUP(Data_PLT[[#This Row],[UCS min (MPa)]],Table_FieldStrength[Min UCS]),Table_FieldStrength[Min UCS],0)-1</f>
        <v>#VALUE!</v>
      </c>
      <c r="AB424" s="62" t="e">
        <f>MATCH(LOOKUP(Data_PLT[[#This Row],[UCS avg (MPa)]],Table_FieldStrength[Min UCS]),Table_FieldStrength[Min UCS],0)-1</f>
        <v>#VALUE!</v>
      </c>
      <c r="AC424" s="62" t="e">
        <f>MATCH(LOOKUP(Data_PLT[[#This Row],[UCS max (MPa)]],Table_FieldStrength[Min UCS]),Table_FieldStrength[Min UCS],0)-1</f>
        <v>#VALUE!</v>
      </c>
      <c r="AD424" s="68" t="e">
        <f>Data_PLT[[#This Row],[Test code]]&amp;"-"&amp;Data_PLT[[#This Row],[UCS min code]]</f>
        <v>#VALUE!</v>
      </c>
      <c r="AE424" s="68" t="e">
        <f>Data_PLT[[#This Row],[Test code]]&amp;"-"&amp;Data_PLT[[#This Row],[UCS avg code]]</f>
        <v>#VALUE!</v>
      </c>
      <c r="AF424" s="67" t="e">
        <f>Data_PLT[[#This Row],[Test code]]&amp;"-"&amp;Data_PLT[[#This Row],[UCS max code]]</f>
        <v>#VALUE!</v>
      </c>
      <c r="AG424" s="67" t="e">
        <f>Data_PLT[[#This Row],[Failure type]]&amp;"-"&amp;Data_PLT[[#This Row],[Test type]]&amp;"-"&amp;(IF(Data_PLT[[#This Row],[Is50 (MPa)]]&lt;1,1,IF(Data_PLT[[#This Row],[Is50 (MPa)]]&lt;2,2,IF(Data_PLT[[#This Row],[Is50 (MPa)]]&lt;4,3,IF(Data_PLT[[#This Row],[Is50 (MPa)]]&lt;8,4,5)))))</f>
        <v>#VALUE!</v>
      </c>
    </row>
    <row r="425" spans="2:33" x14ac:dyDescent="0.25">
      <c r="B425" s="88" t="e">
        <f>VLOOKUP(Data_PLT[[#This Row],[Hole ID]],Data_Log[],2,FALSE)</f>
        <v>#N/A</v>
      </c>
      <c r="C425" s="63" t="str">
        <f>IF(Data_PLT[[#This Row],[Hole ID]]="","",
IF(COUNTIF($A$4:A425,Data_PLT[[#This Row],[Hole ID]])=1,1,
IF(A425=A424,C424+1,
COUNTIF($A$4:A425,Data_PLT[[#This Row],[Hole ID]]))))</f>
        <v/>
      </c>
      <c r="D425" s="63" t="str">
        <f>IF(Data_PLT[[#This Row],[Hole ID]]="","",Data_PLT[[#This Row],[Hole ID]]&amp;"_"&amp;Data_PLT[[#This Row],[Sample ID]])</f>
        <v/>
      </c>
      <c r="E425" s="6"/>
      <c r="F425" s="6"/>
      <c r="G425" s="63" t="e" cm="1">
        <f t="array" ref="G425">_xlfn.XLOOKUP(1,(A425=Geotech!$A$4:$A$11100)*(Data_PLT[[#This Row],[Depth (m)]]&gt;=Geotech!$C$4:$C$11100)*(Data_PLT[[#This Row],[Depth (m)]]&lt;Geotech!$D$4:$D$11100),Geotech!$M$4:$M$11100)</f>
        <v>#N/A</v>
      </c>
      <c r="H425" s="6"/>
      <c r="I425" s="63" t="e">
        <f>VLOOKUP(Data_PLT[[#This Row],[Hole ID]],Data_Log[[Hole ID]:[Core size]],20,FALSE)</f>
        <v>#N/A</v>
      </c>
      <c r="J425" s="13" t="e">
        <f>VLOOKUP(Data_PLT[[#This Row],[Core Size]],Table_CoreSize[],2,FALSE)</f>
        <v>#N/A</v>
      </c>
      <c r="K425" s="19"/>
      <c r="L425" s="19"/>
      <c r="M425" s="5"/>
      <c r="N425" s="5"/>
      <c r="O425" s="6"/>
      <c r="P425" s="13" t="str">
        <f>IF(Data_PLT[[#This Row],[Failure type]]="","",IF(OR(Data_PLT[[#This Row],[Failure type]]="Invalid",Data_PLT[[#This Row],[Failure type]]="Chipped",Data_PLT[[#This Row],[Failure type]]="Penetrate",Data_PLT[[#This Row],[Failure type]]="Did not break"),"Invalid","Valid"))</f>
        <v/>
      </c>
      <c r="Q425" s="6"/>
      <c r="R425" s="11"/>
      <c r="S425" s="13" t="str">
        <f>IF(Data_PLT[[#This Row],[Test type]]="Diametral",Data_PLT[[#This Row],[Diameter (mm)]],IF(Data_PLT[[#This Row],[Test type]]="Axial",SQRT(4*Data_PLT[[#This Row],[Diameter (mm)]]*Data_PLT[[#This Row],[Length or width (mm)]]/PI()),"ERROR"))</f>
        <v>ERROR</v>
      </c>
      <c r="T425" s="13" t="e">
        <f>(Data_PLT[[#This Row],[Load (kN)]]*1000)/Data_PLT[[#This Row],[Equiv. Diam. (mm)]]^2</f>
        <v>#VALUE!</v>
      </c>
      <c r="U425" s="13" t="e">
        <f>(Data_PLT[[#This Row],[Equiv. Diam. (mm)]]/50)^0.45</f>
        <v>#VALUE!</v>
      </c>
      <c r="V425" s="13" t="e">
        <f>Data_PLT[[#This Row],[Is (MPa)]]*Data_PLT[[#This Row],[F]]</f>
        <v>#VALUE!</v>
      </c>
      <c r="W425" s="13" t="str">
        <f>Data_PLT[[#This Row],[Failure Validity]]&amp;"-"&amp;Data_PLT[[#This Row],[Test type]]</f>
        <v>-</v>
      </c>
      <c r="X425" s="13" t="e">
        <f>Data_PLT[[#This Row],[Is50 (MPa)]]*VLOOKUP("Min",Table_PLT_Conversion[],2,FALSE)</f>
        <v>#VALUE!</v>
      </c>
      <c r="Y425" s="13" t="e">
        <f>Data_PLT[[#This Row],[Is50 (MPa)]]*VLOOKUP("Avg",Table_PLT_Conversion[],2,FALSE)</f>
        <v>#VALUE!</v>
      </c>
      <c r="Z425" s="13" t="e">
        <f>Data_PLT[[#This Row],[Is50 (MPa)]]*VLOOKUP("Max",Table_PLT_Conversion[],2,FALSE)</f>
        <v>#VALUE!</v>
      </c>
      <c r="AA425" s="62" t="e">
        <f>MATCH(LOOKUP(Data_PLT[[#This Row],[UCS min (MPa)]],Table_FieldStrength[Min UCS]),Table_FieldStrength[Min UCS],0)-1</f>
        <v>#VALUE!</v>
      </c>
      <c r="AB425" s="62" t="e">
        <f>MATCH(LOOKUP(Data_PLT[[#This Row],[UCS avg (MPa)]],Table_FieldStrength[Min UCS]),Table_FieldStrength[Min UCS],0)-1</f>
        <v>#VALUE!</v>
      </c>
      <c r="AC425" s="62" t="e">
        <f>MATCH(LOOKUP(Data_PLT[[#This Row],[UCS max (MPa)]],Table_FieldStrength[Min UCS]),Table_FieldStrength[Min UCS],0)-1</f>
        <v>#VALUE!</v>
      </c>
      <c r="AD425" s="68" t="e">
        <f>Data_PLT[[#This Row],[Test code]]&amp;"-"&amp;Data_PLT[[#This Row],[UCS min code]]</f>
        <v>#VALUE!</v>
      </c>
      <c r="AE425" s="68" t="e">
        <f>Data_PLT[[#This Row],[Test code]]&amp;"-"&amp;Data_PLT[[#This Row],[UCS avg code]]</f>
        <v>#VALUE!</v>
      </c>
      <c r="AF425" s="67" t="e">
        <f>Data_PLT[[#This Row],[Test code]]&amp;"-"&amp;Data_PLT[[#This Row],[UCS max code]]</f>
        <v>#VALUE!</v>
      </c>
      <c r="AG425" s="67" t="e">
        <f>Data_PLT[[#This Row],[Failure type]]&amp;"-"&amp;Data_PLT[[#This Row],[Test type]]&amp;"-"&amp;(IF(Data_PLT[[#This Row],[Is50 (MPa)]]&lt;1,1,IF(Data_PLT[[#This Row],[Is50 (MPa)]]&lt;2,2,IF(Data_PLT[[#This Row],[Is50 (MPa)]]&lt;4,3,IF(Data_PLT[[#This Row],[Is50 (MPa)]]&lt;8,4,5)))))</f>
        <v>#VALUE!</v>
      </c>
    </row>
    <row r="426" spans="2:33" x14ac:dyDescent="0.25">
      <c r="B426" s="88" t="e">
        <f>VLOOKUP(Data_PLT[[#This Row],[Hole ID]],Data_Log[],2,FALSE)</f>
        <v>#N/A</v>
      </c>
      <c r="C426" s="63" t="str">
        <f>IF(Data_PLT[[#This Row],[Hole ID]]="","",
IF(COUNTIF($A$4:A426,Data_PLT[[#This Row],[Hole ID]])=1,1,
IF(A426=A425,C425+1,
COUNTIF($A$4:A426,Data_PLT[[#This Row],[Hole ID]]))))</f>
        <v/>
      </c>
      <c r="D426" s="63" t="str">
        <f>IF(Data_PLT[[#This Row],[Hole ID]]="","",Data_PLT[[#This Row],[Hole ID]]&amp;"_"&amp;Data_PLT[[#This Row],[Sample ID]])</f>
        <v/>
      </c>
      <c r="E426" s="6"/>
      <c r="F426" s="6"/>
      <c r="G426" s="63" t="e" cm="1">
        <f t="array" ref="G426">_xlfn.XLOOKUP(1,(A426=Geotech!$A$4:$A$11100)*(Data_PLT[[#This Row],[Depth (m)]]&gt;=Geotech!$C$4:$C$11100)*(Data_PLT[[#This Row],[Depth (m)]]&lt;Geotech!$D$4:$D$11100),Geotech!$M$4:$M$11100)</f>
        <v>#N/A</v>
      </c>
      <c r="H426" s="6"/>
      <c r="I426" s="63" t="e">
        <f>VLOOKUP(Data_PLT[[#This Row],[Hole ID]],Data_Log[[Hole ID]:[Core size]],20,FALSE)</f>
        <v>#N/A</v>
      </c>
      <c r="J426" s="13" t="e">
        <f>VLOOKUP(Data_PLT[[#This Row],[Core Size]],Table_CoreSize[],2,FALSE)</f>
        <v>#N/A</v>
      </c>
      <c r="K426" s="19"/>
      <c r="L426" s="19"/>
      <c r="M426" s="5"/>
      <c r="N426" s="5"/>
      <c r="O426" s="6"/>
      <c r="P426" s="13" t="str">
        <f>IF(Data_PLT[[#This Row],[Failure type]]="","",IF(OR(Data_PLT[[#This Row],[Failure type]]="Invalid",Data_PLT[[#This Row],[Failure type]]="Chipped",Data_PLT[[#This Row],[Failure type]]="Penetrate",Data_PLT[[#This Row],[Failure type]]="Did not break"),"Invalid","Valid"))</f>
        <v/>
      </c>
      <c r="Q426" s="6"/>
      <c r="R426" s="11"/>
      <c r="S426" s="13" t="str">
        <f>IF(Data_PLT[[#This Row],[Test type]]="Diametral",Data_PLT[[#This Row],[Diameter (mm)]],IF(Data_PLT[[#This Row],[Test type]]="Axial",SQRT(4*Data_PLT[[#This Row],[Diameter (mm)]]*Data_PLT[[#This Row],[Length or width (mm)]]/PI()),"ERROR"))</f>
        <v>ERROR</v>
      </c>
      <c r="T426" s="13" t="e">
        <f>(Data_PLT[[#This Row],[Load (kN)]]*1000)/Data_PLT[[#This Row],[Equiv. Diam. (mm)]]^2</f>
        <v>#VALUE!</v>
      </c>
      <c r="U426" s="13" t="e">
        <f>(Data_PLT[[#This Row],[Equiv. Diam. (mm)]]/50)^0.45</f>
        <v>#VALUE!</v>
      </c>
      <c r="V426" s="13" t="e">
        <f>Data_PLT[[#This Row],[Is (MPa)]]*Data_PLT[[#This Row],[F]]</f>
        <v>#VALUE!</v>
      </c>
      <c r="W426" s="13" t="str">
        <f>Data_PLT[[#This Row],[Failure Validity]]&amp;"-"&amp;Data_PLT[[#This Row],[Test type]]</f>
        <v>-</v>
      </c>
      <c r="X426" s="13" t="e">
        <f>Data_PLT[[#This Row],[Is50 (MPa)]]*VLOOKUP("Min",Table_PLT_Conversion[],2,FALSE)</f>
        <v>#VALUE!</v>
      </c>
      <c r="Y426" s="13" t="e">
        <f>Data_PLT[[#This Row],[Is50 (MPa)]]*VLOOKUP("Avg",Table_PLT_Conversion[],2,FALSE)</f>
        <v>#VALUE!</v>
      </c>
      <c r="Z426" s="13" t="e">
        <f>Data_PLT[[#This Row],[Is50 (MPa)]]*VLOOKUP("Max",Table_PLT_Conversion[],2,FALSE)</f>
        <v>#VALUE!</v>
      </c>
      <c r="AA426" s="62" t="e">
        <f>MATCH(LOOKUP(Data_PLT[[#This Row],[UCS min (MPa)]],Table_FieldStrength[Min UCS]),Table_FieldStrength[Min UCS],0)-1</f>
        <v>#VALUE!</v>
      </c>
      <c r="AB426" s="62" t="e">
        <f>MATCH(LOOKUP(Data_PLT[[#This Row],[UCS avg (MPa)]],Table_FieldStrength[Min UCS]),Table_FieldStrength[Min UCS],0)-1</f>
        <v>#VALUE!</v>
      </c>
      <c r="AC426" s="62" t="e">
        <f>MATCH(LOOKUP(Data_PLT[[#This Row],[UCS max (MPa)]],Table_FieldStrength[Min UCS]),Table_FieldStrength[Min UCS],0)-1</f>
        <v>#VALUE!</v>
      </c>
      <c r="AD426" s="68" t="e">
        <f>Data_PLT[[#This Row],[Test code]]&amp;"-"&amp;Data_PLT[[#This Row],[UCS min code]]</f>
        <v>#VALUE!</v>
      </c>
      <c r="AE426" s="68" t="e">
        <f>Data_PLT[[#This Row],[Test code]]&amp;"-"&amp;Data_PLT[[#This Row],[UCS avg code]]</f>
        <v>#VALUE!</v>
      </c>
      <c r="AF426" s="67" t="e">
        <f>Data_PLT[[#This Row],[Test code]]&amp;"-"&amp;Data_PLT[[#This Row],[UCS max code]]</f>
        <v>#VALUE!</v>
      </c>
      <c r="AG426" s="67" t="e">
        <f>Data_PLT[[#This Row],[Failure type]]&amp;"-"&amp;Data_PLT[[#This Row],[Test type]]&amp;"-"&amp;(IF(Data_PLT[[#This Row],[Is50 (MPa)]]&lt;1,1,IF(Data_PLT[[#This Row],[Is50 (MPa)]]&lt;2,2,IF(Data_PLT[[#This Row],[Is50 (MPa)]]&lt;4,3,IF(Data_PLT[[#This Row],[Is50 (MPa)]]&lt;8,4,5)))))</f>
        <v>#VALUE!</v>
      </c>
    </row>
    <row r="427" spans="2:33" x14ac:dyDescent="0.25">
      <c r="B427" s="88" t="e">
        <f>VLOOKUP(Data_PLT[[#This Row],[Hole ID]],Data_Log[],2,FALSE)</f>
        <v>#N/A</v>
      </c>
      <c r="C427" s="63" t="str">
        <f>IF(Data_PLT[[#This Row],[Hole ID]]="","",
IF(COUNTIF($A$4:A427,Data_PLT[[#This Row],[Hole ID]])=1,1,
IF(A427=A426,C426+1,
COUNTIF($A$4:A427,Data_PLT[[#This Row],[Hole ID]]))))</f>
        <v/>
      </c>
      <c r="D427" s="63" t="str">
        <f>IF(Data_PLT[[#This Row],[Hole ID]]="","",Data_PLT[[#This Row],[Hole ID]]&amp;"_"&amp;Data_PLT[[#This Row],[Sample ID]])</f>
        <v/>
      </c>
      <c r="E427" s="6"/>
      <c r="F427" s="6"/>
      <c r="G427" s="63" t="e" cm="1">
        <f t="array" ref="G427">_xlfn.XLOOKUP(1,(A427=Geotech!$A$4:$A$11100)*(Data_PLT[[#This Row],[Depth (m)]]&gt;=Geotech!$C$4:$C$11100)*(Data_PLT[[#This Row],[Depth (m)]]&lt;Geotech!$D$4:$D$11100),Geotech!$M$4:$M$11100)</f>
        <v>#N/A</v>
      </c>
      <c r="H427" s="6"/>
      <c r="I427" s="63" t="e">
        <f>VLOOKUP(Data_PLT[[#This Row],[Hole ID]],Data_Log[[Hole ID]:[Core size]],20,FALSE)</f>
        <v>#N/A</v>
      </c>
      <c r="J427" s="13" t="e">
        <f>VLOOKUP(Data_PLT[[#This Row],[Core Size]],Table_CoreSize[],2,FALSE)</f>
        <v>#N/A</v>
      </c>
      <c r="K427" s="19"/>
      <c r="L427" s="19"/>
      <c r="M427" s="5"/>
      <c r="N427" s="5"/>
      <c r="O427" s="6"/>
      <c r="P427" s="13" t="str">
        <f>IF(Data_PLT[[#This Row],[Failure type]]="","",IF(OR(Data_PLT[[#This Row],[Failure type]]="Invalid",Data_PLT[[#This Row],[Failure type]]="Chipped",Data_PLT[[#This Row],[Failure type]]="Penetrate",Data_PLT[[#This Row],[Failure type]]="Did not break"),"Invalid","Valid"))</f>
        <v/>
      </c>
      <c r="Q427" s="6"/>
      <c r="R427" s="11"/>
      <c r="S427" s="13" t="str">
        <f>IF(Data_PLT[[#This Row],[Test type]]="Diametral",Data_PLT[[#This Row],[Diameter (mm)]],IF(Data_PLT[[#This Row],[Test type]]="Axial",SQRT(4*Data_PLT[[#This Row],[Diameter (mm)]]*Data_PLT[[#This Row],[Length or width (mm)]]/PI()),"ERROR"))</f>
        <v>ERROR</v>
      </c>
      <c r="T427" s="13" t="e">
        <f>(Data_PLT[[#This Row],[Load (kN)]]*1000)/Data_PLT[[#This Row],[Equiv. Diam. (mm)]]^2</f>
        <v>#VALUE!</v>
      </c>
      <c r="U427" s="13" t="e">
        <f>(Data_PLT[[#This Row],[Equiv. Diam. (mm)]]/50)^0.45</f>
        <v>#VALUE!</v>
      </c>
      <c r="V427" s="13" t="e">
        <f>Data_PLT[[#This Row],[Is (MPa)]]*Data_PLT[[#This Row],[F]]</f>
        <v>#VALUE!</v>
      </c>
      <c r="W427" s="13" t="str">
        <f>Data_PLT[[#This Row],[Failure Validity]]&amp;"-"&amp;Data_PLT[[#This Row],[Test type]]</f>
        <v>-</v>
      </c>
      <c r="X427" s="13" t="e">
        <f>Data_PLT[[#This Row],[Is50 (MPa)]]*VLOOKUP("Min",Table_PLT_Conversion[],2,FALSE)</f>
        <v>#VALUE!</v>
      </c>
      <c r="Y427" s="13" t="e">
        <f>Data_PLT[[#This Row],[Is50 (MPa)]]*VLOOKUP("Avg",Table_PLT_Conversion[],2,FALSE)</f>
        <v>#VALUE!</v>
      </c>
      <c r="Z427" s="13" t="e">
        <f>Data_PLT[[#This Row],[Is50 (MPa)]]*VLOOKUP("Max",Table_PLT_Conversion[],2,FALSE)</f>
        <v>#VALUE!</v>
      </c>
      <c r="AA427" s="62" t="e">
        <f>MATCH(LOOKUP(Data_PLT[[#This Row],[UCS min (MPa)]],Table_FieldStrength[Min UCS]),Table_FieldStrength[Min UCS],0)-1</f>
        <v>#VALUE!</v>
      </c>
      <c r="AB427" s="62" t="e">
        <f>MATCH(LOOKUP(Data_PLT[[#This Row],[UCS avg (MPa)]],Table_FieldStrength[Min UCS]),Table_FieldStrength[Min UCS],0)-1</f>
        <v>#VALUE!</v>
      </c>
      <c r="AC427" s="62" t="e">
        <f>MATCH(LOOKUP(Data_PLT[[#This Row],[UCS max (MPa)]],Table_FieldStrength[Min UCS]),Table_FieldStrength[Min UCS],0)-1</f>
        <v>#VALUE!</v>
      </c>
      <c r="AD427" s="68" t="e">
        <f>Data_PLT[[#This Row],[Test code]]&amp;"-"&amp;Data_PLT[[#This Row],[UCS min code]]</f>
        <v>#VALUE!</v>
      </c>
      <c r="AE427" s="68" t="e">
        <f>Data_PLT[[#This Row],[Test code]]&amp;"-"&amp;Data_PLT[[#This Row],[UCS avg code]]</f>
        <v>#VALUE!</v>
      </c>
      <c r="AF427" s="67" t="e">
        <f>Data_PLT[[#This Row],[Test code]]&amp;"-"&amp;Data_PLT[[#This Row],[UCS max code]]</f>
        <v>#VALUE!</v>
      </c>
      <c r="AG427" s="67" t="e">
        <f>Data_PLT[[#This Row],[Failure type]]&amp;"-"&amp;Data_PLT[[#This Row],[Test type]]&amp;"-"&amp;(IF(Data_PLT[[#This Row],[Is50 (MPa)]]&lt;1,1,IF(Data_PLT[[#This Row],[Is50 (MPa)]]&lt;2,2,IF(Data_PLT[[#This Row],[Is50 (MPa)]]&lt;4,3,IF(Data_PLT[[#This Row],[Is50 (MPa)]]&lt;8,4,5)))))</f>
        <v>#VALUE!</v>
      </c>
    </row>
    <row r="428" spans="2:33" x14ac:dyDescent="0.25">
      <c r="B428" s="88" t="e">
        <f>VLOOKUP(Data_PLT[[#This Row],[Hole ID]],Data_Log[],2,FALSE)</f>
        <v>#N/A</v>
      </c>
      <c r="C428" s="63" t="str">
        <f>IF(Data_PLT[[#This Row],[Hole ID]]="","",
IF(COUNTIF($A$4:A428,Data_PLT[[#This Row],[Hole ID]])=1,1,
IF(A428=A427,C427+1,
COUNTIF($A$4:A428,Data_PLT[[#This Row],[Hole ID]]))))</f>
        <v/>
      </c>
      <c r="D428" s="63" t="str">
        <f>IF(Data_PLT[[#This Row],[Hole ID]]="","",Data_PLT[[#This Row],[Hole ID]]&amp;"_"&amp;Data_PLT[[#This Row],[Sample ID]])</f>
        <v/>
      </c>
      <c r="E428" s="6"/>
      <c r="F428" s="6"/>
      <c r="G428" s="63" t="e" cm="1">
        <f t="array" ref="G428">_xlfn.XLOOKUP(1,(A428=Geotech!$A$4:$A$11100)*(Data_PLT[[#This Row],[Depth (m)]]&gt;=Geotech!$C$4:$C$11100)*(Data_PLT[[#This Row],[Depth (m)]]&lt;Geotech!$D$4:$D$11100),Geotech!$M$4:$M$11100)</f>
        <v>#N/A</v>
      </c>
      <c r="H428" s="6"/>
      <c r="I428" s="63" t="e">
        <f>VLOOKUP(Data_PLT[[#This Row],[Hole ID]],Data_Log[[Hole ID]:[Core size]],20,FALSE)</f>
        <v>#N/A</v>
      </c>
      <c r="J428" s="13" t="e">
        <f>VLOOKUP(Data_PLT[[#This Row],[Core Size]],Table_CoreSize[],2,FALSE)</f>
        <v>#N/A</v>
      </c>
      <c r="K428" s="19"/>
      <c r="L428" s="19"/>
      <c r="M428" s="5"/>
      <c r="N428" s="5"/>
      <c r="O428" s="6"/>
      <c r="P428" s="13" t="str">
        <f>IF(Data_PLT[[#This Row],[Failure type]]="","",IF(OR(Data_PLT[[#This Row],[Failure type]]="Invalid",Data_PLT[[#This Row],[Failure type]]="Chipped",Data_PLT[[#This Row],[Failure type]]="Penetrate",Data_PLT[[#This Row],[Failure type]]="Did not break"),"Invalid","Valid"))</f>
        <v/>
      </c>
      <c r="Q428" s="6"/>
      <c r="R428" s="11"/>
      <c r="S428" s="13" t="str">
        <f>IF(Data_PLT[[#This Row],[Test type]]="Diametral",Data_PLT[[#This Row],[Diameter (mm)]],IF(Data_PLT[[#This Row],[Test type]]="Axial",SQRT(4*Data_PLT[[#This Row],[Diameter (mm)]]*Data_PLT[[#This Row],[Length or width (mm)]]/PI()),"ERROR"))</f>
        <v>ERROR</v>
      </c>
      <c r="T428" s="13" t="e">
        <f>(Data_PLT[[#This Row],[Load (kN)]]*1000)/Data_PLT[[#This Row],[Equiv. Diam. (mm)]]^2</f>
        <v>#VALUE!</v>
      </c>
      <c r="U428" s="13" t="e">
        <f>(Data_PLT[[#This Row],[Equiv. Diam. (mm)]]/50)^0.45</f>
        <v>#VALUE!</v>
      </c>
      <c r="V428" s="13" t="e">
        <f>Data_PLT[[#This Row],[Is (MPa)]]*Data_PLT[[#This Row],[F]]</f>
        <v>#VALUE!</v>
      </c>
      <c r="W428" s="13" t="str">
        <f>Data_PLT[[#This Row],[Failure Validity]]&amp;"-"&amp;Data_PLT[[#This Row],[Test type]]</f>
        <v>-</v>
      </c>
      <c r="X428" s="13" t="e">
        <f>Data_PLT[[#This Row],[Is50 (MPa)]]*VLOOKUP("Min",Table_PLT_Conversion[],2,FALSE)</f>
        <v>#VALUE!</v>
      </c>
      <c r="Y428" s="13" t="e">
        <f>Data_PLT[[#This Row],[Is50 (MPa)]]*VLOOKUP("Avg",Table_PLT_Conversion[],2,FALSE)</f>
        <v>#VALUE!</v>
      </c>
      <c r="Z428" s="13" t="e">
        <f>Data_PLT[[#This Row],[Is50 (MPa)]]*VLOOKUP("Max",Table_PLT_Conversion[],2,FALSE)</f>
        <v>#VALUE!</v>
      </c>
      <c r="AA428" s="62" t="e">
        <f>MATCH(LOOKUP(Data_PLT[[#This Row],[UCS min (MPa)]],Table_FieldStrength[Min UCS]),Table_FieldStrength[Min UCS],0)-1</f>
        <v>#VALUE!</v>
      </c>
      <c r="AB428" s="62" t="e">
        <f>MATCH(LOOKUP(Data_PLT[[#This Row],[UCS avg (MPa)]],Table_FieldStrength[Min UCS]),Table_FieldStrength[Min UCS],0)-1</f>
        <v>#VALUE!</v>
      </c>
      <c r="AC428" s="62" t="e">
        <f>MATCH(LOOKUP(Data_PLT[[#This Row],[UCS max (MPa)]],Table_FieldStrength[Min UCS]),Table_FieldStrength[Min UCS],0)-1</f>
        <v>#VALUE!</v>
      </c>
      <c r="AD428" s="68" t="e">
        <f>Data_PLT[[#This Row],[Test code]]&amp;"-"&amp;Data_PLT[[#This Row],[UCS min code]]</f>
        <v>#VALUE!</v>
      </c>
      <c r="AE428" s="68" t="e">
        <f>Data_PLT[[#This Row],[Test code]]&amp;"-"&amp;Data_PLT[[#This Row],[UCS avg code]]</f>
        <v>#VALUE!</v>
      </c>
      <c r="AF428" s="67" t="e">
        <f>Data_PLT[[#This Row],[Test code]]&amp;"-"&amp;Data_PLT[[#This Row],[UCS max code]]</f>
        <v>#VALUE!</v>
      </c>
      <c r="AG428" s="67" t="e">
        <f>Data_PLT[[#This Row],[Failure type]]&amp;"-"&amp;Data_PLT[[#This Row],[Test type]]&amp;"-"&amp;(IF(Data_PLT[[#This Row],[Is50 (MPa)]]&lt;1,1,IF(Data_PLT[[#This Row],[Is50 (MPa)]]&lt;2,2,IF(Data_PLT[[#This Row],[Is50 (MPa)]]&lt;4,3,IF(Data_PLT[[#This Row],[Is50 (MPa)]]&lt;8,4,5)))))</f>
        <v>#VALUE!</v>
      </c>
    </row>
    <row r="429" spans="2:33" x14ac:dyDescent="0.25">
      <c r="B429" s="88" t="e">
        <f>VLOOKUP(Data_PLT[[#This Row],[Hole ID]],Data_Log[],2,FALSE)</f>
        <v>#N/A</v>
      </c>
      <c r="C429" s="63" t="str">
        <f>IF(Data_PLT[[#This Row],[Hole ID]]="","",
IF(COUNTIF($A$4:A429,Data_PLT[[#This Row],[Hole ID]])=1,1,
IF(A429=A428,C428+1,
COUNTIF($A$4:A429,Data_PLT[[#This Row],[Hole ID]]))))</f>
        <v/>
      </c>
      <c r="D429" s="63" t="str">
        <f>IF(Data_PLT[[#This Row],[Hole ID]]="","",Data_PLT[[#This Row],[Hole ID]]&amp;"_"&amp;Data_PLT[[#This Row],[Sample ID]])</f>
        <v/>
      </c>
      <c r="E429" s="6"/>
      <c r="F429" s="6"/>
      <c r="G429" s="63" t="e" cm="1">
        <f t="array" ref="G429">_xlfn.XLOOKUP(1,(A429=Geotech!$A$4:$A$11100)*(Data_PLT[[#This Row],[Depth (m)]]&gt;=Geotech!$C$4:$C$11100)*(Data_PLT[[#This Row],[Depth (m)]]&lt;Geotech!$D$4:$D$11100),Geotech!$M$4:$M$11100)</f>
        <v>#N/A</v>
      </c>
      <c r="H429" s="6"/>
      <c r="I429" s="63" t="e">
        <f>VLOOKUP(Data_PLT[[#This Row],[Hole ID]],Data_Log[[Hole ID]:[Core size]],20,FALSE)</f>
        <v>#N/A</v>
      </c>
      <c r="J429" s="13" t="e">
        <f>VLOOKUP(Data_PLT[[#This Row],[Core Size]],Table_CoreSize[],2,FALSE)</f>
        <v>#N/A</v>
      </c>
      <c r="K429" s="19"/>
      <c r="L429" s="19"/>
      <c r="M429" s="5"/>
      <c r="N429" s="5"/>
      <c r="O429" s="6"/>
      <c r="P429" s="13" t="str">
        <f>IF(Data_PLT[[#This Row],[Failure type]]="","",IF(OR(Data_PLT[[#This Row],[Failure type]]="Invalid",Data_PLT[[#This Row],[Failure type]]="Chipped",Data_PLT[[#This Row],[Failure type]]="Penetrate",Data_PLT[[#This Row],[Failure type]]="Did not break"),"Invalid","Valid"))</f>
        <v/>
      </c>
      <c r="Q429" s="6"/>
      <c r="R429" s="11"/>
      <c r="S429" s="13" t="str">
        <f>IF(Data_PLT[[#This Row],[Test type]]="Diametral",Data_PLT[[#This Row],[Diameter (mm)]],IF(Data_PLT[[#This Row],[Test type]]="Axial",SQRT(4*Data_PLT[[#This Row],[Diameter (mm)]]*Data_PLT[[#This Row],[Length or width (mm)]]/PI()),"ERROR"))</f>
        <v>ERROR</v>
      </c>
      <c r="T429" s="13" t="e">
        <f>(Data_PLT[[#This Row],[Load (kN)]]*1000)/Data_PLT[[#This Row],[Equiv. Diam. (mm)]]^2</f>
        <v>#VALUE!</v>
      </c>
      <c r="U429" s="13" t="e">
        <f>(Data_PLT[[#This Row],[Equiv. Diam. (mm)]]/50)^0.45</f>
        <v>#VALUE!</v>
      </c>
      <c r="V429" s="13" t="e">
        <f>Data_PLT[[#This Row],[Is (MPa)]]*Data_PLT[[#This Row],[F]]</f>
        <v>#VALUE!</v>
      </c>
      <c r="W429" s="13" t="str">
        <f>Data_PLT[[#This Row],[Failure Validity]]&amp;"-"&amp;Data_PLT[[#This Row],[Test type]]</f>
        <v>-</v>
      </c>
      <c r="X429" s="13" t="e">
        <f>Data_PLT[[#This Row],[Is50 (MPa)]]*VLOOKUP("Min",Table_PLT_Conversion[],2,FALSE)</f>
        <v>#VALUE!</v>
      </c>
      <c r="Y429" s="13" t="e">
        <f>Data_PLT[[#This Row],[Is50 (MPa)]]*VLOOKUP("Avg",Table_PLT_Conversion[],2,FALSE)</f>
        <v>#VALUE!</v>
      </c>
      <c r="Z429" s="13" t="e">
        <f>Data_PLT[[#This Row],[Is50 (MPa)]]*VLOOKUP("Max",Table_PLT_Conversion[],2,FALSE)</f>
        <v>#VALUE!</v>
      </c>
      <c r="AA429" s="62" t="e">
        <f>MATCH(LOOKUP(Data_PLT[[#This Row],[UCS min (MPa)]],Table_FieldStrength[Min UCS]),Table_FieldStrength[Min UCS],0)-1</f>
        <v>#VALUE!</v>
      </c>
      <c r="AB429" s="62" t="e">
        <f>MATCH(LOOKUP(Data_PLT[[#This Row],[UCS avg (MPa)]],Table_FieldStrength[Min UCS]),Table_FieldStrength[Min UCS],0)-1</f>
        <v>#VALUE!</v>
      </c>
      <c r="AC429" s="62" t="e">
        <f>MATCH(LOOKUP(Data_PLT[[#This Row],[UCS max (MPa)]],Table_FieldStrength[Min UCS]),Table_FieldStrength[Min UCS],0)-1</f>
        <v>#VALUE!</v>
      </c>
      <c r="AD429" s="68" t="e">
        <f>Data_PLT[[#This Row],[Test code]]&amp;"-"&amp;Data_PLT[[#This Row],[UCS min code]]</f>
        <v>#VALUE!</v>
      </c>
      <c r="AE429" s="68" t="e">
        <f>Data_PLT[[#This Row],[Test code]]&amp;"-"&amp;Data_PLT[[#This Row],[UCS avg code]]</f>
        <v>#VALUE!</v>
      </c>
      <c r="AF429" s="67" t="e">
        <f>Data_PLT[[#This Row],[Test code]]&amp;"-"&amp;Data_PLT[[#This Row],[UCS max code]]</f>
        <v>#VALUE!</v>
      </c>
      <c r="AG429" s="67" t="e">
        <f>Data_PLT[[#This Row],[Failure type]]&amp;"-"&amp;Data_PLT[[#This Row],[Test type]]&amp;"-"&amp;(IF(Data_PLT[[#This Row],[Is50 (MPa)]]&lt;1,1,IF(Data_PLT[[#This Row],[Is50 (MPa)]]&lt;2,2,IF(Data_PLT[[#This Row],[Is50 (MPa)]]&lt;4,3,IF(Data_PLT[[#This Row],[Is50 (MPa)]]&lt;8,4,5)))))</f>
        <v>#VALUE!</v>
      </c>
    </row>
    <row r="430" spans="2:33" x14ac:dyDescent="0.25">
      <c r="B430" s="88" t="e">
        <f>VLOOKUP(Data_PLT[[#This Row],[Hole ID]],Data_Log[],2,FALSE)</f>
        <v>#N/A</v>
      </c>
      <c r="C430" s="63" t="str">
        <f>IF(Data_PLT[[#This Row],[Hole ID]]="","",
IF(COUNTIF($A$4:A430,Data_PLT[[#This Row],[Hole ID]])=1,1,
IF(A430=A429,C429+1,
COUNTIF($A$4:A430,Data_PLT[[#This Row],[Hole ID]]))))</f>
        <v/>
      </c>
      <c r="D430" s="63" t="str">
        <f>IF(Data_PLT[[#This Row],[Hole ID]]="","",Data_PLT[[#This Row],[Hole ID]]&amp;"_"&amp;Data_PLT[[#This Row],[Sample ID]])</f>
        <v/>
      </c>
      <c r="E430" s="6"/>
      <c r="F430" s="6"/>
      <c r="G430" s="63" t="e" cm="1">
        <f t="array" ref="G430">_xlfn.XLOOKUP(1,(A430=Geotech!$A$4:$A$11100)*(Data_PLT[[#This Row],[Depth (m)]]&gt;=Geotech!$C$4:$C$11100)*(Data_PLT[[#This Row],[Depth (m)]]&lt;Geotech!$D$4:$D$11100),Geotech!$M$4:$M$11100)</f>
        <v>#N/A</v>
      </c>
      <c r="H430" s="6"/>
      <c r="I430" s="63" t="e">
        <f>VLOOKUP(Data_PLT[[#This Row],[Hole ID]],Data_Log[[Hole ID]:[Core size]],20,FALSE)</f>
        <v>#N/A</v>
      </c>
      <c r="J430" s="13" t="e">
        <f>VLOOKUP(Data_PLT[[#This Row],[Core Size]],Table_CoreSize[],2,FALSE)</f>
        <v>#N/A</v>
      </c>
      <c r="K430" s="19"/>
      <c r="L430" s="19"/>
      <c r="M430" s="5"/>
      <c r="N430" s="5"/>
      <c r="O430" s="6"/>
      <c r="P430" s="13" t="str">
        <f>IF(Data_PLT[[#This Row],[Failure type]]="","",IF(OR(Data_PLT[[#This Row],[Failure type]]="Invalid",Data_PLT[[#This Row],[Failure type]]="Chipped",Data_PLT[[#This Row],[Failure type]]="Penetrate",Data_PLT[[#This Row],[Failure type]]="Did not break"),"Invalid","Valid"))</f>
        <v/>
      </c>
      <c r="Q430" s="6"/>
      <c r="R430" s="11"/>
      <c r="S430" s="13" t="str">
        <f>IF(Data_PLT[[#This Row],[Test type]]="Diametral",Data_PLT[[#This Row],[Diameter (mm)]],IF(Data_PLT[[#This Row],[Test type]]="Axial",SQRT(4*Data_PLT[[#This Row],[Diameter (mm)]]*Data_PLT[[#This Row],[Length or width (mm)]]/PI()),"ERROR"))</f>
        <v>ERROR</v>
      </c>
      <c r="T430" s="13" t="e">
        <f>(Data_PLT[[#This Row],[Load (kN)]]*1000)/Data_PLT[[#This Row],[Equiv. Diam. (mm)]]^2</f>
        <v>#VALUE!</v>
      </c>
      <c r="U430" s="13" t="e">
        <f>(Data_PLT[[#This Row],[Equiv. Diam. (mm)]]/50)^0.45</f>
        <v>#VALUE!</v>
      </c>
      <c r="V430" s="13" t="e">
        <f>Data_PLT[[#This Row],[Is (MPa)]]*Data_PLT[[#This Row],[F]]</f>
        <v>#VALUE!</v>
      </c>
      <c r="W430" s="13" t="str">
        <f>Data_PLT[[#This Row],[Failure Validity]]&amp;"-"&amp;Data_PLT[[#This Row],[Test type]]</f>
        <v>-</v>
      </c>
      <c r="X430" s="13" t="e">
        <f>Data_PLT[[#This Row],[Is50 (MPa)]]*VLOOKUP("Min",Table_PLT_Conversion[],2,FALSE)</f>
        <v>#VALUE!</v>
      </c>
      <c r="Y430" s="13" t="e">
        <f>Data_PLT[[#This Row],[Is50 (MPa)]]*VLOOKUP("Avg",Table_PLT_Conversion[],2,FALSE)</f>
        <v>#VALUE!</v>
      </c>
      <c r="Z430" s="13" t="e">
        <f>Data_PLT[[#This Row],[Is50 (MPa)]]*VLOOKUP("Max",Table_PLT_Conversion[],2,FALSE)</f>
        <v>#VALUE!</v>
      </c>
      <c r="AA430" s="62" t="e">
        <f>MATCH(LOOKUP(Data_PLT[[#This Row],[UCS min (MPa)]],Table_FieldStrength[Min UCS]),Table_FieldStrength[Min UCS],0)-1</f>
        <v>#VALUE!</v>
      </c>
      <c r="AB430" s="62" t="e">
        <f>MATCH(LOOKUP(Data_PLT[[#This Row],[UCS avg (MPa)]],Table_FieldStrength[Min UCS]),Table_FieldStrength[Min UCS],0)-1</f>
        <v>#VALUE!</v>
      </c>
      <c r="AC430" s="62" t="e">
        <f>MATCH(LOOKUP(Data_PLT[[#This Row],[UCS max (MPa)]],Table_FieldStrength[Min UCS]),Table_FieldStrength[Min UCS],0)-1</f>
        <v>#VALUE!</v>
      </c>
      <c r="AD430" s="68" t="e">
        <f>Data_PLT[[#This Row],[Test code]]&amp;"-"&amp;Data_PLT[[#This Row],[UCS min code]]</f>
        <v>#VALUE!</v>
      </c>
      <c r="AE430" s="68" t="e">
        <f>Data_PLT[[#This Row],[Test code]]&amp;"-"&amp;Data_PLT[[#This Row],[UCS avg code]]</f>
        <v>#VALUE!</v>
      </c>
      <c r="AF430" s="67" t="e">
        <f>Data_PLT[[#This Row],[Test code]]&amp;"-"&amp;Data_PLT[[#This Row],[UCS max code]]</f>
        <v>#VALUE!</v>
      </c>
      <c r="AG430" s="67" t="e">
        <f>Data_PLT[[#This Row],[Failure type]]&amp;"-"&amp;Data_PLT[[#This Row],[Test type]]&amp;"-"&amp;(IF(Data_PLT[[#This Row],[Is50 (MPa)]]&lt;1,1,IF(Data_PLT[[#This Row],[Is50 (MPa)]]&lt;2,2,IF(Data_PLT[[#This Row],[Is50 (MPa)]]&lt;4,3,IF(Data_PLT[[#This Row],[Is50 (MPa)]]&lt;8,4,5)))))</f>
        <v>#VALUE!</v>
      </c>
    </row>
    <row r="431" spans="2:33" x14ac:dyDescent="0.25">
      <c r="B431" s="88" t="e">
        <f>VLOOKUP(Data_PLT[[#This Row],[Hole ID]],Data_Log[],2,FALSE)</f>
        <v>#N/A</v>
      </c>
      <c r="C431" s="63" t="str">
        <f>IF(Data_PLT[[#This Row],[Hole ID]]="","",
IF(COUNTIF($A$4:A431,Data_PLT[[#This Row],[Hole ID]])=1,1,
IF(A431=A430,C430+1,
COUNTIF($A$4:A431,Data_PLT[[#This Row],[Hole ID]]))))</f>
        <v/>
      </c>
      <c r="D431" s="63" t="str">
        <f>IF(Data_PLT[[#This Row],[Hole ID]]="","",Data_PLT[[#This Row],[Hole ID]]&amp;"_"&amp;Data_PLT[[#This Row],[Sample ID]])</f>
        <v/>
      </c>
      <c r="E431" s="6"/>
      <c r="F431" s="6"/>
      <c r="G431" s="63" t="e" cm="1">
        <f t="array" ref="G431">_xlfn.XLOOKUP(1,(A431=Geotech!$A$4:$A$11100)*(Data_PLT[[#This Row],[Depth (m)]]&gt;=Geotech!$C$4:$C$11100)*(Data_PLT[[#This Row],[Depth (m)]]&lt;Geotech!$D$4:$D$11100),Geotech!$M$4:$M$11100)</f>
        <v>#N/A</v>
      </c>
      <c r="H431" s="6"/>
      <c r="I431" s="63" t="e">
        <f>VLOOKUP(Data_PLT[[#This Row],[Hole ID]],Data_Log[[Hole ID]:[Core size]],20,FALSE)</f>
        <v>#N/A</v>
      </c>
      <c r="J431" s="13" t="e">
        <f>VLOOKUP(Data_PLT[[#This Row],[Core Size]],Table_CoreSize[],2,FALSE)</f>
        <v>#N/A</v>
      </c>
      <c r="K431" s="19"/>
      <c r="L431" s="19"/>
      <c r="M431" s="5"/>
      <c r="N431" s="5"/>
      <c r="O431" s="6"/>
      <c r="P431" s="13" t="str">
        <f>IF(Data_PLT[[#This Row],[Failure type]]="","",IF(OR(Data_PLT[[#This Row],[Failure type]]="Invalid",Data_PLT[[#This Row],[Failure type]]="Chipped",Data_PLT[[#This Row],[Failure type]]="Penetrate",Data_PLT[[#This Row],[Failure type]]="Did not break"),"Invalid","Valid"))</f>
        <v/>
      </c>
      <c r="Q431" s="6"/>
      <c r="R431" s="11"/>
      <c r="S431" s="13" t="str">
        <f>IF(Data_PLT[[#This Row],[Test type]]="Diametral",Data_PLT[[#This Row],[Diameter (mm)]],IF(Data_PLT[[#This Row],[Test type]]="Axial",SQRT(4*Data_PLT[[#This Row],[Diameter (mm)]]*Data_PLT[[#This Row],[Length or width (mm)]]/PI()),"ERROR"))</f>
        <v>ERROR</v>
      </c>
      <c r="T431" s="13" t="e">
        <f>(Data_PLT[[#This Row],[Load (kN)]]*1000)/Data_PLT[[#This Row],[Equiv. Diam. (mm)]]^2</f>
        <v>#VALUE!</v>
      </c>
      <c r="U431" s="13" t="e">
        <f>(Data_PLT[[#This Row],[Equiv. Diam. (mm)]]/50)^0.45</f>
        <v>#VALUE!</v>
      </c>
      <c r="V431" s="13" t="e">
        <f>Data_PLT[[#This Row],[Is (MPa)]]*Data_PLT[[#This Row],[F]]</f>
        <v>#VALUE!</v>
      </c>
      <c r="W431" s="13" t="str">
        <f>Data_PLT[[#This Row],[Failure Validity]]&amp;"-"&amp;Data_PLT[[#This Row],[Test type]]</f>
        <v>-</v>
      </c>
      <c r="X431" s="13" t="e">
        <f>Data_PLT[[#This Row],[Is50 (MPa)]]*VLOOKUP("Min",Table_PLT_Conversion[],2,FALSE)</f>
        <v>#VALUE!</v>
      </c>
      <c r="Y431" s="13" t="e">
        <f>Data_PLT[[#This Row],[Is50 (MPa)]]*VLOOKUP("Avg",Table_PLT_Conversion[],2,FALSE)</f>
        <v>#VALUE!</v>
      </c>
      <c r="Z431" s="13" t="e">
        <f>Data_PLT[[#This Row],[Is50 (MPa)]]*VLOOKUP("Max",Table_PLT_Conversion[],2,FALSE)</f>
        <v>#VALUE!</v>
      </c>
      <c r="AA431" s="62" t="e">
        <f>MATCH(LOOKUP(Data_PLT[[#This Row],[UCS min (MPa)]],Table_FieldStrength[Min UCS]),Table_FieldStrength[Min UCS],0)-1</f>
        <v>#VALUE!</v>
      </c>
      <c r="AB431" s="62" t="e">
        <f>MATCH(LOOKUP(Data_PLT[[#This Row],[UCS avg (MPa)]],Table_FieldStrength[Min UCS]),Table_FieldStrength[Min UCS],0)-1</f>
        <v>#VALUE!</v>
      </c>
      <c r="AC431" s="62" t="e">
        <f>MATCH(LOOKUP(Data_PLT[[#This Row],[UCS max (MPa)]],Table_FieldStrength[Min UCS]),Table_FieldStrength[Min UCS],0)-1</f>
        <v>#VALUE!</v>
      </c>
      <c r="AD431" s="68" t="e">
        <f>Data_PLT[[#This Row],[Test code]]&amp;"-"&amp;Data_PLT[[#This Row],[UCS min code]]</f>
        <v>#VALUE!</v>
      </c>
      <c r="AE431" s="68" t="e">
        <f>Data_PLT[[#This Row],[Test code]]&amp;"-"&amp;Data_PLT[[#This Row],[UCS avg code]]</f>
        <v>#VALUE!</v>
      </c>
      <c r="AF431" s="67" t="e">
        <f>Data_PLT[[#This Row],[Test code]]&amp;"-"&amp;Data_PLT[[#This Row],[UCS max code]]</f>
        <v>#VALUE!</v>
      </c>
      <c r="AG431" s="67" t="e">
        <f>Data_PLT[[#This Row],[Failure type]]&amp;"-"&amp;Data_PLT[[#This Row],[Test type]]&amp;"-"&amp;(IF(Data_PLT[[#This Row],[Is50 (MPa)]]&lt;1,1,IF(Data_PLT[[#This Row],[Is50 (MPa)]]&lt;2,2,IF(Data_PLT[[#This Row],[Is50 (MPa)]]&lt;4,3,IF(Data_PLT[[#This Row],[Is50 (MPa)]]&lt;8,4,5)))))</f>
        <v>#VALUE!</v>
      </c>
    </row>
    <row r="432" spans="2:33" x14ac:dyDescent="0.25">
      <c r="B432" s="88" t="e">
        <f>VLOOKUP(Data_PLT[[#This Row],[Hole ID]],Data_Log[],2,FALSE)</f>
        <v>#N/A</v>
      </c>
      <c r="C432" s="63" t="str">
        <f>IF(Data_PLT[[#This Row],[Hole ID]]="","",
IF(COUNTIF($A$4:A432,Data_PLT[[#This Row],[Hole ID]])=1,1,
IF(A432=A431,C431+1,
COUNTIF($A$4:A432,Data_PLT[[#This Row],[Hole ID]]))))</f>
        <v/>
      </c>
      <c r="D432" s="63" t="str">
        <f>IF(Data_PLT[[#This Row],[Hole ID]]="","",Data_PLT[[#This Row],[Hole ID]]&amp;"_"&amp;Data_PLT[[#This Row],[Sample ID]])</f>
        <v/>
      </c>
      <c r="E432" s="6"/>
      <c r="F432" s="6"/>
      <c r="G432" s="63" t="e" cm="1">
        <f t="array" ref="G432">_xlfn.XLOOKUP(1,(A432=Geotech!$A$4:$A$11100)*(Data_PLT[[#This Row],[Depth (m)]]&gt;=Geotech!$C$4:$C$11100)*(Data_PLT[[#This Row],[Depth (m)]]&lt;Geotech!$D$4:$D$11100),Geotech!$M$4:$M$11100)</f>
        <v>#N/A</v>
      </c>
      <c r="H432" s="6"/>
      <c r="I432" s="63" t="e">
        <f>VLOOKUP(Data_PLT[[#This Row],[Hole ID]],Data_Log[[Hole ID]:[Core size]],20,FALSE)</f>
        <v>#N/A</v>
      </c>
      <c r="J432" s="13" t="e">
        <f>VLOOKUP(Data_PLT[[#This Row],[Core Size]],Table_CoreSize[],2,FALSE)</f>
        <v>#N/A</v>
      </c>
      <c r="K432" s="19"/>
      <c r="L432" s="19"/>
      <c r="M432" s="5"/>
      <c r="N432" s="5"/>
      <c r="O432" s="6"/>
      <c r="P432" s="13" t="str">
        <f>IF(Data_PLT[[#This Row],[Failure type]]="","",IF(OR(Data_PLT[[#This Row],[Failure type]]="Invalid",Data_PLT[[#This Row],[Failure type]]="Chipped",Data_PLT[[#This Row],[Failure type]]="Penetrate",Data_PLT[[#This Row],[Failure type]]="Did not break"),"Invalid","Valid"))</f>
        <v/>
      </c>
      <c r="Q432" s="6"/>
      <c r="R432" s="11"/>
      <c r="S432" s="13" t="str">
        <f>IF(Data_PLT[[#This Row],[Test type]]="Diametral",Data_PLT[[#This Row],[Diameter (mm)]],IF(Data_PLT[[#This Row],[Test type]]="Axial",SQRT(4*Data_PLT[[#This Row],[Diameter (mm)]]*Data_PLT[[#This Row],[Length or width (mm)]]/PI()),"ERROR"))</f>
        <v>ERROR</v>
      </c>
      <c r="T432" s="13" t="e">
        <f>(Data_PLT[[#This Row],[Load (kN)]]*1000)/Data_PLT[[#This Row],[Equiv. Diam. (mm)]]^2</f>
        <v>#VALUE!</v>
      </c>
      <c r="U432" s="13" t="e">
        <f>(Data_PLT[[#This Row],[Equiv. Diam. (mm)]]/50)^0.45</f>
        <v>#VALUE!</v>
      </c>
      <c r="V432" s="13" t="e">
        <f>Data_PLT[[#This Row],[Is (MPa)]]*Data_PLT[[#This Row],[F]]</f>
        <v>#VALUE!</v>
      </c>
      <c r="W432" s="13" t="str">
        <f>Data_PLT[[#This Row],[Failure Validity]]&amp;"-"&amp;Data_PLT[[#This Row],[Test type]]</f>
        <v>-</v>
      </c>
      <c r="X432" s="13" t="e">
        <f>Data_PLT[[#This Row],[Is50 (MPa)]]*VLOOKUP("Min",Table_PLT_Conversion[],2,FALSE)</f>
        <v>#VALUE!</v>
      </c>
      <c r="Y432" s="13" t="e">
        <f>Data_PLT[[#This Row],[Is50 (MPa)]]*VLOOKUP("Avg",Table_PLT_Conversion[],2,FALSE)</f>
        <v>#VALUE!</v>
      </c>
      <c r="Z432" s="13" t="e">
        <f>Data_PLT[[#This Row],[Is50 (MPa)]]*VLOOKUP("Max",Table_PLT_Conversion[],2,FALSE)</f>
        <v>#VALUE!</v>
      </c>
      <c r="AA432" s="62" t="e">
        <f>MATCH(LOOKUP(Data_PLT[[#This Row],[UCS min (MPa)]],Table_FieldStrength[Min UCS]),Table_FieldStrength[Min UCS],0)-1</f>
        <v>#VALUE!</v>
      </c>
      <c r="AB432" s="62" t="e">
        <f>MATCH(LOOKUP(Data_PLT[[#This Row],[UCS avg (MPa)]],Table_FieldStrength[Min UCS]),Table_FieldStrength[Min UCS],0)-1</f>
        <v>#VALUE!</v>
      </c>
      <c r="AC432" s="62" t="e">
        <f>MATCH(LOOKUP(Data_PLT[[#This Row],[UCS max (MPa)]],Table_FieldStrength[Min UCS]),Table_FieldStrength[Min UCS],0)-1</f>
        <v>#VALUE!</v>
      </c>
      <c r="AD432" s="68" t="e">
        <f>Data_PLT[[#This Row],[Test code]]&amp;"-"&amp;Data_PLT[[#This Row],[UCS min code]]</f>
        <v>#VALUE!</v>
      </c>
      <c r="AE432" s="68" t="e">
        <f>Data_PLT[[#This Row],[Test code]]&amp;"-"&amp;Data_PLT[[#This Row],[UCS avg code]]</f>
        <v>#VALUE!</v>
      </c>
      <c r="AF432" s="67" t="e">
        <f>Data_PLT[[#This Row],[Test code]]&amp;"-"&amp;Data_PLT[[#This Row],[UCS max code]]</f>
        <v>#VALUE!</v>
      </c>
      <c r="AG432" s="67" t="e">
        <f>Data_PLT[[#This Row],[Failure type]]&amp;"-"&amp;Data_PLT[[#This Row],[Test type]]&amp;"-"&amp;(IF(Data_PLT[[#This Row],[Is50 (MPa)]]&lt;1,1,IF(Data_PLT[[#This Row],[Is50 (MPa)]]&lt;2,2,IF(Data_PLT[[#This Row],[Is50 (MPa)]]&lt;4,3,IF(Data_PLT[[#This Row],[Is50 (MPa)]]&lt;8,4,5)))))</f>
        <v>#VALUE!</v>
      </c>
    </row>
    <row r="433" spans="2:33" x14ac:dyDescent="0.25">
      <c r="B433" s="88" t="e">
        <f>VLOOKUP(Data_PLT[[#This Row],[Hole ID]],Data_Log[],2,FALSE)</f>
        <v>#N/A</v>
      </c>
      <c r="C433" s="63" t="str">
        <f>IF(Data_PLT[[#This Row],[Hole ID]]="","",
IF(COUNTIF($A$4:A433,Data_PLT[[#This Row],[Hole ID]])=1,1,
IF(A433=A432,C432+1,
COUNTIF($A$4:A433,Data_PLT[[#This Row],[Hole ID]]))))</f>
        <v/>
      </c>
      <c r="D433" s="63" t="str">
        <f>IF(Data_PLT[[#This Row],[Hole ID]]="","",Data_PLT[[#This Row],[Hole ID]]&amp;"_"&amp;Data_PLT[[#This Row],[Sample ID]])</f>
        <v/>
      </c>
      <c r="E433" s="6"/>
      <c r="F433" s="6"/>
      <c r="G433" s="63" t="e" cm="1">
        <f t="array" ref="G433">_xlfn.XLOOKUP(1,(A433=Geotech!$A$4:$A$11100)*(Data_PLT[[#This Row],[Depth (m)]]&gt;=Geotech!$C$4:$C$11100)*(Data_PLT[[#This Row],[Depth (m)]]&lt;Geotech!$D$4:$D$11100),Geotech!$M$4:$M$11100)</f>
        <v>#N/A</v>
      </c>
      <c r="H433" s="6"/>
      <c r="I433" s="63" t="e">
        <f>VLOOKUP(Data_PLT[[#This Row],[Hole ID]],Data_Log[[Hole ID]:[Core size]],20,FALSE)</f>
        <v>#N/A</v>
      </c>
      <c r="J433" s="13" t="e">
        <f>VLOOKUP(Data_PLT[[#This Row],[Core Size]],Table_CoreSize[],2,FALSE)</f>
        <v>#N/A</v>
      </c>
      <c r="K433" s="19"/>
      <c r="L433" s="19"/>
      <c r="M433" s="5"/>
      <c r="N433" s="5"/>
      <c r="O433" s="6"/>
      <c r="P433" s="13" t="str">
        <f>IF(Data_PLT[[#This Row],[Failure type]]="","",IF(OR(Data_PLT[[#This Row],[Failure type]]="Invalid",Data_PLT[[#This Row],[Failure type]]="Chipped",Data_PLT[[#This Row],[Failure type]]="Penetrate",Data_PLT[[#This Row],[Failure type]]="Did not break"),"Invalid","Valid"))</f>
        <v/>
      </c>
      <c r="Q433" s="6"/>
      <c r="R433" s="11"/>
      <c r="S433" s="13" t="str">
        <f>IF(Data_PLT[[#This Row],[Test type]]="Diametral",Data_PLT[[#This Row],[Diameter (mm)]],IF(Data_PLT[[#This Row],[Test type]]="Axial",SQRT(4*Data_PLT[[#This Row],[Diameter (mm)]]*Data_PLT[[#This Row],[Length or width (mm)]]/PI()),"ERROR"))</f>
        <v>ERROR</v>
      </c>
      <c r="T433" s="13" t="e">
        <f>(Data_PLT[[#This Row],[Load (kN)]]*1000)/Data_PLT[[#This Row],[Equiv. Diam. (mm)]]^2</f>
        <v>#VALUE!</v>
      </c>
      <c r="U433" s="13" t="e">
        <f>(Data_PLT[[#This Row],[Equiv. Diam. (mm)]]/50)^0.45</f>
        <v>#VALUE!</v>
      </c>
      <c r="V433" s="13" t="e">
        <f>Data_PLT[[#This Row],[Is (MPa)]]*Data_PLT[[#This Row],[F]]</f>
        <v>#VALUE!</v>
      </c>
      <c r="W433" s="13" t="str">
        <f>Data_PLT[[#This Row],[Failure Validity]]&amp;"-"&amp;Data_PLT[[#This Row],[Test type]]</f>
        <v>-</v>
      </c>
      <c r="X433" s="13" t="e">
        <f>Data_PLT[[#This Row],[Is50 (MPa)]]*VLOOKUP("Min",Table_PLT_Conversion[],2,FALSE)</f>
        <v>#VALUE!</v>
      </c>
      <c r="Y433" s="13" t="e">
        <f>Data_PLT[[#This Row],[Is50 (MPa)]]*VLOOKUP("Avg",Table_PLT_Conversion[],2,FALSE)</f>
        <v>#VALUE!</v>
      </c>
      <c r="Z433" s="13" t="e">
        <f>Data_PLT[[#This Row],[Is50 (MPa)]]*VLOOKUP("Max",Table_PLT_Conversion[],2,FALSE)</f>
        <v>#VALUE!</v>
      </c>
      <c r="AA433" s="62" t="e">
        <f>MATCH(LOOKUP(Data_PLT[[#This Row],[UCS min (MPa)]],Table_FieldStrength[Min UCS]),Table_FieldStrength[Min UCS],0)-1</f>
        <v>#VALUE!</v>
      </c>
      <c r="AB433" s="62" t="e">
        <f>MATCH(LOOKUP(Data_PLT[[#This Row],[UCS avg (MPa)]],Table_FieldStrength[Min UCS]),Table_FieldStrength[Min UCS],0)-1</f>
        <v>#VALUE!</v>
      </c>
      <c r="AC433" s="62" t="e">
        <f>MATCH(LOOKUP(Data_PLT[[#This Row],[UCS max (MPa)]],Table_FieldStrength[Min UCS]),Table_FieldStrength[Min UCS],0)-1</f>
        <v>#VALUE!</v>
      </c>
      <c r="AD433" s="68" t="e">
        <f>Data_PLT[[#This Row],[Test code]]&amp;"-"&amp;Data_PLT[[#This Row],[UCS min code]]</f>
        <v>#VALUE!</v>
      </c>
      <c r="AE433" s="68" t="e">
        <f>Data_PLT[[#This Row],[Test code]]&amp;"-"&amp;Data_PLT[[#This Row],[UCS avg code]]</f>
        <v>#VALUE!</v>
      </c>
      <c r="AF433" s="67" t="e">
        <f>Data_PLT[[#This Row],[Test code]]&amp;"-"&amp;Data_PLT[[#This Row],[UCS max code]]</f>
        <v>#VALUE!</v>
      </c>
      <c r="AG433" s="67" t="e">
        <f>Data_PLT[[#This Row],[Failure type]]&amp;"-"&amp;Data_PLT[[#This Row],[Test type]]&amp;"-"&amp;(IF(Data_PLT[[#This Row],[Is50 (MPa)]]&lt;1,1,IF(Data_PLT[[#This Row],[Is50 (MPa)]]&lt;2,2,IF(Data_PLT[[#This Row],[Is50 (MPa)]]&lt;4,3,IF(Data_PLT[[#This Row],[Is50 (MPa)]]&lt;8,4,5)))))</f>
        <v>#VALUE!</v>
      </c>
    </row>
    <row r="434" spans="2:33" x14ac:dyDescent="0.25">
      <c r="B434" s="88" t="e">
        <f>VLOOKUP(Data_PLT[[#This Row],[Hole ID]],Data_Log[],2,FALSE)</f>
        <v>#N/A</v>
      </c>
      <c r="C434" s="63" t="str">
        <f>IF(Data_PLT[[#This Row],[Hole ID]]="","",
IF(COUNTIF($A$4:A434,Data_PLT[[#This Row],[Hole ID]])=1,1,
IF(A434=A433,C433+1,
COUNTIF($A$4:A434,Data_PLT[[#This Row],[Hole ID]]))))</f>
        <v/>
      </c>
      <c r="D434" s="63" t="str">
        <f>IF(Data_PLT[[#This Row],[Hole ID]]="","",Data_PLT[[#This Row],[Hole ID]]&amp;"_"&amp;Data_PLT[[#This Row],[Sample ID]])</f>
        <v/>
      </c>
      <c r="E434" s="6"/>
      <c r="F434" s="6"/>
      <c r="G434" s="63" t="e" cm="1">
        <f t="array" ref="G434">_xlfn.XLOOKUP(1,(A434=Geotech!$A$4:$A$11100)*(Data_PLT[[#This Row],[Depth (m)]]&gt;=Geotech!$C$4:$C$11100)*(Data_PLT[[#This Row],[Depth (m)]]&lt;Geotech!$D$4:$D$11100),Geotech!$M$4:$M$11100)</f>
        <v>#N/A</v>
      </c>
      <c r="H434" s="6"/>
      <c r="I434" s="63" t="e">
        <f>VLOOKUP(Data_PLT[[#This Row],[Hole ID]],Data_Log[[Hole ID]:[Core size]],20,FALSE)</f>
        <v>#N/A</v>
      </c>
      <c r="J434" s="13" t="e">
        <f>VLOOKUP(Data_PLT[[#This Row],[Core Size]],Table_CoreSize[],2,FALSE)</f>
        <v>#N/A</v>
      </c>
      <c r="K434" s="19"/>
      <c r="L434" s="19"/>
      <c r="M434" s="5"/>
      <c r="N434" s="5"/>
      <c r="O434" s="6"/>
      <c r="P434" s="13" t="str">
        <f>IF(Data_PLT[[#This Row],[Failure type]]="","",IF(OR(Data_PLT[[#This Row],[Failure type]]="Invalid",Data_PLT[[#This Row],[Failure type]]="Chipped",Data_PLT[[#This Row],[Failure type]]="Penetrate",Data_PLT[[#This Row],[Failure type]]="Did not break"),"Invalid","Valid"))</f>
        <v/>
      </c>
      <c r="Q434" s="6"/>
      <c r="R434" s="11"/>
      <c r="S434" s="13" t="str">
        <f>IF(Data_PLT[[#This Row],[Test type]]="Diametral",Data_PLT[[#This Row],[Diameter (mm)]],IF(Data_PLT[[#This Row],[Test type]]="Axial",SQRT(4*Data_PLT[[#This Row],[Diameter (mm)]]*Data_PLT[[#This Row],[Length or width (mm)]]/PI()),"ERROR"))</f>
        <v>ERROR</v>
      </c>
      <c r="T434" s="13" t="e">
        <f>(Data_PLT[[#This Row],[Load (kN)]]*1000)/Data_PLT[[#This Row],[Equiv. Diam. (mm)]]^2</f>
        <v>#VALUE!</v>
      </c>
      <c r="U434" s="13" t="e">
        <f>(Data_PLT[[#This Row],[Equiv. Diam. (mm)]]/50)^0.45</f>
        <v>#VALUE!</v>
      </c>
      <c r="V434" s="13" t="e">
        <f>Data_PLT[[#This Row],[Is (MPa)]]*Data_PLT[[#This Row],[F]]</f>
        <v>#VALUE!</v>
      </c>
      <c r="W434" s="13" t="str">
        <f>Data_PLT[[#This Row],[Failure Validity]]&amp;"-"&amp;Data_PLT[[#This Row],[Test type]]</f>
        <v>-</v>
      </c>
      <c r="X434" s="13" t="e">
        <f>Data_PLT[[#This Row],[Is50 (MPa)]]*VLOOKUP("Min",Table_PLT_Conversion[],2,FALSE)</f>
        <v>#VALUE!</v>
      </c>
      <c r="Y434" s="13" t="e">
        <f>Data_PLT[[#This Row],[Is50 (MPa)]]*VLOOKUP("Avg",Table_PLT_Conversion[],2,FALSE)</f>
        <v>#VALUE!</v>
      </c>
      <c r="Z434" s="13" t="e">
        <f>Data_PLT[[#This Row],[Is50 (MPa)]]*VLOOKUP("Max",Table_PLT_Conversion[],2,FALSE)</f>
        <v>#VALUE!</v>
      </c>
      <c r="AA434" s="62" t="e">
        <f>MATCH(LOOKUP(Data_PLT[[#This Row],[UCS min (MPa)]],Table_FieldStrength[Min UCS]),Table_FieldStrength[Min UCS],0)-1</f>
        <v>#VALUE!</v>
      </c>
      <c r="AB434" s="62" t="e">
        <f>MATCH(LOOKUP(Data_PLT[[#This Row],[UCS avg (MPa)]],Table_FieldStrength[Min UCS]),Table_FieldStrength[Min UCS],0)-1</f>
        <v>#VALUE!</v>
      </c>
      <c r="AC434" s="62" t="e">
        <f>MATCH(LOOKUP(Data_PLT[[#This Row],[UCS max (MPa)]],Table_FieldStrength[Min UCS]),Table_FieldStrength[Min UCS],0)-1</f>
        <v>#VALUE!</v>
      </c>
      <c r="AD434" s="68" t="e">
        <f>Data_PLT[[#This Row],[Test code]]&amp;"-"&amp;Data_PLT[[#This Row],[UCS min code]]</f>
        <v>#VALUE!</v>
      </c>
      <c r="AE434" s="68" t="e">
        <f>Data_PLT[[#This Row],[Test code]]&amp;"-"&amp;Data_PLT[[#This Row],[UCS avg code]]</f>
        <v>#VALUE!</v>
      </c>
      <c r="AF434" s="67" t="e">
        <f>Data_PLT[[#This Row],[Test code]]&amp;"-"&amp;Data_PLT[[#This Row],[UCS max code]]</f>
        <v>#VALUE!</v>
      </c>
      <c r="AG434" s="67" t="e">
        <f>Data_PLT[[#This Row],[Failure type]]&amp;"-"&amp;Data_PLT[[#This Row],[Test type]]&amp;"-"&amp;(IF(Data_PLT[[#This Row],[Is50 (MPa)]]&lt;1,1,IF(Data_PLT[[#This Row],[Is50 (MPa)]]&lt;2,2,IF(Data_PLT[[#This Row],[Is50 (MPa)]]&lt;4,3,IF(Data_PLT[[#This Row],[Is50 (MPa)]]&lt;8,4,5)))))</f>
        <v>#VALUE!</v>
      </c>
    </row>
    <row r="435" spans="2:33" x14ac:dyDescent="0.25">
      <c r="B435" s="88" t="e">
        <f>VLOOKUP(Data_PLT[[#This Row],[Hole ID]],Data_Log[],2,FALSE)</f>
        <v>#N/A</v>
      </c>
      <c r="C435" s="63" t="str">
        <f>IF(Data_PLT[[#This Row],[Hole ID]]="","",
IF(COUNTIF($A$4:A435,Data_PLT[[#This Row],[Hole ID]])=1,1,
IF(A435=A434,C434+1,
COUNTIF($A$4:A435,Data_PLT[[#This Row],[Hole ID]]))))</f>
        <v/>
      </c>
      <c r="D435" s="63" t="str">
        <f>IF(Data_PLT[[#This Row],[Hole ID]]="","",Data_PLT[[#This Row],[Hole ID]]&amp;"_"&amp;Data_PLT[[#This Row],[Sample ID]])</f>
        <v/>
      </c>
      <c r="E435" s="6"/>
      <c r="F435" s="6"/>
      <c r="G435" s="63" t="e" cm="1">
        <f t="array" ref="G435">_xlfn.XLOOKUP(1,(A435=Geotech!$A$4:$A$11100)*(Data_PLT[[#This Row],[Depth (m)]]&gt;=Geotech!$C$4:$C$11100)*(Data_PLT[[#This Row],[Depth (m)]]&lt;Geotech!$D$4:$D$11100),Geotech!$M$4:$M$11100)</f>
        <v>#N/A</v>
      </c>
      <c r="H435" s="6"/>
      <c r="I435" s="63" t="e">
        <f>VLOOKUP(Data_PLT[[#This Row],[Hole ID]],Data_Log[[Hole ID]:[Core size]],20,FALSE)</f>
        <v>#N/A</v>
      </c>
      <c r="J435" s="13" t="e">
        <f>VLOOKUP(Data_PLT[[#This Row],[Core Size]],Table_CoreSize[],2,FALSE)</f>
        <v>#N/A</v>
      </c>
      <c r="K435" s="19"/>
      <c r="L435" s="19"/>
      <c r="M435" s="5"/>
      <c r="N435" s="5"/>
      <c r="O435" s="6"/>
      <c r="P435" s="13" t="str">
        <f>IF(Data_PLT[[#This Row],[Failure type]]="","",IF(OR(Data_PLT[[#This Row],[Failure type]]="Invalid",Data_PLT[[#This Row],[Failure type]]="Chipped",Data_PLT[[#This Row],[Failure type]]="Penetrate",Data_PLT[[#This Row],[Failure type]]="Did not break"),"Invalid","Valid"))</f>
        <v/>
      </c>
      <c r="Q435" s="6"/>
      <c r="R435" s="11"/>
      <c r="S435" s="13" t="str">
        <f>IF(Data_PLT[[#This Row],[Test type]]="Diametral",Data_PLT[[#This Row],[Diameter (mm)]],IF(Data_PLT[[#This Row],[Test type]]="Axial",SQRT(4*Data_PLT[[#This Row],[Diameter (mm)]]*Data_PLT[[#This Row],[Length or width (mm)]]/PI()),"ERROR"))</f>
        <v>ERROR</v>
      </c>
      <c r="T435" s="13" t="e">
        <f>(Data_PLT[[#This Row],[Load (kN)]]*1000)/Data_PLT[[#This Row],[Equiv. Diam. (mm)]]^2</f>
        <v>#VALUE!</v>
      </c>
      <c r="U435" s="13" t="e">
        <f>(Data_PLT[[#This Row],[Equiv. Diam. (mm)]]/50)^0.45</f>
        <v>#VALUE!</v>
      </c>
      <c r="V435" s="13" t="e">
        <f>Data_PLT[[#This Row],[Is (MPa)]]*Data_PLT[[#This Row],[F]]</f>
        <v>#VALUE!</v>
      </c>
      <c r="W435" s="13" t="str">
        <f>Data_PLT[[#This Row],[Failure Validity]]&amp;"-"&amp;Data_PLT[[#This Row],[Test type]]</f>
        <v>-</v>
      </c>
      <c r="X435" s="13" t="e">
        <f>Data_PLT[[#This Row],[Is50 (MPa)]]*VLOOKUP("Min",Table_PLT_Conversion[],2,FALSE)</f>
        <v>#VALUE!</v>
      </c>
      <c r="Y435" s="13" t="e">
        <f>Data_PLT[[#This Row],[Is50 (MPa)]]*VLOOKUP("Avg",Table_PLT_Conversion[],2,FALSE)</f>
        <v>#VALUE!</v>
      </c>
      <c r="Z435" s="13" t="e">
        <f>Data_PLT[[#This Row],[Is50 (MPa)]]*VLOOKUP("Max",Table_PLT_Conversion[],2,FALSE)</f>
        <v>#VALUE!</v>
      </c>
      <c r="AA435" s="62" t="e">
        <f>MATCH(LOOKUP(Data_PLT[[#This Row],[UCS min (MPa)]],Table_FieldStrength[Min UCS]),Table_FieldStrength[Min UCS],0)-1</f>
        <v>#VALUE!</v>
      </c>
      <c r="AB435" s="62" t="e">
        <f>MATCH(LOOKUP(Data_PLT[[#This Row],[UCS avg (MPa)]],Table_FieldStrength[Min UCS]),Table_FieldStrength[Min UCS],0)-1</f>
        <v>#VALUE!</v>
      </c>
      <c r="AC435" s="62" t="e">
        <f>MATCH(LOOKUP(Data_PLT[[#This Row],[UCS max (MPa)]],Table_FieldStrength[Min UCS]),Table_FieldStrength[Min UCS],0)-1</f>
        <v>#VALUE!</v>
      </c>
      <c r="AD435" s="68" t="e">
        <f>Data_PLT[[#This Row],[Test code]]&amp;"-"&amp;Data_PLT[[#This Row],[UCS min code]]</f>
        <v>#VALUE!</v>
      </c>
      <c r="AE435" s="68" t="e">
        <f>Data_PLT[[#This Row],[Test code]]&amp;"-"&amp;Data_PLT[[#This Row],[UCS avg code]]</f>
        <v>#VALUE!</v>
      </c>
      <c r="AF435" s="67" t="e">
        <f>Data_PLT[[#This Row],[Test code]]&amp;"-"&amp;Data_PLT[[#This Row],[UCS max code]]</f>
        <v>#VALUE!</v>
      </c>
      <c r="AG435" s="67" t="e">
        <f>Data_PLT[[#This Row],[Failure type]]&amp;"-"&amp;Data_PLT[[#This Row],[Test type]]&amp;"-"&amp;(IF(Data_PLT[[#This Row],[Is50 (MPa)]]&lt;1,1,IF(Data_PLT[[#This Row],[Is50 (MPa)]]&lt;2,2,IF(Data_PLT[[#This Row],[Is50 (MPa)]]&lt;4,3,IF(Data_PLT[[#This Row],[Is50 (MPa)]]&lt;8,4,5)))))</f>
        <v>#VALUE!</v>
      </c>
    </row>
    <row r="436" spans="2:33" x14ac:dyDescent="0.25">
      <c r="B436" s="88" t="e">
        <f>VLOOKUP(Data_PLT[[#This Row],[Hole ID]],Data_Log[],2,FALSE)</f>
        <v>#N/A</v>
      </c>
      <c r="C436" s="63" t="str">
        <f>IF(Data_PLT[[#This Row],[Hole ID]]="","",
IF(COUNTIF($A$4:A436,Data_PLT[[#This Row],[Hole ID]])=1,1,
IF(A436=A435,C435+1,
COUNTIF($A$4:A436,Data_PLT[[#This Row],[Hole ID]]))))</f>
        <v/>
      </c>
      <c r="D436" s="63" t="str">
        <f>IF(Data_PLT[[#This Row],[Hole ID]]="","",Data_PLT[[#This Row],[Hole ID]]&amp;"_"&amp;Data_PLT[[#This Row],[Sample ID]])</f>
        <v/>
      </c>
      <c r="E436" s="6"/>
      <c r="F436" s="6"/>
      <c r="G436" s="63" t="e" cm="1">
        <f t="array" ref="G436">_xlfn.XLOOKUP(1,(A436=Geotech!$A$4:$A$11100)*(Data_PLT[[#This Row],[Depth (m)]]&gt;=Geotech!$C$4:$C$11100)*(Data_PLT[[#This Row],[Depth (m)]]&lt;Geotech!$D$4:$D$11100),Geotech!$M$4:$M$11100)</f>
        <v>#N/A</v>
      </c>
      <c r="H436" s="6"/>
      <c r="I436" s="63" t="e">
        <f>VLOOKUP(Data_PLT[[#This Row],[Hole ID]],Data_Log[[Hole ID]:[Core size]],20,FALSE)</f>
        <v>#N/A</v>
      </c>
      <c r="J436" s="13" t="e">
        <f>VLOOKUP(Data_PLT[[#This Row],[Core Size]],Table_CoreSize[],2,FALSE)</f>
        <v>#N/A</v>
      </c>
      <c r="K436" s="19"/>
      <c r="L436" s="19"/>
      <c r="M436" s="5"/>
      <c r="N436" s="5"/>
      <c r="O436" s="6"/>
      <c r="P436" s="13" t="str">
        <f>IF(Data_PLT[[#This Row],[Failure type]]="","",IF(OR(Data_PLT[[#This Row],[Failure type]]="Invalid",Data_PLT[[#This Row],[Failure type]]="Chipped",Data_PLT[[#This Row],[Failure type]]="Penetrate",Data_PLT[[#This Row],[Failure type]]="Did not break"),"Invalid","Valid"))</f>
        <v/>
      </c>
      <c r="Q436" s="6"/>
      <c r="R436" s="11"/>
      <c r="S436" s="13" t="str">
        <f>IF(Data_PLT[[#This Row],[Test type]]="Diametral",Data_PLT[[#This Row],[Diameter (mm)]],IF(Data_PLT[[#This Row],[Test type]]="Axial",SQRT(4*Data_PLT[[#This Row],[Diameter (mm)]]*Data_PLT[[#This Row],[Length or width (mm)]]/PI()),"ERROR"))</f>
        <v>ERROR</v>
      </c>
      <c r="T436" s="13" t="e">
        <f>(Data_PLT[[#This Row],[Load (kN)]]*1000)/Data_PLT[[#This Row],[Equiv. Diam. (mm)]]^2</f>
        <v>#VALUE!</v>
      </c>
      <c r="U436" s="13" t="e">
        <f>(Data_PLT[[#This Row],[Equiv. Diam. (mm)]]/50)^0.45</f>
        <v>#VALUE!</v>
      </c>
      <c r="V436" s="13" t="e">
        <f>Data_PLT[[#This Row],[Is (MPa)]]*Data_PLT[[#This Row],[F]]</f>
        <v>#VALUE!</v>
      </c>
      <c r="W436" s="13" t="str">
        <f>Data_PLT[[#This Row],[Failure Validity]]&amp;"-"&amp;Data_PLT[[#This Row],[Test type]]</f>
        <v>-</v>
      </c>
      <c r="X436" s="13" t="e">
        <f>Data_PLT[[#This Row],[Is50 (MPa)]]*VLOOKUP("Min",Table_PLT_Conversion[],2,FALSE)</f>
        <v>#VALUE!</v>
      </c>
      <c r="Y436" s="13" t="e">
        <f>Data_PLT[[#This Row],[Is50 (MPa)]]*VLOOKUP("Avg",Table_PLT_Conversion[],2,FALSE)</f>
        <v>#VALUE!</v>
      </c>
      <c r="Z436" s="13" t="e">
        <f>Data_PLT[[#This Row],[Is50 (MPa)]]*VLOOKUP("Max",Table_PLT_Conversion[],2,FALSE)</f>
        <v>#VALUE!</v>
      </c>
      <c r="AA436" s="62" t="e">
        <f>MATCH(LOOKUP(Data_PLT[[#This Row],[UCS min (MPa)]],Table_FieldStrength[Min UCS]),Table_FieldStrength[Min UCS],0)-1</f>
        <v>#VALUE!</v>
      </c>
      <c r="AB436" s="62" t="e">
        <f>MATCH(LOOKUP(Data_PLT[[#This Row],[UCS avg (MPa)]],Table_FieldStrength[Min UCS]),Table_FieldStrength[Min UCS],0)-1</f>
        <v>#VALUE!</v>
      </c>
      <c r="AC436" s="62" t="e">
        <f>MATCH(LOOKUP(Data_PLT[[#This Row],[UCS max (MPa)]],Table_FieldStrength[Min UCS]),Table_FieldStrength[Min UCS],0)-1</f>
        <v>#VALUE!</v>
      </c>
      <c r="AD436" s="68" t="e">
        <f>Data_PLT[[#This Row],[Test code]]&amp;"-"&amp;Data_PLT[[#This Row],[UCS min code]]</f>
        <v>#VALUE!</v>
      </c>
      <c r="AE436" s="68" t="e">
        <f>Data_PLT[[#This Row],[Test code]]&amp;"-"&amp;Data_PLT[[#This Row],[UCS avg code]]</f>
        <v>#VALUE!</v>
      </c>
      <c r="AF436" s="67" t="e">
        <f>Data_PLT[[#This Row],[Test code]]&amp;"-"&amp;Data_PLT[[#This Row],[UCS max code]]</f>
        <v>#VALUE!</v>
      </c>
      <c r="AG436" s="67" t="e">
        <f>Data_PLT[[#This Row],[Failure type]]&amp;"-"&amp;Data_PLT[[#This Row],[Test type]]&amp;"-"&amp;(IF(Data_PLT[[#This Row],[Is50 (MPa)]]&lt;1,1,IF(Data_PLT[[#This Row],[Is50 (MPa)]]&lt;2,2,IF(Data_PLT[[#This Row],[Is50 (MPa)]]&lt;4,3,IF(Data_PLT[[#This Row],[Is50 (MPa)]]&lt;8,4,5)))))</f>
        <v>#VALUE!</v>
      </c>
    </row>
    <row r="437" spans="2:33" x14ac:dyDescent="0.25">
      <c r="B437" s="88" t="e">
        <f>VLOOKUP(Data_PLT[[#This Row],[Hole ID]],Data_Log[],2,FALSE)</f>
        <v>#N/A</v>
      </c>
      <c r="C437" s="63" t="str">
        <f>IF(Data_PLT[[#This Row],[Hole ID]]="","",
IF(COUNTIF($A$4:A437,Data_PLT[[#This Row],[Hole ID]])=1,1,
IF(A437=A436,C436+1,
COUNTIF($A$4:A437,Data_PLT[[#This Row],[Hole ID]]))))</f>
        <v/>
      </c>
      <c r="D437" s="63" t="str">
        <f>IF(Data_PLT[[#This Row],[Hole ID]]="","",Data_PLT[[#This Row],[Hole ID]]&amp;"_"&amp;Data_PLT[[#This Row],[Sample ID]])</f>
        <v/>
      </c>
      <c r="E437" s="6"/>
      <c r="F437" s="6"/>
      <c r="G437" s="63" t="e" cm="1">
        <f t="array" ref="G437">_xlfn.XLOOKUP(1,(A437=Geotech!$A$4:$A$11100)*(Data_PLT[[#This Row],[Depth (m)]]&gt;=Geotech!$C$4:$C$11100)*(Data_PLT[[#This Row],[Depth (m)]]&lt;Geotech!$D$4:$D$11100),Geotech!$M$4:$M$11100)</f>
        <v>#N/A</v>
      </c>
      <c r="H437" s="6"/>
      <c r="I437" s="63" t="e">
        <f>VLOOKUP(Data_PLT[[#This Row],[Hole ID]],Data_Log[[Hole ID]:[Core size]],20,FALSE)</f>
        <v>#N/A</v>
      </c>
      <c r="J437" s="13" t="e">
        <f>VLOOKUP(Data_PLT[[#This Row],[Core Size]],Table_CoreSize[],2,FALSE)</f>
        <v>#N/A</v>
      </c>
      <c r="K437" s="19"/>
      <c r="L437" s="19"/>
      <c r="M437" s="5"/>
      <c r="N437" s="5"/>
      <c r="O437" s="6"/>
      <c r="P437" s="13" t="str">
        <f>IF(Data_PLT[[#This Row],[Failure type]]="","",IF(OR(Data_PLT[[#This Row],[Failure type]]="Invalid",Data_PLT[[#This Row],[Failure type]]="Chipped",Data_PLT[[#This Row],[Failure type]]="Penetrate",Data_PLT[[#This Row],[Failure type]]="Did not break"),"Invalid","Valid"))</f>
        <v/>
      </c>
      <c r="Q437" s="6"/>
      <c r="R437" s="11"/>
      <c r="S437" s="13" t="str">
        <f>IF(Data_PLT[[#This Row],[Test type]]="Diametral",Data_PLT[[#This Row],[Diameter (mm)]],IF(Data_PLT[[#This Row],[Test type]]="Axial",SQRT(4*Data_PLT[[#This Row],[Diameter (mm)]]*Data_PLT[[#This Row],[Length or width (mm)]]/PI()),"ERROR"))</f>
        <v>ERROR</v>
      </c>
      <c r="T437" s="13" t="e">
        <f>(Data_PLT[[#This Row],[Load (kN)]]*1000)/Data_PLT[[#This Row],[Equiv. Diam. (mm)]]^2</f>
        <v>#VALUE!</v>
      </c>
      <c r="U437" s="13" t="e">
        <f>(Data_PLT[[#This Row],[Equiv. Diam. (mm)]]/50)^0.45</f>
        <v>#VALUE!</v>
      </c>
      <c r="V437" s="13" t="e">
        <f>Data_PLT[[#This Row],[Is (MPa)]]*Data_PLT[[#This Row],[F]]</f>
        <v>#VALUE!</v>
      </c>
      <c r="W437" s="13" t="str">
        <f>Data_PLT[[#This Row],[Failure Validity]]&amp;"-"&amp;Data_PLT[[#This Row],[Test type]]</f>
        <v>-</v>
      </c>
      <c r="X437" s="13" t="e">
        <f>Data_PLT[[#This Row],[Is50 (MPa)]]*VLOOKUP("Min",Table_PLT_Conversion[],2,FALSE)</f>
        <v>#VALUE!</v>
      </c>
      <c r="Y437" s="13" t="e">
        <f>Data_PLT[[#This Row],[Is50 (MPa)]]*VLOOKUP("Avg",Table_PLT_Conversion[],2,FALSE)</f>
        <v>#VALUE!</v>
      </c>
      <c r="Z437" s="13" t="e">
        <f>Data_PLT[[#This Row],[Is50 (MPa)]]*VLOOKUP("Max",Table_PLT_Conversion[],2,FALSE)</f>
        <v>#VALUE!</v>
      </c>
      <c r="AA437" s="62" t="e">
        <f>MATCH(LOOKUP(Data_PLT[[#This Row],[UCS min (MPa)]],Table_FieldStrength[Min UCS]),Table_FieldStrength[Min UCS],0)-1</f>
        <v>#VALUE!</v>
      </c>
      <c r="AB437" s="62" t="e">
        <f>MATCH(LOOKUP(Data_PLT[[#This Row],[UCS avg (MPa)]],Table_FieldStrength[Min UCS]),Table_FieldStrength[Min UCS],0)-1</f>
        <v>#VALUE!</v>
      </c>
      <c r="AC437" s="62" t="e">
        <f>MATCH(LOOKUP(Data_PLT[[#This Row],[UCS max (MPa)]],Table_FieldStrength[Min UCS]),Table_FieldStrength[Min UCS],0)-1</f>
        <v>#VALUE!</v>
      </c>
      <c r="AD437" s="68" t="e">
        <f>Data_PLT[[#This Row],[Test code]]&amp;"-"&amp;Data_PLT[[#This Row],[UCS min code]]</f>
        <v>#VALUE!</v>
      </c>
      <c r="AE437" s="68" t="e">
        <f>Data_PLT[[#This Row],[Test code]]&amp;"-"&amp;Data_PLT[[#This Row],[UCS avg code]]</f>
        <v>#VALUE!</v>
      </c>
      <c r="AF437" s="67" t="e">
        <f>Data_PLT[[#This Row],[Test code]]&amp;"-"&amp;Data_PLT[[#This Row],[UCS max code]]</f>
        <v>#VALUE!</v>
      </c>
      <c r="AG437" s="67" t="e">
        <f>Data_PLT[[#This Row],[Failure type]]&amp;"-"&amp;Data_PLT[[#This Row],[Test type]]&amp;"-"&amp;(IF(Data_PLT[[#This Row],[Is50 (MPa)]]&lt;1,1,IF(Data_PLT[[#This Row],[Is50 (MPa)]]&lt;2,2,IF(Data_PLT[[#This Row],[Is50 (MPa)]]&lt;4,3,IF(Data_PLT[[#This Row],[Is50 (MPa)]]&lt;8,4,5)))))</f>
        <v>#VALUE!</v>
      </c>
    </row>
    <row r="438" spans="2:33" x14ac:dyDescent="0.25">
      <c r="B438" s="88" t="e">
        <f>VLOOKUP(Data_PLT[[#This Row],[Hole ID]],Data_Log[],2,FALSE)</f>
        <v>#N/A</v>
      </c>
      <c r="C438" s="63" t="str">
        <f>IF(Data_PLT[[#This Row],[Hole ID]]="","",
IF(COUNTIF($A$4:A438,Data_PLT[[#This Row],[Hole ID]])=1,1,
IF(A438=A437,C437+1,
COUNTIF($A$4:A438,Data_PLT[[#This Row],[Hole ID]]))))</f>
        <v/>
      </c>
      <c r="D438" s="63" t="str">
        <f>IF(Data_PLT[[#This Row],[Hole ID]]="","",Data_PLT[[#This Row],[Hole ID]]&amp;"_"&amp;Data_PLT[[#This Row],[Sample ID]])</f>
        <v/>
      </c>
      <c r="E438" s="6"/>
      <c r="F438" s="6"/>
      <c r="G438" s="63" t="e" cm="1">
        <f t="array" ref="G438">_xlfn.XLOOKUP(1,(A438=Geotech!$A$4:$A$11100)*(Data_PLT[[#This Row],[Depth (m)]]&gt;=Geotech!$C$4:$C$11100)*(Data_PLT[[#This Row],[Depth (m)]]&lt;Geotech!$D$4:$D$11100),Geotech!$M$4:$M$11100)</f>
        <v>#N/A</v>
      </c>
      <c r="H438" s="6"/>
      <c r="I438" s="63" t="e">
        <f>VLOOKUP(Data_PLT[[#This Row],[Hole ID]],Data_Log[[Hole ID]:[Core size]],20,FALSE)</f>
        <v>#N/A</v>
      </c>
      <c r="J438" s="13" t="e">
        <f>VLOOKUP(Data_PLT[[#This Row],[Core Size]],Table_CoreSize[],2,FALSE)</f>
        <v>#N/A</v>
      </c>
      <c r="K438" s="19"/>
      <c r="L438" s="19"/>
      <c r="M438" s="5"/>
      <c r="N438" s="5"/>
      <c r="O438" s="6"/>
      <c r="P438" s="13" t="str">
        <f>IF(Data_PLT[[#This Row],[Failure type]]="","",IF(OR(Data_PLT[[#This Row],[Failure type]]="Invalid",Data_PLT[[#This Row],[Failure type]]="Chipped",Data_PLT[[#This Row],[Failure type]]="Penetrate",Data_PLT[[#This Row],[Failure type]]="Did not break"),"Invalid","Valid"))</f>
        <v/>
      </c>
      <c r="Q438" s="6"/>
      <c r="R438" s="11"/>
      <c r="S438" s="13" t="str">
        <f>IF(Data_PLT[[#This Row],[Test type]]="Diametral",Data_PLT[[#This Row],[Diameter (mm)]],IF(Data_PLT[[#This Row],[Test type]]="Axial",SQRT(4*Data_PLT[[#This Row],[Diameter (mm)]]*Data_PLT[[#This Row],[Length or width (mm)]]/PI()),"ERROR"))</f>
        <v>ERROR</v>
      </c>
      <c r="T438" s="13" t="e">
        <f>(Data_PLT[[#This Row],[Load (kN)]]*1000)/Data_PLT[[#This Row],[Equiv. Diam. (mm)]]^2</f>
        <v>#VALUE!</v>
      </c>
      <c r="U438" s="13" t="e">
        <f>(Data_PLT[[#This Row],[Equiv. Diam. (mm)]]/50)^0.45</f>
        <v>#VALUE!</v>
      </c>
      <c r="V438" s="13" t="e">
        <f>Data_PLT[[#This Row],[Is (MPa)]]*Data_PLT[[#This Row],[F]]</f>
        <v>#VALUE!</v>
      </c>
      <c r="W438" s="13" t="str">
        <f>Data_PLT[[#This Row],[Failure Validity]]&amp;"-"&amp;Data_PLT[[#This Row],[Test type]]</f>
        <v>-</v>
      </c>
      <c r="X438" s="13" t="e">
        <f>Data_PLT[[#This Row],[Is50 (MPa)]]*VLOOKUP("Min",Table_PLT_Conversion[],2,FALSE)</f>
        <v>#VALUE!</v>
      </c>
      <c r="Y438" s="13" t="e">
        <f>Data_PLT[[#This Row],[Is50 (MPa)]]*VLOOKUP("Avg",Table_PLT_Conversion[],2,FALSE)</f>
        <v>#VALUE!</v>
      </c>
      <c r="Z438" s="13" t="e">
        <f>Data_PLT[[#This Row],[Is50 (MPa)]]*VLOOKUP("Max",Table_PLT_Conversion[],2,FALSE)</f>
        <v>#VALUE!</v>
      </c>
      <c r="AA438" s="62" t="e">
        <f>MATCH(LOOKUP(Data_PLT[[#This Row],[UCS min (MPa)]],Table_FieldStrength[Min UCS]),Table_FieldStrength[Min UCS],0)-1</f>
        <v>#VALUE!</v>
      </c>
      <c r="AB438" s="62" t="e">
        <f>MATCH(LOOKUP(Data_PLT[[#This Row],[UCS avg (MPa)]],Table_FieldStrength[Min UCS]),Table_FieldStrength[Min UCS],0)-1</f>
        <v>#VALUE!</v>
      </c>
      <c r="AC438" s="62" t="e">
        <f>MATCH(LOOKUP(Data_PLT[[#This Row],[UCS max (MPa)]],Table_FieldStrength[Min UCS]),Table_FieldStrength[Min UCS],0)-1</f>
        <v>#VALUE!</v>
      </c>
      <c r="AD438" s="68" t="e">
        <f>Data_PLT[[#This Row],[Test code]]&amp;"-"&amp;Data_PLT[[#This Row],[UCS min code]]</f>
        <v>#VALUE!</v>
      </c>
      <c r="AE438" s="68" t="e">
        <f>Data_PLT[[#This Row],[Test code]]&amp;"-"&amp;Data_PLT[[#This Row],[UCS avg code]]</f>
        <v>#VALUE!</v>
      </c>
      <c r="AF438" s="67" t="e">
        <f>Data_PLT[[#This Row],[Test code]]&amp;"-"&amp;Data_PLT[[#This Row],[UCS max code]]</f>
        <v>#VALUE!</v>
      </c>
      <c r="AG438" s="67" t="e">
        <f>Data_PLT[[#This Row],[Failure type]]&amp;"-"&amp;Data_PLT[[#This Row],[Test type]]&amp;"-"&amp;(IF(Data_PLT[[#This Row],[Is50 (MPa)]]&lt;1,1,IF(Data_PLT[[#This Row],[Is50 (MPa)]]&lt;2,2,IF(Data_PLT[[#This Row],[Is50 (MPa)]]&lt;4,3,IF(Data_PLT[[#This Row],[Is50 (MPa)]]&lt;8,4,5)))))</f>
        <v>#VALUE!</v>
      </c>
    </row>
    <row r="439" spans="2:33" x14ac:dyDescent="0.25">
      <c r="B439" s="88" t="e">
        <f>VLOOKUP(Data_PLT[[#This Row],[Hole ID]],Data_Log[],2,FALSE)</f>
        <v>#N/A</v>
      </c>
      <c r="C439" s="63" t="str">
        <f>IF(Data_PLT[[#This Row],[Hole ID]]="","",
IF(COUNTIF($A$4:A439,Data_PLT[[#This Row],[Hole ID]])=1,1,
IF(A439=A438,C438+1,
COUNTIF($A$4:A439,Data_PLT[[#This Row],[Hole ID]]))))</f>
        <v/>
      </c>
      <c r="D439" s="63" t="str">
        <f>IF(Data_PLT[[#This Row],[Hole ID]]="","",Data_PLT[[#This Row],[Hole ID]]&amp;"_"&amp;Data_PLT[[#This Row],[Sample ID]])</f>
        <v/>
      </c>
      <c r="E439" s="6"/>
      <c r="F439" s="6"/>
      <c r="G439" s="63" t="e" cm="1">
        <f t="array" ref="G439">_xlfn.XLOOKUP(1,(A439=Geotech!$A$4:$A$11100)*(Data_PLT[[#This Row],[Depth (m)]]&gt;=Geotech!$C$4:$C$11100)*(Data_PLT[[#This Row],[Depth (m)]]&lt;Geotech!$D$4:$D$11100),Geotech!$M$4:$M$11100)</f>
        <v>#N/A</v>
      </c>
      <c r="H439" s="6"/>
      <c r="I439" s="63" t="e">
        <f>VLOOKUP(Data_PLT[[#This Row],[Hole ID]],Data_Log[[Hole ID]:[Core size]],20,FALSE)</f>
        <v>#N/A</v>
      </c>
      <c r="J439" s="13" t="e">
        <f>VLOOKUP(Data_PLT[[#This Row],[Core Size]],Table_CoreSize[],2,FALSE)</f>
        <v>#N/A</v>
      </c>
      <c r="K439" s="19"/>
      <c r="L439" s="19"/>
      <c r="M439" s="5"/>
      <c r="N439" s="5"/>
      <c r="O439" s="6"/>
      <c r="P439" s="13" t="str">
        <f>IF(Data_PLT[[#This Row],[Failure type]]="","",IF(OR(Data_PLT[[#This Row],[Failure type]]="Invalid",Data_PLT[[#This Row],[Failure type]]="Chipped",Data_PLT[[#This Row],[Failure type]]="Penetrate",Data_PLT[[#This Row],[Failure type]]="Did not break"),"Invalid","Valid"))</f>
        <v/>
      </c>
      <c r="Q439" s="6"/>
      <c r="R439" s="11"/>
      <c r="S439" s="13" t="str">
        <f>IF(Data_PLT[[#This Row],[Test type]]="Diametral",Data_PLT[[#This Row],[Diameter (mm)]],IF(Data_PLT[[#This Row],[Test type]]="Axial",SQRT(4*Data_PLT[[#This Row],[Diameter (mm)]]*Data_PLT[[#This Row],[Length or width (mm)]]/PI()),"ERROR"))</f>
        <v>ERROR</v>
      </c>
      <c r="T439" s="13" t="e">
        <f>(Data_PLT[[#This Row],[Load (kN)]]*1000)/Data_PLT[[#This Row],[Equiv. Diam. (mm)]]^2</f>
        <v>#VALUE!</v>
      </c>
      <c r="U439" s="13" t="e">
        <f>(Data_PLT[[#This Row],[Equiv. Diam. (mm)]]/50)^0.45</f>
        <v>#VALUE!</v>
      </c>
      <c r="V439" s="13" t="e">
        <f>Data_PLT[[#This Row],[Is (MPa)]]*Data_PLT[[#This Row],[F]]</f>
        <v>#VALUE!</v>
      </c>
      <c r="W439" s="13" t="str">
        <f>Data_PLT[[#This Row],[Failure Validity]]&amp;"-"&amp;Data_PLT[[#This Row],[Test type]]</f>
        <v>-</v>
      </c>
      <c r="X439" s="13" t="e">
        <f>Data_PLT[[#This Row],[Is50 (MPa)]]*VLOOKUP("Min",Table_PLT_Conversion[],2,FALSE)</f>
        <v>#VALUE!</v>
      </c>
      <c r="Y439" s="13" t="e">
        <f>Data_PLT[[#This Row],[Is50 (MPa)]]*VLOOKUP("Avg",Table_PLT_Conversion[],2,FALSE)</f>
        <v>#VALUE!</v>
      </c>
      <c r="Z439" s="13" t="e">
        <f>Data_PLT[[#This Row],[Is50 (MPa)]]*VLOOKUP("Max",Table_PLT_Conversion[],2,FALSE)</f>
        <v>#VALUE!</v>
      </c>
      <c r="AA439" s="62" t="e">
        <f>MATCH(LOOKUP(Data_PLT[[#This Row],[UCS min (MPa)]],Table_FieldStrength[Min UCS]),Table_FieldStrength[Min UCS],0)-1</f>
        <v>#VALUE!</v>
      </c>
      <c r="AB439" s="62" t="e">
        <f>MATCH(LOOKUP(Data_PLT[[#This Row],[UCS avg (MPa)]],Table_FieldStrength[Min UCS]),Table_FieldStrength[Min UCS],0)-1</f>
        <v>#VALUE!</v>
      </c>
      <c r="AC439" s="62" t="e">
        <f>MATCH(LOOKUP(Data_PLT[[#This Row],[UCS max (MPa)]],Table_FieldStrength[Min UCS]),Table_FieldStrength[Min UCS],0)-1</f>
        <v>#VALUE!</v>
      </c>
      <c r="AD439" s="68" t="e">
        <f>Data_PLT[[#This Row],[Test code]]&amp;"-"&amp;Data_PLT[[#This Row],[UCS min code]]</f>
        <v>#VALUE!</v>
      </c>
      <c r="AE439" s="68" t="e">
        <f>Data_PLT[[#This Row],[Test code]]&amp;"-"&amp;Data_PLT[[#This Row],[UCS avg code]]</f>
        <v>#VALUE!</v>
      </c>
      <c r="AF439" s="67" t="e">
        <f>Data_PLT[[#This Row],[Test code]]&amp;"-"&amp;Data_PLT[[#This Row],[UCS max code]]</f>
        <v>#VALUE!</v>
      </c>
      <c r="AG439" s="67" t="e">
        <f>Data_PLT[[#This Row],[Failure type]]&amp;"-"&amp;Data_PLT[[#This Row],[Test type]]&amp;"-"&amp;(IF(Data_PLT[[#This Row],[Is50 (MPa)]]&lt;1,1,IF(Data_PLT[[#This Row],[Is50 (MPa)]]&lt;2,2,IF(Data_PLT[[#This Row],[Is50 (MPa)]]&lt;4,3,IF(Data_PLT[[#This Row],[Is50 (MPa)]]&lt;8,4,5)))))</f>
        <v>#VALUE!</v>
      </c>
    </row>
    <row r="440" spans="2:33" x14ac:dyDescent="0.25">
      <c r="B440" s="88" t="e">
        <f>VLOOKUP(Data_PLT[[#This Row],[Hole ID]],Data_Log[],2,FALSE)</f>
        <v>#N/A</v>
      </c>
      <c r="C440" s="63" t="str">
        <f>IF(Data_PLT[[#This Row],[Hole ID]]="","",
IF(COUNTIF($A$4:A440,Data_PLT[[#This Row],[Hole ID]])=1,1,
IF(A440=A439,C439+1,
COUNTIF($A$4:A440,Data_PLT[[#This Row],[Hole ID]]))))</f>
        <v/>
      </c>
      <c r="D440" s="63" t="str">
        <f>IF(Data_PLT[[#This Row],[Hole ID]]="","",Data_PLT[[#This Row],[Hole ID]]&amp;"_"&amp;Data_PLT[[#This Row],[Sample ID]])</f>
        <v/>
      </c>
      <c r="E440" s="6"/>
      <c r="F440" s="6"/>
      <c r="G440" s="63" t="e" cm="1">
        <f t="array" ref="G440">_xlfn.XLOOKUP(1,(A440=Geotech!$A$4:$A$11100)*(Data_PLT[[#This Row],[Depth (m)]]&gt;=Geotech!$C$4:$C$11100)*(Data_PLT[[#This Row],[Depth (m)]]&lt;Geotech!$D$4:$D$11100),Geotech!$M$4:$M$11100)</f>
        <v>#N/A</v>
      </c>
      <c r="H440" s="6"/>
      <c r="I440" s="63" t="e">
        <f>VLOOKUP(Data_PLT[[#This Row],[Hole ID]],Data_Log[[Hole ID]:[Core size]],20,FALSE)</f>
        <v>#N/A</v>
      </c>
      <c r="J440" s="13" t="e">
        <f>VLOOKUP(Data_PLT[[#This Row],[Core Size]],Table_CoreSize[],2,FALSE)</f>
        <v>#N/A</v>
      </c>
      <c r="K440" s="19"/>
      <c r="L440" s="19"/>
      <c r="M440" s="5"/>
      <c r="N440" s="5"/>
      <c r="O440" s="6"/>
      <c r="P440" s="13" t="str">
        <f>IF(Data_PLT[[#This Row],[Failure type]]="","",IF(OR(Data_PLT[[#This Row],[Failure type]]="Invalid",Data_PLT[[#This Row],[Failure type]]="Chipped",Data_PLT[[#This Row],[Failure type]]="Penetrate",Data_PLT[[#This Row],[Failure type]]="Did not break"),"Invalid","Valid"))</f>
        <v/>
      </c>
      <c r="Q440" s="6"/>
      <c r="R440" s="11"/>
      <c r="S440" s="13" t="str">
        <f>IF(Data_PLT[[#This Row],[Test type]]="Diametral",Data_PLT[[#This Row],[Diameter (mm)]],IF(Data_PLT[[#This Row],[Test type]]="Axial",SQRT(4*Data_PLT[[#This Row],[Diameter (mm)]]*Data_PLT[[#This Row],[Length or width (mm)]]/PI()),"ERROR"))</f>
        <v>ERROR</v>
      </c>
      <c r="T440" s="13" t="e">
        <f>(Data_PLT[[#This Row],[Load (kN)]]*1000)/Data_PLT[[#This Row],[Equiv. Diam. (mm)]]^2</f>
        <v>#VALUE!</v>
      </c>
      <c r="U440" s="13" t="e">
        <f>(Data_PLT[[#This Row],[Equiv. Diam. (mm)]]/50)^0.45</f>
        <v>#VALUE!</v>
      </c>
      <c r="V440" s="13" t="e">
        <f>Data_PLT[[#This Row],[Is (MPa)]]*Data_PLT[[#This Row],[F]]</f>
        <v>#VALUE!</v>
      </c>
      <c r="W440" s="13" t="str">
        <f>Data_PLT[[#This Row],[Failure Validity]]&amp;"-"&amp;Data_PLT[[#This Row],[Test type]]</f>
        <v>-</v>
      </c>
      <c r="X440" s="13" t="e">
        <f>Data_PLT[[#This Row],[Is50 (MPa)]]*VLOOKUP("Min",Table_PLT_Conversion[],2,FALSE)</f>
        <v>#VALUE!</v>
      </c>
      <c r="Y440" s="13" t="e">
        <f>Data_PLT[[#This Row],[Is50 (MPa)]]*VLOOKUP("Avg",Table_PLT_Conversion[],2,FALSE)</f>
        <v>#VALUE!</v>
      </c>
      <c r="Z440" s="13" t="e">
        <f>Data_PLT[[#This Row],[Is50 (MPa)]]*VLOOKUP("Max",Table_PLT_Conversion[],2,FALSE)</f>
        <v>#VALUE!</v>
      </c>
      <c r="AA440" s="62" t="e">
        <f>MATCH(LOOKUP(Data_PLT[[#This Row],[UCS min (MPa)]],Table_FieldStrength[Min UCS]),Table_FieldStrength[Min UCS],0)-1</f>
        <v>#VALUE!</v>
      </c>
      <c r="AB440" s="62" t="e">
        <f>MATCH(LOOKUP(Data_PLT[[#This Row],[UCS avg (MPa)]],Table_FieldStrength[Min UCS]),Table_FieldStrength[Min UCS],0)-1</f>
        <v>#VALUE!</v>
      </c>
      <c r="AC440" s="62" t="e">
        <f>MATCH(LOOKUP(Data_PLT[[#This Row],[UCS max (MPa)]],Table_FieldStrength[Min UCS]),Table_FieldStrength[Min UCS],0)-1</f>
        <v>#VALUE!</v>
      </c>
      <c r="AD440" s="68" t="e">
        <f>Data_PLT[[#This Row],[Test code]]&amp;"-"&amp;Data_PLT[[#This Row],[UCS min code]]</f>
        <v>#VALUE!</v>
      </c>
      <c r="AE440" s="68" t="e">
        <f>Data_PLT[[#This Row],[Test code]]&amp;"-"&amp;Data_PLT[[#This Row],[UCS avg code]]</f>
        <v>#VALUE!</v>
      </c>
      <c r="AF440" s="67" t="e">
        <f>Data_PLT[[#This Row],[Test code]]&amp;"-"&amp;Data_PLT[[#This Row],[UCS max code]]</f>
        <v>#VALUE!</v>
      </c>
      <c r="AG440" s="67" t="e">
        <f>Data_PLT[[#This Row],[Failure type]]&amp;"-"&amp;Data_PLT[[#This Row],[Test type]]&amp;"-"&amp;(IF(Data_PLT[[#This Row],[Is50 (MPa)]]&lt;1,1,IF(Data_PLT[[#This Row],[Is50 (MPa)]]&lt;2,2,IF(Data_PLT[[#This Row],[Is50 (MPa)]]&lt;4,3,IF(Data_PLT[[#This Row],[Is50 (MPa)]]&lt;8,4,5)))))</f>
        <v>#VALUE!</v>
      </c>
    </row>
    <row r="441" spans="2:33" x14ac:dyDescent="0.25">
      <c r="B441" s="88" t="e">
        <f>VLOOKUP(Data_PLT[[#This Row],[Hole ID]],Data_Log[],2,FALSE)</f>
        <v>#N/A</v>
      </c>
      <c r="C441" s="63" t="str">
        <f>IF(Data_PLT[[#This Row],[Hole ID]]="","",
IF(COUNTIF($A$4:A441,Data_PLT[[#This Row],[Hole ID]])=1,1,
IF(A441=A440,C440+1,
COUNTIF($A$4:A441,Data_PLT[[#This Row],[Hole ID]]))))</f>
        <v/>
      </c>
      <c r="D441" s="63" t="str">
        <f>IF(Data_PLT[[#This Row],[Hole ID]]="","",Data_PLT[[#This Row],[Hole ID]]&amp;"_"&amp;Data_PLT[[#This Row],[Sample ID]])</f>
        <v/>
      </c>
      <c r="E441" s="6"/>
      <c r="F441" s="6"/>
      <c r="G441" s="63" t="e" cm="1">
        <f t="array" ref="G441">_xlfn.XLOOKUP(1,(A441=Geotech!$A$4:$A$11100)*(Data_PLT[[#This Row],[Depth (m)]]&gt;=Geotech!$C$4:$C$11100)*(Data_PLT[[#This Row],[Depth (m)]]&lt;Geotech!$D$4:$D$11100),Geotech!$M$4:$M$11100)</f>
        <v>#N/A</v>
      </c>
      <c r="H441" s="6"/>
      <c r="I441" s="63" t="e">
        <f>VLOOKUP(Data_PLT[[#This Row],[Hole ID]],Data_Log[[Hole ID]:[Core size]],20,FALSE)</f>
        <v>#N/A</v>
      </c>
      <c r="J441" s="13" t="e">
        <f>VLOOKUP(Data_PLT[[#This Row],[Core Size]],Table_CoreSize[],2,FALSE)</f>
        <v>#N/A</v>
      </c>
      <c r="K441" s="19"/>
      <c r="L441" s="19"/>
      <c r="M441" s="5"/>
      <c r="N441" s="5"/>
      <c r="O441" s="6"/>
      <c r="P441" s="13" t="str">
        <f>IF(Data_PLT[[#This Row],[Failure type]]="","",IF(OR(Data_PLT[[#This Row],[Failure type]]="Invalid",Data_PLT[[#This Row],[Failure type]]="Chipped",Data_PLT[[#This Row],[Failure type]]="Penetrate",Data_PLT[[#This Row],[Failure type]]="Did not break"),"Invalid","Valid"))</f>
        <v/>
      </c>
      <c r="Q441" s="6"/>
      <c r="R441" s="11"/>
      <c r="S441" s="13" t="str">
        <f>IF(Data_PLT[[#This Row],[Test type]]="Diametral",Data_PLT[[#This Row],[Diameter (mm)]],IF(Data_PLT[[#This Row],[Test type]]="Axial",SQRT(4*Data_PLT[[#This Row],[Diameter (mm)]]*Data_PLT[[#This Row],[Length or width (mm)]]/PI()),"ERROR"))</f>
        <v>ERROR</v>
      </c>
      <c r="T441" s="13" t="e">
        <f>(Data_PLT[[#This Row],[Load (kN)]]*1000)/Data_PLT[[#This Row],[Equiv. Diam. (mm)]]^2</f>
        <v>#VALUE!</v>
      </c>
      <c r="U441" s="13" t="e">
        <f>(Data_PLT[[#This Row],[Equiv. Diam. (mm)]]/50)^0.45</f>
        <v>#VALUE!</v>
      </c>
      <c r="V441" s="13" t="e">
        <f>Data_PLT[[#This Row],[Is (MPa)]]*Data_PLT[[#This Row],[F]]</f>
        <v>#VALUE!</v>
      </c>
      <c r="W441" s="13" t="str">
        <f>Data_PLT[[#This Row],[Failure Validity]]&amp;"-"&amp;Data_PLT[[#This Row],[Test type]]</f>
        <v>-</v>
      </c>
      <c r="X441" s="13" t="e">
        <f>Data_PLT[[#This Row],[Is50 (MPa)]]*VLOOKUP("Min",Table_PLT_Conversion[],2,FALSE)</f>
        <v>#VALUE!</v>
      </c>
      <c r="Y441" s="13" t="e">
        <f>Data_PLT[[#This Row],[Is50 (MPa)]]*VLOOKUP("Avg",Table_PLT_Conversion[],2,FALSE)</f>
        <v>#VALUE!</v>
      </c>
      <c r="Z441" s="13" t="e">
        <f>Data_PLT[[#This Row],[Is50 (MPa)]]*VLOOKUP("Max",Table_PLT_Conversion[],2,FALSE)</f>
        <v>#VALUE!</v>
      </c>
      <c r="AA441" s="62" t="e">
        <f>MATCH(LOOKUP(Data_PLT[[#This Row],[UCS min (MPa)]],Table_FieldStrength[Min UCS]),Table_FieldStrength[Min UCS],0)-1</f>
        <v>#VALUE!</v>
      </c>
      <c r="AB441" s="62" t="e">
        <f>MATCH(LOOKUP(Data_PLT[[#This Row],[UCS avg (MPa)]],Table_FieldStrength[Min UCS]),Table_FieldStrength[Min UCS],0)-1</f>
        <v>#VALUE!</v>
      </c>
      <c r="AC441" s="62" t="e">
        <f>MATCH(LOOKUP(Data_PLT[[#This Row],[UCS max (MPa)]],Table_FieldStrength[Min UCS]),Table_FieldStrength[Min UCS],0)-1</f>
        <v>#VALUE!</v>
      </c>
      <c r="AD441" s="68" t="e">
        <f>Data_PLT[[#This Row],[Test code]]&amp;"-"&amp;Data_PLT[[#This Row],[UCS min code]]</f>
        <v>#VALUE!</v>
      </c>
      <c r="AE441" s="68" t="e">
        <f>Data_PLT[[#This Row],[Test code]]&amp;"-"&amp;Data_PLT[[#This Row],[UCS avg code]]</f>
        <v>#VALUE!</v>
      </c>
      <c r="AF441" s="67" t="e">
        <f>Data_PLT[[#This Row],[Test code]]&amp;"-"&amp;Data_PLT[[#This Row],[UCS max code]]</f>
        <v>#VALUE!</v>
      </c>
      <c r="AG441" s="67" t="e">
        <f>Data_PLT[[#This Row],[Failure type]]&amp;"-"&amp;Data_PLT[[#This Row],[Test type]]&amp;"-"&amp;(IF(Data_PLT[[#This Row],[Is50 (MPa)]]&lt;1,1,IF(Data_PLT[[#This Row],[Is50 (MPa)]]&lt;2,2,IF(Data_PLT[[#This Row],[Is50 (MPa)]]&lt;4,3,IF(Data_PLT[[#This Row],[Is50 (MPa)]]&lt;8,4,5)))))</f>
        <v>#VALUE!</v>
      </c>
    </row>
    <row r="442" spans="2:33" x14ac:dyDescent="0.25">
      <c r="B442" s="88" t="e">
        <f>VLOOKUP(Data_PLT[[#This Row],[Hole ID]],Data_Log[],2,FALSE)</f>
        <v>#N/A</v>
      </c>
      <c r="C442" s="63" t="str">
        <f>IF(Data_PLT[[#This Row],[Hole ID]]="","",
IF(COUNTIF($A$4:A442,Data_PLT[[#This Row],[Hole ID]])=1,1,
IF(A442=A441,C441+1,
COUNTIF($A$4:A442,Data_PLT[[#This Row],[Hole ID]]))))</f>
        <v/>
      </c>
      <c r="D442" s="63" t="str">
        <f>IF(Data_PLT[[#This Row],[Hole ID]]="","",Data_PLT[[#This Row],[Hole ID]]&amp;"_"&amp;Data_PLT[[#This Row],[Sample ID]])</f>
        <v/>
      </c>
      <c r="E442" s="6"/>
      <c r="F442" s="6"/>
      <c r="G442" s="63" t="e" cm="1">
        <f t="array" ref="G442">_xlfn.XLOOKUP(1,(A442=Geotech!$A$4:$A$11100)*(Data_PLT[[#This Row],[Depth (m)]]&gt;=Geotech!$C$4:$C$11100)*(Data_PLT[[#This Row],[Depth (m)]]&lt;Geotech!$D$4:$D$11100),Geotech!$M$4:$M$11100)</f>
        <v>#N/A</v>
      </c>
      <c r="H442" s="6"/>
      <c r="I442" s="63" t="e">
        <f>VLOOKUP(Data_PLT[[#This Row],[Hole ID]],Data_Log[[Hole ID]:[Core size]],20,FALSE)</f>
        <v>#N/A</v>
      </c>
      <c r="J442" s="13" t="e">
        <f>VLOOKUP(Data_PLT[[#This Row],[Core Size]],Table_CoreSize[],2,FALSE)</f>
        <v>#N/A</v>
      </c>
      <c r="K442" s="19"/>
      <c r="L442" s="19"/>
      <c r="M442" s="5"/>
      <c r="N442" s="5"/>
      <c r="O442" s="6"/>
      <c r="P442" s="13" t="str">
        <f>IF(Data_PLT[[#This Row],[Failure type]]="","",IF(OR(Data_PLT[[#This Row],[Failure type]]="Invalid",Data_PLT[[#This Row],[Failure type]]="Chipped",Data_PLT[[#This Row],[Failure type]]="Penetrate",Data_PLT[[#This Row],[Failure type]]="Did not break"),"Invalid","Valid"))</f>
        <v/>
      </c>
      <c r="Q442" s="6"/>
      <c r="R442" s="11"/>
      <c r="S442" s="13" t="str">
        <f>IF(Data_PLT[[#This Row],[Test type]]="Diametral",Data_PLT[[#This Row],[Diameter (mm)]],IF(Data_PLT[[#This Row],[Test type]]="Axial",SQRT(4*Data_PLT[[#This Row],[Diameter (mm)]]*Data_PLT[[#This Row],[Length or width (mm)]]/PI()),"ERROR"))</f>
        <v>ERROR</v>
      </c>
      <c r="T442" s="13" t="e">
        <f>(Data_PLT[[#This Row],[Load (kN)]]*1000)/Data_PLT[[#This Row],[Equiv. Diam. (mm)]]^2</f>
        <v>#VALUE!</v>
      </c>
      <c r="U442" s="13" t="e">
        <f>(Data_PLT[[#This Row],[Equiv. Diam. (mm)]]/50)^0.45</f>
        <v>#VALUE!</v>
      </c>
      <c r="V442" s="13" t="e">
        <f>Data_PLT[[#This Row],[Is (MPa)]]*Data_PLT[[#This Row],[F]]</f>
        <v>#VALUE!</v>
      </c>
      <c r="W442" s="13" t="str">
        <f>Data_PLT[[#This Row],[Failure Validity]]&amp;"-"&amp;Data_PLT[[#This Row],[Test type]]</f>
        <v>-</v>
      </c>
      <c r="X442" s="13" t="e">
        <f>Data_PLT[[#This Row],[Is50 (MPa)]]*VLOOKUP("Min",Table_PLT_Conversion[],2,FALSE)</f>
        <v>#VALUE!</v>
      </c>
      <c r="Y442" s="13" t="e">
        <f>Data_PLT[[#This Row],[Is50 (MPa)]]*VLOOKUP("Avg",Table_PLT_Conversion[],2,FALSE)</f>
        <v>#VALUE!</v>
      </c>
      <c r="Z442" s="13" t="e">
        <f>Data_PLT[[#This Row],[Is50 (MPa)]]*VLOOKUP("Max",Table_PLT_Conversion[],2,FALSE)</f>
        <v>#VALUE!</v>
      </c>
      <c r="AA442" s="62" t="e">
        <f>MATCH(LOOKUP(Data_PLT[[#This Row],[UCS min (MPa)]],Table_FieldStrength[Min UCS]),Table_FieldStrength[Min UCS],0)-1</f>
        <v>#VALUE!</v>
      </c>
      <c r="AB442" s="62" t="e">
        <f>MATCH(LOOKUP(Data_PLT[[#This Row],[UCS avg (MPa)]],Table_FieldStrength[Min UCS]),Table_FieldStrength[Min UCS],0)-1</f>
        <v>#VALUE!</v>
      </c>
      <c r="AC442" s="62" t="e">
        <f>MATCH(LOOKUP(Data_PLT[[#This Row],[UCS max (MPa)]],Table_FieldStrength[Min UCS]),Table_FieldStrength[Min UCS],0)-1</f>
        <v>#VALUE!</v>
      </c>
      <c r="AD442" s="68" t="e">
        <f>Data_PLT[[#This Row],[Test code]]&amp;"-"&amp;Data_PLT[[#This Row],[UCS min code]]</f>
        <v>#VALUE!</v>
      </c>
      <c r="AE442" s="68" t="e">
        <f>Data_PLT[[#This Row],[Test code]]&amp;"-"&amp;Data_PLT[[#This Row],[UCS avg code]]</f>
        <v>#VALUE!</v>
      </c>
      <c r="AF442" s="67" t="e">
        <f>Data_PLT[[#This Row],[Test code]]&amp;"-"&amp;Data_PLT[[#This Row],[UCS max code]]</f>
        <v>#VALUE!</v>
      </c>
      <c r="AG442" s="67" t="e">
        <f>Data_PLT[[#This Row],[Failure type]]&amp;"-"&amp;Data_PLT[[#This Row],[Test type]]&amp;"-"&amp;(IF(Data_PLT[[#This Row],[Is50 (MPa)]]&lt;1,1,IF(Data_PLT[[#This Row],[Is50 (MPa)]]&lt;2,2,IF(Data_PLT[[#This Row],[Is50 (MPa)]]&lt;4,3,IF(Data_PLT[[#This Row],[Is50 (MPa)]]&lt;8,4,5)))))</f>
        <v>#VALUE!</v>
      </c>
    </row>
    <row r="443" spans="2:33" x14ac:dyDescent="0.25">
      <c r="B443" s="88" t="e">
        <f>VLOOKUP(Data_PLT[[#This Row],[Hole ID]],Data_Log[],2,FALSE)</f>
        <v>#N/A</v>
      </c>
      <c r="C443" s="63" t="str">
        <f>IF(Data_PLT[[#This Row],[Hole ID]]="","",
IF(COUNTIF($A$4:A443,Data_PLT[[#This Row],[Hole ID]])=1,1,
IF(A443=A442,C442+1,
COUNTIF($A$4:A443,Data_PLT[[#This Row],[Hole ID]]))))</f>
        <v/>
      </c>
      <c r="D443" s="63" t="str">
        <f>IF(Data_PLT[[#This Row],[Hole ID]]="","",Data_PLT[[#This Row],[Hole ID]]&amp;"_"&amp;Data_PLT[[#This Row],[Sample ID]])</f>
        <v/>
      </c>
      <c r="E443" s="6"/>
      <c r="F443" s="6"/>
      <c r="G443" s="63" t="e" cm="1">
        <f t="array" ref="G443">_xlfn.XLOOKUP(1,(A443=Geotech!$A$4:$A$11100)*(Data_PLT[[#This Row],[Depth (m)]]&gt;=Geotech!$C$4:$C$11100)*(Data_PLT[[#This Row],[Depth (m)]]&lt;Geotech!$D$4:$D$11100),Geotech!$M$4:$M$11100)</f>
        <v>#N/A</v>
      </c>
      <c r="H443" s="6"/>
      <c r="I443" s="63" t="e">
        <f>VLOOKUP(Data_PLT[[#This Row],[Hole ID]],Data_Log[[Hole ID]:[Core size]],20,FALSE)</f>
        <v>#N/A</v>
      </c>
      <c r="J443" s="13" t="e">
        <f>VLOOKUP(Data_PLT[[#This Row],[Core Size]],Table_CoreSize[],2,FALSE)</f>
        <v>#N/A</v>
      </c>
      <c r="K443" s="19"/>
      <c r="L443" s="19"/>
      <c r="M443" s="5"/>
      <c r="N443" s="5"/>
      <c r="O443" s="6"/>
      <c r="P443" s="13" t="str">
        <f>IF(Data_PLT[[#This Row],[Failure type]]="","",IF(OR(Data_PLT[[#This Row],[Failure type]]="Invalid",Data_PLT[[#This Row],[Failure type]]="Chipped",Data_PLT[[#This Row],[Failure type]]="Penetrate",Data_PLT[[#This Row],[Failure type]]="Did not break"),"Invalid","Valid"))</f>
        <v/>
      </c>
      <c r="Q443" s="6"/>
      <c r="R443" s="11"/>
      <c r="S443" s="13" t="str">
        <f>IF(Data_PLT[[#This Row],[Test type]]="Diametral",Data_PLT[[#This Row],[Diameter (mm)]],IF(Data_PLT[[#This Row],[Test type]]="Axial",SQRT(4*Data_PLT[[#This Row],[Diameter (mm)]]*Data_PLT[[#This Row],[Length or width (mm)]]/PI()),"ERROR"))</f>
        <v>ERROR</v>
      </c>
      <c r="T443" s="13" t="e">
        <f>(Data_PLT[[#This Row],[Load (kN)]]*1000)/Data_PLT[[#This Row],[Equiv. Diam. (mm)]]^2</f>
        <v>#VALUE!</v>
      </c>
      <c r="U443" s="13" t="e">
        <f>(Data_PLT[[#This Row],[Equiv. Diam. (mm)]]/50)^0.45</f>
        <v>#VALUE!</v>
      </c>
      <c r="V443" s="13" t="e">
        <f>Data_PLT[[#This Row],[Is (MPa)]]*Data_PLT[[#This Row],[F]]</f>
        <v>#VALUE!</v>
      </c>
      <c r="W443" s="13" t="str">
        <f>Data_PLT[[#This Row],[Failure Validity]]&amp;"-"&amp;Data_PLT[[#This Row],[Test type]]</f>
        <v>-</v>
      </c>
      <c r="X443" s="13" t="e">
        <f>Data_PLT[[#This Row],[Is50 (MPa)]]*VLOOKUP("Min",Table_PLT_Conversion[],2,FALSE)</f>
        <v>#VALUE!</v>
      </c>
      <c r="Y443" s="13" t="e">
        <f>Data_PLT[[#This Row],[Is50 (MPa)]]*VLOOKUP("Avg",Table_PLT_Conversion[],2,FALSE)</f>
        <v>#VALUE!</v>
      </c>
      <c r="Z443" s="13" t="e">
        <f>Data_PLT[[#This Row],[Is50 (MPa)]]*VLOOKUP("Max",Table_PLT_Conversion[],2,FALSE)</f>
        <v>#VALUE!</v>
      </c>
      <c r="AA443" s="62" t="e">
        <f>MATCH(LOOKUP(Data_PLT[[#This Row],[UCS min (MPa)]],Table_FieldStrength[Min UCS]),Table_FieldStrength[Min UCS],0)-1</f>
        <v>#VALUE!</v>
      </c>
      <c r="AB443" s="62" t="e">
        <f>MATCH(LOOKUP(Data_PLT[[#This Row],[UCS avg (MPa)]],Table_FieldStrength[Min UCS]),Table_FieldStrength[Min UCS],0)-1</f>
        <v>#VALUE!</v>
      </c>
      <c r="AC443" s="62" t="e">
        <f>MATCH(LOOKUP(Data_PLT[[#This Row],[UCS max (MPa)]],Table_FieldStrength[Min UCS]),Table_FieldStrength[Min UCS],0)-1</f>
        <v>#VALUE!</v>
      </c>
      <c r="AD443" s="68" t="e">
        <f>Data_PLT[[#This Row],[Test code]]&amp;"-"&amp;Data_PLT[[#This Row],[UCS min code]]</f>
        <v>#VALUE!</v>
      </c>
      <c r="AE443" s="68" t="e">
        <f>Data_PLT[[#This Row],[Test code]]&amp;"-"&amp;Data_PLT[[#This Row],[UCS avg code]]</f>
        <v>#VALUE!</v>
      </c>
      <c r="AF443" s="67" t="e">
        <f>Data_PLT[[#This Row],[Test code]]&amp;"-"&amp;Data_PLT[[#This Row],[UCS max code]]</f>
        <v>#VALUE!</v>
      </c>
      <c r="AG443" s="67" t="e">
        <f>Data_PLT[[#This Row],[Failure type]]&amp;"-"&amp;Data_PLT[[#This Row],[Test type]]&amp;"-"&amp;(IF(Data_PLT[[#This Row],[Is50 (MPa)]]&lt;1,1,IF(Data_PLT[[#This Row],[Is50 (MPa)]]&lt;2,2,IF(Data_PLT[[#This Row],[Is50 (MPa)]]&lt;4,3,IF(Data_PLT[[#This Row],[Is50 (MPa)]]&lt;8,4,5)))))</f>
        <v>#VALUE!</v>
      </c>
    </row>
    <row r="444" spans="2:33" x14ac:dyDescent="0.25">
      <c r="B444" s="88" t="e">
        <f>VLOOKUP(Data_PLT[[#This Row],[Hole ID]],Data_Log[],2,FALSE)</f>
        <v>#N/A</v>
      </c>
      <c r="C444" s="63" t="str">
        <f>IF(Data_PLT[[#This Row],[Hole ID]]="","",
IF(COUNTIF($A$4:A444,Data_PLT[[#This Row],[Hole ID]])=1,1,
IF(A444=A443,C443+1,
COUNTIF($A$4:A444,Data_PLT[[#This Row],[Hole ID]]))))</f>
        <v/>
      </c>
      <c r="D444" s="63" t="str">
        <f>IF(Data_PLT[[#This Row],[Hole ID]]="","",Data_PLT[[#This Row],[Hole ID]]&amp;"_"&amp;Data_PLT[[#This Row],[Sample ID]])</f>
        <v/>
      </c>
      <c r="E444" s="6"/>
      <c r="F444" s="6"/>
      <c r="G444" s="63" t="e" cm="1">
        <f t="array" ref="G444">_xlfn.XLOOKUP(1,(A444=Geotech!$A$4:$A$11100)*(Data_PLT[[#This Row],[Depth (m)]]&gt;=Geotech!$C$4:$C$11100)*(Data_PLT[[#This Row],[Depth (m)]]&lt;Geotech!$D$4:$D$11100),Geotech!$M$4:$M$11100)</f>
        <v>#N/A</v>
      </c>
      <c r="H444" s="6"/>
      <c r="I444" s="63" t="e">
        <f>VLOOKUP(Data_PLT[[#This Row],[Hole ID]],Data_Log[[Hole ID]:[Core size]],20,FALSE)</f>
        <v>#N/A</v>
      </c>
      <c r="J444" s="13" t="e">
        <f>VLOOKUP(Data_PLT[[#This Row],[Core Size]],Table_CoreSize[],2,FALSE)</f>
        <v>#N/A</v>
      </c>
      <c r="K444" s="19"/>
      <c r="L444" s="19"/>
      <c r="M444" s="5"/>
      <c r="N444" s="5"/>
      <c r="O444" s="6"/>
      <c r="P444" s="13" t="str">
        <f>IF(Data_PLT[[#This Row],[Failure type]]="","",IF(OR(Data_PLT[[#This Row],[Failure type]]="Invalid",Data_PLT[[#This Row],[Failure type]]="Chipped",Data_PLT[[#This Row],[Failure type]]="Penetrate",Data_PLT[[#This Row],[Failure type]]="Did not break"),"Invalid","Valid"))</f>
        <v/>
      </c>
      <c r="Q444" s="6"/>
      <c r="R444" s="11"/>
      <c r="S444" s="13" t="str">
        <f>IF(Data_PLT[[#This Row],[Test type]]="Diametral",Data_PLT[[#This Row],[Diameter (mm)]],IF(Data_PLT[[#This Row],[Test type]]="Axial",SQRT(4*Data_PLT[[#This Row],[Diameter (mm)]]*Data_PLT[[#This Row],[Length or width (mm)]]/PI()),"ERROR"))</f>
        <v>ERROR</v>
      </c>
      <c r="T444" s="13" t="e">
        <f>(Data_PLT[[#This Row],[Load (kN)]]*1000)/Data_PLT[[#This Row],[Equiv. Diam. (mm)]]^2</f>
        <v>#VALUE!</v>
      </c>
      <c r="U444" s="13" t="e">
        <f>(Data_PLT[[#This Row],[Equiv. Diam. (mm)]]/50)^0.45</f>
        <v>#VALUE!</v>
      </c>
      <c r="V444" s="13" t="e">
        <f>Data_PLT[[#This Row],[Is (MPa)]]*Data_PLT[[#This Row],[F]]</f>
        <v>#VALUE!</v>
      </c>
      <c r="W444" s="13" t="str">
        <f>Data_PLT[[#This Row],[Failure Validity]]&amp;"-"&amp;Data_PLT[[#This Row],[Test type]]</f>
        <v>-</v>
      </c>
      <c r="X444" s="13" t="e">
        <f>Data_PLT[[#This Row],[Is50 (MPa)]]*VLOOKUP("Min",Table_PLT_Conversion[],2,FALSE)</f>
        <v>#VALUE!</v>
      </c>
      <c r="Y444" s="13" t="e">
        <f>Data_PLT[[#This Row],[Is50 (MPa)]]*VLOOKUP("Avg",Table_PLT_Conversion[],2,FALSE)</f>
        <v>#VALUE!</v>
      </c>
      <c r="Z444" s="13" t="e">
        <f>Data_PLT[[#This Row],[Is50 (MPa)]]*VLOOKUP("Max",Table_PLT_Conversion[],2,FALSE)</f>
        <v>#VALUE!</v>
      </c>
      <c r="AA444" s="62" t="e">
        <f>MATCH(LOOKUP(Data_PLT[[#This Row],[UCS min (MPa)]],Table_FieldStrength[Min UCS]),Table_FieldStrength[Min UCS],0)-1</f>
        <v>#VALUE!</v>
      </c>
      <c r="AB444" s="62" t="e">
        <f>MATCH(LOOKUP(Data_PLT[[#This Row],[UCS avg (MPa)]],Table_FieldStrength[Min UCS]),Table_FieldStrength[Min UCS],0)-1</f>
        <v>#VALUE!</v>
      </c>
      <c r="AC444" s="62" t="e">
        <f>MATCH(LOOKUP(Data_PLT[[#This Row],[UCS max (MPa)]],Table_FieldStrength[Min UCS]),Table_FieldStrength[Min UCS],0)-1</f>
        <v>#VALUE!</v>
      </c>
      <c r="AD444" s="68" t="e">
        <f>Data_PLT[[#This Row],[Test code]]&amp;"-"&amp;Data_PLT[[#This Row],[UCS min code]]</f>
        <v>#VALUE!</v>
      </c>
      <c r="AE444" s="68" t="e">
        <f>Data_PLT[[#This Row],[Test code]]&amp;"-"&amp;Data_PLT[[#This Row],[UCS avg code]]</f>
        <v>#VALUE!</v>
      </c>
      <c r="AF444" s="67" t="e">
        <f>Data_PLT[[#This Row],[Test code]]&amp;"-"&amp;Data_PLT[[#This Row],[UCS max code]]</f>
        <v>#VALUE!</v>
      </c>
      <c r="AG444" s="67" t="e">
        <f>Data_PLT[[#This Row],[Failure type]]&amp;"-"&amp;Data_PLT[[#This Row],[Test type]]&amp;"-"&amp;(IF(Data_PLT[[#This Row],[Is50 (MPa)]]&lt;1,1,IF(Data_PLT[[#This Row],[Is50 (MPa)]]&lt;2,2,IF(Data_PLT[[#This Row],[Is50 (MPa)]]&lt;4,3,IF(Data_PLT[[#This Row],[Is50 (MPa)]]&lt;8,4,5)))))</f>
        <v>#VALUE!</v>
      </c>
    </row>
    <row r="445" spans="2:33" x14ac:dyDescent="0.25">
      <c r="B445" s="88" t="e">
        <f>VLOOKUP(Data_PLT[[#This Row],[Hole ID]],Data_Log[],2,FALSE)</f>
        <v>#N/A</v>
      </c>
      <c r="C445" s="63" t="str">
        <f>IF(Data_PLT[[#This Row],[Hole ID]]="","",
IF(COUNTIF($A$4:A445,Data_PLT[[#This Row],[Hole ID]])=1,1,
IF(A445=A444,C444+1,
COUNTIF($A$4:A445,Data_PLT[[#This Row],[Hole ID]]))))</f>
        <v/>
      </c>
      <c r="D445" s="63" t="str">
        <f>IF(Data_PLT[[#This Row],[Hole ID]]="","",Data_PLT[[#This Row],[Hole ID]]&amp;"_"&amp;Data_PLT[[#This Row],[Sample ID]])</f>
        <v/>
      </c>
      <c r="E445" s="6"/>
      <c r="F445" s="6"/>
      <c r="G445" s="63" t="e" cm="1">
        <f t="array" ref="G445">_xlfn.XLOOKUP(1,(A445=Geotech!$A$4:$A$11100)*(Data_PLT[[#This Row],[Depth (m)]]&gt;=Geotech!$C$4:$C$11100)*(Data_PLT[[#This Row],[Depth (m)]]&lt;Geotech!$D$4:$D$11100),Geotech!$M$4:$M$11100)</f>
        <v>#N/A</v>
      </c>
      <c r="H445" s="6"/>
      <c r="I445" s="63" t="e">
        <f>VLOOKUP(Data_PLT[[#This Row],[Hole ID]],Data_Log[[Hole ID]:[Core size]],20,FALSE)</f>
        <v>#N/A</v>
      </c>
      <c r="J445" s="13" t="e">
        <f>VLOOKUP(Data_PLT[[#This Row],[Core Size]],Table_CoreSize[],2,FALSE)</f>
        <v>#N/A</v>
      </c>
      <c r="K445" s="19"/>
      <c r="L445" s="19"/>
      <c r="M445" s="5"/>
      <c r="N445" s="5"/>
      <c r="O445" s="6"/>
      <c r="P445" s="13" t="str">
        <f>IF(Data_PLT[[#This Row],[Failure type]]="","",IF(OR(Data_PLT[[#This Row],[Failure type]]="Invalid",Data_PLT[[#This Row],[Failure type]]="Chipped",Data_PLT[[#This Row],[Failure type]]="Penetrate",Data_PLT[[#This Row],[Failure type]]="Did not break"),"Invalid","Valid"))</f>
        <v/>
      </c>
      <c r="Q445" s="6"/>
      <c r="R445" s="11"/>
      <c r="S445" s="13" t="str">
        <f>IF(Data_PLT[[#This Row],[Test type]]="Diametral",Data_PLT[[#This Row],[Diameter (mm)]],IF(Data_PLT[[#This Row],[Test type]]="Axial",SQRT(4*Data_PLT[[#This Row],[Diameter (mm)]]*Data_PLT[[#This Row],[Length or width (mm)]]/PI()),"ERROR"))</f>
        <v>ERROR</v>
      </c>
      <c r="T445" s="13" t="e">
        <f>(Data_PLT[[#This Row],[Load (kN)]]*1000)/Data_PLT[[#This Row],[Equiv. Diam. (mm)]]^2</f>
        <v>#VALUE!</v>
      </c>
      <c r="U445" s="13" t="e">
        <f>(Data_PLT[[#This Row],[Equiv. Diam. (mm)]]/50)^0.45</f>
        <v>#VALUE!</v>
      </c>
      <c r="V445" s="13" t="e">
        <f>Data_PLT[[#This Row],[Is (MPa)]]*Data_PLT[[#This Row],[F]]</f>
        <v>#VALUE!</v>
      </c>
      <c r="W445" s="13" t="str">
        <f>Data_PLT[[#This Row],[Failure Validity]]&amp;"-"&amp;Data_PLT[[#This Row],[Test type]]</f>
        <v>-</v>
      </c>
      <c r="X445" s="13" t="e">
        <f>Data_PLT[[#This Row],[Is50 (MPa)]]*VLOOKUP("Min",Table_PLT_Conversion[],2,FALSE)</f>
        <v>#VALUE!</v>
      </c>
      <c r="Y445" s="13" t="e">
        <f>Data_PLT[[#This Row],[Is50 (MPa)]]*VLOOKUP("Avg",Table_PLT_Conversion[],2,FALSE)</f>
        <v>#VALUE!</v>
      </c>
      <c r="Z445" s="13" t="e">
        <f>Data_PLT[[#This Row],[Is50 (MPa)]]*VLOOKUP("Max",Table_PLT_Conversion[],2,FALSE)</f>
        <v>#VALUE!</v>
      </c>
      <c r="AA445" s="62" t="e">
        <f>MATCH(LOOKUP(Data_PLT[[#This Row],[UCS min (MPa)]],Table_FieldStrength[Min UCS]),Table_FieldStrength[Min UCS],0)-1</f>
        <v>#VALUE!</v>
      </c>
      <c r="AB445" s="62" t="e">
        <f>MATCH(LOOKUP(Data_PLT[[#This Row],[UCS avg (MPa)]],Table_FieldStrength[Min UCS]),Table_FieldStrength[Min UCS],0)-1</f>
        <v>#VALUE!</v>
      </c>
      <c r="AC445" s="62" t="e">
        <f>MATCH(LOOKUP(Data_PLT[[#This Row],[UCS max (MPa)]],Table_FieldStrength[Min UCS]),Table_FieldStrength[Min UCS],0)-1</f>
        <v>#VALUE!</v>
      </c>
      <c r="AD445" s="68" t="e">
        <f>Data_PLT[[#This Row],[Test code]]&amp;"-"&amp;Data_PLT[[#This Row],[UCS min code]]</f>
        <v>#VALUE!</v>
      </c>
      <c r="AE445" s="68" t="e">
        <f>Data_PLT[[#This Row],[Test code]]&amp;"-"&amp;Data_PLT[[#This Row],[UCS avg code]]</f>
        <v>#VALUE!</v>
      </c>
      <c r="AF445" s="67" t="e">
        <f>Data_PLT[[#This Row],[Test code]]&amp;"-"&amp;Data_PLT[[#This Row],[UCS max code]]</f>
        <v>#VALUE!</v>
      </c>
      <c r="AG445" s="67" t="e">
        <f>Data_PLT[[#This Row],[Failure type]]&amp;"-"&amp;Data_PLT[[#This Row],[Test type]]&amp;"-"&amp;(IF(Data_PLT[[#This Row],[Is50 (MPa)]]&lt;1,1,IF(Data_PLT[[#This Row],[Is50 (MPa)]]&lt;2,2,IF(Data_PLT[[#This Row],[Is50 (MPa)]]&lt;4,3,IF(Data_PLT[[#This Row],[Is50 (MPa)]]&lt;8,4,5)))))</f>
        <v>#VALUE!</v>
      </c>
    </row>
    <row r="446" spans="2:33" x14ac:dyDescent="0.25">
      <c r="B446" s="88" t="e">
        <f>VLOOKUP(Data_PLT[[#This Row],[Hole ID]],Data_Log[],2,FALSE)</f>
        <v>#N/A</v>
      </c>
      <c r="C446" s="63" t="str">
        <f>IF(Data_PLT[[#This Row],[Hole ID]]="","",
IF(COUNTIF($A$4:A446,Data_PLT[[#This Row],[Hole ID]])=1,1,
IF(A446=A445,C445+1,
COUNTIF($A$4:A446,Data_PLT[[#This Row],[Hole ID]]))))</f>
        <v/>
      </c>
      <c r="D446" s="63" t="str">
        <f>IF(Data_PLT[[#This Row],[Hole ID]]="","",Data_PLT[[#This Row],[Hole ID]]&amp;"_"&amp;Data_PLT[[#This Row],[Sample ID]])</f>
        <v/>
      </c>
      <c r="E446" s="6"/>
      <c r="F446" s="6"/>
      <c r="G446" s="63" t="e" cm="1">
        <f t="array" ref="G446">_xlfn.XLOOKUP(1,(A446=Geotech!$A$4:$A$11100)*(Data_PLT[[#This Row],[Depth (m)]]&gt;=Geotech!$C$4:$C$11100)*(Data_PLT[[#This Row],[Depth (m)]]&lt;Geotech!$D$4:$D$11100),Geotech!$M$4:$M$11100)</f>
        <v>#N/A</v>
      </c>
      <c r="H446" s="6"/>
      <c r="I446" s="63" t="e">
        <f>VLOOKUP(Data_PLT[[#This Row],[Hole ID]],Data_Log[[Hole ID]:[Core size]],20,FALSE)</f>
        <v>#N/A</v>
      </c>
      <c r="J446" s="13" t="e">
        <f>VLOOKUP(Data_PLT[[#This Row],[Core Size]],Table_CoreSize[],2,FALSE)</f>
        <v>#N/A</v>
      </c>
      <c r="K446" s="19"/>
      <c r="L446" s="19"/>
      <c r="M446" s="5"/>
      <c r="N446" s="5"/>
      <c r="O446" s="6"/>
      <c r="P446" s="13" t="str">
        <f>IF(Data_PLT[[#This Row],[Failure type]]="","",IF(OR(Data_PLT[[#This Row],[Failure type]]="Invalid",Data_PLT[[#This Row],[Failure type]]="Chipped",Data_PLT[[#This Row],[Failure type]]="Penetrate",Data_PLT[[#This Row],[Failure type]]="Did not break"),"Invalid","Valid"))</f>
        <v/>
      </c>
      <c r="Q446" s="6"/>
      <c r="R446" s="11"/>
      <c r="S446" s="13" t="str">
        <f>IF(Data_PLT[[#This Row],[Test type]]="Diametral",Data_PLT[[#This Row],[Diameter (mm)]],IF(Data_PLT[[#This Row],[Test type]]="Axial",SQRT(4*Data_PLT[[#This Row],[Diameter (mm)]]*Data_PLT[[#This Row],[Length or width (mm)]]/PI()),"ERROR"))</f>
        <v>ERROR</v>
      </c>
      <c r="T446" s="13" t="e">
        <f>(Data_PLT[[#This Row],[Load (kN)]]*1000)/Data_PLT[[#This Row],[Equiv. Diam. (mm)]]^2</f>
        <v>#VALUE!</v>
      </c>
      <c r="U446" s="13" t="e">
        <f>(Data_PLT[[#This Row],[Equiv. Diam. (mm)]]/50)^0.45</f>
        <v>#VALUE!</v>
      </c>
      <c r="V446" s="13" t="e">
        <f>Data_PLT[[#This Row],[Is (MPa)]]*Data_PLT[[#This Row],[F]]</f>
        <v>#VALUE!</v>
      </c>
      <c r="W446" s="13" t="str">
        <f>Data_PLT[[#This Row],[Failure Validity]]&amp;"-"&amp;Data_PLT[[#This Row],[Test type]]</f>
        <v>-</v>
      </c>
      <c r="X446" s="13" t="e">
        <f>Data_PLT[[#This Row],[Is50 (MPa)]]*VLOOKUP("Min",Table_PLT_Conversion[],2,FALSE)</f>
        <v>#VALUE!</v>
      </c>
      <c r="Y446" s="13" t="e">
        <f>Data_PLT[[#This Row],[Is50 (MPa)]]*VLOOKUP("Avg",Table_PLT_Conversion[],2,FALSE)</f>
        <v>#VALUE!</v>
      </c>
      <c r="Z446" s="13" t="e">
        <f>Data_PLT[[#This Row],[Is50 (MPa)]]*VLOOKUP("Max",Table_PLT_Conversion[],2,FALSE)</f>
        <v>#VALUE!</v>
      </c>
      <c r="AA446" s="62" t="e">
        <f>MATCH(LOOKUP(Data_PLT[[#This Row],[UCS min (MPa)]],Table_FieldStrength[Min UCS]),Table_FieldStrength[Min UCS],0)-1</f>
        <v>#VALUE!</v>
      </c>
      <c r="AB446" s="62" t="e">
        <f>MATCH(LOOKUP(Data_PLT[[#This Row],[UCS avg (MPa)]],Table_FieldStrength[Min UCS]),Table_FieldStrength[Min UCS],0)-1</f>
        <v>#VALUE!</v>
      </c>
      <c r="AC446" s="62" t="e">
        <f>MATCH(LOOKUP(Data_PLT[[#This Row],[UCS max (MPa)]],Table_FieldStrength[Min UCS]),Table_FieldStrength[Min UCS],0)-1</f>
        <v>#VALUE!</v>
      </c>
      <c r="AD446" s="68" t="e">
        <f>Data_PLT[[#This Row],[Test code]]&amp;"-"&amp;Data_PLT[[#This Row],[UCS min code]]</f>
        <v>#VALUE!</v>
      </c>
      <c r="AE446" s="68" t="e">
        <f>Data_PLT[[#This Row],[Test code]]&amp;"-"&amp;Data_PLT[[#This Row],[UCS avg code]]</f>
        <v>#VALUE!</v>
      </c>
      <c r="AF446" s="67" t="e">
        <f>Data_PLT[[#This Row],[Test code]]&amp;"-"&amp;Data_PLT[[#This Row],[UCS max code]]</f>
        <v>#VALUE!</v>
      </c>
      <c r="AG446" s="67" t="e">
        <f>Data_PLT[[#This Row],[Failure type]]&amp;"-"&amp;Data_PLT[[#This Row],[Test type]]&amp;"-"&amp;(IF(Data_PLT[[#This Row],[Is50 (MPa)]]&lt;1,1,IF(Data_PLT[[#This Row],[Is50 (MPa)]]&lt;2,2,IF(Data_PLT[[#This Row],[Is50 (MPa)]]&lt;4,3,IF(Data_PLT[[#This Row],[Is50 (MPa)]]&lt;8,4,5)))))</f>
        <v>#VALUE!</v>
      </c>
    </row>
    <row r="447" spans="2:33" x14ac:dyDescent="0.25">
      <c r="B447" s="88" t="e">
        <f>VLOOKUP(Data_PLT[[#This Row],[Hole ID]],Data_Log[],2,FALSE)</f>
        <v>#N/A</v>
      </c>
      <c r="C447" s="63" t="str">
        <f>IF(Data_PLT[[#This Row],[Hole ID]]="","",
IF(COUNTIF($A$4:A447,Data_PLT[[#This Row],[Hole ID]])=1,1,
IF(A447=A446,C446+1,
COUNTIF($A$4:A447,Data_PLT[[#This Row],[Hole ID]]))))</f>
        <v/>
      </c>
      <c r="D447" s="63" t="str">
        <f>IF(Data_PLT[[#This Row],[Hole ID]]="","",Data_PLT[[#This Row],[Hole ID]]&amp;"_"&amp;Data_PLT[[#This Row],[Sample ID]])</f>
        <v/>
      </c>
      <c r="E447" s="6"/>
      <c r="F447" s="6"/>
      <c r="G447" s="63" t="e" cm="1">
        <f t="array" ref="G447">_xlfn.XLOOKUP(1,(A447=Geotech!$A$4:$A$11100)*(Data_PLT[[#This Row],[Depth (m)]]&gt;=Geotech!$C$4:$C$11100)*(Data_PLT[[#This Row],[Depth (m)]]&lt;Geotech!$D$4:$D$11100),Geotech!$M$4:$M$11100)</f>
        <v>#N/A</v>
      </c>
      <c r="H447" s="6"/>
      <c r="I447" s="63" t="e">
        <f>VLOOKUP(Data_PLT[[#This Row],[Hole ID]],Data_Log[[Hole ID]:[Core size]],20,FALSE)</f>
        <v>#N/A</v>
      </c>
      <c r="J447" s="13" t="e">
        <f>VLOOKUP(Data_PLT[[#This Row],[Core Size]],Table_CoreSize[],2,FALSE)</f>
        <v>#N/A</v>
      </c>
      <c r="K447" s="19"/>
      <c r="L447" s="19"/>
      <c r="M447" s="5"/>
      <c r="N447" s="5"/>
      <c r="O447" s="6"/>
      <c r="P447" s="13" t="str">
        <f>IF(Data_PLT[[#This Row],[Failure type]]="","",IF(OR(Data_PLT[[#This Row],[Failure type]]="Invalid",Data_PLT[[#This Row],[Failure type]]="Chipped",Data_PLT[[#This Row],[Failure type]]="Penetrate",Data_PLT[[#This Row],[Failure type]]="Did not break"),"Invalid","Valid"))</f>
        <v/>
      </c>
      <c r="Q447" s="6"/>
      <c r="R447" s="11"/>
      <c r="S447" s="13" t="str">
        <f>IF(Data_PLT[[#This Row],[Test type]]="Diametral",Data_PLT[[#This Row],[Diameter (mm)]],IF(Data_PLT[[#This Row],[Test type]]="Axial",SQRT(4*Data_PLT[[#This Row],[Diameter (mm)]]*Data_PLT[[#This Row],[Length or width (mm)]]/PI()),"ERROR"))</f>
        <v>ERROR</v>
      </c>
      <c r="T447" s="13" t="e">
        <f>(Data_PLT[[#This Row],[Load (kN)]]*1000)/Data_PLT[[#This Row],[Equiv. Diam. (mm)]]^2</f>
        <v>#VALUE!</v>
      </c>
      <c r="U447" s="13" t="e">
        <f>(Data_PLT[[#This Row],[Equiv. Diam. (mm)]]/50)^0.45</f>
        <v>#VALUE!</v>
      </c>
      <c r="V447" s="13" t="e">
        <f>Data_PLT[[#This Row],[Is (MPa)]]*Data_PLT[[#This Row],[F]]</f>
        <v>#VALUE!</v>
      </c>
      <c r="W447" s="13" t="str">
        <f>Data_PLT[[#This Row],[Failure Validity]]&amp;"-"&amp;Data_PLT[[#This Row],[Test type]]</f>
        <v>-</v>
      </c>
      <c r="X447" s="13" t="e">
        <f>Data_PLT[[#This Row],[Is50 (MPa)]]*VLOOKUP("Min",Table_PLT_Conversion[],2,FALSE)</f>
        <v>#VALUE!</v>
      </c>
      <c r="Y447" s="13" t="e">
        <f>Data_PLT[[#This Row],[Is50 (MPa)]]*VLOOKUP("Avg",Table_PLT_Conversion[],2,FALSE)</f>
        <v>#VALUE!</v>
      </c>
      <c r="Z447" s="13" t="e">
        <f>Data_PLT[[#This Row],[Is50 (MPa)]]*VLOOKUP("Max",Table_PLT_Conversion[],2,FALSE)</f>
        <v>#VALUE!</v>
      </c>
      <c r="AA447" s="62" t="e">
        <f>MATCH(LOOKUP(Data_PLT[[#This Row],[UCS min (MPa)]],Table_FieldStrength[Min UCS]),Table_FieldStrength[Min UCS],0)-1</f>
        <v>#VALUE!</v>
      </c>
      <c r="AB447" s="62" t="e">
        <f>MATCH(LOOKUP(Data_PLT[[#This Row],[UCS avg (MPa)]],Table_FieldStrength[Min UCS]),Table_FieldStrength[Min UCS],0)-1</f>
        <v>#VALUE!</v>
      </c>
      <c r="AC447" s="62" t="e">
        <f>MATCH(LOOKUP(Data_PLT[[#This Row],[UCS max (MPa)]],Table_FieldStrength[Min UCS]),Table_FieldStrength[Min UCS],0)-1</f>
        <v>#VALUE!</v>
      </c>
      <c r="AD447" s="68" t="e">
        <f>Data_PLT[[#This Row],[Test code]]&amp;"-"&amp;Data_PLT[[#This Row],[UCS min code]]</f>
        <v>#VALUE!</v>
      </c>
      <c r="AE447" s="68" t="e">
        <f>Data_PLT[[#This Row],[Test code]]&amp;"-"&amp;Data_PLT[[#This Row],[UCS avg code]]</f>
        <v>#VALUE!</v>
      </c>
      <c r="AF447" s="67" t="e">
        <f>Data_PLT[[#This Row],[Test code]]&amp;"-"&amp;Data_PLT[[#This Row],[UCS max code]]</f>
        <v>#VALUE!</v>
      </c>
      <c r="AG447" s="67" t="e">
        <f>Data_PLT[[#This Row],[Failure type]]&amp;"-"&amp;Data_PLT[[#This Row],[Test type]]&amp;"-"&amp;(IF(Data_PLT[[#This Row],[Is50 (MPa)]]&lt;1,1,IF(Data_PLT[[#This Row],[Is50 (MPa)]]&lt;2,2,IF(Data_PLT[[#This Row],[Is50 (MPa)]]&lt;4,3,IF(Data_PLT[[#This Row],[Is50 (MPa)]]&lt;8,4,5)))))</f>
        <v>#VALUE!</v>
      </c>
    </row>
    <row r="448" spans="2:33" x14ac:dyDescent="0.25">
      <c r="B448" s="88" t="e">
        <f>VLOOKUP(Data_PLT[[#This Row],[Hole ID]],Data_Log[],2,FALSE)</f>
        <v>#N/A</v>
      </c>
      <c r="C448" s="63" t="str">
        <f>IF(Data_PLT[[#This Row],[Hole ID]]="","",
IF(COUNTIF($A$4:A448,Data_PLT[[#This Row],[Hole ID]])=1,1,
IF(A448=A447,C447+1,
COUNTIF($A$4:A448,Data_PLT[[#This Row],[Hole ID]]))))</f>
        <v/>
      </c>
      <c r="D448" s="63" t="str">
        <f>IF(Data_PLT[[#This Row],[Hole ID]]="","",Data_PLT[[#This Row],[Hole ID]]&amp;"_"&amp;Data_PLT[[#This Row],[Sample ID]])</f>
        <v/>
      </c>
      <c r="E448" s="6"/>
      <c r="F448" s="6"/>
      <c r="G448" s="63" t="e" cm="1">
        <f t="array" ref="G448">_xlfn.XLOOKUP(1,(A448=Geotech!$A$4:$A$11100)*(Data_PLT[[#This Row],[Depth (m)]]&gt;=Geotech!$C$4:$C$11100)*(Data_PLT[[#This Row],[Depth (m)]]&lt;Geotech!$D$4:$D$11100),Geotech!$M$4:$M$11100)</f>
        <v>#N/A</v>
      </c>
      <c r="H448" s="6"/>
      <c r="I448" s="63" t="e">
        <f>VLOOKUP(Data_PLT[[#This Row],[Hole ID]],Data_Log[[Hole ID]:[Core size]],20,FALSE)</f>
        <v>#N/A</v>
      </c>
      <c r="J448" s="13" t="e">
        <f>VLOOKUP(Data_PLT[[#This Row],[Core Size]],Table_CoreSize[],2,FALSE)</f>
        <v>#N/A</v>
      </c>
      <c r="K448" s="19"/>
      <c r="L448" s="19"/>
      <c r="M448" s="5"/>
      <c r="N448" s="5"/>
      <c r="O448" s="6"/>
      <c r="P448" s="13" t="str">
        <f>IF(Data_PLT[[#This Row],[Failure type]]="","",IF(OR(Data_PLT[[#This Row],[Failure type]]="Invalid",Data_PLT[[#This Row],[Failure type]]="Chipped",Data_PLT[[#This Row],[Failure type]]="Penetrate",Data_PLT[[#This Row],[Failure type]]="Did not break"),"Invalid","Valid"))</f>
        <v/>
      </c>
      <c r="Q448" s="6"/>
      <c r="R448" s="11"/>
      <c r="S448" s="13" t="str">
        <f>IF(Data_PLT[[#This Row],[Test type]]="Diametral",Data_PLT[[#This Row],[Diameter (mm)]],IF(Data_PLT[[#This Row],[Test type]]="Axial",SQRT(4*Data_PLT[[#This Row],[Diameter (mm)]]*Data_PLT[[#This Row],[Length or width (mm)]]/PI()),"ERROR"))</f>
        <v>ERROR</v>
      </c>
      <c r="T448" s="13" t="e">
        <f>(Data_PLT[[#This Row],[Load (kN)]]*1000)/Data_PLT[[#This Row],[Equiv. Diam. (mm)]]^2</f>
        <v>#VALUE!</v>
      </c>
      <c r="U448" s="13" t="e">
        <f>(Data_PLT[[#This Row],[Equiv. Diam. (mm)]]/50)^0.45</f>
        <v>#VALUE!</v>
      </c>
      <c r="V448" s="13" t="e">
        <f>Data_PLT[[#This Row],[Is (MPa)]]*Data_PLT[[#This Row],[F]]</f>
        <v>#VALUE!</v>
      </c>
      <c r="W448" s="13" t="str">
        <f>Data_PLT[[#This Row],[Failure Validity]]&amp;"-"&amp;Data_PLT[[#This Row],[Test type]]</f>
        <v>-</v>
      </c>
      <c r="X448" s="13" t="e">
        <f>Data_PLT[[#This Row],[Is50 (MPa)]]*VLOOKUP("Min",Table_PLT_Conversion[],2,FALSE)</f>
        <v>#VALUE!</v>
      </c>
      <c r="Y448" s="13" t="e">
        <f>Data_PLT[[#This Row],[Is50 (MPa)]]*VLOOKUP("Avg",Table_PLT_Conversion[],2,FALSE)</f>
        <v>#VALUE!</v>
      </c>
      <c r="Z448" s="13" t="e">
        <f>Data_PLT[[#This Row],[Is50 (MPa)]]*VLOOKUP("Max",Table_PLT_Conversion[],2,FALSE)</f>
        <v>#VALUE!</v>
      </c>
      <c r="AA448" s="62" t="e">
        <f>MATCH(LOOKUP(Data_PLT[[#This Row],[UCS min (MPa)]],Table_FieldStrength[Min UCS]),Table_FieldStrength[Min UCS],0)-1</f>
        <v>#VALUE!</v>
      </c>
      <c r="AB448" s="62" t="e">
        <f>MATCH(LOOKUP(Data_PLT[[#This Row],[UCS avg (MPa)]],Table_FieldStrength[Min UCS]),Table_FieldStrength[Min UCS],0)-1</f>
        <v>#VALUE!</v>
      </c>
      <c r="AC448" s="62" t="e">
        <f>MATCH(LOOKUP(Data_PLT[[#This Row],[UCS max (MPa)]],Table_FieldStrength[Min UCS]),Table_FieldStrength[Min UCS],0)-1</f>
        <v>#VALUE!</v>
      </c>
      <c r="AD448" s="68" t="e">
        <f>Data_PLT[[#This Row],[Test code]]&amp;"-"&amp;Data_PLT[[#This Row],[UCS min code]]</f>
        <v>#VALUE!</v>
      </c>
      <c r="AE448" s="68" t="e">
        <f>Data_PLT[[#This Row],[Test code]]&amp;"-"&amp;Data_PLT[[#This Row],[UCS avg code]]</f>
        <v>#VALUE!</v>
      </c>
      <c r="AF448" s="67" t="e">
        <f>Data_PLT[[#This Row],[Test code]]&amp;"-"&amp;Data_PLT[[#This Row],[UCS max code]]</f>
        <v>#VALUE!</v>
      </c>
      <c r="AG448" s="67" t="e">
        <f>Data_PLT[[#This Row],[Failure type]]&amp;"-"&amp;Data_PLT[[#This Row],[Test type]]&amp;"-"&amp;(IF(Data_PLT[[#This Row],[Is50 (MPa)]]&lt;1,1,IF(Data_PLT[[#This Row],[Is50 (MPa)]]&lt;2,2,IF(Data_PLT[[#This Row],[Is50 (MPa)]]&lt;4,3,IF(Data_PLT[[#This Row],[Is50 (MPa)]]&lt;8,4,5)))))</f>
        <v>#VALUE!</v>
      </c>
    </row>
    <row r="449" spans="2:33" x14ac:dyDescent="0.25">
      <c r="B449" s="88" t="e">
        <f>VLOOKUP(Data_PLT[[#This Row],[Hole ID]],Data_Log[],2,FALSE)</f>
        <v>#N/A</v>
      </c>
      <c r="C449" s="63" t="str">
        <f>IF(Data_PLT[[#This Row],[Hole ID]]="","",
IF(COUNTIF($A$4:A449,Data_PLT[[#This Row],[Hole ID]])=1,1,
IF(A449=A448,C448+1,
COUNTIF($A$4:A449,Data_PLT[[#This Row],[Hole ID]]))))</f>
        <v/>
      </c>
      <c r="D449" s="63" t="str">
        <f>IF(Data_PLT[[#This Row],[Hole ID]]="","",Data_PLT[[#This Row],[Hole ID]]&amp;"_"&amp;Data_PLT[[#This Row],[Sample ID]])</f>
        <v/>
      </c>
      <c r="E449" s="6"/>
      <c r="F449" s="6"/>
      <c r="G449" s="63" t="e" cm="1">
        <f t="array" ref="G449">_xlfn.XLOOKUP(1,(A449=Geotech!$A$4:$A$11100)*(Data_PLT[[#This Row],[Depth (m)]]&gt;=Geotech!$C$4:$C$11100)*(Data_PLT[[#This Row],[Depth (m)]]&lt;Geotech!$D$4:$D$11100),Geotech!$M$4:$M$11100)</f>
        <v>#N/A</v>
      </c>
      <c r="H449" s="6"/>
      <c r="I449" s="63" t="e">
        <f>VLOOKUP(Data_PLT[[#This Row],[Hole ID]],Data_Log[[Hole ID]:[Core size]],20,FALSE)</f>
        <v>#N/A</v>
      </c>
      <c r="J449" s="13" t="e">
        <f>VLOOKUP(Data_PLT[[#This Row],[Core Size]],Table_CoreSize[],2,FALSE)</f>
        <v>#N/A</v>
      </c>
      <c r="K449" s="19"/>
      <c r="L449" s="19"/>
      <c r="M449" s="5"/>
      <c r="N449" s="5"/>
      <c r="O449" s="6"/>
      <c r="P449" s="13" t="str">
        <f>IF(Data_PLT[[#This Row],[Failure type]]="","",IF(OR(Data_PLT[[#This Row],[Failure type]]="Invalid",Data_PLT[[#This Row],[Failure type]]="Chipped",Data_PLT[[#This Row],[Failure type]]="Penetrate",Data_PLT[[#This Row],[Failure type]]="Did not break"),"Invalid","Valid"))</f>
        <v/>
      </c>
      <c r="Q449" s="6"/>
      <c r="R449" s="11"/>
      <c r="S449" s="13" t="str">
        <f>IF(Data_PLT[[#This Row],[Test type]]="Diametral",Data_PLT[[#This Row],[Diameter (mm)]],IF(Data_PLT[[#This Row],[Test type]]="Axial",SQRT(4*Data_PLT[[#This Row],[Diameter (mm)]]*Data_PLT[[#This Row],[Length or width (mm)]]/PI()),"ERROR"))</f>
        <v>ERROR</v>
      </c>
      <c r="T449" s="13" t="e">
        <f>(Data_PLT[[#This Row],[Load (kN)]]*1000)/Data_PLT[[#This Row],[Equiv. Diam. (mm)]]^2</f>
        <v>#VALUE!</v>
      </c>
      <c r="U449" s="13" t="e">
        <f>(Data_PLT[[#This Row],[Equiv. Diam. (mm)]]/50)^0.45</f>
        <v>#VALUE!</v>
      </c>
      <c r="V449" s="13" t="e">
        <f>Data_PLT[[#This Row],[Is (MPa)]]*Data_PLT[[#This Row],[F]]</f>
        <v>#VALUE!</v>
      </c>
      <c r="W449" s="13" t="str">
        <f>Data_PLT[[#This Row],[Failure Validity]]&amp;"-"&amp;Data_PLT[[#This Row],[Test type]]</f>
        <v>-</v>
      </c>
      <c r="X449" s="13" t="e">
        <f>Data_PLT[[#This Row],[Is50 (MPa)]]*VLOOKUP("Min",Table_PLT_Conversion[],2,FALSE)</f>
        <v>#VALUE!</v>
      </c>
      <c r="Y449" s="13" t="e">
        <f>Data_PLT[[#This Row],[Is50 (MPa)]]*VLOOKUP("Avg",Table_PLT_Conversion[],2,FALSE)</f>
        <v>#VALUE!</v>
      </c>
      <c r="Z449" s="13" t="e">
        <f>Data_PLT[[#This Row],[Is50 (MPa)]]*VLOOKUP("Max",Table_PLT_Conversion[],2,FALSE)</f>
        <v>#VALUE!</v>
      </c>
      <c r="AA449" s="62" t="e">
        <f>MATCH(LOOKUP(Data_PLT[[#This Row],[UCS min (MPa)]],Table_FieldStrength[Min UCS]),Table_FieldStrength[Min UCS],0)-1</f>
        <v>#VALUE!</v>
      </c>
      <c r="AB449" s="62" t="e">
        <f>MATCH(LOOKUP(Data_PLT[[#This Row],[UCS avg (MPa)]],Table_FieldStrength[Min UCS]),Table_FieldStrength[Min UCS],0)-1</f>
        <v>#VALUE!</v>
      </c>
      <c r="AC449" s="62" t="e">
        <f>MATCH(LOOKUP(Data_PLT[[#This Row],[UCS max (MPa)]],Table_FieldStrength[Min UCS]),Table_FieldStrength[Min UCS],0)-1</f>
        <v>#VALUE!</v>
      </c>
      <c r="AD449" s="68" t="e">
        <f>Data_PLT[[#This Row],[Test code]]&amp;"-"&amp;Data_PLT[[#This Row],[UCS min code]]</f>
        <v>#VALUE!</v>
      </c>
      <c r="AE449" s="68" t="e">
        <f>Data_PLT[[#This Row],[Test code]]&amp;"-"&amp;Data_PLT[[#This Row],[UCS avg code]]</f>
        <v>#VALUE!</v>
      </c>
      <c r="AF449" s="67" t="e">
        <f>Data_PLT[[#This Row],[Test code]]&amp;"-"&amp;Data_PLT[[#This Row],[UCS max code]]</f>
        <v>#VALUE!</v>
      </c>
      <c r="AG449" s="67" t="e">
        <f>Data_PLT[[#This Row],[Failure type]]&amp;"-"&amp;Data_PLT[[#This Row],[Test type]]&amp;"-"&amp;(IF(Data_PLT[[#This Row],[Is50 (MPa)]]&lt;1,1,IF(Data_PLT[[#This Row],[Is50 (MPa)]]&lt;2,2,IF(Data_PLT[[#This Row],[Is50 (MPa)]]&lt;4,3,IF(Data_PLT[[#This Row],[Is50 (MPa)]]&lt;8,4,5)))))</f>
        <v>#VALUE!</v>
      </c>
    </row>
    <row r="450" spans="2:33" x14ac:dyDescent="0.25">
      <c r="B450" s="88" t="e">
        <f>VLOOKUP(Data_PLT[[#This Row],[Hole ID]],Data_Log[],2,FALSE)</f>
        <v>#N/A</v>
      </c>
      <c r="C450" s="63" t="str">
        <f>IF(Data_PLT[[#This Row],[Hole ID]]="","",
IF(COUNTIF($A$4:A450,Data_PLT[[#This Row],[Hole ID]])=1,1,
IF(A450=A449,C449+1,
COUNTIF($A$4:A450,Data_PLT[[#This Row],[Hole ID]]))))</f>
        <v/>
      </c>
      <c r="D450" s="63" t="str">
        <f>IF(Data_PLT[[#This Row],[Hole ID]]="","",Data_PLT[[#This Row],[Hole ID]]&amp;"_"&amp;Data_PLT[[#This Row],[Sample ID]])</f>
        <v/>
      </c>
      <c r="E450" s="6"/>
      <c r="F450" s="6"/>
      <c r="G450" s="63" t="e" cm="1">
        <f t="array" ref="G450">_xlfn.XLOOKUP(1,(A450=Geotech!$A$4:$A$11100)*(Data_PLT[[#This Row],[Depth (m)]]&gt;=Geotech!$C$4:$C$11100)*(Data_PLT[[#This Row],[Depth (m)]]&lt;Geotech!$D$4:$D$11100),Geotech!$M$4:$M$11100)</f>
        <v>#N/A</v>
      </c>
      <c r="H450" s="6"/>
      <c r="I450" s="63" t="e">
        <f>VLOOKUP(Data_PLT[[#This Row],[Hole ID]],Data_Log[[Hole ID]:[Core size]],20,FALSE)</f>
        <v>#N/A</v>
      </c>
      <c r="J450" s="13" t="e">
        <f>VLOOKUP(Data_PLT[[#This Row],[Core Size]],Table_CoreSize[],2,FALSE)</f>
        <v>#N/A</v>
      </c>
      <c r="K450" s="19"/>
      <c r="L450" s="19"/>
      <c r="M450" s="5"/>
      <c r="N450" s="5"/>
      <c r="O450" s="6"/>
      <c r="P450" s="13" t="str">
        <f>IF(Data_PLT[[#This Row],[Failure type]]="","",IF(OR(Data_PLT[[#This Row],[Failure type]]="Invalid",Data_PLT[[#This Row],[Failure type]]="Chipped",Data_PLT[[#This Row],[Failure type]]="Penetrate",Data_PLT[[#This Row],[Failure type]]="Did not break"),"Invalid","Valid"))</f>
        <v/>
      </c>
      <c r="Q450" s="6"/>
      <c r="R450" s="11"/>
      <c r="S450" s="13" t="str">
        <f>IF(Data_PLT[[#This Row],[Test type]]="Diametral",Data_PLT[[#This Row],[Diameter (mm)]],IF(Data_PLT[[#This Row],[Test type]]="Axial",SQRT(4*Data_PLT[[#This Row],[Diameter (mm)]]*Data_PLT[[#This Row],[Length or width (mm)]]/PI()),"ERROR"))</f>
        <v>ERROR</v>
      </c>
      <c r="T450" s="13" t="e">
        <f>(Data_PLT[[#This Row],[Load (kN)]]*1000)/Data_PLT[[#This Row],[Equiv. Diam. (mm)]]^2</f>
        <v>#VALUE!</v>
      </c>
      <c r="U450" s="13" t="e">
        <f>(Data_PLT[[#This Row],[Equiv. Diam. (mm)]]/50)^0.45</f>
        <v>#VALUE!</v>
      </c>
      <c r="V450" s="13" t="e">
        <f>Data_PLT[[#This Row],[Is (MPa)]]*Data_PLT[[#This Row],[F]]</f>
        <v>#VALUE!</v>
      </c>
      <c r="W450" s="13" t="str">
        <f>Data_PLT[[#This Row],[Failure Validity]]&amp;"-"&amp;Data_PLT[[#This Row],[Test type]]</f>
        <v>-</v>
      </c>
      <c r="X450" s="13" t="e">
        <f>Data_PLT[[#This Row],[Is50 (MPa)]]*VLOOKUP("Min",Table_PLT_Conversion[],2,FALSE)</f>
        <v>#VALUE!</v>
      </c>
      <c r="Y450" s="13" t="e">
        <f>Data_PLT[[#This Row],[Is50 (MPa)]]*VLOOKUP("Avg",Table_PLT_Conversion[],2,FALSE)</f>
        <v>#VALUE!</v>
      </c>
      <c r="Z450" s="13" t="e">
        <f>Data_PLT[[#This Row],[Is50 (MPa)]]*VLOOKUP("Max",Table_PLT_Conversion[],2,FALSE)</f>
        <v>#VALUE!</v>
      </c>
      <c r="AA450" s="62" t="e">
        <f>MATCH(LOOKUP(Data_PLT[[#This Row],[UCS min (MPa)]],Table_FieldStrength[Min UCS]),Table_FieldStrength[Min UCS],0)-1</f>
        <v>#VALUE!</v>
      </c>
      <c r="AB450" s="62" t="e">
        <f>MATCH(LOOKUP(Data_PLT[[#This Row],[UCS avg (MPa)]],Table_FieldStrength[Min UCS]),Table_FieldStrength[Min UCS],0)-1</f>
        <v>#VALUE!</v>
      </c>
      <c r="AC450" s="62" t="e">
        <f>MATCH(LOOKUP(Data_PLT[[#This Row],[UCS max (MPa)]],Table_FieldStrength[Min UCS]),Table_FieldStrength[Min UCS],0)-1</f>
        <v>#VALUE!</v>
      </c>
      <c r="AD450" s="68" t="e">
        <f>Data_PLT[[#This Row],[Test code]]&amp;"-"&amp;Data_PLT[[#This Row],[UCS min code]]</f>
        <v>#VALUE!</v>
      </c>
      <c r="AE450" s="68" t="e">
        <f>Data_PLT[[#This Row],[Test code]]&amp;"-"&amp;Data_PLT[[#This Row],[UCS avg code]]</f>
        <v>#VALUE!</v>
      </c>
      <c r="AF450" s="67" t="e">
        <f>Data_PLT[[#This Row],[Test code]]&amp;"-"&amp;Data_PLT[[#This Row],[UCS max code]]</f>
        <v>#VALUE!</v>
      </c>
      <c r="AG450" s="67" t="e">
        <f>Data_PLT[[#This Row],[Failure type]]&amp;"-"&amp;Data_PLT[[#This Row],[Test type]]&amp;"-"&amp;(IF(Data_PLT[[#This Row],[Is50 (MPa)]]&lt;1,1,IF(Data_PLT[[#This Row],[Is50 (MPa)]]&lt;2,2,IF(Data_PLT[[#This Row],[Is50 (MPa)]]&lt;4,3,IF(Data_PLT[[#This Row],[Is50 (MPa)]]&lt;8,4,5)))))</f>
        <v>#VALUE!</v>
      </c>
    </row>
    <row r="451" spans="2:33" x14ac:dyDescent="0.25">
      <c r="B451" s="88" t="e">
        <f>VLOOKUP(Data_PLT[[#This Row],[Hole ID]],Data_Log[],2,FALSE)</f>
        <v>#N/A</v>
      </c>
      <c r="C451" s="63" t="str">
        <f>IF(Data_PLT[[#This Row],[Hole ID]]="","",
IF(COUNTIF($A$4:A451,Data_PLT[[#This Row],[Hole ID]])=1,1,
IF(A451=A450,C450+1,
COUNTIF($A$4:A451,Data_PLT[[#This Row],[Hole ID]]))))</f>
        <v/>
      </c>
      <c r="D451" s="63" t="str">
        <f>IF(Data_PLT[[#This Row],[Hole ID]]="","",Data_PLT[[#This Row],[Hole ID]]&amp;"_"&amp;Data_PLT[[#This Row],[Sample ID]])</f>
        <v/>
      </c>
      <c r="E451" s="6"/>
      <c r="F451" s="6"/>
      <c r="G451" s="63" t="e" cm="1">
        <f t="array" ref="G451">_xlfn.XLOOKUP(1,(A451=Geotech!$A$4:$A$11100)*(Data_PLT[[#This Row],[Depth (m)]]&gt;=Geotech!$C$4:$C$11100)*(Data_PLT[[#This Row],[Depth (m)]]&lt;Geotech!$D$4:$D$11100),Geotech!$M$4:$M$11100)</f>
        <v>#N/A</v>
      </c>
      <c r="H451" s="6"/>
      <c r="I451" s="63" t="e">
        <f>VLOOKUP(Data_PLT[[#This Row],[Hole ID]],Data_Log[[Hole ID]:[Core size]],20,FALSE)</f>
        <v>#N/A</v>
      </c>
      <c r="J451" s="13" t="e">
        <f>VLOOKUP(Data_PLT[[#This Row],[Core Size]],Table_CoreSize[],2,FALSE)</f>
        <v>#N/A</v>
      </c>
      <c r="K451" s="19"/>
      <c r="L451" s="19"/>
      <c r="M451" s="5"/>
      <c r="N451" s="5"/>
      <c r="O451" s="6"/>
      <c r="P451" s="13" t="str">
        <f>IF(Data_PLT[[#This Row],[Failure type]]="","",IF(OR(Data_PLT[[#This Row],[Failure type]]="Invalid",Data_PLT[[#This Row],[Failure type]]="Chipped",Data_PLT[[#This Row],[Failure type]]="Penetrate",Data_PLT[[#This Row],[Failure type]]="Did not break"),"Invalid","Valid"))</f>
        <v/>
      </c>
      <c r="Q451" s="6"/>
      <c r="R451" s="11"/>
      <c r="S451" s="13" t="str">
        <f>IF(Data_PLT[[#This Row],[Test type]]="Diametral",Data_PLT[[#This Row],[Diameter (mm)]],IF(Data_PLT[[#This Row],[Test type]]="Axial",SQRT(4*Data_PLT[[#This Row],[Diameter (mm)]]*Data_PLT[[#This Row],[Length or width (mm)]]/PI()),"ERROR"))</f>
        <v>ERROR</v>
      </c>
      <c r="T451" s="13" t="e">
        <f>(Data_PLT[[#This Row],[Load (kN)]]*1000)/Data_PLT[[#This Row],[Equiv. Diam. (mm)]]^2</f>
        <v>#VALUE!</v>
      </c>
      <c r="U451" s="13" t="e">
        <f>(Data_PLT[[#This Row],[Equiv. Diam. (mm)]]/50)^0.45</f>
        <v>#VALUE!</v>
      </c>
      <c r="V451" s="13" t="e">
        <f>Data_PLT[[#This Row],[Is (MPa)]]*Data_PLT[[#This Row],[F]]</f>
        <v>#VALUE!</v>
      </c>
      <c r="W451" s="13" t="str">
        <f>Data_PLT[[#This Row],[Failure Validity]]&amp;"-"&amp;Data_PLT[[#This Row],[Test type]]</f>
        <v>-</v>
      </c>
      <c r="X451" s="13" t="e">
        <f>Data_PLT[[#This Row],[Is50 (MPa)]]*VLOOKUP("Min",Table_PLT_Conversion[],2,FALSE)</f>
        <v>#VALUE!</v>
      </c>
      <c r="Y451" s="13" t="e">
        <f>Data_PLT[[#This Row],[Is50 (MPa)]]*VLOOKUP("Avg",Table_PLT_Conversion[],2,FALSE)</f>
        <v>#VALUE!</v>
      </c>
      <c r="Z451" s="13" t="e">
        <f>Data_PLT[[#This Row],[Is50 (MPa)]]*VLOOKUP("Max",Table_PLT_Conversion[],2,FALSE)</f>
        <v>#VALUE!</v>
      </c>
      <c r="AA451" s="62" t="e">
        <f>MATCH(LOOKUP(Data_PLT[[#This Row],[UCS min (MPa)]],Table_FieldStrength[Min UCS]),Table_FieldStrength[Min UCS],0)-1</f>
        <v>#VALUE!</v>
      </c>
      <c r="AB451" s="62" t="e">
        <f>MATCH(LOOKUP(Data_PLT[[#This Row],[UCS avg (MPa)]],Table_FieldStrength[Min UCS]),Table_FieldStrength[Min UCS],0)-1</f>
        <v>#VALUE!</v>
      </c>
      <c r="AC451" s="62" t="e">
        <f>MATCH(LOOKUP(Data_PLT[[#This Row],[UCS max (MPa)]],Table_FieldStrength[Min UCS]),Table_FieldStrength[Min UCS],0)-1</f>
        <v>#VALUE!</v>
      </c>
      <c r="AD451" s="68" t="e">
        <f>Data_PLT[[#This Row],[Test code]]&amp;"-"&amp;Data_PLT[[#This Row],[UCS min code]]</f>
        <v>#VALUE!</v>
      </c>
      <c r="AE451" s="68" t="e">
        <f>Data_PLT[[#This Row],[Test code]]&amp;"-"&amp;Data_PLT[[#This Row],[UCS avg code]]</f>
        <v>#VALUE!</v>
      </c>
      <c r="AF451" s="67" t="e">
        <f>Data_PLT[[#This Row],[Test code]]&amp;"-"&amp;Data_PLT[[#This Row],[UCS max code]]</f>
        <v>#VALUE!</v>
      </c>
      <c r="AG451" s="67" t="e">
        <f>Data_PLT[[#This Row],[Failure type]]&amp;"-"&amp;Data_PLT[[#This Row],[Test type]]&amp;"-"&amp;(IF(Data_PLT[[#This Row],[Is50 (MPa)]]&lt;1,1,IF(Data_PLT[[#This Row],[Is50 (MPa)]]&lt;2,2,IF(Data_PLT[[#This Row],[Is50 (MPa)]]&lt;4,3,IF(Data_PLT[[#This Row],[Is50 (MPa)]]&lt;8,4,5)))))</f>
        <v>#VALUE!</v>
      </c>
    </row>
    <row r="452" spans="2:33" x14ac:dyDescent="0.25">
      <c r="B452" s="88" t="e">
        <f>VLOOKUP(Data_PLT[[#This Row],[Hole ID]],Data_Log[],2,FALSE)</f>
        <v>#N/A</v>
      </c>
      <c r="C452" s="63" t="str">
        <f>IF(Data_PLT[[#This Row],[Hole ID]]="","",
IF(COUNTIF($A$4:A452,Data_PLT[[#This Row],[Hole ID]])=1,1,
IF(A452=A451,C451+1,
COUNTIF($A$4:A452,Data_PLT[[#This Row],[Hole ID]]))))</f>
        <v/>
      </c>
      <c r="D452" s="63" t="str">
        <f>IF(Data_PLT[[#This Row],[Hole ID]]="","",Data_PLT[[#This Row],[Hole ID]]&amp;"_"&amp;Data_PLT[[#This Row],[Sample ID]])</f>
        <v/>
      </c>
      <c r="E452" s="6"/>
      <c r="F452" s="6"/>
      <c r="G452" s="63" t="e" cm="1">
        <f t="array" ref="G452">_xlfn.XLOOKUP(1,(A452=Geotech!$A$4:$A$11100)*(Data_PLT[[#This Row],[Depth (m)]]&gt;=Geotech!$C$4:$C$11100)*(Data_PLT[[#This Row],[Depth (m)]]&lt;Geotech!$D$4:$D$11100),Geotech!$M$4:$M$11100)</f>
        <v>#N/A</v>
      </c>
      <c r="H452" s="6"/>
      <c r="I452" s="63" t="e">
        <f>VLOOKUP(Data_PLT[[#This Row],[Hole ID]],Data_Log[[Hole ID]:[Core size]],20,FALSE)</f>
        <v>#N/A</v>
      </c>
      <c r="J452" s="13" t="e">
        <f>VLOOKUP(Data_PLT[[#This Row],[Core Size]],Table_CoreSize[],2,FALSE)</f>
        <v>#N/A</v>
      </c>
      <c r="K452" s="19"/>
      <c r="L452" s="19"/>
      <c r="M452" s="5"/>
      <c r="N452" s="5"/>
      <c r="O452" s="6"/>
      <c r="P452" s="13" t="str">
        <f>IF(Data_PLT[[#This Row],[Failure type]]="","",IF(OR(Data_PLT[[#This Row],[Failure type]]="Invalid",Data_PLT[[#This Row],[Failure type]]="Chipped",Data_PLT[[#This Row],[Failure type]]="Penetrate",Data_PLT[[#This Row],[Failure type]]="Did not break"),"Invalid","Valid"))</f>
        <v/>
      </c>
      <c r="Q452" s="6"/>
      <c r="R452" s="11"/>
      <c r="S452" s="13" t="str">
        <f>IF(Data_PLT[[#This Row],[Test type]]="Diametral",Data_PLT[[#This Row],[Diameter (mm)]],IF(Data_PLT[[#This Row],[Test type]]="Axial",SQRT(4*Data_PLT[[#This Row],[Diameter (mm)]]*Data_PLT[[#This Row],[Length or width (mm)]]/PI()),"ERROR"))</f>
        <v>ERROR</v>
      </c>
      <c r="T452" s="13" t="e">
        <f>(Data_PLT[[#This Row],[Load (kN)]]*1000)/Data_PLT[[#This Row],[Equiv. Diam. (mm)]]^2</f>
        <v>#VALUE!</v>
      </c>
      <c r="U452" s="13" t="e">
        <f>(Data_PLT[[#This Row],[Equiv. Diam. (mm)]]/50)^0.45</f>
        <v>#VALUE!</v>
      </c>
      <c r="V452" s="13" t="e">
        <f>Data_PLT[[#This Row],[Is (MPa)]]*Data_PLT[[#This Row],[F]]</f>
        <v>#VALUE!</v>
      </c>
      <c r="W452" s="13" t="str">
        <f>Data_PLT[[#This Row],[Failure Validity]]&amp;"-"&amp;Data_PLT[[#This Row],[Test type]]</f>
        <v>-</v>
      </c>
      <c r="X452" s="13" t="e">
        <f>Data_PLT[[#This Row],[Is50 (MPa)]]*VLOOKUP("Min",Table_PLT_Conversion[],2,FALSE)</f>
        <v>#VALUE!</v>
      </c>
      <c r="Y452" s="13" t="e">
        <f>Data_PLT[[#This Row],[Is50 (MPa)]]*VLOOKUP("Avg",Table_PLT_Conversion[],2,FALSE)</f>
        <v>#VALUE!</v>
      </c>
      <c r="Z452" s="13" t="e">
        <f>Data_PLT[[#This Row],[Is50 (MPa)]]*VLOOKUP("Max",Table_PLT_Conversion[],2,FALSE)</f>
        <v>#VALUE!</v>
      </c>
      <c r="AA452" s="62" t="e">
        <f>MATCH(LOOKUP(Data_PLT[[#This Row],[UCS min (MPa)]],Table_FieldStrength[Min UCS]),Table_FieldStrength[Min UCS],0)-1</f>
        <v>#VALUE!</v>
      </c>
      <c r="AB452" s="62" t="e">
        <f>MATCH(LOOKUP(Data_PLT[[#This Row],[UCS avg (MPa)]],Table_FieldStrength[Min UCS]),Table_FieldStrength[Min UCS],0)-1</f>
        <v>#VALUE!</v>
      </c>
      <c r="AC452" s="62" t="e">
        <f>MATCH(LOOKUP(Data_PLT[[#This Row],[UCS max (MPa)]],Table_FieldStrength[Min UCS]),Table_FieldStrength[Min UCS],0)-1</f>
        <v>#VALUE!</v>
      </c>
      <c r="AD452" s="68" t="e">
        <f>Data_PLT[[#This Row],[Test code]]&amp;"-"&amp;Data_PLT[[#This Row],[UCS min code]]</f>
        <v>#VALUE!</v>
      </c>
      <c r="AE452" s="68" t="e">
        <f>Data_PLT[[#This Row],[Test code]]&amp;"-"&amp;Data_PLT[[#This Row],[UCS avg code]]</f>
        <v>#VALUE!</v>
      </c>
      <c r="AF452" s="67" t="e">
        <f>Data_PLT[[#This Row],[Test code]]&amp;"-"&amp;Data_PLT[[#This Row],[UCS max code]]</f>
        <v>#VALUE!</v>
      </c>
      <c r="AG452" s="67" t="e">
        <f>Data_PLT[[#This Row],[Failure type]]&amp;"-"&amp;Data_PLT[[#This Row],[Test type]]&amp;"-"&amp;(IF(Data_PLT[[#This Row],[Is50 (MPa)]]&lt;1,1,IF(Data_PLT[[#This Row],[Is50 (MPa)]]&lt;2,2,IF(Data_PLT[[#This Row],[Is50 (MPa)]]&lt;4,3,IF(Data_PLT[[#This Row],[Is50 (MPa)]]&lt;8,4,5)))))</f>
        <v>#VALUE!</v>
      </c>
    </row>
    <row r="453" spans="2:33" x14ac:dyDescent="0.25">
      <c r="B453" s="88" t="e">
        <f>VLOOKUP(Data_PLT[[#This Row],[Hole ID]],Data_Log[],2,FALSE)</f>
        <v>#N/A</v>
      </c>
      <c r="C453" s="63" t="str">
        <f>IF(Data_PLT[[#This Row],[Hole ID]]="","",
IF(COUNTIF($A$4:A453,Data_PLT[[#This Row],[Hole ID]])=1,1,
IF(A453=A452,C452+1,
COUNTIF($A$4:A453,Data_PLT[[#This Row],[Hole ID]]))))</f>
        <v/>
      </c>
      <c r="D453" s="63" t="str">
        <f>IF(Data_PLT[[#This Row],[Hole ID]]="","",Data_PLT[[#This Row],[Hole ID]]&amp;"_"&amp;Data_PLT[[#This Row],[Sample ID]])</f>
        <v/>
      </c>
      <c r="E453" s="6"/>
      <c r="F453" s="6"/>
      <c r="G453" s="63" t="e" cm="1">
        <f t="array" ref="G453">_xlfn.XLOOKUP(1,(A453=Geotech!$A$4:$A$11100)*(Data_PLT[[#This Row],[Depth (m)]]&gt;=Geotech!$C$4:$C$11100)*(Data_PLT[[#This Row],[Depth (m)]]&lt;Geotech!$D$4:$D$11100),Geotech!$M$4:$M$11100)</f>
        <v>#N/A</v>
      </c>
      <c r="H453" s="6"/>
      <c r="I453" s="63" t="e">
        <f>VLOOKUP(Data_PLT[[#This Row],[Hole ID]],Data_Log[[Hole ID]:[Core size]],20,FALSE)</f>
        <v>#N/A</v>
      </c>
      <c r="J453" s="13" t="e">
        <f>VLOOKUP(Data_PLT[[#This Row],[Core Size]],Table_CoreSize[],2,FALSE)</f>
        <v>#N/A</v>
      </c>
      <c r="K453" s="19"/>
      <c r="L453" s="19"/>
      <c r="M453" s="5"/>
      <c r="N453" s="5"/>
      <c r="O453" s="6"/>
      <c r="P453" s="13" t="str">
        <f>IF(Data_PLT[[#This Row],[Failure type]]="","",IF(OR(Data_PLT[[#This Row],[Failure type]]="Invalid",Data_PLT[[#This Row],[Failure type]]="Chipped",Data_PLT[[#This Row],[Failure type]]="Penetrate",Data_PLT[[#This Row],[Failure type]]="Did not break"),"Invalid","Valid"))</f>
        <v/>
      </c>
      <c r="Q453" s="6"/>
      <c r="R453" s="11"/>
      <c r="S453" s="13" t="str">
        <f>IF(Data_PLT[[#This Row],[Test type]]="Diametral",Data_PLT[[#This Row],[Diameter (mm)]],IF(Data_PLT[[#This Row],[Test type]]="Axial",SQRT(4*Data_PLT[[#This Row],[Diameter (mm)]]*Data_PLT[[#This Row],[Length or width (mm)]]/PI()),"ERROR"))</f>
        <v>ERROR</v>
      </c>
      <c r="T453" s="13" t="e">
        <f>(Data_PLT[[#This Row],[Load (kN)]]*1000)/Data_PLT[[#This Row],[Equiv. Diam. (mm)]]^2</f>
        <v>#VALUE!</v>
      </c>
      <c r="U453" s="13" t="e">
        <f>(Data_PLT[[#This Row],[Equiv. Diam. (mm)]]/50)^0.45</f>
        <v>#VALUE!</v>
      </c>
      <c r="V453" s="13" t="e">
        <f>Data_PLT[[#This Row],[Is (MPa)]]*Data_PLT[[#This Row],[F]]</f>
        <v>#VALUE!</v>
      </c>
      <c r="W453" s="13" t="str">
        <f>Data_PLT[[#This Row],[Failure Validity]]&amp;"-"&amp;Data_PLT[[#This Row],[Test type]]</f>
        <v>-</v>
      </c>
      <c r="X453" s="13" t="e">
        <f>Data_PLT[[#This Row],[Is50 (MPa)]]*VLOOKUP("Min",Table_PLT_Conversion[],2,FALSE)</f>
        <v>#VALUE!</v>
      </c>
      <c r="Y453" s="13" t="e">
        <f>Data_PLT[[#This Row],[Is50 (MPa)]]*VLOOKUP("Avg",Table_PLT_Conversion[],2,FALSE)</f>
        <v>#VALUE!</v>
      </c>
      <c r="Z453" s="13" t="e">
        <f>Data_PLT[[#This Row],[Is50 (MPa)]]*VLOOKUP("Max",Table_PLT_Conversion[],2,FALSE)</f>
        <v>#VALUE!</v>
      </c>
      <c r="AA453" s="62" t="e">
        <f>MATCH(LOOKUP(Data_PLT[[#This Row],[UCS min (MPa)]],Table_FieldStrength[Min UCS]),Table_FieldStrength[Min UCS],0)-1</f>
        <v>#VALUE!</v>
      </c>
      <c r="AB453" s="62" t="e">
        <f>MATCH(LOOKUP(Data_PLT[[#This Row],[UCS avg (MPa)]],Table_FieldStrength[Min UCS]),Table_FieldStrength[Min UCS],0)-1</f>
        <v>#VALUE!</v>
      </c>
      <c r="AC453" s="62" t="e">
        <f>MATCH(LOOKUP(Data_PLT[[#This Row],[UCS max (MPa)]],Table_FieldStrength[Min UCS]),Table_FieldStrength[Min UCS],0)-1</f>
        <v>#VALUE!</v>
      </c>
      <c r="AD453" s="68" t="e">
        <f>Data_PLT[[#This Row],[Test code]]&amp;"-"&amp;Data_PLT[[#This Row],[UCS min code]]</f>
        <v>#VALUE!</v>
      </c>
      <c r="AE453" s="68" t="e">
        <f>Data_PLT[[#This Row],[Test code]]&amp;"-"&amp;Data_PLT[[#This Row],[UCS avg code]]</f>
        <v>#VALUE!</v>
      </c>
      <c r="AF453" s="67" t="e">
        <f>Data_PLT[[#This Row],[Test code]]&amp;"-"&amp;Data_PLT[[#This Row],[UCS max code]]</f>
        <v>#VALUE!</v>
      </c>
      <c r="AG453" s="67" t="e">
        <f>Data_PLT[[#This Row],[Failure type]]&amp;"-"&amp;Data_PLT[[#This Row],[Test type]]&amp;"-"&amp;(IF(Data_PLT[[#This Row],[Is50 (MPa)]]&lt;1,1,IF(Data_PLT[[#This Row],[Is50 (MPa)]]&lt;2,2,IF(Data_PLT[[#This Row],[Is50 (MPa)]]&lt;4,3,IF(Data_PLT[[#This Row],[Is50 (MPa)]]&lt;8,4,5)))))</f>
        <v>#VALUE!</v>
      </c>
    </row>
    <row r="454" spans="2:33" x14ac:dyDescent="0.25">
      <c r="B454" s="88" t="e">
        <f>VLOOKUP(Data_PLT[[#This Row],[Hole ID]],Data_Log[],2,FALSE)</f>
        <v>#N/A</v>
      </c>
      <c r="C454" s="63" t="str">
        <f>IF(Data_PLT[[#This Row],[Hole ID]]="","",
IF(COUNTIF($A$4:A454,Data_PLT[[#This Row],[Hole ID]])=1,1,
IF(A454=A453,C453+1,
COUNTIF($A$4:A454,Data_PLT[[#This Row],[Hole ID]]))))</f>
        <v/>
      </c>
      <c r="D454" s="63" t="str">
        <f>IF(Data_PLT[[#This Row],[Hole ID]]="","",Data_PLT[[#This Row],[Hole ID]]&amp;"_"&amp;Data_PLT[[#This Row],[Sample ID]])</f>
        <v/>
      </c>
      <c r="E454" s="6"/>
      <c r="F454" s="6"/>
      <c r="G454" s="63" t="e" cm="1">
        <f t="array" ref="G454">_xlfn.XLOOKUP(1,(A454=Geotech!$A$4:$A$11100)*(Data_PLT[[#This Row],[Depth (m)]]&gt;=Geotech!$C$4:$C$11100)*(Data_PLT[[#This Row],[Depth (m)]]&lt;Geotech!$D$4:$D$11100),Geotech!$M$4:$M$11100)</f>
        <v>#N/A</v>
      </c>
      <c r="H454" s="6"/>
      <c r="I454" s="63" t="e">
        <f>VLOOKUP(Data_PLT[[#This Row],[Hole ID]],Data_Log[[Hole ID]:[Core size]],20,FALSE)</f>
        <v>#N/A</v>
      </c>
      <c r="J454" s="13" t="e">
        <f>VLOOKUP(Data_PLT[[#This Row],[Core Size]],Table_CoreSize[],2,FALSE)</f>
        <v>#N/A</v>
      </c>
      <c r="K454" s="19"/>
      <c r="L454" s="19"/>
      <c r="M454" s="5"/>
      <c r="N454" s="5"/>
      <c r="O454" s="6"/>
      <c r="P454" s="13" t="str">
        <f>IF(Data_PLT[[#This Row],[Failure type]]="","",IF(OR(Data_PLT[[#This Row],[Failure type]]="Invalid",Data_PLT[[#This Row],[Failure type]]="Chipped",Data_PLT[[#This Row],[Failure type]]="Penetrate",Data_PLT[[#This Row],[Failure type]]="Did not break"),"Invalid","Valid"))</f>
        <v/>
      </c>
      <c r="Q454" s="6"/>
      <c r="R454" s="11"/>
      <c r="S454" s="13" t="str">
        <f>IF(Data_PLT[[#This Row],[Test type]]="Diametral",Data_PLT[[#This Row],[Diameter (mm)]],IF(Data_PLT[[#This Row],[Test type]]="Axial",SQRT(4*Data_PLT[[#This Row],[Diameter (mm)]]*Data_PLT[[#This Row],[Length or width (mm)]]/PI()),"ERROR"))</f>
        <v>ERROR</v>
      </c>
      <c r="T454" s="13" t="e">
        <f>(Data_PLT[[#This Row],[Load (kN)]]*1000)/Data_PLT[[#This Row],[Equiv. Diam. (mm)]]^2</f>
        <v>#VALUE!</v>
      </c>
      <c r="U454" s="13" t="e">
        <f>(Data_PLT[[#This Row],[Equiv. Diam. (mm)]]/50)^0.45</f>
        <v>#VALUE!</v>
      </c>
      <c r="V454" s="13" t="e">
        <f>Data_PLT[[#This Row],[Is (MPa)]]*Data_PLT[[#This Row],[F]]</f>
        <v>#VALUE!</v>
      </c>
      <c r="W454" s="13" t="str">
        <f>Data_PLT[[#This Row],[Failure Validity]]&amp;"-"&amp;Data_PLT[[#This Row],[Test type]]</f>
        <v>-</v>
      </c>
      <c r="X454" s="13" t="e">
        <f>Data_PLT[[#This Row],[Is50 (MPa)]]*VLOOKUP("Min",Table_PLT_Conversion[],2,FALSE)</f>
        <v>#VALUE!</v>
      </c>
      <c r="Y454" s="13" t="e">
        <f>Data_PLT[[#This Row],[Is50 (MPa)]]*VLOOKUP("Avg",Table_PLT_Conversion[],2,FALSE)</f>
        <v>#VALUE!</v>
      </c>
      <c r="Z454" s="13" t="e">
        <f>Data_PLT[[#This Row],[Is50 (MPa)]]*VLOOKUP("Max",Table_PLT_Conversion[],2,FALSE)</f>
        <v>#VALUE!</v>
      </c>
      <c r="AA454" s="62" t="e">
        <f>MATCH(LOOKUP(Data_PLT[[#This Row],[UCS min (MPa)]],Table_FieldStrength[Min UCS]),Table_FieldStrength[Min UCS],0)-1</f>
        <v>#VALUE!</v>
      </c>
      <c r="AB454" s="62" t="e">
        <f>MATCH(LOOKUP(Data_PLT[[#This Row],[UCS avg (MPa)]],Table_FieldStrength[Min UCS]),Table_FieldStrength[Min UCS],0)-1</f>
        <v>#VALUE!</v>
      </c>
      <c r="AC454" s="62" t="e">
        <f>MATCH(LOOKUP(Data_PLT[[#This Row],[UCS max (MPa)]],Table_FieldStrength[Min UCS]),Table_FieldStrength[Min UCS],0)-1</f>
        <v>#VALUE!</v>
      </c>
      <c r="AD454" s="68" t="e">
        <f>Data_PLT[[#This Row],[Test code]]&amp;"-"&amp;Data_PLT[[#This Row],[UCS min code]]</f>
        <v>#VALUE!</v>
      </c>
      <c r="AE454" s="68" t="e">
        <f>Data_PLT[[#This Row],[Test code]]&amp;"-"&amp;Data_PLT[[#This Row],[UCS avg code]]</f>
        <v>#VALUE!</v>
      </c>
      <c r="AF454" s="67" t="e">
        <f>Data_PLT[[#This Row],[Test code]]&amp;"-"&amp;Data_PLT[[#This Row],[UCS max code]]</f>
        <v>#VALUE!</v>
      </c>
      <c r="AG454" s="67" t="e">
        <f>Data_PLT[[#This Row],[Failure type]]&amp;"-"&amp;Data_PLT[[#This Row],[Test type]]&amp;"-"&amp;(IF(Data_PLT[[#This Row],[Is50 (MPa)]]&lt;1,1,IF(Data_PLT[[#This Row],[Is50 (MPa)]]&lt;2,2,IF(Data_PLT[[#This Row],[Is50 (MPa)]]&lt;4,3,IF(Data_PLT[[#This Row],[Is50 (MPa)]]&lt;8,4,5)))))</f>
        <v>#VALUE!</v>
      </c>
    </row>
    <row r="455" spans="2:33" x14ac:dyDescent="0.25">
      <c r="B455" s="88" t="e">
        <f>VLOOKUP(Data_PLT[[#This Row],[Hole ID]],Data_Log[],2,FALSE)</f>
        <v>#N/A</v>
      </c>
      <c r="C455" s="63" t="str">
        <f>IF(Data_PLT[[#This Row],[Hole ID]]="","",
IF(COUNTIF($A$4:A455,Data_PLT[[#This Row],[Hole ID]])=1,1,
IF(A455=A454,C454+1,
COUNTIF($A$4:A455,Data_PLT[[#This Row],[Hole ID]]))))</f>
        <v/>
      </c>
      <c r="D455" s="63" t="str">
        <f>IF(Data_PLT[[#This Row],[Hole ID]]="","",Data_PLT[[#This Row],[Hole ID]]&amp;"_"&amp;Data_PLT[[#This Row],[Sample ID]])</f>
        <v/>
      </c>
      <c r="E455" s="6"/>
      <c r="F455" s="6"/>
      <c r="G455" s="63" t="e" cm="1">
        <f t="array" ref="G455">_xlfn.XLOOKUP(1,(A455=Geotech!$A$4:$A$11100)*(Data_PLT[[#This Row],[Depth (m)]]&gt;=Geotech!$C$4:$C$11100)*(Data_PLT[[#This Row],[Depth (m)]]&lt;Geotech!$D$4:$D$11100),Geotech!$M$4:$M$11100)</f>
        <v>#N/A</v>
      </c>
      <c r="H455" s="6"/>
      <c r="I455" s="63" t="e">
        <f>VLOOKUP(Data_PLT[[#This Row],[Hole ID]],Data_Log[[Hole ID]:[Core size]],20,FALSE)</f>
        <v>#N/A</v>
      </c>
      <c r="J455" s="13" t="e">
        <f>VLOOKUP(Data_PLT[[#This Row],[Core Size]],Table_CoreSize[],2,FALSE)</f>
        <v>#N/A</v>
      </c>
      <c r="K455" s="19"/>
      <c r="L455" s="19"/>
      <c r="M455" s="5"/>
      <c r="N455" s="5"/>
      <c r="O455" s="6"/>
      <c r="P455" s="13" t="str">
        <f>IF(Data_PLT[[#This Row],[Failure type]]="","",IF(OR(Data_PLT[[#This Row],[Failure type]]="Invalid",Data_PLT[[#This Row],[Failure type]]="Chipped",Data_PLT[[#This Row],[Failure type]]="Penetrate",Data_PLT[[#This Row],[Failure type]]="Did not break"),"Invalid","Valid"))</f>
        <v/>
      </c>
      <c r="Q455" s="6"/>
      <c r="R455" s="11"/>
      <c r="S455" s="13" t="str">
        <f>IF(Data_PLT[[#This Row],[Test type]]="Diametral",Data_PLT[[#This Row],[Diameter (mm)]],IF(Data_PLT[[#This Row],[Test type]]="Axial",SQRT(4*Data_PLT[[#This Row],[Diameter (mm)]]*Data_PLT[[#This Row],[Length or width (mm)]]/PI()),"ERROR"))</f>
        <v>ERROR</v>
      </c>
      <c r="T455" s="13" t="e">
        <f>(Data_PLT[[#This Row],[Load (kN)]]*1000)/Data_PLT[[#This Row],[Equiv. Diam. (mm)]]^2</f>
        <v>#VALUE!</v>
      </c>
      <c r="U455" s="13" t="e">
        <f>(Data_PLT[[#This Row],[Equiv. Diam. (mm)]]/50)^0.45</f>
        <v>#VALUE!</v>
      </c>
      <c r="V455" s="13" t="e">
        <f>Data_PLT[[#This Row],[Is (MPa)]]*Data_PLT[[#This Row],[F]]</f>
        <v>#VALUE!</v>
      </c>
      <c r="W455" s="13" t="str">
        <f>Data_PLT[[#This Row],[Failure Validity]]&amp;"-"&amp;Data_PLT[[#This Row],[Test type]]</f>
        <v>-</v>
      </c>
      <c r="X455" s="13" t="e">
        <f>Data_PLT[[#This Row],[Is50 (MPa)]]*VLOOKUP("Min",Table_PLT_Conversion[],2,FALSE)</f>
        <v>#VALUE!</v>
      </c>
      <c r="Y455" s="13" t="e">
        <f>Data_PLT[[#This Row],[Is50 (MPa)]]*VLOOKUP("Avg",Table_PLT_Conversion[],2,FALSE)</f>
        <v>#VALUE!</v>
      </c>
      <c r="Z455" s="13" t="e">
        <f>Data_PLT[[#This Row],[Is50 (MPa)]]*VLOOKUP("Max",Table_PLT_Conversion[],2,FALSE)</f>
        <v>#VALUE!</v>
      </c>
      <c r="AA455" s="62" t="e">
        <f>MATCH(LOOKUP(Data_PLT[[#This Row],[UCS min (MPa)]],Table_FieldStrength[Min UCS]),Table_FieldStrength[Min UCS],0)-1</f>
        <v>#VALUE!</v>
      </c>
      <c r="AB455" s="62" t="e">
        <f>MATCH(LOOKUP(Data_PLT[[#This Row],[UCS avg (MPa)]],Table_FieldStrength[Min UCS]),Table_FieldStrength[Min UCS],0)-1</f>
        <v>#VALUE!</v>
      </c>
      <c r="AC455" s="62" t="e">
        <f>MATCH(LOOKUP(Data_PLT[[#This Row],[UCS max (MPa)]],Table_FieldStrength[Min UCS]),Table_FieldStrength[Min UCS],0)-1</f>
        <v>#VALUE!</v>
      </c>
      <c r="AD455" s="68" t="e">
        <f>Data_PLT[[#This Row],[Test code]]&amp;"-"&amp;Data_PLT[[#This Row],[UCS min code]]</f>
        <v>#VALUE!</v>
      </c>
      <c r="AE455" s="68" t="e">
        <f>Data_PLT[[#This Row],[Test code]]&amp;"-"&amp;Data_PLT[[#This Row],[UCS avg code]]</f>
        <v>#VALUE!</v>
      </c>
      <c r="AF455" s="67" t="e">
        <f>Data_PLT[[#This Row],[Test code]]&amp;"-"&amp;Data_PLT[[#This Row],[UCS max code]]</f>
        <v>#VALUE!</v>
      </c>
      <c r="AG455" s="67" t="e">
        <f>Data_PLT[[#This Row],[Failure type]]&amp;"-"&amp;Data_PLT[[#This Row],[Test type]]&amp;"-"&amp;(IF(Data_PLT[[#This Row],[Is50 (MPa)]]&lt;1,1,IF(Data_PLT[[#This Row],[Is50 (MPa)]]&lt;2,2,IF(Data_PLT[[#This Row],[Is50 (MPa)]]&lt;4,3,IF(Data_PLT[[#This Row],[Is50 (MPa)]]&lt;8,4,5)))))</f>
        <v>#VALUE!</v>
      </c>
    </row>
    <row r="456" spans="2:33" x14ac:dyDescent="0.25">
      <c r="B456" s="88" t="e">
        <f>VLOOKUP(Data_PLT[[#This Row],[Hole ID]],Data_Log[],2,FALSE)</f>
        <v>#N/A</v>
      </c>
      <c r="C456" s="63" t="str">
        <f>IF(Data_PLT[[#This Row],[Hole ID]]="","",
IF(COUNTIF($A$4:A456,Data_PLT[[#This Row],[Hole ID]])=1,1,
IF(A456=A455,C455+1,
COUNTIF($A$4:A456,Data_PLT[[#This Row],[Hole ID]]))))</f>
        <v/>
      </c>
      <c r="D456" s="63" t="str">
        <f>IF(Data_PLT[[#This Row],[Hole ID]]="","",Data_PLT[[#This Row],[Hole ID]]&amp;"_"&amp;Data_PLT[[#This Row],[Sample ID]])</f>
        <v/>
      </c>
      <c r="E456" s="6"/>
      <c r="F456" s="6"/>
      <c r="G456" s="63" t="e" cm="1">
        <f t="array" ref="G456">_xlfn.XLOOKUP(1,(A456=Geotech!$A$4:$A$11100)*(Data_PLT[[#This Row],[Depth (m)]]&gt;=Geotech!$C$4:$C$11100)*(Data_PLT[[#This Row],[Depth (m)]]&lt;Geotech!$D$4:$D$11100),Geotech!$M$4:$M$11100)</f>
        <v>#N/A</v>
      </c>
      <c r="H456" s="6"/>
      <c r="I456" s="63" t="e">
        <f>VLOOKUP(Data_PLT[[#This Row],[Hole ID]],Data_Log[[Hole ID]:[Core size]],20,FALSE)</f>
        <v>#N/A</v>
      </c>
      <c r="J456" s="13" t="e">
        <f>VLOOKUP(Data_PLT[[#This Row],[Core Size]],Table_CoreSize[],2,FALSE)</f>
        <v>#N/A</v>
      </c>
      <c r="K456" s="19"/>
      <c r="L456" s="19"/>
      <c r="M456" s="5"/>
      <c r="N456" s="5"/>
      <c r="O456" s="6"/>
      <c r="P456" s="13" t="str">
        <f>IF(Data_PLT[[#This Row],[Failure type]]="","",IF(OR(Data_PLT[[#This Row],[Failure type]]="Invalid",Data_PLT[[#This Row],[Failure type]]="Chipped",Data_PLT[[#This Row],[Failure type]]="Penetrate",Data_PLT[[#This Row],[Failure type]]="Did not break"),"Invalid","Valid"))</f>
        <v/>
      </c>
      <c r="Q456" s="6"/>
      <c r="R456" s="11"/>
      <c r="S456" s="13" t="str">
        <f>IF(Data_PLT[[#This Row],[Test type]]="Diametral",Data_PLT[[#This Row],[Diameter (mm)]],IF(Data_PLT[[#This Row],[Test type]]="Axial",SQRT(4*Data_PLT[[#This Row],[Diameter (mm)]]*Data_PLT[[#This Row],[Length or width (mm)]]/PI()),"ERROR"))</f>
        <v>ERROR</v>
      </c>
      <c r="T456" s="13" t="e">
        <f>(Data_PLT[[#This Row],[Load (kN)]]*1000)/Data_PLT[[#This Row],[Equiv. Diam. (mm)]]^2</f>
        <v>#VALUE!</v>
      </c>
      <c r="U456" s="13" t="e">
        <f>(Data_PLT[[#This Row],[Equiv. Diam. (mm)]]/50)^0.45</f>
        <v>#VALUE!</v>
      </c>
      <c r="V456" s="13" t="e">
        <f>Data_PLT[[#This Row],[Is (MPa)]]*Data_PLT[[#This Row],[F]]</f>
        <v>#VALUE!</v>
      </c>
      <c r="W456" s="13" t="str">
        <f>Data_PLT[[#This Row],[Failure Validity]]&amp;"-"&amp;Data_PLT[[#This Row],[Test type]]</f>
        <v>-</v>
      </c>
      <c r="X456" s="13" t="e">
        <f>Data_PLT[[#This Row],[Is50 (MPa)]]*VLOOKUP("Min",Table_PLT_Conversion[],2,FALSE)</f>
        <v>#VALUE!</v>
      </c>
      <c r="Y456" s="13" t="e">
        <f>Data_PLT[[#This Row],[Is50 (MPa)]]*VLOOKUP("Avg",Table_PLT_Conversion[],2,FALSE)</f>
        <v>#VALUE!</v>
      </c>
      <c r="Z456" s="13" t="e">
        <f>Data_PLT[[#This Row],[Is50 (MPa)]]*VLOOKUP("Max",Table_PLT_Conversion[],2,FALSE)</f>
        <v>#VALUE!</v>
      </c>
      <c r="AA456" s="62" t="e">
        <f>MATCH(LOOKUP(Data_PLT[[#This Row],[UCS min (MPa)]],Table_FieldStrength[Min UCS]),Table_FieldStrength[Min UCS],0)-1</f>
        <v>#VALUE!</v>
      </c>
      <c r="AB456" s="62" t="e">
        <f>MATCH(LOOKUP(Data_PLT[[#This Row],[UCS avg (MPa)]],Table_FieldStrength[Min UCS]),Table_FieldStrength[Min UCS],0)-1</f>
        <v>#VALUE!</v>
      </c>
      <c r="AC456" s="62" t="e">
        <f>MATCH(LOOKUP(Data_PLT[[#This Row],[UCS max (MPa)]],Table_FieldStrength[Min UCS]),Table_FieldStrength[Min UCS],0)-1</f>
        <v>#VALUE!</v>
      </c>
      <c r="AD456" s="68" t="e">
        <f>Data_PLT[[#This Row],[Test code]]&amp;"-"&amp;Data_PLT[[#This Row],[UCS min code]]</f>
        <v>#VALUE!</v>
      </c>
      <c r="AE456" s="68" t="e">
        <f>Data_PLT[[#This Row],[Test code]]&amp;"-"&amp;Data_PLT[[#This Row],[UCS avg code]]</f>
        <v>#VALUE!</v>
      </c>
      <c r="AF456" s="67" t="e">
        <f>Data_PLT[[#This Row],[Test code]]&amp;"-"&amp;Data_PLT[[#This Row],[UCS max code]]</f>
        <v>#VALUE!</v>
      </c>
      <c r="AG456" s="67" t="e">
        <f>Data_PLT[[#This Row],[Failure type]]&amp;"-"&amp;Data_PLT[[#This Row],[Test type]]&amp;"-"&amp;(IF(Data_PLT[[#This Row],[Is50 (MPa)]]&lt;1,1,IF(Data_PLT[[#This Row],[Is50 (MPa)]]&lt;2,2,IF(Data_PLT[[#This Row],[Is50 (MPa)]]&lt;4,3,IF(Data_PLT[[#This Row],[Is50 (MPa)]]&lt;8,4,5)))))</f>
        <v>#VALUE!</v>
      </c>
    </row>
    <row r="457" spans="2:33" x14ac:dyDescent="0.25">
      <c r="B457" s="88" t="e">
        <f>VLOOKUP(Data_PLT[[#This Row],[Hole ID]],Data_Log[],2,FALSE)</f>
        <v>#N/A</v>
      </c>
      <c r="C457" s="63" t="str">
        <f>IF(Data_PLT[[#This Row],[Hole ID]]="","",
IF(COUNTIF($A$4:A457,Data_PLT[[#This Row],[Hole ID]])=1,1,
IF(A457=A456,C456+1,
COUNTIF($A$4:A457,Data_PLT[[#This Row],[Hole ID]]))))</f>
        <v/>
      </c>
      <c r="D457" s="63" t="str">
        <f>IF(Data_PLT[[#This Row],[Hole ID]]="","",Data_PLT[[#This Row],[Hole ID]]&amp;"_"&amp;Data_PLT[[#This Row],[Sample ID]])</f>
        <v/>
      </c>
      <c r="E457" s="6"/>
      <c r="F457" s="6"/>
      <c r="G457" s="63" t="e" cm="1">
        <f t="array" ref="G457">_xlfn.XLOOKUP(1,(A457=Geotech!$A$4:$A$11100)*(Data_PLT[[#This Row],[Depth (m)]]&gt;=Geotech!$C$4:$C$11100)*(Data_PLT[[#This Row],[Depth (m)]]&lt;Geotech!$D$4:$D$11100),Geotech!$M$4:$M$11100)</f>
        <v>#N/A</v>
      </c>
      <c r="H457" s="6"/>
      <c r="I457" s="63" t="e">
        <f>VLOOKUP(Data_PLT[[#This Row],[Hole ID]],Data_Log[[Hole ID]:[Core size]],20,FALSE)</f>
        <v>#N/A</v>
      </c>
      <c r="J457" s="13" t="e">
        <f>VLOOKUP(Data_PLT[[#This Row],[Core Size]],Table_CoreSize[],2,FALSE)</f>
        <v>#N/A</v>
      </c>
      <c r="K457" s="19"/>
      <c r="L457" s="19"/>
      <c r="M457" s="5"/>
      <c r="N457" s="5"/>
      <c r="O457" s="6"/>
      <c r="P457" s="13" t="str">
        <f>IF(Data_PLT[[#This Row],[Failure type]]="","",IF(OR(Data_PLT[[#This Row],[Failure type]]="Invalid",Data_PLT[[#This Row],[Failure type]]="Chipped",Data_PLT[[#This Row],[Failure type]]="Penetrate",Data_PLT[[#This Row],[Failure type]]="Did not break"),"Invalid","Valid"))</f>
        <v/>
      </c>
      <c r="Q457" s="6"/>
      <c r="R457" s="11"/>
      <c r="S457" s="13" t="str">
        <f>IF(Data_PLT[[#This Row],[Test type]]="Diametral",Data_PLT[[#This Row],[Diameter (mm)]],IF(Data_PLT[[#This Row],[Test type]]="Axial",SQRT(4*Data_PLT[[#This Row],[Diameter (mm)]]*Data_PLT[[#This Row],[Length or width (mm)]]/PI()),"ERROR"))</f>
        <v>ERROR</v>
      </c>
      <c r="T457" s="13" t="e">
        <f>(Data_PLT[[#This Row],[Load (kN)]]*1000)/Data_PLT[[#This Row],[Equiv. Diam. (mm)]]^2</f>
        <v>#VALUE!</v>
      </c>
      <c r="U457" s="13" t="e">
        <f>(Data_PLT[[#This Row],[Equiv. Diam. (mm)]]/50)^0.45</f>
        <v>#VALUE!</v>
      </c>
      <c r="V457" s="13" t="e">
        <f>Data_PLT[[#This Row],[Is (MPa)]]*Data_PLT[[#This Row],[F]]</f>
        <v>#VALUE!</v>
      </c>
      <c r="W457" s="13" t="str">
        <f>Data_PLT[[#This Row],[Failure Validity]]&amp;"-"&amp;Data_PLT[[#This Row],[Test type]]</f>
        <v>-</v>
      </c>
      <c r="X457" s="13" t="e">
        <f>Data_PLT[[#This Row],[Is50 (MPa)]]*VLOOKUP("Min",Table_PLT_Conversion[],2,FALSE)</f>
        <v>#VALUE!</v>
      </c>
      <c r="Y457" s="13" t="e">
        <f>Data_PLT[[#This Row],[Is50 (MPa)]]*VLOOKUP("Avg",Table_PLT_Conversion[],2,FALSE)</f>
        <v>#VALUE!</v>
      </c>
      <c r="Z457" s="13" t="e">
        <f>Data_PLT[[#This Row],[Is50 (MPa)]]*VLOOKUP("Max",Table_PLT_Conversion[],2,FALSE)</f>
        <v>#VALUE!</v>
      </c>
      <c r="AA457" s="62" t="e">
        <f>MATCH(LOOKUP(Data_PLT[[#This Row],[UCS min (MPa)]],Table_FieldStrength[Min UCS]),Table_FieldStrength[Min UCS],0)-1</f>
        <v>#VALUE!</v>
      </c>
      <c r="AB457" s="62" t="e">
        <f>MATCH(LOOKUP(Data_PLT[[#This Row],[UCS avg (MPa)]],Table_FieldStrength[Min UCS]),Table_FieldStrength[Min UCS],0)-1</f>
        <v>#VALUE!</v>
      </c>
      <c r="AC457" s="62" t="e">
        <f>MATCH(LOOKUP(Data_PLT[[#This Row],[UCS max (MPa)]],Table_FieldStrength[Min UCS]),Table_FieldStrength[Min UCS],0)-1</f>
        <v>#VALUE!</v>
      </c>
      <c r="AD457" s="68" t="e">
        <f>Data_PLT[[#This Row],[Test code]]&amp;"-"&amp;Data_PLT[[#This Row],[UCS min code]]</f>
        <v>#VALUE!</v>
      </c>
      <c r="AE457" s="68" t="e">
        <f>Data_PLT[[#This Row],[Test code]]&amp;"-"&amp;Data_PLT[[#This Row],[UCS avg code]]</f>
        <v>#VALUE!</v>
      </c>
      <c r="AF457" s="67" t="e">
        <f>Data_PLT[[#This Row],[Test code]]&amp;"-"&amp;Data_PLT[[#This Row],[UCS max code]]</f>
        <v>#VALUE!</v>
      </c>
      <c r="AG457" s="67" t="e">
        <f>Data_PLT[[#This Row],[Failure type]]&amp;"-"&amp;Data_PLT[[#This Row],[Test type]]&amp;"-"&amp;(IF(Data_PLT[[#This Row],[Is50 (MPa)]]&lt;1,1,IF(Data_PLT[[#This Row],[Is50 (MPa)]]&lt;2,2,IF(Data_PLT[[#This Row],[Is50 (MPa)]]&lt;4,3,IF(Data_PLT[[#This Row],[Is50 (MPa)]]&lt;8,4,5)))))</f>
        <v>#VALUE!</v>
      </c>
    </row>
    <row r="458" spans="2:33" x14ac:dyDescent="0.25">
      <c r="B458" s="88" t="e">
        <f>VLOOKUP(Data_PLT[[#This Row],[Hole ID]],Data_Log[],2,FALSE)</f>
        <v>#N/A</v>
      </c>
      <c r="C458" s="63" t="str">
        <f>IF(Data_PLT[[#This Row],[Hole ID]]="","",
IF(COUNTIF($A$4:A458,Data_PLT[[#This Row],[Hole ID]])=1,1,
IF(A458=A457,C457+1,
COUNTIF($A$4:A458,Data_PLT[[#This Row],[Hole ID]]))))</f>
        <v/>
      </c>
      <c r="D458" s="63" t="str">
        <f>IF(Data_PLT[[#This Row],[Hole ID]]="","",Data_PLT[[#This Row],[Hole ID]]&amp;"_"&amp;Data_PLT[[#This Row],[Sample ID]])</f>
        <v/>
      </c>
      <c r="E458" s="6"/>
      <c r="F458" s="6"/>
      <c r="G458" s="63" t="e" cm="1">
        <f t="array" ref="G458">_xlfn.XLOOKUP(1,(A458=Geotech!$A$4:$A$11100)*(Data_PLT[[#This Row],[Depth (m)]]&gt;=Geotech!$C$4:$C$11100)*(Data_PLT[[#This Row],[Depth (m)]]&lt;Geotech!$D$4:$D$11100),Geotech!$M$4:$M$11100)</f>
        <v>#N/A</v>
      </c>
      <c r="H458" s="6"/>
      <c r="I458" s="63" t="e">
        <f>VLOOKUP(Data_PLT[[#This Row],[Hole ID]],Data_Log[[Hole ID]:[Core size]],20,FALSE)</f>
        <v>#N/A</v>
      </c>
      <c r="J458" s="13" t="e">
        <f>VLOOKUP(Data_PLT[[#This Row],[Core Size]],Table_CoreSize[],2,FALSE)</f>
        <v>#N/A</v>
      </c>
      <c r="K458" s="19"/>
      <c r="L458" s="19"/>
      <c r="M458" s="5"/>
      <c r="N458" s="5"/>
      <c r="O458" s="6"/>
      <c r="P458" s="13" t="str">
        <f>IF(Data_PLT[[#This Row],[Failure type]]="","",IF(OR(Data_PLT[[#This Row],[Failure type]]="Invalid",Data_PLT[[#This Row],[Failure type]]="Chipped",Data_PLT[[#This Row],[Failure type]]="Penetrate",Data_PLT[[#This Row],[Failure type]]="Did not break"),"Invalid","Valid"))</f>
        <v/>
      </c>
      <c r="Q458" s="6"/>
      <c r="R458" s="11"/>
      <c r="S458" s="13" t="str">
        <f>IF(Data_PLT[[#This Row],[Test type]]="Diametral",Data_PLT[[#This Row],[Diameter (mm)]],IF(Data_PLT[[#This Row],[Test type]]="Axial",SQRT(4*Data_PLT[[#This Row],[Diameter (mm)]]*Data_PLT[[#This Row],[Length or width (mm)]]/PI()),"ERROR"))</f>
        <v>ERROR</v>
      </c>
      <c r="T458" s="13" t="e">
        <f>(Data_PLT[[#This Row],[Load (kN)]]*1000)/Data_PLT[[#This Row],[Equiv. Diam. (mm)]]^2</f>
        <v>#VALUE!</v>
      </c>
      <c r="U458" s="13" t="e">
        <f>(Data_PLT[[#This Row],[Equiv. Diam. (mm)]]/50)^0.45</f>
        <v>#VALUE!</v>
      </c>
      <c r="V458" s="13" t="e">
        <f>Data_PLT[[#This Row],[Is (MPa)]]*Data_PLT[[#This Row],[F]]</f>
        <v>#VALUE!</v>
      </c>
      <c r="W458" s="13" t="str">
        <f>Data_PLT[[#This Row],[Failure Validity]]&amp;"-"&amp;Data_PLT[[#This Row],[Test type]]</f>
        <v>-</v>
      </c>
      <c r="X458" s="13" t="e">
        <f>Data_PLT[[#This Row],[Is50 (MPa)]]*VLOOKUP("Min",Table_PLT_Conversion[],2,FALSE)</f>
        <v>#VALUE!</v>
      </c>
      <c r="Y458" s="13" t="e">
        <f>Data_PLT[[#This Row],[Is50 (MPa)]]*VLOOKUP("Avg",Table_PLT_Conversion[],2,FALSE)</f>
        <v>#VALUE!</v>
      </c>
      <c r="Z458" s="13" t="e">
        <f>Data_PLT[[#This Row],[Is50 (MPa)]]*VLOOKUP("Max",Table_PLT_Conversion[],2,FALSE)</f>
        <v>#VALUE!</v>
      </c>
      <c r="AA458" s="62" t="e">
        <f>MATCH(LOOKUP(Data_PLT[[#This Row],[UCS min (MPa)]],Table_FieldStrength[Min UCS]),Table_FieldStrength[Min UCS],0)-1</f>
        <v>#VALUE!</v>
      </c>
      <c r="AB458" s="62" t="e">
        <f>MATCH(LOOKUP(Data_PLT[[#This Row],[UCS avg (MPa)]],Table_FieldStrength[Min UCS]),Table_FieldStrength[Min UCS],0)-1</f>
        <v>#VALUE!</v>
      </c>
      <c r="AC458" s="62" t="e">
        <f>MATCH(LOOKUP(Data_PLT[[#This Row],[UCS max (MPa)]],Table_FieldStrength[Min UCS]),Table_FieldStrength[Min UCS],0)-1</f>
        <v>#VALUE!</v>
      </c>
      <c r="AD458" s="68" t="e">
        <f>Data_PLT[[#This Row],[Test code]]&amp;"-"&amp;Data_PLT[[#This Row],[UCS min code]]</f>
        <v>#VALUE!</v>
      </c>
      <c r="AE458" s="68" t="e">
        <f>Data_PLT[[#This Row],[Test code]]&amp;"-"&amp;Data_PLT[[#This Row],[UCS avg code]]</f>
        <v>#VALUE!</v>
      </c>
      <c r="AF458" s="67" t="e">
        <f>Data_PLT[[#This Row],[Test code]]&amp;"-"&amp;Data_PLT[[#This Row],[UCS max code]]</f>
        <v>#VALUE!</v>
      </c>
      <c r="AG458" s="67" t="e">
        <f>Data_PLT[[#This Row],[Failure type]]&amp;"-"&amp;Data_PLT[[#This Row],[Test type]]&amp;"-"&amp;(IF(Data_PLT[[#This Row],[Is50 (MPa)]]&lt;1,1,IF(Data_PLT[[#This Row],[Is50 (MPa)]]&lt;2,2,IF(Data_PLT[[#This Row],[Is50 (MPa)]]&lt;4,3,IF(Data_PLT[[#This Row],[Is50 (MPa)]]&lt;8,4,5)))))</f>
        <v>#VALUE!</v>
      </c>
    </row>
    <row r="459" spans="2:33" x14ac:dyDescent="0.25">
      <c r="B459" s="88" t="e">
        <f>VLOOKUP(Data_PLT[[#This Row],[Hole ID]],Data_Log[],2,FALSE)</f>
        <v>#N/A</v>
      </c>
      <c r="C459" s="63" t="str">
        <f>IF(Data_PLT[[#This Row],[Hole ID]]="","",
IF(COUNTIF($A$4:A459,Data_PLT[[#This Row],[Hole ID]])=1,1,
IF(A459=A458,C458+1,
COUNTIF($A$4:A459,Data_PLT[[#This Row],[Hole ID]]))))</f>
        <v/>
      </c>
      <c r="D459" s="63" t="str">
        <f>IF(Data_PLT[[#This Row],[Hole ID]]="","",Data_PLT[[#This Row],[Hole ID]]&amp;"_"&amp;Data_PLT[[#This Row],[Sample ID]])</f>
        <v/>
      </c>
      <c r="E459" s="6"/>
      <c r="F459" s="6"/>
      <c r="G459" s="63" t="e" cm="1">
        <f t="array" ref="G459">_xlfn.XLOOKUP(1,(A459=Geotech!$A$4:$A$11100)*(Data_PLT[[#This Row],[Depth (m)]]&gt;=Geotech!$C$4:$C$11100)*(Data_PLT[[#This Row],[Depth (m)]]&lt;Geotech!$D$4:$D$11100),Geotech!$M$4:$M$11100)</f>
        <v>#N/A</v>
      </c>
      <c r="H459" s="6"/>
      <c r="I459" s="63" t="e">
        <f>VLOOKUP(Data_PLT[[#This Row],[Hole ID]],Data_Log[[Hole ID]:[Core size]],20,FALSE)</f>
        <v>#N/A</v>
      </c>
      <c r="J459" s="13" t="e">
        <f>VLOOKUP(Data_PLT[[#This Row],[Core Size]],Table_CoreSize[],2,FALSE)</f>
        <v>#N/A</v>
      </c>
      <c r="K459" s="19"/>
      <c r="L459" s="19"/>
      <c r="M459" s="5"/>
      <c r="N459" s="5"/>
      <c r="O459" s="6"/>
      <c r="P459" s="13" t="str">
        <f>IF(Data_PLT[[#This Row],[Failure type]]="","",IF(OR(Data_PLT[[#This Row],[Failure type]]="Invalid",Data_PLT[[#This Row],[Failure type]]="Chipped",Data_PLT[[#This Row],[Failure type]]="Penetrate",Data_PLT[[#This Row],[Failure type]]="Did not break"),"Invalid","Valid"))</f>
        <v/>
      </c>
      <c r="Q459" s="6"/>
      <c r="R459" s="11"/>
      <c r="S459" s="13" t="str">
        <f>IF(Data_PLT[[#This Row],[Test type]]="Diametral",Data_PLT[[#This Row],[Diameter (mm)]],IF(Data_PLT[[#This Row],[Test type]]="Axial",SQRT(4*Data_PLT[[#This Row],[Diameter (mm)]]*Data_PLT[[#This Row],[Length or width (mm)]]/PI()),"ERROR"))</f>
        <v>ERROR</v>
      </c>
      <c r="T459" s="13" t="e">
        <f>(Data_PLT[[#This Row],[Load (kN)]]*1000)/Data_PLT[[#This Row],[Equiv. Diam. (mm)]]^2</f>
        <v>#VALUE!</v>
      </c>
      <c r="U459" s="13" t="e">
        <f>(Data_PLT[[#This Row],[Equiv. Diam. (mm)]]/50)^0.45</f>
        <v>#VALUE!</v>
      </c>
      <c r="V459" s="13" t="e">
        <f>Data_PLT[[#This Row],[Is (MPa)]]*Data_PLT[[#This Row],[F]]</f>
        <v>#VALUE!</v>
      </c>
      <c r="W459" s="13" t="str">
        <f>Data_PLT[[#This Row],[Failure Validity]]&amp;"-"&amp;Data_PLT[[#This Row],[Test type]]</f>
        <v>-</v>
      </c>
      <c r="X459" s="13" t="e">
        <f>Data_PLT[[#This Row],[Is50 (MPa)]]*VLOOKUP("Min",Table_PLT_Conversion[],2,FALSE)</f>
        <v>#VALUE!</v>
      </c>
      <c r="Y459" s="13" t="e">
        <f>Data_PLT[[#This Row],[Is50 (MPa)]]*VLOOKUP("Avg",Table_PLT_Conversion[],2,FALSE)</f>
        <v>#VALUE!</v>
      </c>
      <c r="Z459" s="13" t="e">
        <f>Data_PLT[[#This Row],[Is50 (MPa)]]*VLOOKUP("Max",Table_PLT_Conversion[],2,FALSE)</f>
        <v>#VALUE!</v>
      </c>
      <c r="AA459" s="62" t="e">
        <f>MATCH(LOOKUP(Data_PLT[[#This Row],[UCS min (MPa)]],Table_FieldStrength[Min UCS]),Table_FieldStrength[Min UCS],0)-1</f>
        <v>#VALUE!</v>
      </c>
      <c r="AB459" s="62" t="e">
        <f>MATCH(LOOKUP(Data_PLT[[#This Row],[UCS avg (MPa)]],Table_FieldStrength[Min UCS]),Table_FieldStrength[Min UCS],0)-1</f>
        <v>#VALUE!</v>
      </c>
      <c r="AC459" s="62" t="e">
        <f>MATCH(LOOKUP(Data_PLT[[#This Row],[UCS max (MPa)]],Table_FieldStrength[Min UCS]),Table_FieldStrength[Min UCS],0)-1</f>
        <v>#VALUE!</v>
      </c>
      <c r="AD459" s="68" t="e">
        <f>Data_PLT[[#This Row],[Test code]]&amp;"-"&amp;Data_PLT[[#This Row],[UCS min code]]</f>
        <v>#VALUE!</v>
      </c>
      <c r="AE459" s="68" t="e">
        <f>Data_PLT[[#This Row],[Test code]]&amp;"-"&amp;Data_PLT[[#This Row],[UCS avg code]]</f>
        <v>#VALUE!</v>
      </c>
      <c r="AF459" s="67" t="e">
        <f>Data_PLT[[#This Row],[Test code]]&amp;"-"&amp;Data_PLT[[#This Row],[UCS max code]]</f>
        <v>#VALUE!</v>
      </c>
      <c r="AG459" s="67" t="e">
        <f>Data_PLT[[#This Row],[Failure type]]&amp;"-"&amp;Data_PLT[[#This Row],[Test type]]&amp;"-"&amp;(IF(Data_PLT[[#This Row],[Is50 (MPa)]]&lt;1,1,IF(Data_PLT[[#This Row],[Is50 (MPa)]]&lt;2,2,IF(Data_PLT[[#This Row],[Is50 (MPa)]]&lt;4,3,IF(Data_PLT[[#This Row],[Is50 (MPa)]]&lt;8,4,5)))))</f>
        <v>#VALUE!</v>
      </c>
    </row>
    <row r="460" spans="2:33" x14ac:dyDescent="0.25">
      <c r="B460" s="88" t="e">
        <f>VLOOKUP(Data_PLT[[#This Row],[Hole ID]],Data_Log[],2,FALSE)</f>
        <v>#N/A</v>
      </c>
      <c r="C460" s="63" t="str">
        <f>IF(Data_PLT[[#This Row],[Hole ID]]="","",
IF(COUNTIF($A$4:A460,Data_PLT[[#This Row],[Hole ID]])=1,1,
IF(A460=A459,C459+1,
COUNTIF($A$4:A460,Data_PLT[[#This Row],[Hole ID]]))))</f>
        <v/>
      </c>
      <c r="D460" s="63" t="str">
        <f>IF(Data_PLT[[#This Row],[Hole ID]]="","",Data_PLT[[#This Row],[Hole ID]]&amp;"_"&amp;Data_PLT[[#This Row],[Sample ID]])</f>
        <v/>
      </c>
      <c r="E460" s="6"/>
      <c r="F460" s="6"/>
      <c r="G460" s="63" t="e" cm="1">
        <f t="array" ref="G460">_xlfn.XLOOKUP(1,(A460=Geotech!$A$4:$A$11100)*(Data_PLT[[#This Row],[Depth (m)]]&gt;=Geotech!$C$4:$C$11100)*(Data_PLT[[#This Row],[Depth (m)]]&lt;Geotech!$D$4:$D$11100),Geotech!$M$4:$M$11100)</f>
        <v>#N/A</v>
      </c>
      <c r="H460" s="6"/>
      <c r="I460" s="63" t="e">
        <f>VLOOKUP(Data_PLT[[#This Row],[Hole ID]],Data_Log[[Hole ID]:[Core size]],20,FALSE)</f>
        <v>#N/A</v>
      </c>
      <c r="J460" s="13" t="e">
        <f>VLOOKUP(Data_PLT[[#This Row],[Core Size]],Table_CoreSize[],2,FALSE)</f>
        <v>#N/A</v>
      </c>
      <c r="K460" s="19"/>
      <c r="L460" s="19"/>
      <c r="M460" s="5"/>
      <c r="N460" s="5"/>
      <c r="O460" s="6"/>
      <c r="P460" s="13" t="str">
        <f>IF(Data_PLT[[#This Row],[Failure type]]="","",IF(OR(Data_PLT[[#This Row],[Failure type]]="Invalid",Data_PLT[[#This Row],[Failure type]]="Chipped",Data_PLT[[#This Row],[Failure type]]="Penetrate",Data_PLT[[#This Row],[Failure type]]="Did not break"),"Invalid","Valid"))</f>
        <v/>
      </c>
      <c r="Q460" s="6"/>
      <c r="R460" s="11"/>
      <c r="S460" s="13" t="str">
        <f>IF(Data_PLT[[#This Row],[Test type]]="Diametral",Data_PLT[[#This Row],[Diameter (mm)]],IF(Data_PLT[[#This Row],[Test type]]="Axial",SQRT(4*Data_PLT[[#This Row],[Diameter (mm)]]*Data_PLT[[#This Row],[Length or width (mm)]]/PI()),"ERROR"))</f>
        <v>ERROR</v>
      </c>
      <c r="T460" s="13" t="e">
        <f>(Data_PLT[[#This Row],[Load (kN)]]*1000)/Data_PLT[[#This Row],[Equiv. Diam. (mm)]]^2</f>
        <v>#VALUE!</v>
      </c>
      <c r="U460" s="13" t="e">
        <f>(Data_PLT[[#This Row],[Equiv. Diam. (mm)]]/50)^0.45</f>
        <v>#VALUE!</v>
      </c>
      <c r="V460" s="13" t="e">
        <f>Data_PLT[[#This Row],[Is (MPa)]]*Data_PLT[[#This Row],[F]]</f>
        <v>#VALUE!</v>
      </c>
      <c r="W460" s="13" t="str">
        <f>Data_PLT[[#This Row],[Failure Validity]]&amp;"-"&amp;Data_PLT[[#This Row],[Test type]]</f>
        <v>-</v>
      </c>
      <c r="X460" s="13" t="e">
        <f>Data_PLT[[#This Row],[Is50 (MPa)]]*VLOOKUP("Min",Table_PLT_Conversion[],2,FALSE)</f>
        <v>#VALUE!</v>
      </c>
      <c r="Y460" s="13" t="e">
        <f>Data_PLT[[#This Row],[Is50 (MPa)]]*VLOOKUP("Avg",Table_PLT_Conversion[],2,FALSE)</f>
        <v>#VALUE!</v>
      </c>
      <c r="Z460" s="13" t="e">
        <f>Data_PLT[[#This Row],[Is50 (MPa)]]*VLOOKUP("Max",Table_PLT_Conversion[],2,FALSE)</f>
        <v>#VALUE!</v>
      </c>
      <c r="AA460" s="62" t="e">
        <f>MATCH(LOOKUP(Data_PLT[[#This Row],[UCS min (MPa)]],Table_FieldStrength[Min UCS]),Table_FieldStrength[Min UCS],0)-1</f>
        <v>#VALUE!</v>
      </c>
      <c r="AB460" s="62" t="e">
        <f>MATCH(LOOKUP(Data_PLT[[#This Row],[UCS avg (MPa)]],Table_FieldStrength[Min UCS]),Table_FieldStrength[Min UCS],0)-1</f>
        <v>#VALUE!</v>
      </c>
      <c r="AC460" s="62" t="e">
        <f>MATCH(LOOKUP(Data_PLT[[#This Row],[UCS max (MPa)]],Table_FieldStrength[Min UCS]),Table_FieldStrength[Min UCS],0)-1</f>
        <v>#VALUE!</v>
      </c>
      <c r="AD460" s="68" t="e">
        <f>Data_PLT[[#This Row],[Test code]]&amp;"-"&amp;Data_PLT[[#This Row],[UCS min code]]</f>
        <v>#VALUE!</v>
      </c>
      <c r="AE460" s="68" t="e">
        <f>Data_PLT[[#This Row],[Test code]]&amp;"-"&amp;Data_PLT[[#This Row],[UCS avg code]]</f>
        <v>#VALUE!</v>
      </c>
      <c r="AF460" s="67" t="e">
        <f>Data_PLT[[#This Row],[Test code]]&amp;"-"&amp;Data_PLT[[#This Row],[UCS max code]]</f>
        <v>#VALUE!</v>
      </c>
      <c r="AG460" s="67" t="e">
        <f>Data_PLT[[#This Row],[Failure type]]&amp;"-"&amp;Data_PLT[[#This Row],[Test type]]&amp;"-"&amp;(IF(Data_PLT[[#This Row],[Is50 (MPa)]]&lt;1,1,IF(Data_PLT[[#This Row],[Is50 (MPa)]]&lt;2,2,IF(Data_PLT[[#This Row],[Is50 (MPa)]]&lt;4,3,IF(Data_PLT[[#This Row],[Is50 (MPa)]]&lt;8,4,5)))))</f>
        <v>#VALUE!</v>
      </c>
    </row>
    <row r="461" spans="2:33" x14ac:dyDescent="0.25">
      <c r="B461" s="88" t="e">
        <f>VLOOKUP(Data_PLT[[#This Row],[Hole ID]],Data_Log[],2,FALSE)</f>
        <v>#N/A</v>
      </c>
      <c r="C461" s="63" t="str">
        <f>IF(Data_PLT[[#This Row],[Hole ID]]="","",
IF(COUNTIF($A$4:A461,Data_PLT[[#This Row],[Hole ID]])=1,1,
IF(A461=A460,C460+1,
COUNTIF($A$4:A461,Data_PLT[[#This Row],[Hole ID]]))))</f>
        <v/>
      </c>
      <c r="D461" s="63" t="str">
        <f>IF(Data_PLT[[#This Row],[Hole ID]]="","",Data_PLT[[#This Row],[Hole ID]]&amp;"_"&amp;Data_PLT[[#This Row],[Sample ID]])</f>
        <v/>
      </c>
      <c r="E461" s="6"/>
      <c r="F461" s="6"/>
      <c r="G461" s="63" t="e" cm="1">
        <f t="array" ref="G461">_xlfn.XLOOKUP(1,(A461=Geotech!$A$4:$A$11100)*(Data_PLT[[#This Row],[Depth (m)]]&gt;=Geotech!$C$4:$C$11100)*(Data_PLT[[#This Row],[Depth (m)]]&lt;Geotech!$D$4:$D$11100),Geotech!$M$4:$M$11100)</f>
        <v>#N/A</v>
      </c>
      <c r="H461" s="6"/>
      <c r="I461" s="63" t="e">
        <f>VLOOKUP(Data_PLT[[#This Row],[Hole ID]],Data_Log[[Hole ID]:[Core size]],20,FALSE)</f>
        <v>#N/A</v>
      </c>
      <c r="J461" s="13" t="e">
        <f>VLOOKUP(Data_PLT[[#This Row],[Core Size]],Table_CoreSize[],2,FALSE)</f>
        <v>#N/A</v>
      </c>
      <c r="K461" s="19"/>
      <c r="L461" s="19"/>
      <c r="M461" s="5"/>
      <c r="N461" s="5"/>
      <c r="O461" s="6"/>
      <c r="P461" s="13" t="str">
        <f>IF(Data_PLT[[#This Row],[Failure type]]="","",IF(OR(Data_PLT[[#This Row],[Failure type]]="Invalid",Data_PLT[[#This Row],[Failure type]]="Chipped",Data_PLT[[#This Row],[Failure type]]="Penetrate",Data_PLT[[#This Row],[Failure type]]="Did not break"),"Invalid","Valid"))</f>
        <v/>
      </c>
      <c r="Q461" s="6"/>
      <c r="R461" s="11"/>
      <c r="S461" s="13" t="str">
        <f>IF(Data_PLT[[#This Row],[Test type]]="Diametral",Data_PLT[[#This Row],[Diameter (mm)]],IF(Data_PLT[[#This Row],[Test type]]="Axial",SQRT(4*Data_PLT[[#This Row],[Diameter (mm)]]*Data_PLT[[#This Row],[Length or width (mm)]]/PI()),"ERROR"))</f>
        <v>ERROR</v>
      </c>
      <c r="T461" s="13" t="e">
        <f>(Data_PLT[[#This Row],[Load (kN)]]*1000)/Data_PLT[[#This Row],[Equiv. Diam. (mm)]]^2</f>
        <v>#VALUE!</v>
      </c>
      <c r="U461" s="13" t="e">
        <f>(Data_PLT[[#This Row],[Equiv. Diam. (mm)]]/50)^0.45</f>
        <v>#VALUE!</v>
      </c>
      <c r="V461" s="13" t="e">
        <f>Data_PLT[[#This Row],[Is (MPa)]]*Data_PLT[[#This Row],[F]]</f>
        <v>#VALUE!</v>
      </c>
      <c r="W461" s="13" t="str">
        <f>Data_PLT[[#This Row],[Failure Validity]]&amp;"-"&amp;Data_PLT[[#This Row],[Test type]]</f>
        <v>-</v>
      </c>
      <c r="X461" s="13" t="e">
        <f>Data_PLT[[#This Row],[Is50 (MPa)]]*VLOOKUP("Min",Table_PLT_Conversion[],2,FALSE)</f>
        <v>#VALUE!</v>
      </c>
      <c r="Y461" s="13" t="e">
        <f>Data_PLT[[#This Row],[Is50 (MPa)]]*VLOOKUP("Avg",Table_PLT_Conversion[],2,FALSE)</f>
        <v>#VALUE!</v>
      </c>
      <c r="Z461" s="13" t="e">
        <f>Data_PLT[[#This Row],[Is50 (MPa)]]*VLOOKUP("Max",Table_PLT_Conversion[],2,FALSE)</f>
        <v>#VALUE!</v>
      </c>
      <c r="AA461" s="62" t="e">
        <f>MATCH(LOOKUP(Data_PLT[[#This Row],[UCS min (MPa)]],Table_FieldStrength[Min UCS]),Table_FieldStrength[Min UCS],0)-1</f>
        <v>#VALUE!</v>
      </c>
      <c r="AB461" s="62" t="e">
        <f>MATCH(LOOKUP(Data_PLT[[#This Row],[UCS avg (MPa)]],Table_FieldStrength[Min UCS]),Table_FieldStrength[Min UCS],0)-1</f>
        <v>#VALUE!</v>
      </c>
      <c r="AC461" s="62" t="e">
        <f>MATCH(LOOKUP(Data_PLT[[#This Row],[UCS max (MPa)]],Table_FieldStrength[Min UCS]),Table_FieldStrength[Min UCS],0)-1</f>
        <v>#VALUE!</v>
      </c>
      <c r="AD461" s="68" t="e">
        <f>Data_PLT[[#This Row],[Test code]]&amp;"-"&amp;Data_PLT[[#This Row],[UCS min code]]</f>
        <v>#VALUE!</v>
      </c>
      <c r="AE461" s="68" t="e">
        <f>Data_PLT[[#This Row],[Test code]]&amp;"-"&amp;Data_PLT[[#This Row],[UCS avg code]]</f>
        <v>#VALUE!</v>
      </c>
      <c r="AF461" s="67" t="e">
        <f>Data_PLT[[#This Row],[Test code]]&amp;"-"&amp;Data_PLT[[#This Row],[UCS max code]]</f>
        <v>#VALUE!</v>
      </c>
      <c r="AG461" s="67" t="e">
        <f>Data_PLT[[#This Row],[Failure type]]&amp;"-"&amp;Data_PLT[[#This Row],[Test type]]&amp;"-"&amp;(IF(Data_PLT[[#This Row],[Is50 (MPa)]]&lt;1,1,IF(Data_PLT[[#This Row],[Is50 (MPa)]]&lt;2,2,IF(Data_PLT[[#This Row],[Is50 (MPa)]]&lt;4,3,IF(Data_PLT[[#This Row],[Is50 (MPa)]]&lt;8,4,5)))))</f>
        <v>#VALUE!</v>
      </c>
    </row>
    <row r="462" spans="2:33" x14ac:dyDescent="0.25">
      <c r="B462" s="88" t="e">
        <f>VLOOKUP(Data_PLT[[#This Row],[Hole ID]],Data_Log[],2,FALSE)</f>
        <v>#N/A</v>
      </c>
      <c r="C462" s="63" t="str">
        <f>IF(Data_PLT[[#This Row],[Hole ID]]="","",
IF(COUNTIF($A$4:A462,Data_PLT[[#This Row],[Hole ID]])=1,1,
IF(A462=A461,C461+1,
COUNTIF($A$4:A462,Data_PLT[[#This Row],[Hole ID]]))))</f>
        <v/>
      </c>
      <c r="D462" s="63" t="str">
        <f>IF(Data_PLT[[#This Row],[Hole ID]]="","",Data_PLT[[#This Row],[Hole ID]]&amp;"_"&amp;Data_PLT[[#This Row],[Sample ID]])</f>
        <v/>
      </c>
      <c r="E462" s="6"/>
      <c r="F462" s="6"/>
      <c r="G462" s="63" t="e" cm="1">
        <f t="array" ref="G462">_xlfn.XLOOKUP(1,(A462=Geotech!$A$4:$A$11100)*(Data_PLT[[#This Row],[Depth (m)]]&gt;=Geotech!$C$4:$C$11100)*(Data_PLT[[#This Row],[Depth (m)]]&lt;Geotech!$D$4:$D$11100),Geotech!$M$4:$M$11100)</f>
        <v>#N/A</v>
      </c>
      <c r="H462" s="6"/>
      <c r="I462" s="63" t="e">
        <f>VLOOKUP(Data_PLT[[#This Row],[Hole ID]],Data_Log[[Hole ID]:[Core size]],20,FALSE)</f>
        <v>#N/A</v>
      </c>
      <c r="J462" s="13" t="e">
        <f>VLOOKUP(Data_PLT[[#This Row],[Core Size]],Table_CoreSize[],2,FALSE)</f>
        <v>#N/A</v>
      </c>
      <c r="K462" s="19"/>
      <c r="L462" s="19"/>
      <c r="M462" s="5"/>
      <c r="N462" s="5"/>
      <c r="O462" s="6"/>
      <c r="P462" s="13" t="str">
        <f>IF(Data_PLT[[#This Row],[Failure type]]="","",IF(OR(Data_PLT[[#This Row],[Failure type]]="Invalid",Data_PLT[[#This Row],[Failure type]]="Chipped",Data_PLT[[#This Row],[Failure type]]="Penetrate",Data_PLT[[#This Row],[Failure type]]="Did not break"),"Invalid","Valid"))</f>
        <v/>
      </c>
      <c r="Q462" s="6"/>
      <c r="R462" s="11"/>
      <c r="S462" s="13" t="str">
        <f>IF(Data_PLT[[#This Row],[Test type]]="Diametral",Data_PLT[[#This Row],[Diameter (mm)]],IF(Data_PLT[[#This Row],[Test type]]="Axial",SQRT(4*Data_PLT[[#This Row],[Diameter (mm)]]*Data_PLT[[#This Row],[Length or width (mm)]]/PI()),"ERROR"))</f>
        <v>ERROR</v>
      </c>
      <c r="T462" s="13" t="e">
        <f>(Data_PLT[[#This Row],[Load (kN)]]*1000)/Data_PLT[[#This Row],[Equiv. Diam. (mm)]]^2</f>
        <v>#VALUE!</v>
      </c>
      <c r="U462" s="13" t="e">
        <f>(Data_PLT[[#This Row],[Equiv. Diam. (mm)]]/50)^0.45</f>
        <v>#VALUE!</v>
      </c>
      <c r="V462" s="13" t="e">
        <f>Data_PLT[[#This Row],[Is (MPa)]]*Data_PLT[[#This Row],[F]]</f>
        <v>#VALUE!</v>
      </c>
      <c r="W462" s="13" t="str">
        <f>Data_PLT[[#This Row],[Failure Validity]]&amp;"-"&amp;Data_PLT[[#This Row],[Test type]]</f>
        <v>-</v>
      </c>
      <c r="X462" s="13" t="e">
        <f>Data_PLT[[#This Row],[Is50 (MPa)]]*VLOOKUP("Min",Table_PLT_Conversion[],2,FALSE)</f>
        <v>#VALUE!</v>
      </c>
      <c r="Y462" s="13" t="e">
        <f>Data_PLT[[#This Row],[Is50 (MPa)]]*VLOOKUP("Avg",Table_PLT_Conversion[],2,FALSE)</f>
        <v>#VALUE!</v>
      </c>
      <c r="Z462" s="13" t="e">
        <f>Data_PLT[[#This Row],[Is50 (MPa)]]*VLOOKUP("Max",Table_PLT_Conversion[],2,FALSE)</f>
        <v>#VALUE!</v>
      </c>
      <c r="AA462" s="62" t="e">
        <f>MATCH(LOOKUP(Data_PLT[[#This Row],[UCS min (MPa)]],Table_FieldStrength[Min UCS]),Table_FieldStrength[Min UCS],0)-1</f>
        <v>#VALUE!</v>
      </c>
      <c r="AB462" s="62" t="e">
        <f>MATCH(LOOKUP(Data_PLT[[#This Row],[UCS avg (MPa)]],Table_FieldStrength[Min UCS]),Table_FieldStrength[Min UCS],0)-1</f>
        <v>#VALUE!</v>
      </c>
      <c r="AC462" s="62" t="e">
        <f>MATCH(LOOKUP(Data_PLT[[#This Row],[UCS max (MPa)]],Table_FieldStrength[Min UCS]),Table_FieldStrength[Min UCS],0)-1</f>
        <v>#VALUE!</v>
      </c>
      <c r="AD462" s="68" t="e">
        <f>Data_PLT[[#This Row],[Test code]]&amp;"-"&amp;Data_PLT[[#This Row],[UCS min code]]</f>
        <v>#VALUE!</v>
      </c>
      <c r="AE462" s="68" t="e">
        <f>Data_PLT[[#This Row],[Test code]]&amp;"-"&amp;Data_PLT[[#This Row],[UCS avg code]]</f>
        <v>#VALUE!</v>
      </c>
      <c r="AF462" s="67" t="e">
        <f>Data_PLT[[#This Row],[Test code]]&amp;"-"&amp;Data_PLT[[#This Row],[UCS max code]]</f>
        <v>#VALUE!</v>
      </c>
      <c r="AG462" s="67" t="e">
        <f>Data_PLT[[#This Row],[Failure type]]&amp;"-"&amp;Data_PLT[[#This Row],[Test type]]&amp;"-"&amp;(IF(Data_PLT[[#This Row],[Is50 (MPa)]]&lt;1,1,IF(Data_PLT[[#This Row],[Is50 (MPa)]]&lt;2,2,IF(Data_PLT[[#This Row],[Is50 (MPa)]]&lt;4,3,IF(Data_PLT[[#This Row],[Is50 (MPa)]]&lt;8,4,5)))))</f>
        <v>#VALUE!</v>
      </c>
    </row>
    <row r="463" spans="2:33" x14ac:dyDescent="0.25">
      <c r="B463" s="88" t="e">
        <f>VLOOKUP(Data_PLT[[#This Row],[Hole ID]],Data_Log[],2,FALSE)</f>
        <v>#N/A</v>
      </c>
      <c r="C463" s="63" t="str">
        <f>IF(Data_PLT[[#This Row],[Hole ID]]="","",
IF(COUNTIF($A$4:A463,Data_PLT[[#This Row],[Hole ID]])=1,1,
IF(A463=A462,C462+1,
COUNTIF($A$4:A463,Data_PLT[[#This Row],[Hole ID]]))))</f>
        <v/>
      </c>
      <c r="D463" s="63" t="str">
        <f>IF(Data_PLT[[#This Row],[Hole ID]]="","",Data_PLT[[#This Row],[Hole ID]]&amp;"_"&amp;Data_PLT[[#This Row],[Sample ID]])</f>
        <v/>
      </c>
      <c r="E463" s="6"/>
      <c r="F463" s="6"/>
      <c r="G463" s="63" t="e" cm="1">
        <f t="array" ref="G463">_xlfn.XLOOKUP(1,(A463=Geotech!$A$4:$A$11100)*(Data_PLT[[#This Row],[Depth (m)]]&gt;=Geotech!$C$4:$C$11100)*(Data_PLT[[#This Row],[Depth (m)]]&lt;Geotech!$D$4:$D$11100),Geotech!$M$4:$M$11100)</f>
        <v>#N/A</v>
      </c>
      <c r="H463" s="6"/>
      <c r="I463" s="63" t="e">
        <f>VLOOKUP(Data_PLT[[#This Row],[Hole ID]],Data_Log[[Hole ID]:[Core size]],20,FALSE)</f>
        <v>#N/A</v>
      </c>
      <c r="J463" s="13" t="e">
        <f>VLOOKUP(Data_PLT[[#This Row],[Core Size]],Table_CoreSize[],2,FALSE)</f>
        <v>#N/A</v>
      </c>
      <c r="K463" s="19"/>
      <c r="L463" s="19"/>
      <c r="M463" s="5"/>
      <c r="N463" s="5"/>
      <c r="O463" s="6"/>
      <c r="P463" s="13" t="str">
        <f>IF(Data_PLT[[#This Row],[Failure type]]="","",IF(OR(Data_PLT[[#This Row],[Failure type]]="Invalid",Data_PLT[[#This Row],[Failure type]]="Chipped",Data_PLT[[#This Row],[Failure type]]="Penetrate",Data_PLT[[#This Row],[Failure type]]="Did not break"),"Invalid","Valid"))</f>
        <v/>
      </c>
      <c r="Q463" s="6"/>
      <c r="R463" s="11"/>
      <c r="S463" s="13" t="str">
        <f>IF(Data_PLT[[#This Row],[Test type]]="Diametral",Data_PLT[[#This Row],[Diameter (mm)]],IF(Data_PLT[[#This Row],[Test type]]="Axial",SQRT(4*Data_PLT[[#This Row],[Diameter (mm)]]*Data_PLT[[#This Row],[Length or width (mm)]]/PI()),"ERROR"))</f>
        <v>ERROR</v>
      </c>
      <c r="T463" s="13" t="e">
        <f>(Data_PLT[[#This Row],[Load (kN)]]*1000)/Data_PLT[[#This Row],[Equiv. Diam. (mm)]]^2</f>
        <v>#VALUE!</v>
      </c>
      <c r="U463" s="13" t="e">
        <f>(Data_PLT[[#This Row],[Equiv. Diam. (mm)]]/50)^0.45</f>
        <v>#VALUE!</v>
      </c>
      <c r="V463" s="13" t="e">
        <f>Data_PLT[[#This Row],[Is (MPa)]]*Data_PLT[[#This Row],[F]]</f>
        <v>#VALUE!</v>
      </c>
      <c r="W463" s="13" t="str">
        <f>Data_PLT[[#This Row],[Failure Validity]]&amp;"-"&amp;Data_PLT[[#This Row],[Test type]]</f>
        <v>-</v>
      </c>
      <c r="X463" s="13" t="e">
        <f>Data_PLT[[#This Row],[Is50 (MPa)]]*VLOOKUP("Min",Table_PLT_Conversion[],2,FALSE)</f>
        <v>#VALUE!</v>
      </c>
      <c r="Y463" s="13" t="e">
        <f>Data_PLT[[#This Row],[Is50 (MPa)]]*VLOOKUP("Avg",Table_PLT_Conversion[],2,FALSE)</f>
        <v>#VALUE!</v>
      </c>
      <c r="Z463" s="13" t="e">
        <f>Data_PLT[[#This Row],[Is50 (MPa)]]*VLOOKUP("Max",Table_PLT_Conversion[],2,FALSE)</f>
        <v>#VALUE!</v>
      </c>
      <c r="AA463" s="62" t="e">
        <f>MATCH(LOOKUP(Data_PLT[[#This Row],[UCS min (MPa)]],Table_FieldStrength[Min UCS]),Table_FieldStrength[Min UCS],0)-1</f>
        <v>#VALUE!</v>
      </c>
      <c r="AB463" s="62" t="e">
        <f>MATCH(LOOKUP(Data_PLT[[#This Row],[UCS avg (MPa)]],Table_FieldStrength[Min UCS]),Table_FieldStrength[Min UCS],0)-1</f>
        <v>#VALUE!</v>
      </c>
      <c r="AC463" s="62" t="e">
        <f>MATCH(LOOKUP(Data_PLT[[#This Row],[UCS max (MPa)]],Table_FieldStrength[Min UCS]),Table_FieldStrength[Min UCS],0)-1</f>
        <v>#VALUE!</v>
      </c>
      <c r="AD463" s="68" t="e">
        <f>Data_PLT[[#This Row],[Test code]]&amp;"-"&amp;Data_PLT[[#This Row],[UCS min code]]</f>
        <v>#VALUE!</v>
      </c>
      <c r="AE463" s="68" t="e">
        <f>Data_PLT[[#This Row],[Test code]]&amp;"-"&amp;Data_PLT[[#This Row],[UCS avg code]]</f>
        <v>#VALUE!</v>
      </c>
      <c r="AF463" s="67" t="e">
        <f>Data_PLT[[#This Row],[Test code]]&amp;"-"&amp;Data_PLT[[#This Row],[UCS max code]]</f>
        <v>#VALUE!</v>
      </c>
      <c r="AG463" s="67" t="e">
        <f>Data_PLT[[#This Row],[Failure type]]&amp;"-"&amp;Data_PLT[[#This Row],[Test type]]&amp;"-"&amp;(IF(Data_PLT[[#This Row],[Is50 (MPa)]]&lt;1,1,IF(Data_PLT[[#This Row],[Is50 (MPa)]]&lt;2,2,IF(Data_PLT[[#This Row],[Is50 (MPa)]]&lt;4,3,IF(Data_PLT[[#This Row],[Is50 (MPa)]]&lt;8,4,5)))))</f>
        <v>#VALUE!</v>
      </c>
    </row>
    <row r="464" spans="2:33" x14ac:dyDescent="0.25">
      <c r="B464" s="88" t="e">
        <f>VLOOKUP(Data_PLT[[#This Row],[Hole ID]],Data_Log[],2,FALSE)</f>
        <v>#N/A</v>
      </c>
      <c r="C464" s="63" t="str">
        <f>IF(Data_PLT[[#This Row],[Hole ID]]="","",
IF(COUNTIF($A$4:A464,Data_PLT[[#This Row],[Hole ID]])=1,1,
IF(A464=A463,C463+1,
COUNTIF($A$4:A464,Data_PLT[[#This Row],[Hole ID]]))))</f>
        <v/>
      </c>
      <c r="D464" s="63" t="str">
        <f>IF(Data_PLT[[#This Row],[Hole ID]]="","",Data_PLT[[#This Row],[Hole ID]]&amp;"_"&amp;Data_PLT[[#This Row],[Sample ID]])</f>
        <v/>
      </c>
      <c r="E464" s="6"/>
      <c r="F464" s="6"/>
      <c r="G464" s="63" t="e" cm="1">
        <f t="array" ref="G464">_xlfn.XLOOKUP(1,(A464=Geotech!$A$4:$A$11100)*(Data_PLT[[#This Row],[Depth (m)]]&gt;=Geotech!$C$4:$C$11100)*(Data_PLT[[#This Row],[Depth (m)]]&lt;Geotech!$D$4:$D$11100),Geotech!$M$4:$M$11100)</f>
        <v>#N/A</v>
      </c>
      <c r="H464" s="6"/>
      <c r="I464" s="63" t="e">
        <f>VLOOKUP(Data_PLT[[#This Row],[Hole ID]],Data_Log[[Hole ID]:[Core size]],20,FALSE)</f>
        <v>#N/A</v>
      </c>
      <c r="J464" s="13" t="e">
        <f>VLOOKUP(Data_PLT[[#This Row],[Core Size]],Table_CoreSize[],2,FALSE)</f>
        <v>#N/A</v>
      </c>
      <c r="K464" s="19"/>
      <c r="L464" s="19"/>
      <c r="M464" s="5"/>
      <c r="N464" s="5"/>
      <c r="O464" s="6"/>
      <c r="P464" s="13" t="str">
        <f>IF(Data_PLT[[#This Row],[Failure type]]="","",IF(OR(Data_PLT[[#This Row],[Failure type]]="Invalid",Data_PLT[[#This Row],[Failure type]]="Chipped",Data_PLT[[#This Row],[Failure type]]="Penetrate",Data_PLT[[#This Row],[Failure type]]="Did not break"),"Invalid","Valid"))</f>
        <v/>
      </c>
      <c r="Q464" s="6"/>
      <c r="R464" s="11"/>
      <c r="S464" s="13" t="str">
        <f>IF(Data_PLT[[#This Row],[Test type]]="Diametral",Data_PLT[[#This Row],[Diameter (mm)]],IF(Data_PLT[[#This Row],[Test type]]="Axial",SQRT(4*Data_PLT[[#This Row],[Diameter (mm)]]*Data_PLT[[#This Row],[Length or width (mm)]]/PI()),"ERROR"))</f>
        <v>ERROR</v>
      </c>
      <c r="T464" s="13" t="e">
        <f>(Data_PLT[[#This Row],[Load (kN)]]*1000)/Data_PLT[[#This Row],[Equiv. Diam. (mm)]]^2</f>
        <v>#VALUE!</v>
      </c>
      <c r="U464" s="13" t="e">
        <f>(Data_PLT[[#This Row],[Equiv. Diam. (mm)]]/50)^0.45</f>
        <v>#VALUE!</v>
      </c>
      <c r="V464" s="13" t="e">
        <f>Data_PLT[[#This Row],[Is (MPa)]]*Data_PLT[[#This Row],[F]]</f>
        <v>#VALUE!</v>
      </c>
      <c r="W464" s="13" t="str">
        <f>Data_PLT[[#This Row],[Failure Validity]]&amp;"-"&amp;Data_PLT[[#This Row],[Test type]]</f>
        <v>-</v>
      </c>
      <c r="X464" s="13" t="e">
        <f>Data_PLT[[#This Row],[Is50 (MPa)]]*VLOOKUP("Min",Table_PLT_Conversion[],2,FALSE)</f>
        <v>#VALUE!</v>
      </c>
      <c r="Y464" s="13" t="e">
        <f>Data_PLT[[#This Row],[Is50 (MPa)]]*VLOOKUP("Avg",Table_PLT_Conversion[],2,FALSE)</f>
        <v>#VALUE!</v>
      </c>
      <c r="Z464" s="13" t="e">
        <f>Data_PLT[[#This Row],[Is50 (MPa)]]*VLOOKUP("Max",Table_PLT_Conversion[],2,FALSE)</f>
        <v>#VALUE!</v>
      </c>
      <c r="AA464" s="62" t="e">
        <f>MATCH(LOOKUP(Data_PLT[[#This Row],[UCS min (MPa)]],Table_FieldStrength[Min UCS]),Table_FieldStrength[Min UCS],0)-1</f>
        <v>#VALUE!</v>
      </c>
      <c r="AB464" s="62" t="e">
        <f>MATCH(LOOKUP(Data_PLT[[#This Row],[UCS avg (MPa)]],Table_FieldStrength[Min UCS]),Table_FieldStrength[Min UCS],0)-1</f>
        <v>#VALUE!</v>
      </c>
      <c r="AC464" s="62" t="e">
        <f>MATCH(LOOKUP(Data_PLT[[#This Row],[UCS max (MPa)]],Table_FieldStrength[Min UCS]),Table_FieldStrength[Min UCS],0)-1</f>
        <v>#VALUE!</v>
      </c>
      <c r="AD464" s="68" t="e">
        <f>Data_PLT[[#This Row],[Test code]]&amp;"-"&amp;Data_PLT[[#This Row],[UCS min code]]</f>
        <v>#VALUE!</v>
      </c>
      <c r="AE464" s="68" t="e">
        <f>Data_PLT[[#This Row],[Test code]]&amp;"-"&amp;Data_PLT[[#This Row],[UCS avg code]]</f>
        <v>#VALUE!</v>
      </c>
      <c r="AF464" s="67" t="e">
        <f>Data_PLT[[#This Row],[Test code]]&amp;"-"&amp;Data_PLT[[#This Row],[UCS max code]]</f>
        <v>#VALUE!</v>
      </c>
      <c r="AG464" s="67" t="e">
        <f>Data_PLT[[#This Row],[Failure type]]&amp;"-"&amp;Data_PLT[[#This Row],[Test type]]&amp;"-"&amp;(IF(Data_PLT[[#This Row],[Is50 (MPa)]]&lt;1,1,IF(Data_PLT[[#This Row],[Is50 (MPa)]]&lt;2,2,IF(Data_PLT[[#This Row],[Is50 (MPa)]]&lt;4,3,IF(Data_PLT[[#This Row],[Is50 (MPa)]]&lt;8,4,5)))))</f>
        <v>#VALUE!</v>
      </c>
    </row>
    <row r="465" spans="1:33" x14ac:dyDescent="0.25">
      <c r="B465" s="88" t="e">
        <f>VLOOKUP(Data_PLT[[#This Row],[Hole ID]],Data_Log[],2,FALSE)</f>
        <v>#N/A</v>
      </c>
      <c r="C465" s="63" t="str">
        <f>IF(Data_PLT[[#This Row],[Hole ID]]="","",
IF(COUNTIF($A$4:A465,Data_PLT[[#This Row],[Hole ID]])=1,1,
IF(A465=A464,C464+1,
COUNTIF($A$4:A465,Data_PLT[[#This Row],[Hole ID]]))))</f>
        <v/>
      </c>
      <c r="D465" s="63" t="str">
        <f>IF(Data_PLT[[#This Row],[Hole ID]]="","",Data_PLT[[#This Row],[Hole ID]]&amp;"_"&amp;Data_PLT[[#This Row],[Sample ID]])</f>
        <v/>
      </c>
      <c r="E465" s="6"/>
      <c r="F465" s="6"/>
      <c r="G465" s="63" t="e" cm="1">
        <f t="array" ref="G465">_xlfn.XLOOKUP(1,(A465=Geotech!$A$4:$A$11100)*(Data_PLT[[#This Row],[Depth (m)]]&gt;=Geotech!$C$4:$C$11100)*(Data_PLT[[#This Row],[Depth (m)]]&lt;Geotech!$D$4:$D$11100),Geotech!$M$4:$M$11100)</f>
        <v>#N/A</v>
      </c>
      <c r="H465" s="6"/>
      <c r="I465" s="63" t="e">
        <f>VLOOKUP(Data_PLT[[#This Row],[Hole ID]],Data_Log[[Hole ID]:[Core size]],20,FALSE)</f>
        <v>#N/A</v>
      </c>
      <c r="J465" s="13" t="e">
        <f>VLOOKUP(Data_PLT[[#This Row],[Core Size]],Table_CoreSize[],2,FALSE)</f>
        <v>#N/A</v>
      </c>
      <c r="K465" s="19"/>
      <c r="L465" s="19"/>
      <c r="M465" s="5"/>
      <c r="N465" s="5"/>
      <c r="O465" s="6"/>
      <c r="P465" s="13" t="str">
        <f>IF(Data_PLT[[#This Row],[Failure type]]="","",IF(OR(Data_PLT[[#This Row],[Failure type]]="Invalid",Data_PLT[[#This Row],[Failure type]]="Chipped",Data_PLT[[#This Row],[Failure type]]="Penetrate",Data_PLT[[#This Row],[Failure type]]="Did not break"),"Invalid","Valid"))</f>
        <v/>
      </c>
      <c r="Q465" s="6"/>
      <c r="R465" s="11"/>
      <c r="S465" s="13" t="str">
        <f>IF(Data_PLT[[#This Row],[Test type]]="Diametral",Data_PLT[[#This Row],[Diameter (mm)]],IF(Data_PLT[[#This Row],[Test type]]="Axial",SQRT(4*Data_PLT[[#This Row],[Diameter (mm)]]*Data_PLT[[#This Row],[Length or width (mm)]]/PI()),"ERROR"))</f>
        <v>ERROR</v>
      </c>
      <c r="T465" s="13" t="e">
        <f>(Data_PLT[[#This Row],[Load (kN)]]*1000)/Data_PLT[[#This Row],[Equiv. Diam. (mm)]]^2</f>
        <v>#VALUE!</v>
      </c>
      <c r="U465" s="13" t="e">
        <f>(Data_PLT[[#This Row],[Equiv. Diam. (mm)]]/50)^0.45</f>
        <v>#VALUE!</v>
      </c>
      <c r="V465" s="13" t="e">
        <f>Data_PLT[[#This Row],[Is (MPa)]]*Data_PLT[[#This Row],[F]]</f>
        <v>#VALUE!</v>
      </c>
      <c r="W465" s="13" t="str">
        <f>Data_PLT[[#This Row],[Failure Validity]]&amp;"-"&amp;Data_PLT[[#This Row],[Test type]]</f>
        <v>-</v>
      </c>
      <c r="X465" s="13" t="e">
        <f>Data_PLT[[#This Row],[Is50 (MPa)]]*VLOOKUP("Min",Table_PLT_Conversion[],2,FALSE)</f>
        <v>#VALUE!</v>
      </c>
      <c r="Y465" s="13" t="e">
        <f>Data_PLT[[#This Row],[Is50 (MPa)]]*VLOOKUP("Avg",Table_PLT_Conversion[],2,FALSE)</f>
        <v>#VALUE!</v>
      </c>
      <c r="Z465" s="13" t="e">
        <f>Data_PLT[[#This Row],[Is50 (MPa)]]*VLOOKUP("Max",Table_PLT_Conversion[],2,FALSE)</f>
        <v>#VALUE!</v>
      </c>
      <c r="AA465" s="62" t="e">
        <f>MATCH(LOOKUP(Data_PLT[[#This Row],[UCS min (MPa)]],Table_FieldStrength[Min UCS]),Table_FieldStrength[Min UCS],0)-1</f>
        <v>#VALUE!</v>
      </c>
      <c r="AB465" s="62" t="e">
        <f>MATCH(LOOKUP(Data_PLT[[#This Row],[UCS avg (MPa)]],Table_FieldStrength[Min UCS]),Table_FieldStrength[Min UCS],0)-1</f>
        <v>#VALUE!</v>
      </c>
      <c r="AC465" s="62" t="e">
        <f>MATCH(LOOKUP(Data_PLT[[#This Row],[UCS max (MPa)]],Table_FieldStrength[Min UCS]),Table_FieldStrength[Min UCS],0)-1</f>
        <v>#VALUE!</v>
      </c>
      <c r="AD465" s="68" t="e">
        <f>Data_PLT[[#This Row],[Test code]]&amp;"-"&amp;Data_PLT[[#This Row],[UCS min code]]</f>
        <v>#VALUE!</v>
      </c>
      <c r="AE465" s="68" t="e">
        <f>Data_PLT[[#This Row],[Test code]]&amp;"-"&amp;Data_PLT[[#This Row],[UCS avg code]]</f>
        <v>#VALUE!</v>
      </c>
      <c r="AF465" s="67" t="e">
        <f>Data_PLT[[#This Row],[Test code]]&amp;"-"&amp;Data_PLT[[#This Row],[UCS max code]]</f>
        <v>#VALUE!</v>
      </c>
      <c r="AG465" s="67" t="e">
        <f>Data_PLT[[#This Row],[Failure type]]&amp;"-"&amp;Data_PLT[[#This Row],[Test type]]&amp;"-"&amp;(IF(Data_PLT[[#This Row],[Is50 (MPa)]]&lt;1,1,IF(Data_PLT[[#This Row],[Is50 (MPa)]]&lt;2,2,IF(Data_PLT[[#This Row],[Is50 (MPa)]]&lt;4,3,IF(Data_PLT[[#This Row],[Is50 (MPa)]]&lt;8,4,5)))))</f>
        <v>#VALUE!</v>
      </c>
    </row>
    <row r="466" spans="1:33" x14ac:dyDescent="0.25">
      <c r="B466" s="88" t="e">
        <f>VLOOKUP(Data_PLT[[#This Row],[Hole ID]],Data_Log[],2,FALSE)</f>
        <v>#N/A</v>
      </c>
      <c r="C466" s="63" t="str">
        <f>IF(Data_PLT[[#This Row],[Hole ID]]="","",
IF(COUNTIF($A$4:A466,Data_PLT[[#This Row],[Hole ID]])=1,1,
IF(A466=A465,C465+1,
COUNTIF($A$4:A466,Data_PLT[[#This Row],[Hole ID]]))))</f>
        <v/>
      </c>
      <c r="D466" s="63" t="str">
        <f>IF(Data_PLT[[#This Row],[Hole ID]]="","",Data_PLT[[#This Row],[Hole ID]]&amp;"_"&amp;Data_PLT[[#This Row],[Sample ID]])</f>
        <v/>
      </c>
      <c r="E466" s="6"/>
      <c r="F466" s="6"/>
      <c r="G466" s="63" t="e" cm="1">
        <f t="array" ref="G466">_xlfn.XLOOKUP(1,(A466=Geotech!$A$4:$A$11100)*(Data_PLT[[#This Row],[Depth (m)]]&gt;=Geotech!$C$4:$C$11100)*(Data_PLT[[#This Row],[Depth (m)]]&lt;Geotech!$D$4:$D$11100),Geotech!$M$4:$M$11100)</f>
        <v>#N/A</v>
      </c>
      <c r="H466" s="6"/>
      <c r="I466" s="63" t="e">
        <f>VLOOKUP(Data_PLT[[#This Row],[Hole ID]],Data_Log[[Hole ID]:[Core size]],20,FALSE)</f>
        <v>#N/A</v>
      </c>
      <c r="J466" s="13" t="e">
        <f>VLOOKUP(Data_PLT[[#This Row],[Core Size]],Table_CoreSize[],2,FALSE)</f>
        <v>#N/A</v>
      </c>
      <c r="K466" s="19"/>
      <c r="L466" s="19"/>
      <c r="M466" s="5"/>
      <c r="N466" s="5"/>
      <c r="O466" s="6"/>
      <c r="P466" s="13" t="str">
        <f>IF(Data_PLT[[#This Row],[Failure type]]="","",IF(OR(Data_PLT[[#This Row],[Failure type]]="Invalid",Data_PLT[[#This Row],[Failure type]]="Chipped",Data_PLT[[#This Row],[Failure type]]="Penetrate",Data_PLT[[#This Row],[Failure type]]="Did not break"),"Invalid","Valid"))</f>
        <v/>
      </c>
      <c r="Q466" s="6"/>
      <c r="R466" s="11"/>
      <c r="S466" s="13" t="str">
        <f>IF(Data_PLT[[#This Row],[Test type]]="Diametral",Data_PLT[[#This Row],[Diameter (mm)]],IF(Data_PLT[[#This Row],[Test type]]="Axial",SQRT(4*Data_PLT[[#This Row],[Diameter (mm)]]*Data_PLT[[#This Row],[Length or width (mm)]]/PI()),"ERROR"))</f>
        <v>ERROR</v>
      </c>
      <c r="T466" s="13" t="e">
        <f>(Data_PLT[[#This Row],[Load (kN)]]*1000)/Data_PLT[[#This Row],[Equiv. Diam. (mm)]]^2</f>
        <v>#VALUE!</v>
      </c>
      <c r="U466" s="13" t="e">
        <f>(Data_PLT[[#This Row],[Equiv. Diam. (mm)]]/50)^0.45</f>
        <v>#VALUE!</v>
      </c>
      <c r="V466" s="13" t="e">
        <f>Data_PLT[[#This Row],[Is (MPa)]]*Data_PLT[[#This Row],[F]]</f>
        <v>#VALUE!</v>
      </c>
      <c r="W466" s="13" t="str">
        <f>Data_PLT[[#This Row],[Failure Validity]]&amp;"-"&amp;Data_PLT[[#This Row],[Test type]]</f>
        <v>-</v>
      </c>
      <c r="X466" s="13" t="e">
        <f>Data_PLT[[#This Row],[Is50 (MPa)]]*VLOOKUP("Min",Table_PLT_Conversion[],2,FALSE)</f>
        <v>#VALUE!</v>
      </c>
      <c r="Y466" s="13" t="e">
        <f>Data_PLT[[#This Row],[Is50 (MPa)]]*VLOOKUP("Avg",Table_PLT_Conversion[],2,FALSE)</f>
        <v>#VALUE!</v>
      </c>
      <c r="Z466" s="13" t="e">
        <f>Data_PLT[[#This Row],[Is50 (MPa)]]*VLOOKUP("Max",Table_PLT_Conversion[],2,FALSE)</f>
        <v>#VALUE!</v>
      </c>
      <c r="AA466" s="62" t="e">
        <f>MATCH(LOOKUP(Data_PLT[[#This Row],[UCS min (MPa)]],Table_FieldStrength[Min UCS]),Table_FieldStrength[Min UCS],0)-1</f>
        <v>#VALUE!</v>
      </c>
      <c r="AB466" s="62" t="e">
        <f>MATCH(LOOKUP(Data_PLT[[#This Row],[UCS avg (MPa)]],Table_FieldStrength[Min UCS]),Table_FieldStrength[Min UCS],0)-1</f>
        <v>#VALUE!</v>
      </c>
      <c r="AC466" s="62" t="e">
        <f>MATCH(LOOKUP(Data_PLT[[#This Row],[UCS max (MPa)]],Table_FieldStrength[Min UCS]),Table_FieldStrength[Min UCS],0)-1</f>
        <v>#VALUE!</v>
      </c>
      <c r="AD466" s="68" t="e">
        <f>Data_PLT[[#This Row],[Test code]]&amp;"-"&amp;Data_PLT[[#This Row],[UCS min code]]</f>
        <v>#VALUE!</v>
      </c>
      <c r="AE466" s="68" t="e">
        <f>Data_PLT[[#This Row],[Test code]]&amp;"-"&amp;Data_PLT[[#This Row],[UCS avg code]]</f>
        <v>#VALUE!</v>
      </c>
      <c r="AF466" s="67" t="e">
        <f>Data_PLT[[#This Row],[Test code]]&amp;"-"&amp;Data_PLT[[#This Row],[UCS max code]]</f>
        <v>#VALUE!</v>
      </c>
      <c r="AG466" s="67" t="e">
        <f>Data_PLT[[#This Row],[Failure type]]&amp;"-"&amp;Data_PLT[[#This Row],[Test type]]&amp;"-"&amp;(IF(Data_PLT[[#This Row],[Is50 (MPa)]]&lt;1,1,IF(Data_PLT[[#This Row],[Is50 (MPa)]]&lt;2,2,IF(Data_PLT[[#This Row],[Is50 (MPa)]]&lt;4,3,IF(Data_PLT[[#This Row],[Is50 (MPa)]]&lt;8,4,5)))))</f>
        <v>#VALUE!</v>
      </c>
    </row>
    <row r="467" spans="1:33" x14ac:dyDescent="0.25">
      <c r="B467" s="88" t="e">
        <f>VLOOKUP(Data_PLT[[#This Row],[Hole ID]],Data_Log[],2,FALSE)</f>
        <v>#N/A</v>
      </c>
      <c r="C467" s="63" t="str">
        <f>IF(Data_PLT[[#This Row],[Hole ID]]="","",
IF(COUNTIF($A$4:A467,Data_PLT[[#This Row],[Hole ID]])=1,1,
IF(A467=A466,C466+1,
COUNTIF($A$4:A467,Data_PLT[[#This Row],[Hole ID]]))))</f>
        <v/>
      </c>
      <c r="D467" s="63" t="str">
        <f>IF(Data_PLT[[#This Row],[Hole ID]]="","",Data_PLT[[#This Row],[Hole ID]]&amp;"_"&amp;Data_PLT[[#This Row],[Sample ID]])</f>
        <v/>
      </c>
      <c r="E467" s="6"/>
      <c r="F467" s="6"/>
      <c r="G467" s="63" t="e" cm="1">
        <f t="array" ref="G467">_xlfn.XLOOKUP(1,(A467=Geotech!$A$4:$A$11100)*(Data_PLT[[#This Row],[Depth (m)]]&gt;=Geotech!$C$4:$C$11100)*(Data_PLT[[#This Row],[Depth (m)]]&lt;Geotech!$D$4:$D$11100),Geotech!$M$4:$M$11100)</f>
        <v>#N/A</v>
      </c>
      <c r="H467" s="6"/>
      <c r="I467" s="63" t="e">
        <f>VLOOKUP(Data_PLT[[#This Row],[Hole ID]],Data_Log[[Hole ID]:[Core size]],20,FALSE)</f>
        <v>#N/A</v>
      </c>
      <c r="J467" s="13" t="e">
        <f>VLOOKUP(Data_PLT[[#This Row],[Core Size]],Table_CoreSize[],2,FALSE)</f>
        <v>#N/A</v>
      </c>
      <c r="K467" s="19"/>
      <c r="L467" s="19"/>
      <c r="M467" s="5"/>
      <c r="N467" s="5"/>
      <c r="O467" s="6"/>
      <c r="P467" s="13" t="str">
        <f>IF(Data_PLT[[#This Row],[Failure type]]="","",IF(OR(Data_PLT[[#This Row],[Failure type]]="Invalid",Data_PLT[[#This Row],[Failure type]]="Chipped",Data_PLT[[#This Row],[Failure type]]="Penetrate",Data_PLT[[#This Row],[Failure type]]="Did not break"),"Invalid","Valid"))</f>
        <v/>
      </c>
      <c r="Q467" s="6"/>
      <c r="R467" s="11"/>
      <c r="S467" s="13" t="str">
        <f>IF(Data_PLT[[#This Row],[Test type]]="Diametral",Data_PLT[[#This Row],[Diameter (mm)]],IF(Data_PLT[[#This Row],[Test type]]="Axial",SQRT(4*Data_PLT[[#This Row],[Diameter (mm)]]*Data_PLT[[#This Row],[Length or width (mm)]]/PI()),"ERROR"))</f>
        <v>ERROR</v>
      </c>
      <c r="T467" s="13" t="e">
        <f>(Data_PLT[[#This Row],[Load (kN)]]*1000)/Data_PLT[[#This Row],[Equiv. Diam. (mm)]]^2</f>
        <v>#VALUE!</v>
      </c>
      <c r="U467" s="13" t="e">
        <f>(Data_PLT[[#This Row],[Equiv. Diam. (mm)]]/50)^0.45</f>
        <v>#VALUE!</v>
      </c>
      <c r="V467" s="13" t="e">
        <f>Data_PLT[[#This Row],[Is (MPa)]]*Data_PLT[[#This Row],[F]]</f>
        <v>#VALUE!</v>
      </c>
      <c r="W467" s="13" t="str">
        <f>Data_PLT[[#This Row],[Failure Validity]]&amp;"-"&amp;Data_PLT[[#This Row],[Test type]]</f>
        <v>-</v>
      </c>
      <c r="X467" s="13" t="e">
        <f>Data_PLT[[#This Row],[Is50 (MPa)]]*VLOOKUP("Min",Table_PLT_Conversion[],2,FALSE)</f>
        <v>#VALUE!</v>
      </c>
      <c r="Y467" s="13" t="e">
        <f>Data_PLT[[#This Row],[Is50 (MPa)]]*VLOOKUP("Avg",Table_PLT_Conversion[],2,FALSE)</f>
        <v>#VALUE!</v>
      </c>
      <c r="Z467" s="13" t="e">
        <f>Data_PLT[[#This Row],[Is50 (MPa)]]*VLOOKUP("Max",Table_PLT_Conversion[],2,FALSE)</f>
        <v>#VALUE!</v>
      </c>
      <c r="AA467" s="62" t="e">
        <f>MATCH(LOOKUP(Data_PLT[[#This Row],[UCS min (MPa)]],Table_FieldStrength[Min UCS]),Table_FieldStrength[Min UCS],0)-1</f>
        <v>#VALUE!</v>
      </c>
      <c r="AB467" s="62" t="e">
        <f>MATCH(LOOKUP(Data_PLT[[#This Row],[UCS avg (MPa)]],Table_FieldStrength[Min UCS]),Table_FieldStrength[Min UCS],0)-1</f>
        <v>#VALUE!</v>
      </c>
      <c r="AC467" s="62" t="e">
        <f>MATCH(LOOKUP(Data_PLT[[#This Row],[UCS max (MPa)]],Table_FieldStrength[Min UCS]),Table_FieldStrength[Min UCS],0)-1</f>
        <v>#VALUE!</v>
      </c>
      <c r="AD467" s="68" t="e">
        <f>Data_PLT[[#This Row],[Test code]]&amp;"-"&amp;Data_PLT[[#This Row],[UCS min code]]</f>
        <v>#VALUE!</v>
      </c>
      <c r="AE467" s="68" t="e">
        <f>Data_PLT[[#This Row],[Test code]]&amp;"-"&amp;Data_PLT[[#This Row],[UCS avg code]]</f>
        <v>#VALUE!</v>
      </c>
      <c r="AF467" s="67" t="e">
        <f>Data_PLT[[#This Row],[Test code]]&amp;"-"&amp;Data_PLT[[#This Row],[UCS max code]]</f>
        <v>#VALUE!</v>
      </c>
      <c r="AG467" s="67" t="e">
        <f>Data_PLT[[#This Row],[Failure type]]&amp;"-"&amp;Data_PLT[[#This Row],[Test type]]&amp;"-"&amp;(IF(Data_PLT[[#This Row],[Is50 (MPa)]]&lt;1,1,IF(Data_PLT[[#This Row],[Is50 (MPa)]]&lt;2,2,IF(Data_PLT[[#This Row],[Is50 (MPa)]]&lt;4,3,IF(Data_PLT[[#This Row],[Is50 (MPa)]]&lt;8,4,5)))))</f>
        <v>#VALUE!</v>
      </c>
    </row>
    <row r="468" spans="1:33" x14ac:dyDescent="0.25">
      <c r="B468" s="88" t="e">
        <f>VLOOKUP(Data_PLT[[#This Row],[Hole ID]],Data_Log[],2,FALSE)</f>
        <v>#N/A</v>
      </c>
      <c r="C468" s="63" t="str">
        <f>IF(Data_PLT[[#This Row],[Hole ID]]="","",
IF(COUNTIF($A$4:A468,Data_PLT[[#This Row],[Hole ID]])=1,1,
IF(A468=A467,C467+1,
COUNTIF($A$4:A468,Data_PLT[[#This Row],[Hole ID]]))))</f>
        <v/>
      </c>
      <c r="D468" s="63" t="str">
        <f>IF(Data_PLT[[#This Row],[Hole ID]]="","",Data_PLT[[#This Row],[Hole ID]]&amp;"_"&amp;Data_PLT[[#This Row],[Sample ID]])</f>
        <v/>
      </c>
      <c r="E468" s="6"/>
      <c r="F468" s="6"/>
      <c r="G468" s="63" t="e" cm="1">
        <f t="array" ref="G468">_xlfn.XLOOKUP(1,(A468=Geotech!$A$4:$A$11100)*(Data_PLT[[#This Row],[Depth (m)]]&gt;=Geotech!$C$4:$C$11100)*(Data_PLT[[#This Row],[Depth (m)]]&lt;Geotech!$D$4:$D$11100),Geotech!$M$4:$M$11100)</f>
        <v>#N/A</v>
      </c>
      <c r="H468" s="6"/>
      <c r="I468" s="63" t="e">
        <f>VLOOKUP(Data_PLT[[#This Row],[Hole ID]],Data_Log[[Hole ID]:[Core size]],20,FALSE)</f>
        <v>#N/A</v>
      </c>
      <c r="J468" s="13" t="e">
        <f>VLOOKUP(Data_PLT[[#This Row],[Core Size]],Table_CoreSize[],2,FALSE)</f>
        <v>#N/A</v>
      </c>
      <c r="K468" s="19"/>
      <c r="L468" s="19"/>
      <c r="M468" s="5"/>
      <c r="N468" s="5"/>
      <c r="O468" s="6"/>
      <c r="P468" s="13" t="str">
        <f>IF(Data_PLT[[#This Row],[Failure type]]="","",IF(OR(Data_PLT[[#This Row],[Failure type]]="Invalid",Data_PLT[[#This Row],[Failure type]]="Chipped",Data_PLT[[#This Row],[Failure type]]="Penetrate",Data_PLT[[#This Row],[Failure type]]="Did not break"),"Invalid","Valid"))</f>
        <v/>
      </c>
      <c r="Q468" s="6"/>
      <c r="R468" s="11"/>
      <c r="S468" s="13" t="str">
        <f>IF(Data_PLT[[#This Row],[Test type]]="Diametral",Data_PLT[[#This Row],[Diameter (mm)]],IF(Data_PLT[[#This Row],[Test type]]="Axial",SQRT(4*Data_PLT[[#This Row],[Diameter (mm)]]*Data_PLT[[#This Row],[Length or width (mm)]]/PI()),"ERROR"))</f>
        <v>ERROR</v>
      </c>
      <c r="T468" s="13" t="e">
        <f>(Data_PLT[[#This Row],[Load (kN)]]*1000)/Data_PLT[[#This Row],[Equiv. Diam. (mm)]]^2</f>
        <v>#VALUE!</v>
      </c>
      <c r="U468" s="13" t="e">
        <f>(Data_PLT[[#This Row],[Equiv. Diam. (mm)]]/50)^0.45</f>
        <v>#VALUE!</v>
      </c>
      <c r="V468" s="13" t="e">
        <f>Data_PLT[[#This Row],[Is (MPa)]]*Data_PLT[[#This Row],[F]]</f>
        <v>#VALUE!</v>
      </c>
      <c r="W468" s="13" t="str">
        <f>Data_PLT[[#This Row],[Failure Validity]]&amp;"-"&amp;Data_PLT[[#This Row],[Test type]]</f>
        <v>-</v>
      </c>
      <c r="X468" s="13" t="e">
        <f>Data_PLT[[#This Row],[Is50 (MPa)]]*VLOOKUP("Min",Table_PLT_Conversion[],2,FALSE)</f>
        <v>#VALUE!</v>
      </c>
      <c r="Y468" s="13" t="e">
        <f>Data_PLT[[#This Row],[Is50 (MPa)]]*VLOOKUP("Avg",Table_PLT_Conversion[],2,FALSE)</f>
        <v>#VALUE!</v>
      </c>
      <c r="Z468" s="13" t="e">
        <f>Data_PLT[[#This Row],[Is50 (MPa)]]*VLOOKUP("Max",Table_PLT_Conversion[],2,FALSE)</f>
        <v>#VALUE!</v>
      </c>
      <c r="AA468" s="62" t="e">
        <f>MATCH(LOOKUP(Data_PLT[[#This Row],[UCS min (MPa)]],Table_FieldStrength[Min UCS]),Table_FieldStrength[Min UCS],0)-1</f>
        <v>#VALUE!</v>
      </c>
      <c r="AB468" s="62" t="e">
        <f>MATCH(LOOKUP(Data_PLT[[#This Row],[UCS avg (MPa)]],Table_FieldStrength[Min UCS]),Table_FieldStrength[Min UCS],0)-1</f>
        <v>#VALUE!</v>
      </c>
      <c r="AC468" s="62" t="e">
        <f>MATCH(LOOKUP(Data_PLT[[#This Row],[UCS max (MPa)]],Table_FieldStrength[Min UCS]),Table_FieldStrength[Min UCS],0)-1</f>
        <v>#VALUE!</v>
      </c>
      <c r="AD468" s="68" t="e">
        <f>Data_PLT[[#This Row],[Test code]]&amp;"-"&amp;Data_PLT[[#This Row],[UCS min code]]</f>
        <v>#VALUE!</v>
      </c>
      <c r="AE468" s="68" t="e">
        <f>Data_PLT[[#This Row],[Test code]]&amp;"-"&amp;Data_PLT[[#This Row],[UCS avg code]]</f>
        <v>#VALUE!</v>
      </c>
      <c r="AF468" s="67" t="e">
        <f>Data_PLT[[#This Row],[Test code]]&amp;"-"&amp;Data_PLT[[#This Row],[UCS max code]]</f>
        <v>#VALUE!</v>
      </c>
      <c r="AG468" s="67" t="e">
        <f>Data_PLT[[#This Row],[Failure type]]&amp;"-"&amp;Data_PLT[[#This Row],[Test type]]&amp;"-"&amp;(IF(Data_PLT[[#This Row],[Is50 (MPa)]]&lt;1,1,IF(Data_PLT[[#This Row],[Is50 (MPa)]]&lt;2,2,IF(Data_PLT[[#This Row],[Is50 (MPa)]]&lt;4,3,IF(Data_PLT[[#This Row],[Is50 (MPa)]]&lt;8,4,5)))))</f>
        <v>#VALUE!</v>
      </c>
    </row>
    <row r="469" spans="1:33" x14ac:dyDescent="0.25">
      <c r="B469" s="88" t="e">
        <f>VLOOKUP(Data_PLT[[#This Row],[Hole ID]],Data_Log[],2,FALSE)</f>
        <v>#N/A</v>
      </c>
      <c r="C469" s="63" t="str">
        <f>IF(Data_PLT[[#This Row],[Hole ID]]="","",
IF(COUNTIF($A$4:A469,Data_PLT[[#This Row],[Hole ID]])=1,1,
IF(A469=A468,C468+1,
COUNTIF($A$4:A469,Data_PLT[[#This Row],[Hole ID]]))))</f>
        <v/>
      </c>
      <c r="D469" s="63" t="str">
        <f>IF(Data_PLT[[#This Row],[Hole ID]]="","",Data_PLT[[#This Row],[Hole ID]]&amp;"_"&amp;Data_PLT[[#This Row],[Sample ID]])</f>
        <v/>
      </c>
      <c r="E469" s="6"/>
      <c r="F469" s="6"/>
      <c r="G469" s="63" t="e" cm="1">
        <f t="array" ref="G469">_xlfn.XLOOKUP(1,(A469=Geotech!$A$4:$A$11100)*(Data_PLT[[#This Row],[Depth (m)]]&gt;=Geotech!$C$4:$C$11100)*(Data_PLT[[#This Row],[Depth (m)]]&lt;Geotech!$D$4:$D$11100),Geotech!$M$4:$M$11100)</f>
        <v>#N/A</v>
      </c>
      <c r="H469" s="6"/>
      <c r="I469" s="63" t="e">
        <f>VLOOKUP(Data_PLT[[#This Row],[Hole ID]],Data_Log[[Hole ID]:[Core size]],20,FALSE)</f>
        <v>#N/A</v>
      </c>
      <c r="J469" s="13" t="e">
        <f>VLOOKUP(Data_PLT[[#This Row],[Core Size]],Table_CoreSize[],2,FALSE)</f>
        <v>#N/A</v>
      </c>
      <c r="K469" s="19"/>
      <c r="L469" s="19"/>
      <c r="M469" s="5"/>
      <c r="N469" s="5"/>
      <c r="O469" s="6"/>
      <c r="P469" s="13" t="str">
        <f>IF(Data_PLT[[#This Row],[Failure type]]="","",IF(OR(Data_PLT[[#This Row],[Failure type]]="Invalid",Data_PLT[[#This Row],[Failure type]]="Chipped",Data_PLT[[#This Row],[Failure type]]="Penetrate",Data_PLT[[#This Row],[Failure type]]="Did not break"),"Invalid","Valid"))</f>
        <v/>
      </c>
      <c r="Q469" s="6"/>
      <c r="R469" s="11"/>
      <c r="S469" s="13" t="str">
        <f>IF(Data_PLT[[#This Row],[Test type]]="Diametral",Data_PLT[[#This Row],[Diameter (mm)]],IF(Data_PLT[[#This Row],[Test type]]="Axial",SQRT(4*Data_PLT[[#This Row],[Diameter (mm)]]*Data_PLT[[#This Row],[Length or width (mm)]]/PI()),"ERROR"))</f>
        <v>ERROR</v>
      </c>
      <c r="T469" s="13" t="e">
        <f>(Data_PLT[[#This Row],[Load (kN)]]*1000)/Data_PLT[[#This Row],[Equiv. Diam. (mm)]]^2</f>
        <v>#VALUE!</v>
      </c>
      <c r="U469" s="13" t="e">
        <f>(Data_PLT[[#This Row],[Equiv. Diam. (mm)]]/50)^0.45</f>
        <v>#VALUE!</v>
      </c>
      <c r="V469" s="13" t="e">
        <f>Data_PLT[[#This Row],[Is (MPa)]]*Data_PLT[[#This Row],[F]]</f>
        <v>#VALUE!</v>
      </c>
      <c r="W469" s="13" t="str">
        <f>Data_PLT[[#This Row],[Failure Validity]]&amp;"-"&amp;Data_PLT[[#This Row],[Test type]]</f>
        <v>-</v>
      </c>
      <c r="X469" s="13" t="e">
        <f>Data_PLT[[#This Row],[Is50 (MPa)]]*VLOOKUP("Min",Table_PLT_Conversion[],2,FALSE)</f>
        <v>#VALUE!</v>
      </c>
      <c r="Y469" s="13" t="e">
        <f>Data_PLT[[#This Row],[Is50 (MPa)]]*VLOOKUP("Avg",Table_PLT_Conversion[],2,FALSE)</f>
        <v>#VALUE!</v>
      </c>
      <c r="Z469" s="13" t="e">
        <f>Data_PLT[[#This Row],[Is50 (MPa)]]*VLOOKUP("Max",Table_PLT_Conversion[],2,FALSE)</f>
        <v>#VALUE!</v>
      </c>
      <c r="AA469" s="62" t="e">
        <f>MATCH(LOOKUP(Data_PLT[[#This Row],[UCS min (MPa)]],Table_FieldStrength[Min UCS]),Table_FieldStrength[Min UCS],0)-1</f>
        <v>#VALUE!</v>
      </c>
      <c r="AB469" s="62" t="e">
        <f>MATCH(LOOKUP(Data_PLT[[#This Row],[UCS avg (MPa)]],Table_FieldStrength[Min UCS]),Table_FieldStrength[Min UCS],0)-1</f>
        <v>#VALUE!</v>
      </c>
      <c r="AC469" s="62" t="e">
        <f>MATCH(LOOKUP(Data_PLT[[#This Row],[UCS max (MPa)]],Table_FieldStrength[Min UCS]),Table_FieldStrength[Min UCS],0)-1</f>
        <v>#VALUE!</v>
      </c>
      <c r="AD469" s="68" t="e">
        <f>Data_PLT[[#This Row],[Test code]]&amp;"-"&amp;Data_PLT[[#This Row],[UCS min code]]</f>
        <v>#VALUE!</v>
      </c>
      <c r="AE469" s="68" t="e">
        <f>Data_PLT[[#This Row],[Test code]]&amp;"-"&amp;Data_PLT[[#This Row],[UCS avg code]]</f>
        <v>#VALUE!</v>
      </c>
      <c r="AF469" s="67" t="e">
        <f>Data_PLT[[#This Row],[Test code]]&amp;"-"&amp;Data_PLT[[#This Row],[UCS max code]]</f>
        <v>#VALUE!</v>
      </c>
      <c r="AG469" s="67" t="e">
        <f>Data_PLT[[#This Row],[Failure type]]&amp;"-"&amp;Data_PLT[[#This Row],[Test type]]&amp;"-"&amp;(IF(Data_PLT[[#This Row],[Is50 (MPa)]]&lt;1,1,IF(Data_PLT[[#This Row],[Is50 (MPa)]]&lt;2,2,IF(Data_PLT[[#This Row],[Is50 (MPa)]]&lt;4,3,IF(Data_PLT[[#This Row],[Is50 (MPa)]]&lt;8,4,5)))))</f>
        <v>#VALUE!</v>
      </c>
    </row>
    <row r="470" spans="1:33" x14ac:dyDescent="0.25">
      <c r="B470" s="88" t="e">
        <f>VLOOKUP(Data_PLT[[#This Row],[Hole ID]],Data_Log[],2,FALSE)</f>
        <v>#N/A</v>
      </c>
      <c r="C470" s="63" t="str">
        <f>IF(Data_PLT[[#This Row],[Hole ID]]="","",
IF(COUNTIF($A$4:A470,Data_PLT[[#This Row],[Hole ID]])=1,1,
IF(A470=A469,C469+1,
COUNTIF($A$4:A470,Data_PLT[[#This Row],[Hole ID]]))))</f>
        <v/>
      </c>
      <c r="D470" s="63" t="str">
        <f>IF(Data_PLT[[#This Row],[Hole ID]]="","",Data_PLT[[#This Row],[Hole ID]]&amp;"_"&amp;Data_PLT[[#This Row],[Sample ID]])</f>
        <v/>
      </c>
      <c r="E470" s="6"/>
      <c r="F470" s="6"/>
      <c r="G470" s="63" t="e" cm="1">
        <f t="array" ref="G470">_xlfn.XLOOKUP(1,(A470=Geotech!$A$4:$A$11100)*(Data_PLT[[#This Row],[Depth (m)]]&gt;=Geotech!$C$4:$C$11100)*(Data_PLT[[#This Row],[Depth (m)]]&lt;Geotech!$D$4:$D$11100),Geotech!$M$4:$M$11100)</f>
        <v>#N/A</v>
      </c>
      <c r="H470" s="6"/>
      <c r="I470" s="63" t="e">
        <f>VLOOKUP(Data_PLT[[#This Row],[Hole ID]],Data_Log[[Hole ID]:[Core size]],20,FALSE)</f>
        <v>#N/A</v>
      </c>
      <c r="J470" s="13" t="e">
        <f>VLOOKUP(Data_PLT[[#This Row],[Core Size]],Table_CoreSize[],2,FALSE)</f>
        <v>#N/A</v>
      </c>
      <c r="K470" s="19"/>
      <c r="L470" s="19"/>
      <c r="M470" s="5"/>
      <c r="N470" s="5"/>
      <c r="O470" s="6"/>
      <c r="P470" s="13" t="str">
        <f>IF(Data_PLT[[#This Row],[Failure type]]="","",IF(OR(Data_PLT[[#This Row],[Failure type]]="Invalid",Data_PLT[[#This Row],[Failure type]]="Chipped",Data_PLT[[#This Row],[Failure type]]="Penetrate",Data_PLT[[#This Row],[Failure type]]="Did not break"),"Invalid","Valid"))</f>
        <v/>
      </c>
      <c r="Q470" s="6"/>
      <c r="R470" s="11"/>
      <c r="S470" s="13" t="str">
        <f>IF(Data_PLT[[#This Row],[Test type]]="Diametral",Data_PLT[[#This Row],[Diameter (mm)]],IF(Data_PLT[[#This Row],[Test type]]="Axial",SQRT(4*Data_PLT[[#This Row],[Diameter (mm)]]*Data_PLT[[#This Row],[Length or width (mm)]]/PI()),"ERROR"))</f>
        <v>ERROR</v>
      </c>
      <c r="T470" s="13" t="e">
        <f>(Data_PLT[[#This Row],[Load (kN)]]*1000)/Data_PLT[[#This Row],[Equiv. Diam. (mm)]]^2</f>
        <v>#VALUE!</v>
      </c>
      <c r="U470" s="13" t="e">
        <f>(Data_PLT[[#This Row],[Equiv. Diam. (mm)]]/50)^0.45</f>
        <v>#VALUE!</v>
      </c>
      <c r="V470" s="13" t="e">
        <f>Data_PLT[[#This Row],[Is (MPa)]]*Data_PLT[[#This Row],[F]]</f>
        <v>#VALUE!</v>
      </c>
      <c r="W470" s="13" t="str">
        <f>Data_PLT[[#This Row],[Failure Validity]]&amp;"-"&amp;Data_PLT[[#This Row],[Test type]]</f>
        <v>-</v>
      </c>
      <c r="X470" s="13" t="e">
        <f>Data_PLT[[#This Row],[Is50 (MPa)]]*VLOOKUP("Min",Table_PLT_Conversion[],2,FALSE)</f>
        <v>#VALUE!</v>
      </c>
      <c r="Y470" s="13" t="e">
        <f>Data_PLT[[#This Row],[Is50 (MPa)]]*VLOOKUP("Avg",Table_PLT_Conversion[],2,FALSE)</f>
        <v>#VALUE!</v>
      </c>
      <c r="Z470" s="13" t="e">
        <f>Data_PLT[[#This Row],[Is50 (MPa)]]*VLOOKUP("Max",Table_PLT_Conversion[],2,FALSE)</f>
        <v>#VALUE!</v>
      </c>
      <c r="AA470" s="62" t="e">
        <f>MATCH(LOOKUP(Data_PLT[[#This Row],[UCS min (MPa)]],Table_FieldStrength[Min UCS]),Table_FieldStrength[Min UCS],0)-1</f>
        <v>#VALUE!</v>
      </c>
      <c r="AB470" s="62" t="e">
        <f>MATCH(LOOKUP(Data_PLT[[#This Row],[UCS avg (MPa)]],Table_FieldStrength[Min UCS]),Table_FieldStrength[Min UCS],0)-1</f>
        <v>#VALUE!</v>
      </c>
      <c r="AC470" s="62" t="e">
        <f>MATCH(LOOKUP(Data_PLT[[#This Row],[UCS max (MPa)]],Table_FieldStrength[Min UCS]),Table_FieldStrength[Min UCS],0)-1</f>
        <v>#VALUE!</v>
      </c>
      <c r="AD470" s="68" t="e">
        <f>Data_PLT[[#This Row],[Test code]]&amp;"-"&amp;Data_PLT[[#This Row],[UCS min code]]</f>
        <v>#VALUE!</v>
      </c>
      <c r="AE470" s="68" t="e">
        <f>Data_PLT[[#This Row],[Test code]]&amp;"-"&amp;Data_PLT[[#This Row],[UCS avg code]]</f>
        <v>#VALUE!</v>
      </c>
      <c r="AF470" s="67" t="e">
        <f>Data_PLT[[#This Row],[Test code]]&amp;"-"&amp;Data_PLT[[#This Row],[UCS max code]]</f>
        <v>#VALUE!</v>
      </c>
      <c r="AG470" s="67" t="e">
        <f>Data_PLT[[#This Row],[Failure type]]&amp;"-"&amp;Data_PLT[[#This Row],[Test type]]&amp;"-"&amp;(IF(Data_PLT[[#This Row],[Is50 (MPa)]]&lt;1,1,IF(Data_PLT[[#This Row],[Is50 (MPa)]]&lt;2,2,IF(Data_PLT[[#This Row],[Is50 (MPa)]]&lt;4,3,IF(Data_PLT[[#This Row],[Is50 (MPa)]]&lt;8,4,5)))))</f>
        <v>#VALUE!</v>
      </c>
    </row>
    <row r="471" spans="1:33" x14ac:dyDescent="0.25">
      <c r="B471" s="88" t="e">
        <f>VLOOKUP(Data_PLT[[#This Row],[Hole ID]],Data_Log[],2,FALSE)</f>
        <v>#N/A</v>
      </c>
      <c r="C471" s="63" t="str">
        <f>IF(Data_PLT[[#This Row],[Hole ID]]="","",
IF(COUNTIF($A$4:A471,Data_PLT[[#This Row],[Hole ID]])=1,1,
IF(A471=A470,C470+1,
COUNTIF($A$4:A471,Data_PLT[[#This Row],[Hole ID]]))))</f>
        <v/>
      </c>
      <c r="D471" s="63" t="str">
        <f>IF(Data_PLT[[#This Row],[Hole ID]]="","",Data_PLT[[#This Row],[Hole ID]]&amp;"_"&amp;Data_PLT[[#This Row],[Sample ID]])</f>
        <v/>
      </c>
      <c r="E471" s="6"/>
      <c r="F471" s="6"/>
      <c r="G471" s="63" t="e" cm="1">
        <f t="array" ref="G471">_xlfn.XLOOKUP(1,(A471=Geotech!$A$4:$A$11100)*(Data_PLT[[#This Row],[Depth (m)]]&gt;=Geotech!$C$4:$C$11100)*(Data_PLT[[#This Row],[Depth (m)]]&lt;Geotech!$D$4:$D$11100),Geotech!$M$4:$M$11100)</f>
        <v>#N/A</v>
      </c>
      <c r="H471" s="6"/>
      <c r="I471" s="63" t="e">
        <f>VLOOKUP(Data_PLT[[#This Row],[Hole ID]],Data_Log[[Hole ID]:[Core size]],20,FALSE)</f>
        <v>#N/A</v>
      </c>
      <c r="J471" s="13" t="e">
        <f>VLOOKUP(Data_PLT[[#This Row],[Core Size]],Table_CoreSize[],2,FALSE)</f>
        <v>#N/A</v>
      </c>
      <c r="K471" s="19"/>
      <c r="L471" s="19"/>
      <c r="M471" s="5"/>
      <c r="N471" s="5"/>
      <c r="O471" s="6"/>
      <c r="P471" s="13" t="str">
        <f>IF(Data_PLT[[#This Row],[Failure type]]="","",IF(OR(Data_PLT[[#This Row],[Failure type]]="Invalid",Data_PLT[[#This Row],[Failure type]]="Chipped",Data_PLT[[#This Row],[Failure type]]="Penetrate",Data_PLT[[#This Row],[Failure type]]="Did not break"),"Invalid","Valid"))</f>
        <v/>
      </c>
      <c r="Q471" s="6"/>
      <c r="R471" s="11"/>
      <c r="S471" s="13" t="str">
        <f>IF(Data_PLT[[#This Row],[Test type]]="Diametral",Data_PLT[[#This Row],[Diameter (mm)]],IF(Data_PLT[[#This Row],[Test type]]="Axial",SQRT(4*Data_PLT[[#This Row],[Diameter (mm)]]*Data_PLT[[#This Row],[Length or width (mm)]]/PI()),"ERROR"))</f>
        <v>ERROR</v>
      </c>
      <c r="T471" s="13" t="e">
        <f>(Data_PLT[[#This Row],[Load (kN)]]*1000)/Data_PLT[[#This Row],[Equiv. Diam. (mm)]]^2</f>
        <v>#VALUE!</v>
      </c>
      <c r="U471" s="13" t="e">
        <f>(Data_PLT[[#This Row],[Equiv. Diam. (mm)]]/50)^0.45</f>
        <v>#VALUE!</v>
      </c>
      <c r="V471" s="13" t="e">
        <f>Data_PLT[[#This Row],[Is (MPa)]]*Data_PLT[[#This Row],[F]]</f>
        <v>#VALUE!</v>
      </c>
      <c r="W471" s="13" t="str">
        <f>Data_PLT[[#This Row],[Failure Validity]]&amp;"-"&amp;Data_PLT[[#This Row],[Test type]]</f>
        <v>-</v>
      </c>
      <c r="X471" s="13" t="e">
        <f>Data_PLT[[#This Row],[Is50 (MPa)]]*VLOOKUP("Min",Table_PLT_Conversion[],2,FALSE)</f>
        <v>#VALUE!</v>
      </c>
      <c r="Y471" s="13" t="e">
        <f>Data_PLT[[#This Row],[Is50 (MPa)]]*VLOOKUP("Avg",Table_PLT_Conversion[],2,FALSE)</f>
        <v>#VALUE!</v>
      </c>
      <c r="Z471" s="13" t="e">
        <f>Data_PLT[[#This Row],[Is50 (MPa)]]*VLOOKUP("Max",Table_PLT_Conversion[],2,FALSE)</f>
        <v>#VALUE!</v>
      </c>
      <c r="AA471" s="62" t="e">
        <f>MATCH(LOOKUP(Data_PLT[[#This Row],[UCS min (MPa)]],Table_FieldStrength[Min UCS]),Table_FieldStrength[Min UCS],0)-1</f>
        <v>#VALUE!</v>
      </c>
      <c r="AB471" s="62" t="e">
        <f>MATCH(LOOKUP(Data_PLT[[#This Row],[UCS avg (MPa)]],Table_FieldStrength[Min UCS]),Table_FieldStrength[Min UCS],0)-1</f>
        <v>#VALUE!</v>
      </c>
      <c r="AC471" s="62" t="e">
        <f>MATCH(LOOKUP(Data_PLT[[#This Row],[UCS max (MPa)]],Table_FieldStrength[Min UCS]),Table_FieldStrength[Min UCS],0)-1</f>
        <v>#VALUE!</v>
      </c>
      <c r="AD471" s="68" t="e">
        <f>Data_PLT[[#This Row],[Test code]]&amp;"-"&amp;Data_PLT[[#This Row],[UCS min code]]</f>
        <v>#VALUE!</v>
      </c>
      <c r="AE471" s="68" t="e">
        <f>Data_PLT[[#This Row],[Test code]]&amp;"-"&amp;Data_PLT[[#This Row],[UCS avg code]]</f>
        <v>#VALUE!</v>
      </c>
      <c r="AF471" s="67" t="e">
        <f>Data_PLT[[#This Row],[Test code]]&amp;"-"&amp;Data_PLT[[#This Row],[UCS max code]]</f>
        <v>#VALUE!</v>
      </c>
      <c r="AG471" s="67" t="e">
        <f>Data_PLT[[#This Row],[Failure type]]&amp;"-"&amp;Data_PLT[[#This Row],[Test type]]&amp;"-"&amp;(IF(Data_PLT[[#This Row],[Is50 (MPa)]]&lt;1,1,IF(Data_PLT[[#This Row],[Is50 (MPa)]]&lt;2,2,IF(Data_PLT[[#This Row],[Is50 (MPa)]]&lt;4,3,IF(Data_PLT[[#This Row],[Is50 (MPa)]]&lt;8,4,5)))))</f>
        <v>#VALUE!</v>
      </c>
    </row>
    <row r="472" spans="1:33" x14ac:dyDescent="0.25">
      <c r="B472" s="88" t="e">
        <f>VLOOKUP(Data_PLT[[#This Row],[Hole ID]],Data_Log[],2,FALSE)</f>
        <v>#N/A</v>
      </c>
      <c r="C472" s="63" t="str">
        <f>IF(Data_PLT[[#This Row],[Hole ID]]="","",
IF(COUNTIF($A$4:A472,Data_PLT[[#This Row],[Hole ID]])=1,1,
IF(A472=A471,C471+1,
COUNTIF($A$4:A472,Data_PLT[[#This Row],[Hole ID]]))))</f>
        <v/>
      </c>
      <c r="D472" s="63" t="str">
        <f>IF(Data_PLT[[#This Row],[Hole ID]]="","",Data_PLT[[#This Row],[Hole ID]]&amp;"_"&amp;Data_PLT[[#This Row],[Sample ID]])</f>
        <v/>
      </c>
      <c r="E472" s="6"/>
      <c r="F472" s="6"/>
      <c r="G472" s="63" t="e" cm="1">
        <f t="array" ref="G472">_xlfn.XLOOKUP(1,(A472=Geotech!$A$4:$A$11100)*(Data_PLT[[#This Row],[Depth (m)]]&gt;=Geotech!$C$4:$C$11100)*(Data_PLT[[#This Row],[Depth (m)]]&lt;Geotech!$D$4:$D$11100),Geotech!$M$4:$M$11100)</f>
        <v>#N/A</v>
      </c>
      <c r="H472" s="6"/>
      <c r="I472" s="63" t="e">
        <f>VLOOKUP(Data_PLT[[#This Row],[Hole ID]],Data_Log[[Hole ID]:[Core size]],20,FALSE)</f>
        <v>#N/A</v>
      </c>
      <c r="J472" s="13" t="e">
        <f>VLOOKUP(Data_PLT[[#This Row],[Core Size]],Table_CoreSize[],2,FALSE)</f>
        <v>#N/A</v>
      </c>
      <c r="K472" s="19"/>
      <c r="L472" s="19"/>
      <c r="M472" s="5"/>
      <c r="N472" s="5"/>
      <c r="O472" s="6"/>
      <c r="P472" s="13" t="str">
        <f>IF(Data_PLT[[#This Row],[Failure type]]="","",IF(OR(Data_PLT[[#This Row],[Failure type]]="Invalid",Data_PLT[[#This Row],[Failure type]]="Chipped",Data_PLT[[#This Row],[Failure type]]="Penetrate",Data_PLT[[#This Row],[Failure type]]="Did not break"),"Invalid","Valid"))</f>
        <v/>
      </c>
      <c r="Q472" s="6"/>
      <c r="R472" s="11"/>
      <c r="S472" s="13" t="str">
        <f>IF(Data_PLT[[#This Row],[Test type]]="Diametral",Data_PLT[[#This Row],[Diameter (mm)]],IF(Data_PLT[[#This Row],[Test type]]="Axial",SQRT(4*Data_PLT[[#This Row],[Diameter (mm)]]*Data_PLT[[#This Row],[Length or width (mm)]]/PI()),"ERROR"))</f>
        <v>ERROR</v>
      </c>
      <c r="T472" s="13" t="e">
        <f>(Data_PLT[[#This Row],[Load (kN)]]*1000)/Data_PLT[[#This Row],[Equiv. Diam. (mm)]]^2</f>
        <v>#VALUE!</v>
      </c>
      <c r="U472" s="13" t="e">
        <f>(Data_PLT[[#This Row],[Equiv. Diam. (mm)]]/50)^0.45</f>
        <v>#VALUE!</v>
      </c>
      <c r="V472" s="13" t="e">
        <f>Data_PLT[[#This Row],[Is (MPa)]]*Data_PLT[[#This Row],[F]]</f>
        <v>#VALUE!</v>
      </c>
      <c r="W472" s="13" t="str">
        <f>Data_PLT[[#This Row],[Failure Validity]]&amp;"-"&amp;Data_PLT[[#This Row],[Test type]]</f>
        <v>-</v>
      </c>
      <c r="X472" s="13" t="e">
        <f>Data_PLT[[#This Row],[Is50 (MPa)]]*VLOOKUP("Min",Table_PLT_Conversion[],2,FALSE)</f>
        <v>#VALUE!</v>
      </c>
      <c r="Y472" s="13" t="e">
        <f>Data_PLT[[#This Row],[Is50 (MPa)]]*VLOOKUP("Avg",Table_PLT_Conversion[],2,FALSE)</f>
        <v>#VALUE!</v>
      </c>
      <c r="Z472" s="13" t="e">
        <f>Data_PLT[[#This Row],[Is50 (MPa)]]*VLOOKUP("Max",Table_PLT_Conversion[],2,FALSE)</f>
        <v>#VALUE!</v>
      </c>
      <c r="AA472" s="62" t="e">
        <f>MATCH(LOOKUP(Data_PLT[[#This Row],[UCS min (MPa)]],Table_FieldStrength[Min UCS]),Table_FieldStrength[Min UCS],0)-1</f>
        <v>#VALUE!</v>
      </c>
      <c r="AB472" s="62" t="e">
        <f>MATCH(LOOKUP(Data_PLT[[#This Row],[UCS avg (MPa)]],Table_FieldStrength[Min UCS]),Table_FieldStrength[Min UCS],0)-1</f>
        <v>#VALUE!</v>
      </c>
      <c r="AC472" s="62" t="e">
        <f>MATCH(LOOKUP(Data_PLT[[#This Row],[UCS max (MPa)]],Table_FieldStrength[Min UCS]),Table_FieldStrength[Min UCS],0)-1</f>
        <v>#VALUE!</v>
      </c>
      <c r="AD472" s="68" t="e">
        <f>Data_PLT[[#This Row],[Test code]]&amp;"-"&amp;Data_PLT[[#This Row],[UCS min code]]</f>
        <v>#VALUE!</v>
      </c>
      <c r="AE472" s="68" t="e">
        <f>Data_PLT[[#This Row],[Test code]]&amp;"-"&amp;Data_PLT[[#This Row],[UCS avg code]]</f>
        <v>#VALUE!</v>
      </c>
      <c r="AF472" s="67" t="e">
        <f>Data_PLT[[#This Row],[Test code]]&amp;"-"&amp;Data_PLT[[#This Row],[UCS max code]]</f>
        <v>#VALUE!</v>
      </c>
      <c r="AG472" s="67" t="e">
        <f>Data_PLT[[#This Row],[Failure type]]&amp;"-"&amp;Data_PLT[[#This Row],[Test type]]&amp;"-"&amp;(IF(Data_PLT[[#This Row],[Is50 (MPa)]]&lt;1,1,IF(Data_PLT[[#This Row],[Is50 (MPa)]]&lt;2,2,IF(Data_PLT[[#This Row],[Is50 (MPa)]]&lt;4,3,IF(Data_PLT[[#This Row],[Is50 (MPa)]]&lt;8,4,5)))))</f>
        <v>#VALUE!</v>
      </c>
    </row>
    <row r="473" spans="1:33" x14ac:dyDescent="0.25">
      <c r="B473" s="88" t="e">
        <f>VLOOKUP(Data_PLT[[#This Row],[Hole ID]],Data_Log[],2,FALSE)</f>
        <v>#N/A</v>
      </c>
      <c r="C473" s="63" t="str">
        <f>IF(Data_PLT[[#This Row],[Hole ID]]="","",
IF(COUNTIF($A$4:A473,Data_PLT[[#This Row],[Hole ID]])=1,1,
IF(A473=A472,C472+1,
COUNTIF($A$4:A473,Data_PLT[[#This Row],[Hole ID]]))))</f>
        <v/>
      </c>
      <c r="D473" s="63" t="str">
        <f>IF(Data_PLT[[#This Row],[Hole ID]]="","",Data_PLT[[#This Row],[Hole ID]]&amp;"_"&amp;Data_PLT[[#This Row],[Sample ID]])</f>
        <v/>
      </c>
      <c r="E473" s="6"/>
      <c r="F473" s="6"/>
      <c r="G473" s="63" t="e" cm="1">
        <f t="array" ref="G473">_xlfn.XLOOKUP(1,(A473=Geotech!$A$4:$A$11100)*(Data_PLT[[#This Row],[Depth (m)]]&gt;=Geotech!$C$4:$C$11100)*(Data_PLT[[#This Row],[Depth (m)]]&lt;Geotech!$D$4:$D$11100),Geotech!$M$4:$M$11100)</f>
        <v>#N/A</v>
      </c>
      <c r="H473" s="6"/>
      <c r="I473" s="63" t="e">
        <f>VLOOKUP(Data_PLT[[#This Row],[Hole ID]],Data_Log[[Hole ID]:[Core size]],20,FALSE)</f>
        <v>#N/A</v>
      </c>
      <c r="J473" s="13" t="e">
        <f>VLOOKUP(Data_PLT[[#This Row],[Core Size]],Table_CoreSize[],2,FALSE)</f>
        <v>#N/A</v>
      </c>
      <c r="K473" s="19"/>
      <c r="L473" s="19"/>
      <c r="M473" s="5"/>
      <c r="N473" s="5"/>
      <c r="O473" s="6"/>
      <c r="P473" s="13" t="str">
        <f>IF(Data_PLT[[#This Row],[Failure type]]="","",IF(OR(Data_PLT[[#This Row],[Failure type]]="Invalid",Data_PLT[[#This Row],[Failure type]]="Chipped",Data_PLT[[#This Row],[Failure type]]="Penetrate",Data_PLT[[#This Row],[Failure type]]="Did not break"),"Invalid","Valid"))</f>
        <v/>
      </c>
      <c r="Q473" s="6"/>
      <c r="R473" s="11"/>
      <c r="S473" s="13" t="str">
        <f>IF(Data_PLT[[#This Row],[Test type]]="Diametral",Data_PLT[[#This Row],[Diameter (mm)]],IF(Data_PLT[[#This Row],[Test type]]="Axial",SQRT(4*Data_PLT[[#This Row],[Diameter (mm)]]*Data_PLT[[#This Row],[Length or width (mm)]]/PI()),"ERROR"))</f>
        <v>ERROR</v>
      </c>
      <c r="T473" s="13" t="e">
        <f>(Data_PLT[[#This Row],[Load (kN)]]*1000)/Data_PLT[[#This Row],[Equiv. Diam. (mm)]]^2</f>
        <v>#VALUE!</v>
      </c>
      <c r="U473" s="13" t="e">
        <f>(Data_PLT[[#This Row],[Equiv. Diam. (mm)]]/50)^0.45</f>
        <v>#VALUE!</v>
      </c>
      <c r="V473" s="13" t="e">
        <f>Data_PLT[[#This Row],[Is (MPa)]]*Data_PLT[[#This Row],[F]]</f>
        <v>#VALUE!</v>
      </c>
      <c r="W473" s="13" t="str">
        <f>Data_PLT[[#This Row],[Failure Validity]]&amp;"-"&amp;Data_PLT[[#This Row],[Test type]]</f>
        <v>-</v>
      </c>
      <c r="X473" s="13" t="e">
        <f>Data_PLT[[#This Row],[Is50 (MPa)]]*VLOOKUP("Min",Table_PLT_Conversion[],2,FALSE)</f>
        <v>#VALUE!</v>
      </c>
      <c r="Y473" s="13" t="e">
        <f>Data_PLT[[#This Row],[Is50 (MPa)]]*VLOOKUP("Avg",Table_PLT_Conversion[],2,FALSE)</f>
        <v>#VALUE!</v>
      </c>
      <c r="Z473" s="13" t="e">
        <f>Data_PLT[[#This Row],[Is50 (MPa)]]*VLOOKUP("Max",Table_PLT_Conversion[],2,FALSE)</f>
        <v>#VALUE!</v>
      </c>
      <c r="AA473" s="62" t="e">
        <f>MATCH(LOOKUP(Data_PLT[[#This Row],[UCS min (MPa)]],Table_FieldStrength[Min UCS]),Table_FieldStrength[Min UCS],0)-1</f>
        <v>#VALUE!</v>
      </c>
      <c r="AB473" s="62" t="e">
        <f>MATCH(LOOKUP(Data_PLT[[#This Row],[UCS avg (MPa)]],Table_FieldStrength[Min UCS]),Table_FieldStrength[Min UCS],0)-1</f>
        <v>#VALUE!</v>
      </c>
      <c r="AC473" s="62" t="e">
        <f>MATCH(LOOKUP(Data_PLT[[#This Row],[UCS max (MPa)]],Table_FieldStrength[Min UCS]),Table_FieldStrength[Min UCS],0)-1</f>
        <v>#VALUE!</v>
      </c>
      <c r="AD473" s="68" t="e">
        <f>Data_PLT[[#This Row],[Test code]]&amp;"-"&amp;Data_PLT[[#This Row],[UCS min code]]</f>
        <v>#VALUE!</v>
      </c>
      <c r="AE473" s="68" t="e">
        <f>Data_PLT[[#This Row],[Test code]]&amp;"-"&amp;Data_PLT[[#This Row],[UCS avg code]]</f>
        <v>#VALUE!</v>
      </c>
      <c r="AF473" s="67" t="e">
        <f>Data_PLT[[#This Row],[Test code]]&amp;"-"&amp;Data_PLT[[#This Row],[UCS max code]]</f>
        <v>#VALUE!</v>
      </c>
      <c r="AG473" s="67" t="e">
        <f>Data_PLT[[#This Row],[Failure type]]&amp;"-"&amp;Data_PLT[[#This Row],[Test type]]&amp;"-"&amp;(IF(Data_PLT[[#This Row],[Is50 (MPa)]]&lt;1,1,IF(Data_PLT[[#This Row],[Is50 (MPa)]]&lt;2,2,IF(Data_PLT[[#This Row],[Is50 (MPa)]]&lt;4,3,IF(Data_PLT[[#This Row],[Is50 (MPa)]]&lt;8,4,5)))))</f>
        <v>#VALUE!</v>
      </c>
    </row>
    <row r="474" spans="1:33" x14ac:dyDescent="0.25">
      <c r="B474" s="88" t="e">
        <f>VLOOKUP(Data_PLT[[#This Row],[Hole ID]],Data_Log[],2,FALSE)</f>
        <v>#N/A</v>
      </c>
      <c r="C474" s="63" t="str">
        <f>IF(Data_PLT[[#This Row],[Hole ID]]="","",
IF(COUNTIF($A$4:A474,Data_PLT[[#This Row],[Hole ID]])=1,1,
IF(A474=A473,C473+1,
COUNTIF($A$4:A474,Data_PLT[[#This Row],[Hole ID]]))))</f>
        <v/>
      </c>
      <c r="D474" s="63" t="str">
        <f>IF(Data_PLT[[#This Row],[Hole ID]]="","",Data_PLT[[#This Row],[Hole ID]]&amp;"_"&amp;Data_PLT[[#This Row],[Sample ID]])</f>
        <v/>
      </c>
      <c r="E474" s="6"/>
      <c r="F474" s="6"/>
      <c r="G474" s="63" t="e" cm="1">
        <f t="array" ref="G474">_xlfn.XLOOKUP(1,(A474=Geotech!$A$4:$A$11100)*(Data_PLT[[#This Row],[Depth (m)]]&gt;=Geotech!$C$4:$C$11100)*(Data_PLT[[#This Row],[Depth (m)]]&lt;Geotech!$D$4:$D$11100),Geotech!$M$4:$M$11100)</f>
        <v>#N/A</v>
      </c>
      <c r="H474" s="6"/>
      <c r="I474" s="63" t="e">
        <f>VLOOKUP(Data_PLT[[#This Row],[Hole ID]],Data_Log[[Hole ID]:[Core size]],20,FALSE)</f>
        <v>#N/A</v>
      </c>
      <c r="J474" s="13" t="e">
        <f>VLOOKUP(Data_PLT[[#This Row],[Core Size]],Table_CoreSize[],2,FALSE)</f>
        <v>#N/A</v>
      </c>
      <c r="K474" s="19"/>
      <c r="L474" s="19"/>
      <c r="M474" s="5"/>
      <c r="N474" s="5"/>
      <c r="O474" s="6"/>
      <c r="P474" s="13" t="str">
        <f>IF(Data_PLT[[#This Row],[Failure type]]="","",IF(OR(Data_PLT[[#This Row],[Failure type]]="Invalid",Data_PLT[[#This Row],[Failure type]]="Chipped",Data_PLT[[#This Row],[Failure type]]="Penetrate",Data_PLT[[#This Row],[Failure type]]="Did not break"),"Invalid","Valid"))</f>
        <v/>
      </c>
      <c r="Q474" s="6"/>
      <c r="R474" s="11"/>
      <c r="S474" s="13" t="str">
        <f>IF(Data_PLT[[#This Row],[Test type]]="Diametral",Data_PLT[[#This Row],[Diameter (mm)]],IF(Data_PLT[[#This Row],[Test type]]="Axial",SQRT(4*Data_PLT[[#This Row],[Diameter (mm)]]*Data_PLT[[#This Row],[Length or width (mm)]]/PI()),"ERROR"))</f>
        <v>ERROR</v>
      </c>
      <c r="T474" s="13" t="e">
        <f>(Data_PLT[[#This Row],[Load (kN)]]*1000)/Data_PLT[[#This Row],[Equiv. Diam. (mm)]]^2</f>
        <v>#VALUE!</v>
      </c>
      <c r="U474" s="13" t="e">
        <f>(Data_PLT[[#This Row],[Equiv. Diam. (mm)]]/50)^0.45</f>
        <v>#VALUE!</v>
      </c>
      <c r="V474" s="13" t="e">
        <f>Data_PLT[[#This Row],[Is (MPa)]]*Data_PLT[[#This Row],[F]]</f>
        <v>#VALUE!</v>
      </c>
      <c r="W474" s="13" t="str">
        <f>Data_PLT[[#This Row],[Failure Validity]]&amp;"-"&amp;Data_PLT[[#This Row],[Test type]]</f>
        <v>-</v>
      </c>
      <c r="X474" s="13" t="e">
        <f>Data_PLT[[#This Row],[Is50 (MPa)]]*VLOOKUP("Min",Table_PLT_Conversion[],2,FALSE)</f>
        <v>#VALUE!</v>
      </c>
      <c r="Y474" s="13" t="e">
        <f>Data_PLT[[#This Row],[Is50 (MPa)]]*VLOOKUP("Avg",Table_PLT_Conversion[],2,FALSE)</f>
        <v>#VALUE!</v>
      </c>
      <c r="Z474" s="13" t="e">
        <f>Data_PLT[[#This Row],[Is50 (MPa)]]*VLOOKUP("Max",Table_PLT_Conversion[],2,FALSE)</f>
        <v>#VALUE!</v>
      </c>
      <c r="AA474" s="62" t="e">
        <f>MATCH(LOOKUP(Data_PLT[[#This Row],[UCS min (MPa)]],Table_FieldStrength[Min UCS]),Table_FieldStrength[Min UCS],0)-1</f>
        <v>#VALUE!</v>
      </c>
      <c r="AB474" s="62" t="e">
        <f>MATCH(LOOKUP(Data_PLT[[#This Row],[UCS avg (MPa)]],Table_FieldStrength[Min UCS]),Table_FieldStrength[Min UCS],0)-1</f>
        <v>#VALUE!</v>
      </c>
      <c r="AC474" s="62" t="e">
        <f>MATCH(LOOKUP(Data_PLT[[#This Row],[UCS max (MPa)]],Table_FieldStrength[Min UCS]),Table_FieldStrength[Min UCS],0)-1</f>
        <v>#VALUE!</v>
      </c>
      <c r="AD474" s="68" t="e">
        <f>Data_PLT[[#This Row],[Test code]]&amp;"-"&amp;Data_PLT[[#This Row],[UCS min code]]</f>
        <v>#VALUE!</v>
      </c>
      <c r="AE474" s="68" t="e">
        <f>Data_PLT[[#This Row],[Test code]]&amp;"-"&amp;Data_PLT[[#This Row],[UCS avg code]]</f>
        <v>#VALUE!</v>
      </c>
      <c r="AF474" s="67" t="e">
        <f>Data_PLT[[#This Row],[Test code]]&amp;"-"&amp;Data_PLT[[#This Row],[UCS max code]]</f>
        <v>#VALUE!</v>
      </c>
      <c r="AG474" s="67" t="e">
        <f>Data_PLT[[#This Row],[Failure type]]&amp;"-"&amp;Data_PLT[[#This Row],[Test type]]&amp;"-"&amp;(IF(Data_PLT[[#This Row],[Is50 (MPa)]]&lt;1,1,IF(Data_PLT[[#This Row],[Is50 (MPa)]]&lt;2,2,IF(Data_PLT[[#This Row],[Is50 (MPa)]]&lt;4,3,IF(Data_PLT[[#This Row],[Is50 (MPa)]]&lt;8,4,5)))))</f>
        <v>#VALUE!</v>
      </c>
    </row>
    <row r="475" spans="1:33" x14ac:dyDescent="0.25">
      <c r="B475" s="88" t="e">
        <f>VLOOKUP(Data_PLT[[#This Row],[Hole ID]],Data_Log[],2,FALSE)</f>
        <v>#N/A</v>
      </c>
      <c r="C475" s="63" t="str">
        <f>IF(Data_PLT[[#This Row],[Hole ID]]="","",
IF(COUNTIF($A$4:A475,Data_PLT[[#This Row],[Hole ID]])=1,1,
IF(A475=A474,C474+1,
COUNTIF($A$4:A475,Data_PLT[[#This Row],[Hole ID]]))))</f>
        <v/>
      </c>
      <c r="D475" s="63" t="str">
        <f>IF(Data_PLT[[#This Row],[Hole ID]]="","",Data_PLT[[#This Row],[Hole ID]]&amp;"_"&amp;Data_PLT[[#This Row],[Sample ID]])</f>
        <v/>
      </c>
      <c r="E475" s="6"/>
      <c r="F475" s="6"/>
      <c r="G475" s="63" t="e" cm="1">
        <f t="array" ref="G475">_xlfn.XLOOKUP(1,(A475=Geotech!$A$4:$A$11100)*(Data_PLT[[#This Row],[Depth (m)]]&gt;=Geotech!$C$4:$C$11100)*(Data_PLT[[#This Row],[Depth (m)]]&lt;Geotech!$D$4:$D$11100),Geotech!$M$4:$M$11100)</f>
        <v>#N/A</v>
      </c>
      <c r="H475" s="6"/>
      <c r="I475" s="63" t="e">
        <f>VLOOKUP(Data_PLT[[#This Row],[Hole ID]],Data_Log[[Hole ID]:[Core size]],20,FALSE)</f>
        <v>#N/A</v>
      </c>
      <c r="J475" s="13" t="e">
        <f>VLOOKUP(Data_PLT[[#This Row],[Core Size]],Table_CoreSize[],2,FALSE)</f>
        <v>#N/A</v>
      </c>
      <c r="K475" s="19"/>
      <c r="L475" s="19"/>
      <c r="M475" s="5"/>
      <c r="N475" s="5"/>
      <c r="O475" s="6"/>
      <c r="P475" s="13" t="str">
        <f>IF(Data_PLT[[#This Row],[Failure type]]="","",IF(OR(Data_PLT[[#This Row],[Failure type]]="Invalid",Data_PLT[[#This Row],[Failure type]]="Chipped",Data_PLT[[#This Row],[Failure type]]="Penetrate",Data_PLT[[#This Row],[Failure type]]="Did not break"),"Invalid","Valid"))</f>
        <v/>
      </c>
      <c r="Q475" s="6"/>
      <c r="R475" s="11"/>
      <c r="S475" s="13" t="str">
        <f>IF(Data_PLT[[#This Row],[Test type]]="Diametral",Data_PLT[[#This Row],[Diameter (mm)]],IF(Data_PLT[[#This Row],[Test type]]="Axial",SQRT(4*Data_PLT[[#This Row],[Diameter (mm)]]*Data_PLT[[#This Row],[Length or width (mm)]]/PI()),"ERROR"))</f>
        <v>ERROR</v>
      </c>
      <c r="T475" s="13" t="e">
        <f>(Data_PLT[[#This Row],[Load (kN)]]*1000)/Data_PLT[[#This Row],[Equiv. Diam. (mm)]]^2</f>
        <v>#VALUE!</v>
      </c>
      <c r="U475" s="13" t="e">
        <f>(Data_PLT[[#This Row],[Equiv. Diam. (mm)]]/50)^0.45</f>
        <v>#VALUE!</v>
      </c>
      <c r="V475" s="13" t="e">
        <f>Data_PLT[[#This Row],[Is (MPa)]]*Data_PLT[[#This Row],[F]]</f>
        <v>#VALUE!</v>
      </c>
      <c r="W475" s="13" t="str">
        <f>Data_PLT[[#This Row],[Failure Validity]]&amp;"-"&amp;Data_PLT[[#This Row],[Test type]]</f>
        <v>-</v>
      </c>
      <c r="X475" s="13" t="e">
        <f>Data_PLT[[#This Row],[Is50 (MPa)]]*VLOOKUP("Min",Table_PLT_Conversion[],2,FALSE)</f>
        <v>#VALUE!</v>
      </c>
      <c r="Y475" s="13" t="e">
        <f>Data_PLT[[#This Row],[Is50 (MPa)]]*VLOOKUP("Avg",Table_PLT_Conversion[],2,FALSE)</f>
        <v>#VALUE!</v>
      </c>
      <c r="Z475" s="13" t="e">
        <f>Data_PLT[[#This Row],[Is50 (MPa)]]*VLOOKUP("Max",Table_PLT_Conversion[],2,FALSE)</f>
        <v>#VALUE!</v>
      </c>
      <c r="AA475" s="62" t="e">
        <f>MATCH(LOOKUP(Data_PLT[[#This Row],[UCS min (MPa)]],Table_FieldStrength[Min UCS]),Table_FieldStrength[Min UCS],0)-1</f>
        <v>#VALUE!</v>
      </c>
      <c r="AB475" s="62" t="e">
        <f>MATCH(LOOKUP(Data_PLT[[#This Row],[UCS avg (MPa)]],Table_FieldStrength[Min UCS]),Table_FieldStrength[Min UCS],0)-1</f>
        <v>#VALUE!</v>
      </c>
      <c r="AC475" s="62" t="e">
        <f>MATCH(LOOKUP(Data_PLT[[#This Row],[UCS max (MPa)]],Table_FieldStrength[Min UCS]),Table_FieldStrength[Min UCS],0)-1</f>
        <v>#VALUE!</v>
      </c>
      <c r="AD475" s="68" t="e">
        <f>Data_PLT[[#This Row],[Test code]]&amp;"-"&amp;Data_PLT[[#This Row],[UCS min code]]</f>
        <v>#VALUE!</v>
      </c>
      <c r="AE475" s="68" t="e">
        <f>Data_PLT[[#This Row],[Test code]]&amp;"-"&amp;Data_PLT[[#This Row],[UCS avg code]]</f>
        <v>#VALUE!</v>
      </c>
      <c r="AF475" s="67" t="e">
        <f>Data_PLT[[#This Row],[Test code]]&amp;"-"&amp;Data_PLT[[#This Row],[UCS max code]]</f>
        <v>#VALUE!</v>
      </c>
      <c r="AG475" s="67" t="e">
        <f>Data_PLT[[#This Row],[Failure type]]&amp;"-"&amp;Data_PLT[[#This Row],[Test type]]&amp;"-"&amp;(IF(Data_PLT[[#This Row],[Is50 (MPa)]]&lt;1,1,IF(Data_PLT[[#This Row],[Is50 (MPa)]]&lt;2,2,IF(Data_PLT[[#This Row],[Is50 (MPa)]]&lt;4,3,IF(Data_PLT[[#This Row],[Is50 (MPa)]]&lt;8,4,5)))))</f>
        <v>#VALUE!</v>
      </c>
    </row>
    <row r="476" spans="1:33" x14ac:dyDescent="0.25">
      <c r="B476" s="88" t="e">
        <f>VLOOKUP(Data_PLT[[#This Row],[Hole ID]],Data_Log[],2,FALSE)</f>
        <v>#N/A</v>
      </c>
      <c r="C476" s="63" t="str">
        <f>IF(Data_PLT[[#This Row],[Hole ID]]="","",
IF(COUNTIF($A$4:A476,Data_PLT[[#This Row],[Hole ID]])=1,1,
IF(A476=A475,C475+1,
COUNTIF($A$4:A476,Data_PLT[[#This Row],[Hole ID]]))))</f>
        <v/>
      </c>
      <c r="D476" s="63" t="str">
        <f>IF(Data_PLT[[#This Row],[Hole ID]]="","",Data_PLT[[#This Row],[Hole ID]]&amp;"_"&amp;Data_PLT[[#This Row],[Sample ID]])</f>
        <v/>
      </c>
      <c r="E476" s="6"/>
      <c r="F476" s="6"/>
      <c r="G476" s="63" t="e" cm="1">
        <f t="array" ref="G476">_xlfn.XLOOKUP(1,(A476=Geotech!$A$4:$A$11100)*(Data_PLT[[#This Row],[Depth (m)]]&gt;=Geotech!$C$4:$C$11100)*(Data_PLT[[#This Row],[Depth (m)]]&lt;Geotech!$D$4:$D$11100),Geotech!$M$4:$M$11100)</f>
        <v>#N/A</v>
      </c>
      <c r="H476" s="6"/>
      <c r="I476" s="63" t="e">
        <f>VLOOKUP(Data_PLT[[#This Row],[Hole ID]],Data_Log[[Hole ID]:[Core size]],20,FALSE)</f>
        <v>#N/A</v>
      </c>
      <c r="J476" s="13" t="e">
        <f>VLOOKUP(Data_PLT[[#This Row],[Core Size]],Table_CoreSize[],2,FALSE)</f>
        <v>#N/A</v>
      </c>
      <c r="K476" s="19"/>
      <c r="L476" s="19"/>
      <c r="M476" s="5"/>
      <c r="N476" s="5"/>
      <c r="O476" s="6"/>
      <c r="P476" s="13" t="str">
        <f>IF(Data_PLT[[#This Row],[Failure type]]="","",IF(OR(Data_PLT[[#This Row],[Failure type]]="Invalid",Data_PLT[[#This Row],[Failure type]]="Chipped",Data_PLT[[#This Row],[Failure type]]="Penetrate",Data_PLT[[#This Row],[Failure type]]="Did not break"),"Invalid","Valid"))</f>
        <v/>
      </c>
      <c r="Q476" s="6"/>
      <c r="R476" s="11"/>
      <c r="S476" s="13" t="str">
        <f>IF(Data_PLT[[#This Row],[Test type]]="Diametral",Data_PLT[[#This Row],[Diameter (mm)]],IF(Data_PLT[[#This Row],[Test type]]="Axial",SQRT(4*Data_PLT[[#This Row],[Diameter (mm)]]*Data_PLT[[#This Row],[Length or width (mm)]]/PI()),"ERROR"))</f>
        <v>ERROR</v>
      </c>
      <c r="T476" s="13" t="e">
        <f>(Data_PLT[[#This Row],[Load (kN)]]*1000)/Data_PLT[[#This Row],[Equiv. Diam. (mm)]]^2</f>
        <v>#VALUE!</v>
      </c>
      <c r="U476" s="13" t="e">
        <f>(Data_PLT[[#This Row],[Equiv. Diam. (mm)]]/50)^0.45</f>
        <v>#VALUE!</v>
      </c>
      <c r="V476" s="13" t="e">
        <f>Data_PLT[[#This Row],[Is (MPa)]]*Data_PLT[[#This Row],[F]]</f>
        <v>#VALUE!</v>
      </c>
      <c r="W476" s="13" t="str">
        <f>Data_PLT[[#This Row],[Failure Validity]]&amp;"-"&amp;Data_PLT[[#This Row],[Test type]]</f>
        <v>-</v>
      </c>
      <c r="X476" s="13" t="e">
        <f>Data_PLT[[#This Row],[Is50 (MPa)]]*VLOOKUP("Min",Table_PLT_Conversion[],2,FALSE)</f>
        <v>#VALUE!</v>
      </c>
      <c r="Y476" s="13" t="e">
        <f>Data_PLT[[#This Row],[Is50 (MPa)]]*VLOOKUP("Avg",Table_PLT_Conversion[],2,FALSE)</f>
        <v>#VALUE!</v>
      </c>
      <c r="Z476" s="13" t="e">
        <f>Data_PLT[[#This Row],[Is50 (MPa)]]*VLOOKUP("Max",Table_PLT_Conversion[],2,FALSE)</f>
        <v>#VALUE!</v>
      </c>
      <c r="AA476" s="62" t="e">
        <f>MATCH(LOOKUP(Data_PLT[[#This Row],[UCS min (MPa)]],Table_FieldStrength[Min UCS]),Table_FieldStrength[Min UCS],0)-1</f>
        <v>#VALUE!</v>
      </c>
      <c r="AB476" s="62" t="e">
        <f>MATCH(LOOKUP(Data_PLT[[#This Row],[UCS avg (MPa)]],Table_FieldStrength[Min UCS]),Table_FieldStrength[Min UCS],0)-1</f>
        <v>#VALUE!</v>
      </c>
      <c r="AC476" s="62" t="e">
        <f>MATCH(LOOKUP(Data_PLT[[#This Row],[UCS max (MPa)]],Table_FieldStrength[Min UCS]),Table_FieldStrength[Min UCS],0)-1</f>
        <v>#VALUE!</v>
      </c>
      <c r="AD476" s="68" t="e">
        <f>Data_PLT[[#This Row],[Test code]]&amp;"-"&amp;Data_PLT[[#This Row],[UCS min code]]</f>
        <v>#VALUE!</v>
      </c>
      <c r="AE476" s="68" t="e">
        <f>Data_PLT[[#This Row],[Test code]]&amp;"-"&amp;Data_PLT[[#This Row],[UCS avg code]]</f>
        <v>#VALUE!</v>
      </c>
      <c r="AF476" s="67" t="e">
        <f>Data_PLT[[#This Row],[Test code]]&amp;"-"&amp;Data_PLT[[#This Row],[UCS max code]]</f>
        <v>#VALUE!</v>
      </c>
      <c r="AG476" s="67" t="e">
        <f>Data_PLT[[#This Row],[Failure type]]&amp;"-"&amp;Data_PLT[[#This Row],[Test type]]&amp;"-"&amp;(IF(Data_PLT[[#This Row],[Is50 (MPa)]]&lt;1,1,IF(Data_PLT[[#This Row],[Is50 (MPa)]]&lt;2,2,IF(Data_PLT[[#This Row],[Is50 (MPa)]]&lt;4,3,IF(Data_PLT[[#This Row],[Is50 (MPa)]]&lt;8,4,5)))))</f>
        <v>#VALUE!</v>
      </c>
    </row>
    <row r="477" spans="1:33" x14ac:dyDescent="0.25">
      <c r="B477" s="88" t="e">
        <f>VLOOKUP(Data_PLT[[#This Row],[Hole ID]],Data_Log[],2,FALSE)</f>
        <v>#N/A</v>
      </c>
      <c r="C477" s="63" t="str">
        <f>IF(Data_PLT[[#This Row],[Hole ID]]="","",
IF(COUNTIF($A$4:A477,Data_PLT[[#This Row],[Hole ID]])=1,1,
IF(A477=A476,C476+1,
COUNTIF($A$4:A477,Data_PLT[[#This Row],[Hole ID]]))))</f>
        <v/>
      </c>
      <c r="D477" s="63" t="str">
        <f>IF(Data_PLT[[#This Row],[Hole ID]]="","",Data_PLT[[#This Row],[Hole ID]]&amp;"_"&amp;Data_PLT[[#This Row],[Sample ID]])</f>
        <v/>
      </c>
      <c r="E477" s="6"/>
      <c r="F477" s="6"/>
      <c r="G477" s="63" t="e" cm="1">
        <f t="array" ref="G477">_xlfn.XLOOKUP(1,(A477=Geotech!$A$4:$A$11100)*(Data_PLT[[#This Row],[Depth (m)]]&gt;=Geotech!$C$4:$C$11100)*(Data_PLT[[#This Row],[Depth (m)]]&lt;Geotech!$D$4:$D$11100),Geotech!$M$4:$M$11100)</f>
        <v>#N/A</v>
      </c>
      <c r="H477" s="6"/>
      <c r="I477" s="63" t="e">
        <f>VLOOKUP(Data_PLT[[#This Row],[Hole ID]],Data_Log[[Hole ID]:[Core size]],20,FALSE)</f>
        <v>#N/A</v>
      </c>
      <c r="J477" s="13" t="e">
        <f>VLOOKUP(Data_PLT[[#This Row],[Core Size]],Table_CoreSize[],2,FALSE)</f>
        <v>#N/A</v>
      </c>
      <c r="K477" s="19"/>
      <c r="L477" s="19"/>
      <c r="M477" s="5"/>
      <c r="N477" s="5"/>
      <c r="O477" s="6"/>
      <c r="P477" s="13" t="str">
        <f>IF(Data_PLT[[#This Row],[Failure type]]="","",IF(OR(Data_PLT[[#This Row],[Failure type]]="Invalid",Data_PLT[[#This Row],[Failure type]]="Chipped",Data_PLT[[#This Row],[Failure type]]="Penetrate",Data_PLT[[#This Row],[Failure type]]="Did not break"),"Invalid","Valid"))</f>
        <v/>
      </c>
      <c r="Q477" s="6"/>
      <c r="R477" s="11"/>
      <c r="S477" s="13" t="str">
        <f>IF(Data_PLT[[#This Row],[Test type]]="Diametral",Data_PLT[[#This Row],[Diameter (mm)]],IF(Data_PLT[[#This Row],[Test type]]="Axial",SQRT(4*Data_PLT[[#This Row],[Diameter (mm)]]*Data_PLT[[#This Row],[Length or width (mm)]]/PI()),"ERROR"))</f>
        <v>ERROR</v>
      </c>
      <c r="T477" s="13" t="e">
        <f>(Data_PLT[[#This Row],[Load (kN)]]*1000)/Data_PLT[[#This Row],[Equiv. Diam. (mm)]]^2</f>
        <v>#VALUE!</v>
      </c>
      <c r="U477" s="13" t="e">
        <f>(Data_PLT[[#This Row],[Equiv. Diam. (mm)]]/50)^0.45</f>
        <v>#VALUE!</v>
      </c>
      <c r="V477" s="13" t="e">
        <f>Data_PLT[[#This Row],[Is (MPa)]]*Data_PLT[[#This Row],[F]]</f>
        <v>#VALUE!</v>
      </c>
      <c r="W477" s="13" t="str">
        <f>Data_PLT[[#This Row],[Failure Validity]]&amp;"-"&amp;Data_PLT[[#This Row],[Test type]]</f>
        <v>-</v>
      </c>
      <c r="X477" s="13" t="e">
        <f>Data_PLT[[#This Row],[Is50 (MPa)]]*VLOOKUP("Min",Table_PLT_Conversion[],2,FALSE)</f>
        <v>#VALUE!</v>
      </c>
      <c r="Y477" s="13" t="e">
        <f>Data_PLT[[#This Row],[Is50 (MPa)]]*VLOOKUP("Avg",Table_PLT_Conversion[],2,FALSE)</f>
        <v>#VALUE!</v>
      </c>
      <c r="Z477" s="13" t="e">
        <f>Data_PLT[[#This Row],[Is50 (MPa)]]*VLOOKUP("Max",Table_PLT_Conversion[],2,FALSE)</f>
        <v>#VALUE!</v>
      </c>
      <c r="AA477" s="62" t="e">
        <f>MATCH(LOOKUP(Data_PLT[[#This Row],[UCS min (MPa)]],Table_FieldStrength[Min UCS]),Table_FieldStrength[Min UCS],0)-1</f>
        <v>#VALUE!</v>
      </c>
      <c r="AB477" s="62" t="e">
        <f>MATCH(LOOKUP(Data_PLT[[#This Row],[UCS avg (MPa)]],Table_FieldStrength[Min UCS]),Table_FieldStrength[Min UCS],0)-1</f>
        <v>#VALUE!</v>
      </c>
      <c r="AC477" s="62" t="e">
        <f>MATCH(LOOKUP(Data_PLT[[#This Row],[UCS max (MPa)]],Table_FieldStrength[Min UCS]),Table_FieldStrength[Min UCS],0)-1</f>
        <v>#VALUE!</v>
      </c>
      <c r="AD477" s="68" t="e">
        <f>Data_PLT[[#This Row],[Test code]]&amp;"-"&amp;Data_PLT[[#This Row],[UCS min code]]</f>
        <v>#VALUE!</v>
      </c>
      <c r="AE477" s="68" t="e">
        <f>Data_PLT[[#This Row],[Test code]]&amp;"-"&amp;Data_PLT[[#This Row],[UCS avg code]]</f>
        <v>#VALUE!</v>
      </c>
      <c r="AF477" s="67" t="e">
        <f>Data_PLT[[#This Row],[Test code]]&amp;"-"&amp;Data_PLT[[#This Row],[UCS max code]]</f>
        <v>#VALUE!</v>
      </c>
      <c r="AG477" s="67" t="e">
        <f>Data_PLT[[#This Row],[Failure type]]&amp;"-"&amp;Data_PLT[[#This Row],[Test type]]&amp;"-"&amp;(IF(Data_PLT[[#This Row],[Is50 (MPa)]]&lt;1,1,IF(Data_PLT[[#This Row],[Is50 (MPa)]]&lt;2,2,IF(Data_PLT[[#This Row],[Is50 (MPa)]]&lt;4,3,IF(Data_PLT[[#This Row],[Is50 (MPa)]]&lt;8,4,5)))))</f>
        <v>#VALUE!</v>
      </c>
    </row>
    <row r="478" spans="1:33" x14ac:dyDescent="0.25">
      <c r="A478" s="14"/>
      <c r="B478" s="88" t="e">
        <f>VLOOKUP(Data_PLT[[#This Row],[Hole ID]],Data_Log[],2,FALSE)</f>
        <v>#N/A</v>
      </c>
      <c r="C478" s="63" t="str">
        <f>IF(Data_PLT[[#This Row],[Hole ID]]="","",
IF(COUNTIF($A$4:A478,Data_PLT[[#This Row],[Hole ID]])=1,1,
IF(A478=A477,C477+1,
COUNTIF($A$4:A478,Data_PLT[[#This Row],[Hole ID]]))))</f>
        <v/>
      </c>
      <c r="D478" s="63" t="str">
        <f>IF(Data_PLT[[#This Row],[Hole ID]]="","",Data_PLT[[#This Row],[Hole ID]]&amp;"_"&amp;Data_PLT[[#This Row],[Sample ID]])</f>
        <v/>
      </c>
      <c r="E478" s="6"/>
      <c r="F478" s="6"/>
      <c r="G478" s="63" t="e" cm="1">
        <f t="array" ref="G478">_xlfn.XLOOKUP(1,(A478=Geotech!$A$4:$A$11100)*(Data_PLT[[#This Row],[Depth (m)]]&gt;=Geotech!$C$4:$C$11100)*(Data_PLT[[#This Row],[Depth (m)]]&lt;Geotech!$D$4:$D$11100),Geotech!$M$4:$M$11100)</f>
        <v>#N/A</v>
      </c>
      <c r="H478" s="6"/>
      <c r="I478" s="63" t="e">
        <f>VLOOKUP(Data_PLT[[#This Row],[Hole ID]],Data_Log[[Hole ID]:[Core size]],20,FALSE)</f>
        <v>#N/A</v>
      </c>
      <c r="J478" s="13" t="e">
        <f>VLOOKUP(Data_PLT[[#This Row],[Core Size]],Table_CoreSize[],2,FALSE)</f>
        <v>#N/A</v>
      </c>
      <c r="K478" s="19"/>
      <c r="L478" s="19"/>
      <c r="M478" s="5"/>
      <c r="N478" s="5"/>
      <c r="O478" s="6"/>
      <c r="P478" s="13" t="str">
        <f>IF(Data_PLT[[#This Row],[Failure type]]="","",IF(OR(Data_PLT[[#This Row],[Failure type]]="Invalid",Data_PLT[[#This Row],[Failure type]]="Chipped",Data_PLT[[#This Row],[Failure type]]="Penetrate",Data_PLT[[#This Row],[Failure type]]="Did not break"),"Invalid","Valid"))</f>
        <v/>
      </c>
      <c r="Q478" s="6"/>
      <c r="R478" s="11"/>
      <c r="S478" s="13" t="str">
        <f>IF(Data_PLT[[#This Row],[Test type]]="Diametral",Data_PLT[[#This Row],[Diameter (mm)]],IF(Data_PLT[[#This Row],[Test type]]="Axial",SQRT(4*Data_PLT[[#This Row],[Diameter (mm)]]*Data_PLT[[#This Row],[Length or width (mm)]]/PI()),"ERROR"))</f>
        <v>ERROR</v>
      </c>
      <c r="T478" s="13" t="e">
        <f>(Data_PLT[[#This Row],[Load (kN)]]*1000)/Data_PLT[[#This Row],[Equiv. Diam. (mm)]]^2</f>
        <v>#VALUE!</v>
      </c>
      <c r="U478" s="13" t="e">
        <f>(Data_PLT[[#This Row],[Equiv. Diam. (mm)]]/50)^0.45</f>
        <v>#VALUE!</v>
      </c>
      <c r="V478" s="13" t="e">
        <f>Data_PLT[[#This Row],[Is (MPa)]]*Data_PLT[[#This Row],[F]]</f>
        <v>#VALUE!</v>
      </c>
      <c r="W478" s="13" t="str">
        <f>Data_PLT[[#This Row],[Failure Validity]]&amp;"-"&amp;Data_PLT[[#This Row],[Test type]]</f>
        <v>-</v>
      </c>
      <c r="X478" s="13" t="e">
        <f>Data_PLT[[#This Row],[Is50 (MPa)]]*VLOOKUP("Min",Table_PLT_Conversion[],2,FALSE)</f>
        <v>#VALUE!</v>
      </c>
      <c r="Y478" s="13" t="e">
        <f>Data_PLT[[#This Row],[Is50 (MPa)]]*VLOOKUP("Avg",Table_PLT_Conversion[],2,FALSE)</f>
        <v>#VALUE!</v>
      </c>
      <c r="Z478" s="13" t="e">
        <f>Data_PLT[[#This Row],[Is50 (MPa)]]*VLOOKUP("Max",Table_PLT_Conversion[],2,FALSE)</f>
        <v>#VALUE!</v>
      </c>
      <c r="AA478" s="62" t="e">
        <f>MATCH(LOOKUP(Data_PLT[[#This Row],[UCS min (MPa)]],Table_FieldStrength[Min UCS]),Table_FieldStrength[Min UCS],0)-1</f>
        <v>#VALUE!</v>
      </c>
      <c r="AB478" s="62" t="e">
        <f>MATCH(LOOKUP(Data_PLT[[#This Row],[UCS avg (MPa)]],Table_FieldStrength[Min UCS]),Table_FieldStrength[Min UCS],0)-1</f>
        <v>#VALUE!</v>
      </c>
      <c r="AC478" s="62" t="e">
        <f>MATCH(LOOKUP(Data_PLT[[#This Row],[UCS max (MPa)]],Table_FieldStrength[Min UCS]),Table_FieldStrength[Min UCS],0)-1</f>
        <v>#VALUE!</v>
      </c>
      <c r="AD478" s="68" t="e">
        <f>Data_PLT[[#This Row],[Test code]]&amp;"-"&amp;Data_PLT[[#This Row],[UCS min code]]</f>
        <v>#VALUE!</v>
      </c>
      <c r="AE478" s="68" t="e">
        <f>Data_PLT[[#This Row],[Test code]]&amp;"-"&amp;Data_PLT[[#This Row],[UCS avg code]]</f>
        <v>#VALUE!</v>
      </c>
      <c r="AF478" s="67" t="e">
        <f>Data_PLT[[#This Row],[Test code]]&amp;"-"&amp;Data_PLT[[#This Row],[UCS max code]]</f>
        <v>#VALUE!</v>
      </c>
      <c r="AG478" s="67" t="e">
        <f>Data_PLT[[#This Row],[Failure type]]&amp;"-"&amp;Data_PLT[[#This Row],[Test type]]&amp;"-"&amp;(IF(Data_PLT[[#This Row],[Is50 (MPa)]]&lt;1,1,IF(Data_PLT[[#This Row],[Is50 (MPa)]]&lt;2,2,IF(Data_PLT[[#This Row],[Is50 (MPa)]]&lt;4,3,IF(Data_PLT[[#This Row],[Is50 (MPa)]]&lt;8,4,5)))))</f>
        <v>#VALUE!</v>
      </c>
    </row>
    <row r="479" spans="1:33" x14ac:dyDescent="0.25">
      <c r="A479" s="14"/>
      <c r="B479" s="88" t="e">
        <f>VLOOKUP(Data_PLT[[#This Row],[Hole ID]],Data_Log[],2,FALSE)</f>
        <v>#N/A</v>
      </c>
      <c r="C479" s="63" t="str">
        <f>IF(Data_PLT[[#This Row],[Hole ID]]="","",
IF(COUNTIF($A$4:A479,Data_PLT[[#This Row],[Hole ID]])=1,1,
IF(A479=A478,C478+1,
COUNTIF($A$4:A479,Data_PLT[[#This Row],[Hole ID]]))))</f>
        <v/>
      </c>
      <c r="D479" s="63" t="str">
        <f>IF(Data_PLT[[#This Row],[Hole ID]]="","",Data_PLT[[#This Row],[Hole ID]]&amp;"_"&amp;Data_PLT[[#This Row],[Sample ID]])</f>
        <v/>
      </c>
      <c r="E479" s="6"/>
      <c r="F479" s="6"/>
      <c r="G479" s="63" t="e" cm="1">
        <f t="array" ref="G479">_xlfn.XLOOKUP(1,(A479=Geotech!$A$4:$A$11100)*(Data_PLT[[#This Row],[Depth (m)]]&gt;=Geotech!$C$4:$C$11100)*(Data_PLT[[#This Row],[Depth (m)]]&lt;Geotech!$D$4:$D$11100),Geotech!$M$4:$M$11100)</f>
        <v>#N/A</v>
      </c>
      <c r="H479" s="6"/>
      <c r="I479" s="63" t="e">
        <f>VLOOKUP(Data_PLT[[#This Row],[Hole ID]],Data_Log[[Hole ID]:[Core size]],20,FALSE)</f>
        <v>#N/A</v>
      </c>
      <c r="J479" s="13" t="e">
        <f>VLOOKUP(Data_PLT[[#This Row],[Core Size]],Table_CoreSize[],2,FALSE)</f>
        <v>#N/A</v>
      </c>
      <c r="K479" s="19"/>
      <c r="L479" s="19"/>
      <c r="M479" s="5"/>
      <c r="N479" s="5"/>
      <c r="O479" s="6"/>
      <c r="P479" s="13" t="str">
        <f>IF(Data_PLT[[#This Row],[Failure type]]="","",IF(OR(Data_PLT[[#This Row],[Failure type]]="Invalid",Data_PLT[[#This Row],[Failure type]]="Chipped",Data_PLT[[#This Row],[Failure type]]="Penetrate",Data_PLT[[#This Row],[Failure type]]="Did not break"),"Invalid","Valid"))</f>
        <v/>
      </c>
      <c r="Q479" s="6"/>
      <c r="R479" s="11"/>
      <c r="S479" s="13" t="str">
        <f>IF(Data_PLT[[#This Row],[Test type]]="Diametral",Data_PLT[[#This Row],[Diameter (mm)]],IF(Data_PLT[[#This Row],[Test type]]="Axial",SQRT(4*Data_PLT[[#This Row],[Diameter (mm)]]*Data_PLT[[#This Row],[Length or width (mm)]]/PI()),"ERROR"))</f>
        <v>ERROR</v>
      </c>
      <c r="T479" s="13" t="e">
        <f>(Data_PLT[[#This Row],[Load (kN)]]*1000)/Data_PLT[[#This Row],[Equiv. Diam. (mm)]]^2</f>
        <v>#VALUE!</v>
      </c>
      <c r="U479" s="13" t="e">
        <f>(Data_PLT[[#This Row],[Equiv. Diam. (mm)]]/50)^0.45</f>
        <v>#VALUE!</v>
      </c>
      <c r="V479" s="13" t="e">
        <f>Data_PLT[[#This Row],[Is (MPa)]]*Data_PLT[[#This Row],[F]]</f>
        <v>#VALUE!</v>
      </c>
      <c r="W479" s="13" t="str">
        <f>Data_PLT[[#This Row],[Failure Validity]]&amp;"-"&amp;Data_PLT[[#This Row],[Test type]]</f>
        <v>-</v>
      </c>
      <c r="X479" s="13" t="e">
        <f>Data_PLT[[#This Row],[Is50 (MPa)]]*VLOOKUP("Min",Table_PLT_Conversion[],2,FALSE)</f>
        <v>#VALUE!</v>
      </c>
      <c r="Y479" s="13" t="e">
        <f>Data_PLT[[#This Row],[Is50 (MPa)]]*VLOOKUP("Avg",Table_PLT_Conversion[],2,FALSE)</f>
        <v>#VALUE!</v>
      </c>
      <c r="Z479" s="13" t="e">
        <f>Data_PLT[[#This Row],[Is50 (MPa)]]*VLOOKUP("Max",Table_PLT_Conversion[],2,FALSE)</f>
        <v>#VALUE!</v>
      </c>
      <c r="AA479" s="62" t="e">
        <f>MATCH(LOOKUP(Data_PLT[[#This Row],[UCS min (MPa)]],Table_FieldStrength[Min UCS]),Table_FieldStrength[Min UCS],0)-1</f>
        <v>#VALUE!</v>
      </c>
      <c r="AB479" s="62" t="e">
        <f>MATCH(LOOKUP(Data_PLT[[#This Row],[UCS avg (MPa)]],Table_FieldStrength[Min UCS]),Table_FieldStrength[Min UCS],0)-1</f>
        <v>#VALUE!</v>
      </c>
      <c r="AC479" s="62" t="e">
        <f>MATCH(LOOKUP(Data_PLT[[#This Row],[UCS max (MPa)]],Table_FieldStrength[Min UCS]),Table_FieldStrength[Min UCS],0)-1</f>
        <v>#VALUE!</v>
      </c>
      <c r="AD479" s="68" t="e">
        <f>Data_PLT[[#This Row],[Test code]]&amp;"-"&amp;Data_PLT[[#This Row],[UCS min code]]</f>
        <v>#VALUE!</v>
      </c>
      <c r="AE479" s="68" t="e">
        <f>Data_PLT[[#This Row],[Test code]]&amp;"-"&amp;Data_PLT[[#This Row],[UCS avg code]]</f>
        <v>#VALUE!</v>
      </c>
      <c r="AF479" s="67" t="e">
        <f>Data_PLT[[#This Row],[Test code]]&amp;"-"&amp;Data_PLT[[#This Row],[UCS max code]]</f>
        <v>#VALUE!</v>
      </c>
      <c r="AG479" s="67" t="e">
        <f>Data_PLT[[#This Row],[Failure type]]&amp;"-"&amp;Data_PLT[[#This Row],[Test type]]&amp;"-"&amp;(IF(Data_PLT[[#This Row],[Is50 (MPa)]]&lt;1,1,IF(Data_PLT[[#This Row],[Is50 (MPa)]]&lt;2,2,IF(Data_PLT[[#This Row],[Is50 (MPa)]]&lt;4,3,IF(Data_PLT[[#This Row],[Is50 (MPa)]]&lt;8,4,5)))))</f>
        <v>#VALUE!</v>
      </c>
    </row>
    <row r="480" spans="1:33" x14ac:dyDescent="0.25">
      <c r="A480" s="14"/>
      <c r="B480" s="88" t="e">
        <f>VLOOKUP(Data_PLT[[#This Row],[Hole ID]],Data_Log[],2,FALSE)</f>
        <v>#N/A</v>
      </c>
      <c r="C480" s="63" t="str">
        <f>IF(Data_PLT[[#This Row],[Hole ID]]="","",
IF(COUNTIF($A$4:A480,Data_PLT[[#This Row],[Hole ID]])=1,1,
IF(A480=A479,C479+1,
COUNTIF($A$4:A480,Data_PLT[[#This Row],[Hole ID]]))))</f>
        <v/>
      </c>
      <c r="D480" s="63" t="str">
        <f>IF(Data_PLT[[#This Row],[Hole ID]]="","",Data_PLT[[#This Row],[Hole ID]]&amp;"_"&amp;Data_PLT[[#This Row],[Sample ID]])</f>
        <v/>
      </c>
      <c r="E480" s="6"/>
      <c r="F480" s="6"/>
      <c r="G480" s="63" t="e" cm="1">
        <f t="array" ref="G480">_xlfn.XLOOKUP(1,(A480=Geotech!$A$4:$A$11100)*(Data_PLT[[#This Row],[Depth (m)]]&gt;=Geotech!$C$4:$C$11100)*(Data_PLT[[#This Row],[Depth (m)]]&lt;Geotech!$D$4:$D$11100),Geotech!$M$4:$M$11100)</f>
        <v>#N/A</v>
      </c>
      <c r="H480" s="6"/>
      <c r="I480" s="63" t="e">
        <f>VLOOKUP(Data_PLT[[#This Row],[Hole ID]],Data_Log[[Hole ID]:[Core size]],20,FALSE)</f>
        <v>#N/A</v>
      </c>
      <c r="J480" s="13" t="e">
        <f>VLOOKUP(Data_PLT[[#This Row],[Core Size]],Table_CoreSize[],2,FALSE)</f>
        <v>#N/A</v>
      </c>
      <c r="K480" s="19"/>
      <c r="L480" s="19"/>
      <c r="M480" s="5"/>
      <c r="N480" s="5"/>
      <c r="O480" s="6"/>
      <c r="P480" s="13" t="str">
        <f>IF(Data_PLT[[#This Row],[Failure type]]="","",IF(OR(Data_PLT[[#This Row],[Failure type]]="Invalid",Data_PLT[[#This Row],[Failure type]]="Chipped",Data_PLT[[#This Row],[Failure type]]="Penetrate",Data_PLT[[#This Row],[Failure type]]="Did not break"),"Invalid","Valid"))</f>
        <v/>
      </c>
      <c r="Q480" s="6"/>
      <c r="R480" s="11"/>
      <c r="S480" s="13" t="str">
        <f>IF(Data_PLT[[#This Row],[Test type]]="Diametral",Data_PLT[[#This Row],[Diameter (mm)]],IF(Data_PLT[[#This Row],[Test type]]="Axial",SQRT(4*Data_PLT[[#This Row],[Diameter (mm)]]*Data_PLT[[#This Row],[Length or width (mm)]]/PI()),"ERROR"))</f>
        <v>ERROR</v>
      </c>
      <c r="T480" s="13" t="e">
        <f>(Data_PLT[[#This Row],[Load (kN)]]*1000)/Data_PLT[[#This Row],[Equiv. Diam. (mm)]]^2</f>
        <v>#VALUE!</v>
      </c>
      <c r="U480" s="13" t="e">
        <f>(Data_PLT[[#This Row],[Equiv. Diam. (mm)]]/50)^0.45</f>
        <v>#VALUE!</v>
      </c>
      <c r="V480" s="13" t="e">
        <f>Data_PLT[[#This Row],[Is (MPa)]]*Data_PLT[[#This Row],[F]]</f>
        <v>#VALUE!</v>
      </c>
      <c r="W480" s="13" t="str">
        <f>Data_PLT[[#This Row],[Failure Validity]]&amp;"-"&amp;Data_PLT[[#This Row],[Test type]]</f>
        <v>-</v>
      </c>
      <c r="X480" s="13" t="e">
        <f>Data_PLT[[#This Row],[Is50 (MPa)]]*VLOOKUP("Min",Table_PLT_Conversion[],2,FALSE)</f>
        <v>#VALUE!</v>
      </c>
      <c r="Y480" s="13" t="e">
        <f>Data_PLT[[#This Row],[Is50 (MPa)]]*VLOOKUP("Avg",Table_PLT_Conversion[],2,FALSE)</f>
        <v>#VALUE!</v>
      </c>
      <c r="Z480" s="13" t="e">
        <f>Data_PLT[[#This Row],[Is50 (MPa)]]*VLOOKUP("Max",Table_PLT_Conversion[],2,FALSE)</f>
        <v>#VALUE!</v>
      </c>
      <c r="AA480" s="62" t="e">
        <f>MATCH(LOOKUP(Data_PLT[[#This Row],[UCS min (MPa)]],Table_FieldStrength[Min UCS]),Table_FieldStrength[Min UCS],0)-1</f>
        <v>#VALUE!</v>
      </c>
      <c r="AB480" s="62" t="e">
        <f>MATCH(LOOKUP(Data_PLT[[#This Row],[UCS avg (MPa)]],Table_FieldStrength[Min UCS]),Table_FieldStrength[Min UCS],0)-1</f>
        <v>#VALUE!</v>
      </c>
      <c r="AC480" s="62" t="e">
        <f>MATCH(LOOKUP(Data_PLT[[#This Row],[UCS max (MPa)]],Table_FieldStrength[Min UCS]),Table_FieldStrength[Min UCS],0)-1</f>
        <v>#VALUE!</v>
      </c>
      <c r="AD480" s="68" t="e">
        <f>Data_PLT[[#This Row],[Test code]]&amp;"-"&amp;Data_PLT[[#This Row],[UCS min code]]</f>
        <v>#VALUE!</v>
      </c>
      <c r="AE480" s="68" t="e">
        <f>Data_PLT[[#This Row],[Test code]]&amp;"-"&amp;Data_PLT[[#This Row],[UCS avg code]]</f>
        <v>#VALUE!</v>
      </c>
      <c r="AF480" s="67" t="e">
        <f>Data_PLT[[#This Row],[Test code]]&amp;"-"&amp;Data_PLT[[#This Row],[UCS max code]]</f>
        <v>#VALUE!</v>
      </c>
      <c r="AG480" s="67" t="e">
        <f>Data_PLT[[#This Row],[Failure type]]&amp;"-"&amp;Data_PLT[[#This Row],[Test type]]&amp;"-"&amp;(IF(Data_PLT[[#This Row],[Is50 (MPa)]]&lt;1,1,IF(Data_PLT[[#This Row],[Is50 (MPa)]]&lt;2,2,IF(Data_PLT[[#This Row],[Is50 (MPa)]]&lt;4,3,IF(Data_PLT[[#This Row],[Is50 (MPa)]]&lt;8,4,5)))))</f>
        <v>#VALUE!</v>
      </c>
    </row>
    <row r="481" spans="1:33" x14ac:dyDescent="0.25">
      <c r="A481" s="14"/>
      <c r="B481" s="88" t="e">
        <f>VLOOKUP(Data_PLT[[#This Row],[Hole ID]],Data_Log[],2,FALSE)</f>
        <v>#N/A</v>
      </c>
      <c r="C481" s="63" t="str">
        <f>IF(Data_PLT[[#This Row],[Hole ID]]="","",
IF(COUNTIF($A$4:A481,Data_PLT[[#This Row],[Hole ID]])=1,1,
IF(A481=A480,C480+1,
COUNTIF($A$4:A481,Data_PLT[[#This Row],[Hole ID]]))))</f>
        <v/>
      </c>
      <c r="D481" s="63" t="str">
        <f>IF(Data_PLT[[#This Row],[Hole ID]]="","",Data_PLT[[#This Row],[Hole ID]]&amp;"_"&amp;Data_PLT[[#This Row],[Sample ID]])</f>
        <v/>
      </c>
      <c r="E481" s="6"/>
      <c r="F481" s="6"/>
      <c r="G481" s="63" t="e" cm="1">
        <f t="array" ref="G481">_xlfn.XLOOKUP(1,(A481=Geotech!$A$4:$A$11100)*(Data_PLT[[#This Row],[Depth (m)]]&gt;=Geotech!$C$4:$C$11100)*(Data_PLT[[#This Row],[Depth (m)]]&lt;Geotech!$D$4:$D$11100),Geotech!$M$4:$M$11100)</f>
        <v>#N/A</v>
      </c>
      <c r="H481" s="6"/>
      <c r="I481" s="63" t="e">
        <f>VLOOKUP(Data_PLT[[#This Row],[Hole ID]],Data_Log[[Hole ID]:[Core size]],20,FALSE)</f>
        <v>#N/A</v>
      </c>
      <c r="J481" s="13" t="e">
        <f>VLOOKUP(Data_PLT[[#This Row],[Core Size]],Table_CoreSize[],2,FALSE)</f>
        <v>#N/A</v>
      </c>
      <c r="K481" s="19"/>
      <c r="L481" s="19"/>
      <c r="M481" s="5"/>
      <c r="N481" s="5"/>
      <c r="O481" s="6"/>
      <c r="P481" s="13" t="str">
        <f>IF(Data_PLT[[#This Row],[Failure type]]="","",IF(OR(Data_PLT[[#This Row],[Failure type]]="Invalid",Data_PLT[[#This Row],[Failure type]]="Chipped",Data_PLT[[#This Row],[Failure type]]="Penetrate",Data_PLT[[#This Row],[Failure type]]="Did not break"),"Invalid","Valid"))</f>
        <v/>
      </c>
      <c r="Q481" s="6"/>
      <c r="R481" s="11"/>
      <c r="S481" s="13" t="str">
        <f>IF(Data_PLT[[#This Row],[Test type]]="Diametral",Data_PLT[[#This Row],[Diameter (mm)]],IF(Data_PLT[[#This Row],[Test type]]="Axial",SQRT(4*Data_PLT[[#This Row],[Diameter (mm)]]*Data_PLT[[#This Row],[Length or width (mm)]]/PI()),"ERROR"))</f>
        <v>ERROR</v>
      </c>
      <c r="T481" s="13" t="e">
        <f>(Data_PLT[[#This Row],[Load (kN)]]*1000)/Data_PLT[[#This Row],[Equiv. Diam. (mm)]]^2</f>
        <v>#VALUE!</v>
      </c>
      <c r="U481" s="13" t="e">
        <f>(Data_PLT[[#This Row],[Equiv. Diam. (mm)]]/50)^0.45</f>
        <v>#VALUE!</v>
      </c>
      <c r="V481" s="13" t="e">
        <f>Data_PLT[[#This Row],[Is (MPa)]]*Data_PLT[[#This Row],[F]]</f>
        <v>#VALUE!</v>
      </c>
      <c r="W481" s="13" t="str">
        <f>Data_PLT[[#This Row],[Failure Validity]]&amp;"-"&amp;Data_PLT[[#This Row],[Test type]]</f>
        <v>-</v>
      </c>
      <c r="X481" s="13" t="e">
        <f>Data_PLT[[#This Row],[Is50 (MPa)]]*VLOOKUP("Min",Table_PLT_Conversion[],2,FALSE)</f>
        <v>#VALUE!</v>
      </c>
      <c r="Y481" s="13" t="e">
        <f>Data_PLT[[#This Row],[Is50 (MPa)]]*VLOOKUP("Avg",Table_PLT_Conversion[],2,FALSE)</f>
        <v>#VALUE!</v>
      </c>
      <c r="Z481" s="13" t="e">
        <f>Data_PLT[[#This Row],[Is50 (MPa)]]*VLOOKUP("Max",Table_PLT_Conversion[],2,FALSE)</f>
        <v>#VALUE!</v>
      </c>
      <c r="AA481" s="62" t="e">
        <f>MATCH(LOOKUP(Data_PLT[[#This Row],[UCS min (MPa)]],Table_FieldStrength[Min UCS]),Table_FieldStrength[Min UCS],0)-1</f>
        <v>#VALUE!</v>
      </c>
      <c r="AB481" s="62" t="e">
        <f>MATCH(LOOKUP(Data_PLT[[#This Row],[UCS avg (MPa)]],Table_FieldStrength[Min UCS]),Table_FieldStrength[Min UCS],0)-1</f>
        <v>#VALUE!</v>
      </c>
      <c r="AC481" s="62" t="e">
        <f>MATCH(LOOKUP(Data_PLT[[#This Row],[UCS max (MPa)]],Table_FieldStrength[Min UCS]),Table_FieldStrength[Min UCS],0)-1</f>
        <v>#VALUE!</v>
      </c>
      <c r="AD481" s="68" t="e">
        <f>Data_PLT[[#This Row],[Test code]]&amp;"-"&amp;Data_PLT[[#This Row],[UCS min code]]</f>
        <v>#VALUE!</v>
      </c>
      <c r="AE481" s="68" t="e">
        <f>Data_PLT[[#This Row],[Test code]]&amp;"-"&amp;Data_PLT[[#This Row],[UCS avg code]]</f>
        <v>#VALUE!</v>
      </c>
      <c r="AF481" s="67" t="e">
        <f>Data_PLT[[#This Row],[Test code]]&amp;"-"&amp;Data_PLT[[#This Row],[UCS max code]]</f>
        <v>#VALUE!</v>
      </c>
      <c r="AG481" s="67" t="e">
        <f>Data_PLT[[#This Row],[Failure type]]&amp;"-"&amp;Data_PLT[[#This Row],[Test type]]&amp;"-"&amp;(IF(Data_PLT[[#This Row],[Is50 (MPa)]]&lt;1,1,IF(Data_PLT[[#This Row],[Is50 (MPa)]]&lt;2,2,IF(Data_PLT[[#This Row],[Is50 (MPa)]]&lt;4,3,IF(Data_PLT[[#This Row],[Is50 (MPa)]]&lt;8,4,5)))))</f>
        <v>#VALUE!</v>
      </c>
    </row>
    <row r="482" spans="1:33" x14ac:dyDescent="0.25">
      <c r="A482" s="14"/>
      <c r="B482" s="88" t="e">
        <f>VLOOKUP(Data_PLT[[#This Row],[Hole ID]],Data_Log[],2,FALSE)</f>
        <v>#N/A</v>
      </c>
      <c r="C482" s="63" t="str">
        <f>IF(Data_PLT[[#This Row],[Hole ID]]="","",
IF(COUNTIF($A$4:A482,Data_PLT[[#This Row],[Hole ID]])=1,1,
IF(A482=A481,C481+1,
COUNTIF($A$4:A482,Data_PLT[[#This Row],[Hole ID]]))))</f>
        <v/>
      </c>
      <c r="D482" s="63" t="str">
        <f>IF(Data_PLT[[#This Row],[Hole ID]]="","",Data_PLT[[#This Row],[Hole ID]]&amp;"_"&amp;Data_PLT[[#This Row],[Sample ID]])</f>
        <v/>
      </c>
      <c r="E482" s="6"/>
      <c r="F482" s="6"/>
      <c r="G482" s="63" t="e" cm="1">
        <f t="array" ref="G482">_xlfn.XLOOKUP(1,(A482=Geotech!$A$4:$A$11100)*(Data_PLT[[#This Row],[Depth (m)]]&gt;=Geotech!$C$4:$C$11100)*(Data_PLT[[#This Row],[Depth (m)]]&lt;Geotech!$D$4:$D$11100),Geotech!$M$4:$M$11100)</f>
        <v>#N/A</v>
      </c>
      <c r="H482" s="6"/>
      <c r="I482" s="63" t="e">
        <f>VLOOKUP(Data_PLT[[#This Row],[Hole ID]],Data_Log[[Hole ID]:[Core size]],20,FALSE)</f>
        <v>#N/A</v>
      </c>
      <c r="J482" s="13" t="e">
        <f>VLOOKUP(Data_PLT[[#This Row],[Core Size]],Table_CoreSize[],2,FALSE)</f>
        <v>#N/A</v>
      </c>
      <c r="K482" s="19"/>
      <c r="L482" s="19"/>
      <c r="M482" s="5"/>
      <c r="N482" s="5"/>
      <c r="O482" s="6"/>
      <c r="P482" s="13" t="str">
        <f>IF(Data_PLT[[#This Row],[Failure type]]="","",IF(OR(Data_PLT[[#This Row],[Failure type]]="Invalid",Data_PLT[[#This Row],[Failure type]]="Chipped",Data_PLT[[#This Row],[Failure type]]="Penetrate",Data_PLT[[#This Row],[Failure type]]="Did not break"),"Invalid","Valid"))</f>
        <v/>
      </c>
      <c r="Q482" s="6"/>
      <c r="R482" s="11"/>
      <c r="S482" s="13" t="str">
        <f>IF(Data_PLT[[#This Row],[Test type]]="Diametral",Data_PLT[[#This Row],[Diameter (mm)]],IF(Data_PLT[[#This Row],[Test type]]="Axial",SQRT(4*Data_PLT[[#This Row],[Diameter (mm)]]*Data_PLT[[#This Row],[Length or width (mm)]]/PI()),"ERROR"))</f>
        <v>ERROR</v>
      </c>
      <c r="T482" s="13" t="e">
        <f>(Data_PLT[[#This Row],[Load (kN)]]*1000)/Data_PLT[[#This Row],[Equiv. Diam. (mm)]]^2</f>
        <v>#VALUE!</v>
      </c>
      <c r="U482" s="13" t="e">
        <f>(Data_PLT[[#This Row],[Equiv. Diam. (mm)]]/50)^0.45</f>
        <v>#VALUE!</v>
      </c>
      <c r="V482" s="13" t="e">
        <f>Data_PLT[[#This Row],[Is (MPa)]]*Data_PLT[[#This Row],[F]]</f>
        <v>#VALUE!</v>
      </c>
      <c r="W482" s="13" t="str">
        <f>Data_PLT[[#This Row],[Failure Validity]]&amp;"-"&amp;Data_PLT[[#This Row],[Test type]]</f>
        <v>-</v>
      </c>
      <c r="X482" s="13" t="e">
        <f>Data_PLT[[#This Row],[Is50 (MPa)]]*VLOOKUP("Min",Table_PLT_Conversion[],2,FALSE)</f>
        <v>#VALUE!</v>
      </c>
      <c r="Y482" s="13" t="e">
        <f>Data_PLT[[#This Row],[Is50 (MPa)]]*VLOOKUP("Avg",Table_PLT_Conversion[],2,FALSE)</f>
        <v>#VALUE!</v>
      </c>
      <c r="Z482" s="13" t="e">
        <f>Data_PLT[[#This Row],[Is50 (MPa)]]*VLOOKUP("Max",Table_PLT_Conversion[],2,FALSE)</f>
        <v>#VALUE!</v>
      </c>
      <c r="AA482" s="62" t="e">
        <f>MATCH(LOOKUP(Data_PLT[[#This Row],[UCS min (MPa)]],Table_FieldStrength[Min UCS]),Table_FieldStrength[Min UCS],0)-1</f>
        <v>#VALUE!</v>
      </c>
      <c r="AB482" s="62" t="e">
        <f>MATCH(LOOKUP(Data_PLT[[#This Row],[UCS avg (MPa)]],Table_FieldStrength[Min UCS]),Table_FieldStrength[Min UCS],0)-1</f>
        <v>#VALUE!</v>
      </c>
      <c r="AC482" s="62" t="e">
        <f>MATCH(LOOKUP(Data_PLT[[#This Row],[UCS max (MPa)]],Table_FieldStrength[Min UCS]),Table_FieldStrength[Min UCS],0)-1</f>
        <v>#VALUE!</v>
      </c>
      <c r="AD482" s="68" t="e">
        <f>Data_PLT[[#This Row],[Test code]]&amp;"-"&amp;Data_PLT[[#This Row],[UCS min code]]</f>
        <v>#VALUE!</v>
      </c>
      <c r="AE482" s="68" t="e">
        <f>Data_PLT[[#This Row],[Test code]]&amp;"-"&amp;Data_PLT[[#This Row],[UCS avg code]]</f>
        <v>#VALUE!</v>
      </c>
      <c r="AF482" s="67" t="e">
        <f>Data_PLT[[#This Row],[Test code]]&amp;"-"&amp;Data_PLT[[#This Row],[UCS max code]]</f>
        <v>#VALUE!</v>
      </c>
      <c r="AG482" s="67" t="e">
        <f>Data_PLT[[#This Row],[Failure type]]&amp;"-"&amp;Data_PLT[[#This Row],[Test type]]&amp;"-"&amp;(IF(Data_PLT[[#This Row],[Is50 (MPa)]]&lt;1,1,IF(Data_PLT[[#This Row],[Is50 (MPa)]]&lt;2,2,IF(Data_PLT[[#This Row],[Is50 (MPa)]]&lt;4,3,IF(Data_PLT[[#This Row],[Is50 (MPa)]]&lt;8,4,5)))))</f>
        <v>#VALUE!</v>
      </c>
    </row>
    <row r="483" spans="1:33" x14ac:dyDescent="0.25">
      <c r="A483" s="14"/>
      <c r="B483" s="88" t="e">
        <f>VLOOKUP(Data_PLT[[#This Row],[Hole ID]],Data_Log[],2,FALSE)</f>
        <v>#N/A</v>
      </c>
      <c r="C483" s="63" t="str">
        <f>IF(Data_PLT[[#This Row],[Hole ID]]="","",
IF(COUNTIF($A$4:A483,Data_PLT[[#This Row],[Hole ID]])=1,1,
IF(A483=A482,C482+1,
COUNTIF($A$4:A483,Data_PLT[[#This Row],[Hole ID]]))))</f>
        <v/>
      </c>
      <c r="D483" s="63" t="str">
        <f>IF(Data_PLT[[#This Row],[Hole ID]]="","",Data_PLT[[#This Row],[Hole ID]]&amp;"_"&amp;Data_PLT[[#This Row],[Sample ID]])</f>
        <v/>
      </c>
      <c r="E483" s="6"/>
      <c r="F483" s="6"/>
      <c r="G483" s="63" t="e" cm="1">
        <f t="array" ref="G483">_xlfn.XLOOKUP(1,(A483=Geotech!$A$4:$A$11100)*(Data_PLT[[#This Row],[Depth (m)]]&gt;=Geotech!$C$4:$C$11100)*(Data_PLT[[#This Row],[Depth (m)]]&lt;Geotech!$D$4:$D$11100),Geotech!$M$4:$M$11100)</f>
        <v>#N/A</v>
      </c>
      <c r="H483" s="6"/>
      <c r="I483" s="63" t="e">
        <f>VLOOKUP(Data_PLT[[#This Row],[Hole ID]],Data_Log[[Hole ID]:[Core size]],20,FALSE)</f>
        <v>#N/A</v>
      </c>
      <c r="J483" s="13" t="e">
        <f>VLOOKUP(Data_PLT[[#This Row],[Core Size]],Table_CoreSize[],2,FALSE)</f>
        <v>#N/A</v>
      </c>
      <c r="K483" s="19"/>
      <c r="L483" s="19"/>
      <c r="M483" s="5"/>
      <c r="N483" s="5"/>
      <c r="O483" s="6"/>
      <c r="P483" s="13" t="str">
        <f>IF(Data_PLT[[#This Row],[Failure type]]="","",IF(OR(Data_PLT[[#This Row],[Failure type]]="Invalid",Data_PLT[[#This Row],[Failure type]]="Chipped",Data_PLT[[#This Row],[Failure type]]="Penetrate",Data_PLT[[#This Row],[Failure type]]="Did not break"),"Invalid","Valid"))</f>
        <v/>
      </c>
      <c r="Q483" s="6"/>
      <c r="R483" s="11"/>
      <c r="S483" s="13" t="str">
        <f>IF(Data_PLT[[#This Row],[Test type]]="Diametral",Data_PLT[[#This Row],[Diameter (mm)]],IF(Data_PLT[[#This Row],[Test type]]="Axial",SQRT(4*Data_PLT[[#This Row],[Diameter (mm)]]*Data_PLT[[#This Row],[Length or width (mm)]]/PI()),"ERROR"))</f>
        <v>ERROR</v>
      </c>
      <c r="T483" s="13" t="e">
        <f>(Data_PLT[[#This Row],[Load (kN)]]*1000)/Data_PLT[[#This Row],[Equiv. Diam. (mm)]]^2</f>
        <v>#VALUE!</v>
      </c>
      <c r="U483" s="13" t="e">
        <f>(Data_PLT[[#This Row],[Equiv. Diam. (mm)]]/50)^0.45</f>
        <v>#VALUE!</v>
      </c>
      <c r="V483" s="13" t="e">
        <f>Data_PLT[[#This Row],[Is (MPa)]]*Data_PLT[[#This Row],[F]]</f>
        <v>#VALUE!</v>
      </c>
      <c r="W483" s="13" t="str">
        <f>Data_PLT[[#This Row],[Failure Validity]]&amp;"-"&amp;Data_PLT[[#This Row],[Test type]]</f>
        <v>-</v>
      </c>
      <c r="X483" s="13" t="e">
        <f>Data_PLT[[#This Row],[Is50 (MPa)]]*VLOOKUP("Min",Table_PLT_Conversion[],2,FALSE)</f>
        <v>#VALUE!</v>
      </c>
      <c r="Y483" s="13" t="e">
        <f>Data_PLT[[#This Row],[Is50 (MPa)]]*VLOOKUP("Avg",Table_PLT_Conversion[],2,FALSE)</f>
        <v>#VALUE!</v>
      </c>
      <c r="Z483" s="13" t="e">
        <f>Data_PLT[[#This Row],[Is50 (MPa)]]*VLOOKUP("Max",Table_PLT_Conversion[],2,FALSE)</f>
        <v>#VALUE!</v>
      </c>
      <c r="AA483" s="62" t="e">
        <f>MATCH(LOOKUP(Data_PLT[[#This Row],[UCS min (MPa)]],Table_FieldStrength[Min UCS]),Table_FieldStrength[Min UCS],0)-1</f>
        <v>#VALUE!</v>
      </c>
      <c r="AB483" s="62" t="e">
        <f>MATCH(LOOKUP(Data_PLT[[#This Row],[UCS avg (MPa)]],Table_FieldStrength[Min UCS]),Table_FieldStrength[Min UCS],0)-1</f>
        <v>#VALUE!</v>
      </c>
      <c r="AC483" s="62" t="e">
        <f>MATCH(LOOKUP(Data_PLT[[#This Row],[UCS max (MPa)]],Table_FieldStrength[Min UCS]),Table_FieldStrength[Min UCS],0)-1</f>
        <v>#VALUE!</v>
      </c>
      <c r="AD483" s="68" t="e">
        <f>Data_PLT[[#This Row],[Test code]]&amp;"-"&amp;Data_PLT[[#This Row],[UCS min code]]</f>
        <v>#VALUE!</v>
      </c>
      <c r="AE483" s="68" t="e">
        <f>Data_PLT[[#This Row],[Test code]]&amp;"-"&amp;Data_PLT[[#This Row],[UCS avg code]]</f>
        <v>#VALUE!</v>
      </c>
      <c r="AF483" s="67" t="e">
        <f>Data_PLT[[#This Row],[Test code]]&amp;"-"&amp;Data_PLT[[#This Row],[UCS max code]]</f>
        <v>#VALUE!</v>
      </c>
      <c r="AG483" s="67" t="e">
        <f>Data_PLT[[#This Row],[Failure type]]&amp;"-"&amp;Data_PLT[[#This Row],[Test type]]&amp;"-"&amp;(IF(Data_PLT[[#This Row],[Is50 (MPa)]]&lt;1,1,IF(Data_PLT[[#This Row],[Is50 (MPa)]]&lt;2,2,IF(Data_PLT[[#This Row],[Is50 (MPa)]]&lt;4,3,IF(Data_PLT[[#This Row],[Is50 (MPa)]]&lt;8,4,5)))))</f>
        <v>#VALUE!</v>
      </c>
    </row>
    <row r="484" spans="1:33" x14ac:dyDescent="0.25">
      <c r="A484" s="14"/>
      <c r="B484" s="88" t="e">
        <f>VLOOKUP(Data_PLT[[#This Row],[Hole ID]],Data_Log[],2,FALSE)</f>
        <v>#N/A</v>
      </c>
      <c r="C484" s="63" t="str">
        <f>IF(Data_PLT[[#This Row],[Hole ID]]="","",
IF(COUNTIF($A$4:A484,Data_PLT[[#This Row],[Hole ID]])=1,1,
IF(A484=A483,C483+1,
COUNTIF($A$4:A484,Data_PLT[[#This Row],[Hole ID]]))))</f>
        <v/>
      </c>
      <c r="D484" s="63" t="str">
        <f>IF(Data_PLT[[#This Row],[Hole ID]]="","",Data_PLT[[#This Row],[Hole ID]]&amp;"_"&amp;Data_PLT[[#This Row],[Sample ID]])</f>
        <v/>
      </c>
      <c r="E484" s="6"/>
      <c r="F484" s="6"/>
      <c r="G484" s="63" t="e" cm="1">
        <f t="array" ref="G484">_xlfn.XLOOKUP(1,(A484=Geotech!$A$4:$A$11100)*(Data_PLT[[#This Row],[Depth (m)]]&gt;=Geotech!$C$4:$C$11100)*(Data_PLT[[#This Row],[Depth (m)]]&lt;Geotech!$D$4:$D$11100),Geotech!$M$4:$M$11100)</f>
        <v>#N/A</v>
      </c>
      <c r="H484" s="6"/>
      <c r="I484" s="63" t="e">
        <f>VLOOKUP(Data_PLT[[#This Row],[Hole ID]],Data_Log[[Hole ID]:[Core size]],20,FALSE)</f>
        <v>#N/A</v>
      </c>
      <c r="J484" s="13" t="e">
        <f>VLOOKUP(Data_PLT[[#This Row],[Core Size]],Table_CoreSize[],2,FALSE)</f>
        <v>#N/A</v>
      </c>
      <c r="K484" s="19"/>
      <c r="L484" s="19"/>
      <c r="M484" s="5"/>
      <c r="N484" s="5"/>
      <c r="O484" s="6"/>
      <c r="P484" s="13" t="str">
        <f>IF(Data_PLT[[#This Row],[Failure type]]="","",IF(OR(Data_PLT[[#This Row],[Failure type]]="Invalid",Data_PLT[[#This Row],[Failure type]]="Chipped",Data_PLT[[#This Row],[Failure type]]="Penetrate",Data_PLT[[#This Row],[Failure type]]="Did not break"),"Invalid","Valid"))</f>
        <v/>
      </c>
      <c r="Q484" s="6"/>
      <c r="R484" s="11"/>
      <c r="S484" s="13" t="str">
        <f>IF(Data_PLT[[#This Row],[Test type]]="Diametral",Data_PLT[[#This Row],[Diameter (mm)]],IF(Data_PLT[[#This Row],[Test type]]="Axial",SQRT(4*Data_PLT[[#This Row],[Diameter (mm)]]*Data_PLT[[#This Row],[Length or width (mm)]]/PI()),"ERROR"))</f>
        <v>ERROR</v>
      </c>
      <c r="T484" s="13" t="e">
        <f>(Data_PLT[[#This Row],[Load (kN)]]*1000)/Data_PLT[[#This Row],[Equiv. Diam. (mm)]]^2</f>
        <v>#VALUE!</v>
      </c>
      <c r="U484" s="13" t="e">
        <f>(Data_PLT[[#This Row],[Equiv. Diam. (mm)]]/50)^0.45</f>
        <v>#VALUE!</v>
      </c>
      <c r="V484" s="13" t="e">
        <f>Data_PLT[[#This Row],[Is (MPa)]]*Data_PLT[[#This Row],[F]]</f>
        <v>#VALUE!</v>
      </c>
      <c r="W484" s="13" t="str">
        <f>Data_PLT[[#This Row],[Failure Validity]]&amp;"-"&amp;Data_PLT[[#This Row],[Test type]]</f>
        <v>-</v>
      </c>
      <c r="X484" s="13" t="e">
        <f>Data_PLT[[#This Row],[Is50 (MPa)]]*VLOOKUP("Min",Table_PLT_Conversion[],2,FALSE)</f>
        <v>#VALUE!</v>
      </c>
      <c r="Y484" s="13" t="e">
        <f>Data_PLT[[#This Row],[Is50 (MPa)]]*VLOOKUP("Avg",Table_PLT_Conversion[],2,FALSE)</f>
        <v>#VALUE!</v>
      </c>
      <c r="Z484" s="13" t="e">
        <f>Data_PLT[[#This Row],[Is50 (MPa)]]*VLOOKUP("Max",Table_PLT_Conversion[],2,FALSE)</f>
        <v>#VALUE!</v>
      </c>
      <c r="AA484" s="62" t="e">
        <f>MATCH(LOOKUP(Data_PLT[[#This Row],[UCS min (MPa)]],Table_FieldStrength[Min UCS]),Table_FieldStrength[Min UCS],0)-1</f>
        <v>#VALUE!</v>
      </c>
      <c r="AB484" s="62" t="e">
        <f>MATCH(LOOKUP(Data_PLT[[#This Row],[UCS avg (MPa)]],Table_FieldStrength[Min UCS]),Table_FieldStrength[Min UCS],0)-1</f>
        <v>#VALUE!</v>
      </c>
      <c r="AC484" s="62" t="e">
        <f>MATCH(LOOKUP(Data_PLT[[#This Row],[UCS max (MPa)]],Table_FieldStrength[Min UCS]),Table_FieldStrength[Min UCS],0)-1</f>
        <v>#VALUE!</v>
      </c>
      <c r="AD484" s="68" t="e">
        <f>Data_PLT[[#This Row],[Test code]]&amp;"-"&amp;Data_PLT[[#This Row],[UCS min code]]</f>
        <v>#VALUE!</v>
      </c>
      <c r="AE484" s="68" t="e">
        <f>Data_PLT[[#This Row],[Test code]]&amp;"-"&amp;Data_PLT[[#This Row],[UCS avg code]]</f>
        <v>#VALUE!</v>
      </c>
      <c r="AF484" s="67" t="e">
        <f>Data_PLT[[#This Row],[Test code]]&amp;"-"&amp;Data_PLT[[#This Row],[UCS max code]]</f>
        <v>#VALUE!</v>
      </c>
      <c r="AG484" s="67" t="e">
        <f>Data_PLT[[#This Row],[Failure type]]&amp;"-"&amp;Data_PLT[[#This Row],[Test type]]&amp;"-"&amp;(IF(Data_PLT[[#This Row],[Is50 (MPa)]]&lt;1,1,IF(Data_PLT[[#This Row],[Is50 (MPa)]]&lt;2,2,IF(Data_PLT[[#This Row],[Is50 (MPa)]]&lt;4,3,IF(Data_PLT[[#This Row],[Is50 (MPa)]]&lt;8,4,5)))))</f>
        <v>#VALUE!</v>
      </c>
    </row>
    <row r="485" spans="1:33" x14ac:dyDescent="0.25">
      <c r="A485" s="14"/>
      <c r="B485" s="88" t="e">
        <f>VLOOKUP(Data_PLT[[#This Row],[Hole ID]],Data_Log[],2,FALSE)</f>
        <v>#N/A</v>
      </c>
      <c r="C485" s="63" t="str">
        <f>IF(Data_PLT[[#This Row],[Hole ID]]="","",
IF(COUNTIF($A$4:A485,Data_PLT[[#This Row],[Hole ID]])=1,1,
IF(A485=A484,C484+1,
COUNTIF($A$4:A485,Data_PLT[[#This Row],[Hole ID]]))))</f>
        <v/>
      </c>
      <c r="D485" s="63" t="str">
        <f>IF(Data_PLT[[#This Row],[Hole ID]]="","",Data_PLT[[#This Row],[Hole ID]]&amp;"_"&amp;Data_PLT[[#This Row],[Sample ID]])</f>
        <v/>
      </c>
      <c r="E485" s="6"/>
      <c r="F485" s="6"/>
      <c r="G485" s="63" t="e" cm="1">
        <f t="array" ref="G485">_xlfn.XLOOKUP(1,(A485=Geotech!$A$4:$A$11100)*(Data_PLT[[#This Row],[Depth (m)]]&gt;=Geotech!$C$4:$C$11100)*(Data_PLT[[#This Row],[Depth (m)]]&lt;Geotech!$D$4:$D$11100),Geotech!$M$4:$M$11100)</f>
        <v>#N/A</v>
      </c>
      <c r="H485" s="6"/>
      <c r="I485" s="63" t="e">
        <f>VLOOKUP(Data_PLT[[#This Row],[Hole ID]],Data_Log[[Hole ID]:[Core size]],20,FALSE)</f>
        <v>#N/A</v>
      </c>
      <c r="J485" s="13" t="e">
        <f>VLOOKUP(Data_PLT[[#This Row],[Core Size]],Table_CoreSize[],2,FALSE)</f>
        <v>#N/A</v>
      </c>
      <c r="K485" s="19"/>
      <c r="L485" s="19"/>
      <c r="M485" s="5"/>
      <c r="N485" s="5"/>
      <c r="O485" s="6"/>
      <c r="P485" s="13" t="str">
        <f>IF(Data_PLT[[#This Row],[Failure type]]="","",IF(OR(Data_PLT[[#This Row],[Failure type]]="Invalid",Data_PLT[[#This Row],[Failure type]]="Chipped",Data_PLT[[#This Row],[Failure type]]="Penetrate",Data_PLT[[#This Row],[Failure type]]="Did not break"),"Invalid","Valid"))</f>
        <v/>
      </c>
      <c r="Q485" s="6"/>
      <c r="R485" s="11"/>
      <c r="S485" s="13" t="str">
        <f>IF(Data_PLT[[#This Row],[Test type]]="Diametral",Data_PLT[[#This Row],[Diameter (mm)]],IF(Data_PLT[[#This Row],[Test type]]="Axial",SQRT(4*Data_PLT[[#This Row],[Diameter (mm)]]*Data_PLT[[#This Row],[Length or width (mm)]]/PI()),"ERROR"))</f>
        <v>ERROR</v>
      </c>
      <c r="T485" s="13" t="e">
        <f>(Data_PLT[[#This Row],[Load (kN)]]*1000)/Data_PLT[[#This Row],[Equiv. Diam. (mm)]]^2</f>
        <v>#VALUE!</v>
      </c>
      <c r="U485" s="13" t="e">
        <f>(Data_PLT[[#This Row],[Equiv. Diam. (mm)]]/50)^0.45</f>
        <v>#VALUE!</v>
      </c>
      <c r="V485" s="13" t="e">
        <f>Data_PLT[[#This Row],[Is (MPa)]]*Data_PLT[[#This Row],[F]]</f>
        <v>#VALUE!</v>
      </c>
      <c r="W485" s="13" t="str">
        <f>Data_PLT[[#This Row],[Failure Validity]]&amp;"-"&amp;Data_PLT[[#This Row],[Test type]]</f>
        <v>-</v>
      </c>
      <c r="X485" s="13" t="e">
        <f>Data_PLT[[#This Row],[Is50 (MPa)]]*VLOOKUP("Min",Table_PLT_Conversion[],2,FALSE)</f>
        <v>#VALUE!</v>
      </c>
      <c r="Y485" s="13" t="e">
        <f>Data_PLT[[#This Row],[Is50 (MPa)]]*VLOOKUP("Avg",Table_PLT_Conversion[],2,FALSE)</f>
        <v>#VALUE!</v>
      </c>
      <c r="Z485" s="13" t="e">
        <f>Data_PLT[[#This Row],[Is50 (MPa)]]*VLOOKUP("Max",Table_PLT_Conversion[],2,FALSE)</f>
        <v>#VALUE!</v>
      </c>
      <c r="AA485" s="62" t="e">
        <f>MATCH(LOOKUP(Data_PLT[[#This Row],[UCS min (MPa)]],Table_FieldStrength[Min UCS]),Table_FieldStrength[Min UCS],0)-1</f>
        <v>#VALUE!</v>
      </c>
      <c r="AB485" s="62" t="e">
        <f>MATCH(LOOKUP(Data_PLT[[#This Row],[UCS avg (MPa)]],Table_FieldStrength[Min UCS]),Table_FieldStrength[Min UCS],0)-1</f>
        <v>#VALUE!</v>
      </c>
      <c r="AC485" s="62" t="e">
        <f>MATCH(LOOKUP(Data_PLT[[#This Row],[UCS max (MPa)]],Table_FieldStrength[Min UCS]),Table_FieldStrength[Min UCS],0)-1</f>
        <v>#VALUE!</v>
      </c>
      <c r="AD485" s="68" t="e">
        <f>Data_PLT[[#This Row],[Test code]]&amp;"-"&amp;Data_PLT[[#This Row],[UCS min code]]</f>
        <v>#VALUE!</v>
      </c>
      <c r="AE485" s="68" t="e">
        <f>Data_PLT[[#This Row],[Test code]]&amp;"-"&amp;Data_PLT[[#This Row],[UCS avg code]]</f>
        <v>#VALUE!</v>
      </c>
      <c r="AF485" s="67" t="e">
        <f>Data_PLT[[#This Row],[Test code]]&amp;"-"&amp;Data_PLT[[#This Row],[UCS max code]]</f>
        <v>#VALUE!</v>
      </c>
      <c r="AG485" s="67" t="e">
        <f>Data_PLT[[#This Row],[Failure type]]&amp;"-"&amp;Data_PLT[[#This Row],[Test type]]&amp;"-"&amp;(IF(Data_PLT[[#This Row],[Is50 (MPa)]]&lt;1,1,IF(Data_PLT[[#This Row],[Is50 (MPa)]]&lt;2,2,IF(Data_PLT[[#This Row],[Is50 (MPa)]]&lt;4,3,IF(Data_PLT[[#This Row],[Is50 (MPa)]]&lt;8,4,5)))))</f>
        <v>#VALUE!</v>
      </c>
    </row>
    <row r="486" spans="1:33" x14ac:dyDescent="0.25">
      <c r="A486" s="14"/>
      <c r="B486" s="88" t="e">
        <f>VLOOKUP(Data_PLT[[#This Row],[Hole ID]],Data_Log[],2,FALSE)</f>
        <v>#N/A</v>
      </c>
      <c r="C486" s="63" t="str">
        <f>IF(Data_PLT[[#This Row],[Hole ID]]="","",
IF(COUNTIF($A$4:A486,Data_PLT[[#This Row],[Hole ID]])=1,1,
IF(A486=A485,C485+1,
COUNTIF($A$4:A486,Data_PLT[[#This Row],[Hole ID]]))))</f>
        <v/>
      </c>
      <c r="D486" s="63" t="str">
        <f>IF(Data_PLT[[#This Row],[Hole ID]]="","",Data_PLT[[#This Row],[Hole ID]]&amp;"_"&amp;Data_PLT[[#This Row],[Sample ID]])</f>
        <v/>
      </c>
      <c r="E486" s="6"/>
      <c r="F486" s="6"/>
      <c r="G486" s="63" t="e" cm="1">
        <f t="array" ref="G486">_xlfn.XLOOKUP(1,(A486=Geotech!$A$4:$A$11100)*(Data_PLT[[#This Row],[Depth (m)]]&gt;=Geotech!$C$4:$C$11100)*(Data_PLT[[#This Row],[Depth (m)]]&lt;Geotech!$D$4:$D$11100),Geotech!$M$4:$M$11100)</f>
        <v>#N/A</v>
      </c>
      <c r="H486" s="6"/>
      <c r="I486" s="63" t="e">
        <f>VLOOKUP(Data_PLT[[#This Row],[Hole ID]],Data_Log[[Hole ID]:[Core size]],20,FALSE)</f>
        <v>#N/A</v>
      </c>
      <c r="J486" s="13" t="e">
        <f>VLOOKUP(Data_PLT[[#This Row],[Core Size]],Table_CoreSize[],2,FALSE)</f>
        <v>#N/A</v>
      </c>
      <c r="K486" s="19"/>
      <c r="L486" s="19"/>
      <c r="M486" s="5"/>
      <c r="N486" s="5"/>
      <c r="O486" s="6"/>
      <c r="P486" s="13" t="str">
        <f>IF(Data_PLT[[#This Row],[Failure type]]="","",IF(OR(Data_PLT[[#This Row],[Failure type]]="Invalid",Data_PLT[[#This Row],[Failure type]]="Chipped",Data_PLT[[#This Row],[Failure type]]="Penetrate",Data_PLT[[#This Row],[Failure type]]="Did not break"),"Invalid","Valid"))</f>
        <v/>
      </c>
      <c r="Q486" s="6"/>
      <c r="R486" s="11"/>
      <c r="S486" s="13" t="str">
        <f>IF(Data_PLT[[#This Row],[Test type]]="Diametral",Data_PLT[[#This Row],[Diameter (mm)]],IF(Data_PLT[[#This Row],[Test type]]="Axial",SQRT(4*Data_PLT[[#This Row],[Diameter (mm)]]*Data_PLT[[#This Row],[Length or width (mm)]]/PI()),"ERROR"))</f>
        <v>ERROR</v>
      </c>
      <c r="T486" s="13" t="e">
        <f>(Data_PLT[[#This Row],[Load (kN)]]*1000)/Data_PLT[[#This Row],[Equiv. Diam. (mm)]]^2</f>
        <v>#VALUE!</v>
      </c>
      <c r="U486" s="13" t="e">
        <f>(Data_PLT[[#This Row],[Equiv. Diam. (mm)]]/50)^0.45</f>
        <v>#VALUE!</v>
      </c>
      <c r="V486" s="13" t="e">
        <f>Data_PLT[[#This Row],[Is (MPa)]]*Data_PLT[[#This Row],[F]]</f>
        <v>#VALUE!</v>
      </c>
      <c r="W486" s="13" t="str">
        <f>Data_PLT[[#This Row],[Failure Validity]]&amp;"-"&amp;Data_PLT[[#This Row],[Test type]]</f>
        <v>-</v>
      </c>
      <c r="X486" s="13" t="e">
        <f>Data_PLT[[#This Row],[Is50 (MPa)]]*VLOOKUP("Min",Table_PLT_Conversion[],2,FALSE)</f>
        <v>#VALUE!</v>
      </c>
      <c r="Y486" s="13" t="e">
        <f>Data_PLT[[#This Row],[Is50 (MPa)]]*VLOOKUP("Avg",Table_PLT_Conversion[],2,FALSE)</f>
        <v>#VALUE!</v>
      </c>
      <c r="Z486" s="13" t="e">
        <f>Data_PLT[[#This Row],[Is50 (MPa)]]*VLOOKUP("Max",Table_PLT_Conversion[],2,FALSE)</f>
        <v>#VALUE!</v>
      </c>
      <c r="AA486" s="62" t="e">
        <f>MATCH(LOOKUP(Data_PLT[[#This Row],[UCS min (MPa)]],Table_FieldStrength[Min UCS]),Table_FieldStrength[Min UCS],0)-1</f>
        <v>#VALUE!</v>
      </c>
      <c r="AB486" s="62" t="e">
        <f>MATCH(LOOKUP(Data_PLT[[#This Row],[UCS avg (MPa)]],Table_FieldStrength[Min UCS]),Table_FieldStrength[Min UCS],0)-1</f>
        <v>#VALUE!</v>
      </c>
      <c r="AC486" s="62" t="e">
        <f>MATCH(LOOKUP(Data_PLT[[#This Row],[UCS max (MPa)]],Table_FieldStrength[Min UCS]),Table_FieldStrength[Min UCS],0)-1</f>
        <v>#VALUE!</v>
      </c>
      <c r="AD486" s="68" t="e">
        <f>Data_PLT[[#This Row],[Test code]]&amp;"-"&amp;Data_PLT[[#This Row],[UCS min code]]</f>
        <v>#VALUE!</v>
      </c>
      <c r="AE486" s="68" t="e">
        <f>Data_PLT[[#This Row],[Test code]]&amp;"-"&amp;Data_PLT[[#This Row],[UCS avg code]]</f>
        <v>#VALUE!</v>
      </c>
      <c r="AF486" s="67" t="e">
        <f>Data_PLT[[#This Row],[Test code]]&amp;"-"&amp;Data_PLT[[#This Row],[UCS max code]]</f>
        <v>#VALUE!</v>
      </c>
      <c r="AG486" s="67" t="e">
        <f>Data_PLT[[#This Row],[Failure type]]&amp;"-"&amp;Data_PLT[[#This Row],[Test type]]&amp;"-"&amp;(IF(Data_PLT[[#This Row],[Is50 (MPa)]]&lt;1,1,IF(Data_PLT[[#This Row],[Is50 (MPa)]]&lt;2,2,IF(Data_PLT[[#This Row],[Is50 (MPa)]]&lt;4,3,IF(Data_PLT[[#This Row],[Is50 (MPa)]]&lt;8,4,5)))))</f>
        <v>#VALUE!</v>
      </c>
    </row>
    <row r="487" spans="1:33" x14ac:dyDescent="0.25">
      <c r="A487" s="14"/>
      <c r="B487" s="88" t="e">
        <f>VLOOKUP(Data_PLT[[#This Row],[Hole ID]],Data_Log[],2,FALSE)</f>
        <v>#N/A</v>
      </c>
      <c r="C487" s="63" t="str">
        <f>IF(Data_PLT[[#This Row],[Hole ID]]="","",
IF(COUNTIF($A$4:A487,Data_PLT[[#This Row],[Hole ID]])=1,1,
IF(A487=A486,C486+1,
COUNTIF($A$4:A487,Data_PLT[[#This Row],[Hole ID]]))))</f>
        <v/>
      </c>
      <c r="D487" s="63" t="str">
        <f>IF(Data_PLT[[#This Row],[Hole ID]]="","",Data_PLT[[#This Row],[Hole ID]]&amp;"_"&amp;Data_PLT[[#This Row],[Sample ID]])</f>
        <v/>
      </c>
      <c r="E487" s="6"/>
      <c r="F487" s="6"/>
      <c r="G487" s="63" t="e" cm="1">
        <f t="array" ref="G487">_xlfn.XLOOKUP(1,(A487=Geotech!$A$4:$A$11100)*(Data_PLT[[#This Row],[Depth (m)]]&gt;=Geotech!$C$4:$C$11100)*(Data_PLT[[#This Row],[Depth (m)]]&lt;Geotech!$D$4:$D$11100),Geotech!$M$4:$M$11100)</f>
        <v>#N/A</v>
      </c>
      <c r="H487" s="6"/>
      <c r="I487" s="63" t="e">
        <f>VLOOKUP(Data_PLT[[#This Row],[Hole ID]],Data_Log[[Hole ID]:[Core size]],20,FALSE)</f>
        <v>#N/A</v>
      </c>
      <c r="J487" s="13" t="e">
        <f>VLOOKUP(Data_PLT[[#This Row],[Core Size]],Table_CoreSize[],2,FALSE)</f>
        <v>#N/A</v>
      </c>
      <c r="K487" s="19"/>
      <c r="L487" s="19"/>
      <c r="M487" s="5"/>
      <c r="N487" s="5"/>
      <c r="O487" s="6"/>
      <c r="P487" s="13" t="str">
        <f>IF(Data_PLT[[#This Row],[Failure type]]="","",IF(OR(Data_PLT[[#This Row],[Failure type]]="Invalid",Data_PLT[[#This Row],[Failure type]]="Chipped",Data_PLT[[#This Row],[Failure type]]="Penetrate",Data_PLT[[#This Row],[Failure type]]="Did not break"),"Invalid","Valid"))</f>
        <v/>
      </c>
      <c r="Q487" s="6"/>
      <c r="R487" s="11"/>
      <c r="S487" s="13" t="str">
        <f>IF(Data_PLT[[#This Row],[Test type]]="Diametral",Data_PLT[[#This Row],[Diameter (mm)]],IF(Data_PLT[[#This Row],[Test type]]="Axial",SQRT(4*Data_PLT[[#This Row],[Diameter (mm)]]*Data_PLT[[#This Row],[Length or width (mm)]]/PI()),"ERROR"))</f>
        <v>ERROR</v>
      </c>
      <c r="T487" s="13" t="e">
        <f>(Data_PLT[[#This Row],[Load (kN)]]*1000)/Data_PLT[[#This Row],[Equiv. Diam. (mm)]]^2</f>
        <v>#VALUE!</v>
      </c>
      <c r="U487" s="13" t="e">
        <f>(Data_PLT[[#This Row],[Equiv. Diam. (mm)]]/50)^0.45</f>
        <v>#VALUE!</v>
      </c>
      <c r="V487" s="13" t="e">
        <f>Data_PLT[[#This Row],[Is (MPa)]]*Data_PLT[[#This Row],[F]]</f>
        <v>#VALUE!</v>
      </c>
      <c r="W487" s="13" t="str">
        <f>Data_PLT[[#This Row],[Failure Validity]]&amp;"-"&amp;Data_PLT[[#This Row],[Test type]]</f>
        <v>-</v>
      </c>
      <c r="X487" s="13" t="e">
        <f>Data_PLT[[#This Row],[Is50 (MPa)]]*VLOOKUP("Min",Table_PLT_Conversion[],2,FALSE)</f>
        <v>#VALUE!</v>
      </c>
      <c r="Y487" s="13" t="e">
        <f>Data_PLT[[#This Row],[Is50 (MPa)]]*VLOOKUP("Avg",Table_PLT_Conversion[],2,FALSE)</f>
        <v>#VALUE!</v>
      </c>
      <c r="Z487" s="13" t="e">
        <f>Data_PLT[[#This Row],[Is50 (MPa)]]*VLOOKUP("Max",Table_PLT_Conversion[],2,FALSE)</f>
        <v>#VALUE!</v>
      </c>
      <c r="AA487" s="62" t="e">
        <f>MATCH(LOOKUP(Data_PLT[[#This Row],[UCS min (MPa)]],Table_FieldStrength[Min UCS]),Table_FieldStrength[Min UCS],0)-1</f>
        <v>#VALUE!</v>
      </c>
      <c r="AB487" s="62" t="e">
        <f>MATCH(LOOKUP(Data_PLT[[#This Row],[UCS avg (MPa)]],Table_FieldStrength[Min UCS]),Table_FieldStrength[Min UCS],0)-1</f>
        <v>#VALUE!</v>
      </c>
      <c r="AC487" s="62" t="e">
        <f>MATCH(LOOKUP(Data_PLT[[#This Row],[UCS max (MPa)]],Table_FieldStrength[Min UCS]),Table_FieldStrength[Min UCS],0)-1</f>
        <v>#VALUE!</v>
      </c>
      <c r="AD487" s="68" t="e">
        <f>Data_PLT[[#This Row],[Test code]]&amp;"-"&amp;Data_PLT[[#This Row],[UCS min code]]</f>
        <v>#VALUE!</v>
      </c>
      <c r="AE487" s="68" t="e">
        <f>Data_PLT[[#This Row],[Test code]]&amp;"-"&amp;Data_PLT[[#This Row],[UCS avg code]]</f>
        <v>#VALUE!</v>
      </c>
      <c r="AF487" s="67" t="e">
        <f>Data_PLT[[#This Row],[Test code]]&amp;"-"&amp;Data_PLT[[#This Row],[UCS max code]]</f>
        <v>#VALUE!</v>
      </c>
      <c r="AG487" s="67" t="e">
        <f>Data_PLT[[#This Row],[Failure type]]&amp;"-"&amp;Data_PLT[[#This Row],[Test type]]&amp;"-"&amp;(IF(Data_PLT[[#This Row],[Is50 (MPa)]]&lt;1,1,IF(Data_PLT[[#This Row],[Is50 (MPa)]]&lt;2,2,IF(Data_PLT[[#This Row],[Is50 (MPa)]]&lt;4,3,IF(Data_PLT[[#This Row],[Is50 (MPa)]]&lt;8,4,5)))))</f>
        <v>#VALUE!</v>
      </c>
    </row>
    <row r="488" spans="1:33" x14ac:dyDescent="0.25">
      <c r="A488" s="14"/>
      <c r="B488" s="88" t="e">
        <f>VLOOKUP(Data_PLT[[#This Row],[Hole ID]],Data_Log[],2,FALSE)</f>
        <v>#N/A</v>
      </c>
      <c r="C488" s="63" t="str">
        <f>IF(Data_PLT[[#This Row],[Hole ID]]="","",
IF(COUNTIF($A$4:A488,Data_PLT[[#This Row],[Hole ID]])=1,1,
IF(A488=A487,C487+1,
COUNTIF($A$4:A488,Data_PLT[[#This Row],[Hole ID]]))))</f>
        <v/>
      </c>
      <c r="D488" s="63" t="str">
        <f>IF(Data_PLT[[#This Row],[Hole ID]]="","",Data_PLT[[#This Row],[Hole ID]]&amp;"_"&amp;Data_PLT[[#This Row],[Sample ID]])</f>
        <v/>
      </c>
      <c r="E488" s="6"/>
      <c r="F488" s="6"/>
      <c r="G488" s="63" t="e" cm="1">
        <f t="array" ref="G488">_xlfn.XLOOKUP(1,(A488=Geotech!$A$4:$A$11100)*(Data_PLT[[#This Row],[Depth (m)]]&gt;=Geotech!$C$4:$C$11100)*(Data_PLT[[#This Row],[Depth (m)]]&lt;Geotech!$D$4:$D$11100),Geotech!$M$4:$M$11100)</f>
        <v>#N/A</v>
      </c>
      <c r="H488" s="6"/>
      <c r="I488" s="63" t="e">
        <f>VLOOKUP(Data_PLT[[#This Row],[Hole ID]],Data_Log[[Hole ID]:[Core size]],20,FALSE)</f>
        <v>#N/A</v>
      </c>
      <c r="J488" s="13" t="e">
        <f>VLOOKUP(Data_PLT[[#This Row],[Core Size]],Table_CoreSize[],2,FALSE)</f>
        <v>#N/A</v>
      </c>
      <c r="K488" s="19"/>
      <c r="L488" s="19"/>
      <c r="M488" s="5"/>
      <c r="N488" s="5"/>
      <c r="O488" s="6"/>
      <c r="P488" s="13" t="str">
        <f>IF(Data_PLT[[#This Row],[Failure type]]="","",IF(OR(Data_PLT[[#This Row],[Failure type]]="Invalid",Data_PLT[[#This Row],[Failure type]]="Chipped",Data_PLT[[#This Row],[Failure type]]="Penetrate",Data_PLT[[#This Row],[Failure type]]="Did not break"),"Invalid","Valid"))</f>
        <v/>
      </c>
      <c r="Q488" s="6"/>
      <c r="R488" s="11"/>
      <c r="S488" s="13" t="str">
        <f>IF(Data_PLT[[#This Row],[Test type]]="Diametral",Data_PLT[[#This Row],[Diameter (mm)]],IF(Data_PLT[[#This Row],[Test type]]="Axial",SQRT(4*Data_PLT[[#This Row],[Diameter (mm)]]*Data_PLT[[#This Row],[Length or width (mm)]]/PI()),"ERROR"))</f>
        <v>ERROR</v>
      </c>
      <c r="T488" s="13" t="e">
        <f>(Data_PLT[[#This Row],[Load (kN)]]*1000)/Data_PLT[[#This Row],[Equiv. Diam. (mm)]]^2</f>
        <v>#VALUE!</v>
      </c>
      <c r="U488" s="13" t="e">
        <f>(Data_PLT[[#This Row],[Equiv. Diam. (mm)]]/50)^0.45</f>
        <v>#VALUE!</v>
      </c>
      <c r="V488" s="13" t="e">
        <f>Data_PLT[[#This Row],[Is (MPa)]]*Data_PLT[[#This Row],[F]]</f>
        <v>#VALUE!</v>
      </c>
      <c r="W488" s="13" t="str">
        <f>Data_PLT[[#This Row],[Failure Validity]]&amp;"-"&amp;Data_PLT[[#This Row],[Test type]]</f>
        <v>-</v>
      </c>
      <c r="X488" s="13" t="e">
        <f>Data_PLT[[#This Row],[Is50 (MPa)]]*VLOOKUP("Min",Table_PLT_Conversion[],2,FALSE)</f>
        <v>#VALUE!</v>
      </c>
      <c r="Y488" s="13" t="e">
        <f>Data_PLT[[#This Row],[Is50 (MPa)]]*VLOOKUP("Avg",Table_PLT_Conversion[],2,FALSE)</f>
        <v>#VALUE!</v>
      </c>
      <c r="Z488" s="13" t="e">
        <f>Data_PLT[[#This Row],[Is50 (MPa)]]*VLOOKUP("Max",Table_PLT_Conversion[],2,FALSE)</f>
        <v>#VALUE!</v>
      </c>
      <c r="AA488" s="62" t="e">
        <f>MATCH(LOOKUP(Data_PLT[[#This Row],[UCS min (MPa)]],Table_FieldStrength[Min UCS]),Table_FieldStrength[Min UCS],0)-1</f>
        <v>#VALUE!</v>
      </c>
      <c r="AB488" s="62" t="e">
        <f>MATCH(LOOKUP(Data_PLT[[#This Row],[UCS avg (MPa)]],Table_FieldStrength[Min UCS]),Table_FieldStrength[Min UCS],0)-1</f>
        <v>#VALUE!</v>
      </c>
      <c r="AC488" s="62" t="e">
        <f>MATCH(LOOKUP(Data_PLT[[#This Row],[UCS max (MPa)]],Table_FieldStrength[Min UCS]),Table_FieldStrength[Min UCS],0)-1</f>
        <v>#VALUE!</v>
      </c>
      <c r="AD488" s="68" t="e">
        <f>Data_PLT[[#This Row],[Test code]]&amp;"-"&amp;Data_PLT[[#This Row],[UCS min code]]</f>
        <v>#VALUE!</v>
      </c>
      <c r="AE488" s="68" t="e">
        <f>Data_PLT[[#This Row],[Test code]]&amp;"-"&amp;Data_PLT[[#This Row],[UCS avg code]]</f>
        <v>#VALUE!</v>
      </c>
      <c r="AF488" s="67" t="e">
        <f>Data_PLT[[#This Row],[Test code]]&amp;"-"&amp;Data_PLT[[#This Row],[UCS max code]]</f>
        <v>#VALUE!</v>
      </c>
      <c r="AG488" s="67" t="e">
        <f>Data_PLT[[#This Row],[Failure type]]&amp;"-"&amp;Data_PLT[[#This Row],[Test type]]&amp;"-"&amp;(IF(Data_PLT[[#This Row],[Is50 (MPa)]]&lt;1,1,IF(Data_PLT[[#This Row],[Is50 (MPa)]]&lt;2,2,IF(Data_PLT[[#This Row],[Is50 (MPa)]]&lt;4,3,IF(Data_PLT[[#This Row],[Is50 (MPa)]]&lt;8,4,5)))))</f>
        <v>#VALUE!</v>
      </c>
    </row>
    <row r="489" spans="1:33" x14ac:dyDescent="0.25">
      <c r="A489" s="14"/>
      <c r="B489" s="88" t="e">
        <f>VLOOKUP(Data_PLT[[#This Row],[Hole ID]],Data_Log[],2,FALSE)</f>
        <v>#N/A</v>
      </c>
      <c r="C489" s="63" t="str">
        <f>IF(Data_PLT[[#This Row],[Hole ID]]="","",
IF(COUNTIF($A$4:A489,Data_PLT[[#This Row],[Hole ID]])=1,1,
IF(A489=A488,C488+1,
COUNTIF($A$4:A489,Data_PLT[[#This Row],[Hole ID]]))))</f>
        <v/>
      </c>
      <c r="D489" s="63" t="str">
        <f>IF(Data_PLT[[#This Row],[Hole ID]]="","",Data_PLT[[#This Row],[Hole ID]]&amp;"_"&amp;Data_PLT[[#This Row],[Sample ID]])</f>
        <v/>
      </c>
      <c r="E489" s="6"/>
      <c r="F489" s="6"/>
      <c r="G489" s="63" t="e" cm="1">
        <f t="array" ref="G489">_xlfn.XLOOKUP(1,(A489=Geotech!$A$4:$A$11100)*(Data_PLT[[#This Row],[Depth (m)]]&gt;=Geotech!$C$4:$C$11100)*(Data_PLT[[#This Row],[Depth (m)]]&lt;Geotech!$D$4:$D$11100),Geotech!$M$4:$M$11100)</f>
        <v>#N/A</v>
      </c>
      <c r="H489" s="6"/>
      <c r="I489" s="63" t="e">
        <f>VLOOKUP(Data_PLT[[#This Row],[Hole ID]],Data_Log[[Hole ID]:[Core size]],20,FALSE)</f>
        <v>#N/A</v>
      </c>
      <c r="J489" s="13" t="e">
        <f>VLOOKUP(Data_PLT[[#This Row],[Core Size]],Table_CoreSize[],2,FALSE)</f>
        <v>#N/A</v>
      </c>
      <c r="K489" s="19"/>
      <c r="L489" s="19"/>
      <c r="M489" s="5"/>
      <c r="N489" s="5"/>
      <c r="O489" s="6"/>
      <c r="P489" s="13" t="str">
        <f>IF(Data_PLT[[#This Row],[Failure type]]="","",IF(OR(Data_PLT[[#This Row],[Failure type]]="Invalid",Data_PLT[[#This Row],[Failure type]]="Chipped",Data_PLT[[#This Row],[Failure type]]="Penetrate",Data_PLT[[#This Row],[Failure type]]="Did not break"),"Invalid","Valid"))</f>
        <v/>
      </c>
      <c r="Q489" s="6"/>
      <c r="R489" s="11"/>
      <c r="S489" s="13" t="str">
        <f>IF(Data_PLT[[#This Row],[Test type]]="Diametral",Data_PLT[[#This Row],[Diameter (mm)]],IF(Data_PLT[[#This Row],[Test type]]="Axial",SQRT(4*Data_PLT[[#This Row],[Diameter (mm)]]*Data_PLT[[#This Row],[Length or width (mm)]]/PI()),"ERROR"))</f>
        <v>ERROR</v>
      </c>
      <c r="T489" s="13" t="e">
        <f>(Data_PLT[[#This Row],[Load (kN)]]*1000)/Data_PLT[[#This Row],[Equiv. Diam. (mm)]]^2</f>
        <v>#VALUE!</v>
      </c>
      <c r="U489" s="13" t="e">
        <f>(Data_PLT[[#This Row],[Equiv. Diam. (mm)]]/50)^0.45</f>
        <v>#VALUE!</v>
      </c>
      <c r="V489" s="13" t="e">
        <f>Data_PLT[[#This Row],[Is (MPa)]]*Data_PLT[[#This Row],[F]]</f>
        <v>#VALUE!</v>
      </c>
      <c r="W489" s="13" t="str">
        <f>Data_PLT[[#This Row],[Failure Validity]]&amp;"-"&amp;Data_PLT[[#This Row],[Test type]]</f>
        <v>-</v>
      </c>
      <c r="X489" s="13" t="e">
        <f>Data_PLT[[#This Row],[Is50 (MPa)]]*VLOOKUP("Min",Table_PLT_Conversion[],2,FALSE)</f>
        <v>#VALUE!</v>
      </c>
      <c r="Y489" s="13" t="e">
        <f>Data_PLT[[#This Row],[Is50 (MPa)]]*VLOOKUP("Avg",Table_PLT_Conversion[],2,FALSE)</f>
        <v>#VALUE!</v>
      </c>
      <c r="Z489" s="13" t="e">
        <f>Data_PLT[[#This Row],[Is50 (MPa)]]*VLOOKUP("Max",Table_PLT_Conversion[],2,FALSE)</f>
        <v>#VALUE!</v>
      </c>
      <c r="AA489" s="62" t="e">
        <f>MATCH(LOOKUP(Data_PLT[[#This Row],[UCS min (MPa)]],Table_FieldStrength[Min UCS]),Table_FieldStrength[Min UCS],0)-1</f>
        <v>#VALUE!</v>
      </c>
      <c r="AB489" s="62" t="e">
        <f>MATCH(LOOKUP(Data_PLT[[#This Row],[UCS avg (MPa)]],Table_FieldStrength[Min UCS]),Table_FieldStrength[Min UCS],0)-1</f>
        <v>#VALUE!</v>
      </c>
      <c r="AC489" s="62" t="e">
        <f>MATCH(LOOKUP(Data_PLT[[#This Row],[UCS max (MPa)]],Table_FieldStrength[Min UCS]),Table_FieldStrength[Min UCS],0)-1</f>
        <v>#VALUE!</v>
      </c>
      <c r="AD489" s="68" t="e">
        <f>Data_PLT[[#This Row],[Test code]]&amp;"-"&amp;Data_PLT[[#This Row],[UCS min code]]</f>
        <v>#VALUE!</v>
      </c>
      <c r="AE489" s="68" t="e">
        <f>Data_PLT[[#This Row],[Test code]]&amp;"-"&amp;Data_PLT[[#This Row],[UCS avg code]]</f>
        <v>#VALUE!</v>
      </c>
      <c r="AF489" s="67" t="e">
        <f>Data_PLT[[#This Row],[Test code]]&amp;"-"&amp;Data_PLT[[#This Row],[UCS max code]]</f>
        <v>#VALUE!</v>
      </c>
      <c r="AG489" s="67" t="e">
        <f>Data_PLT[[#This Row],[Failure type]]&amp;"-"&amp;Data_PLT[[#This Row],[Test type]]&amp;"-"&amp;(IF(Data_PLT[[#This Row],[Is50 (MPa)]]&lt;1,1,IF(Data_PLT[[#This Row],[Is50 (MPa)]]&lt;2,2,IF(Data_PLT[[#This Row],[Is50 (MPa)]]&lt;4,3,IF(Data_PLT[[#This Row],[Is50 (MPa)]]&lt;8,4,5)))))</f>
        <v>#VALUE!</v>
      </c>
    </row>
    <row r="490" spans="1:33" x14ac:dyDescent="0.25">
      <c r="A490" s="14"/>
      <c r="B490" s="88" t="e">
        <f>VLOOKUP(Data_PLT[[#This Row],[Hole ID]],Data_Log[],2,FALSE)</f>
        <v>#N/A</v>
      </c>
      <c r="C490" s="63" t="str">
        <f>IF(Data_PLT[[#This Row],[Hole ID]]="","",
IF(COUNTIF($A$4:A490,Data_PLT[[#This Row],[Hole ID]])=1,1,
IF(A490=A489,C489+1,
COUNTIF($A$4:A490,Data_PLT[[#This Row],[Hole ID]]))))</f>
        <v/>
      </c>
      <c r="D490" s="63" t="str">
        <f>IF(Data_PLT[[#This Row],[Hole ID]]="","",Data_PLT[[#This Row],[Hole ID]]&amp;"_"&amp;Data_PLT[[#This Row],[Sample ID]])</f>
        <v/>
      </c>
      <c r="E490" s="6"/>
      <c r="F490" s="6"/>
      <c r="G490" s="63" t="e" cm="1">
        <f t="array" ref="G490">_xlfn.XLOOKUP(1,(A490=Geotech!$A$4:$A$11100)*(Data_PLT[[#This Row],[Depth (m)]]&gt;=Geotech!$C$4:$C$11100)*(Data_PLT[[#This Row],[Depth (m)]]&lt;Geotech!$D$4:$D$11100),Geotech!$M$4:$M$11100)</f>
        <v>#N/A</v>
      </c>
      <c r="H490" s="6"/>
      <c r="I490" s="63" t="e">
        <f>VLOOKUP(Data_PLT[[#This Row],[Hole ID]],Data_Log[[Hole ID]:[Core size]],20,FALSE)</f>
        <v>#N/A</v>
      </c>
      <c r="J490" s="13" t="e">
        <f>VLOOKUP(Data_PLT[[#This Row],[Core Size]],Table_CoreSize[],2,FALSE)</f>
        <v>#N/A</v>
      </c>
      <c r="K490" s="19"/>
      <c r="L490" s="19"/>
      <c r="M490" s="5"/>
      <c r="N490" s="5"/>
      <c r="O490" s="6"/>
      <c r="P490" s="13" t="str">
        <f>IF(Data_PLT[[#This Row],[Failure type]]="","",IF(OR(Data_PLT[[#This Row],[Failure type]]="Invalid",Data_PLT[[#This Row],[Failure type]]="Chipped",Data_PLT[[#This Row],[Failure type]]="Penetrate",Data_PLT[[#This Row],[Failure type]]="Did not break"),"Invalid","Valid"))</f>
        <v/>
      </c>
      <c r="Q490" s="6"/>
      <c r="R490" s="11"/>
      <c r="S490" s="13" t="str">
        <f>IF(Data_PLT[[#This Row],[Test type]]="Diametral",Data_PLT[[#This Row],[Diameter (mm)]],IF(Data_PLT[[#This Row],[Test type]]="Axial",SQRT(4*Data_PLT[[#This Row],[Diameter (mm)]]*Data_PLT[[#This Row],[Length or width (mm)]]/PI()),"ERROR"))</f>
        <v>ERROR</v>
      </c>
      <c r="T490" s="13" t="e">
        <f>(Data_PLT[[#This Row],[Load (kN)]]*1000)/Data_PLT[[#This Row],[Equiv. Diam. (mm)]]^2</f>
        <v>#VALUE!</v>
      </c>
      <c r="U490" s="13" t="e">
        <f>(Data_PLT[[#This Row],[Equiv. Diam. (mm)]]/50)^0.45</f>
        <v>#VALUE!</v>
      </c>
      <c r="V490" s="13" t="e">
        <f>Data_PLT[[#This Row],[Is (MPa)]]*Data_PLT[[#This Row],[F]]</f>
        <v>#VALUE!</v>
      </c>
      <c r="W490" s="13" t="str">
        <f>Data_PLT[[#This Row],[Failure Validity]]&amp;"-"&amp;Data_PLT[[#This Row],[Test type]]</f>
        <v>-</v>
      </c>
      <c r="X490" s="13" t="e">
        <f>Data_PLT[[#This Row],[Is50 (MPa)]]*VLOOKUP("Min",Table_PLT_Conversion[],2,FALSE)</f>
        <v>#VALUE!</v>
      </c>
      <c r="Y490" s="13" t="e">
        <f>Data_PLT[[#This Row],[Is50 (MPa)]]*VLOOKUP("Avg",Table_PLT_Conversion[],2,FALSE)</f>
        <v>#VALUE!</v>
      </c>
      <c r="Z490" s="13" t="e">
        <f>Data_PLT[[#This Row],[Is50 (MPa)]]*VLOOKUP("Max",Table_PLT_Conversion[],2,FALSE)</f>
        <v>#VALUE!</v>
      </c>
      <c r="AA490" s="62" t="e">
        <f>MATCH(LOOKUP(Data_PLT[[#This Row],[UCS min (MPa)]],Table_FieldStrength[Min UCS]),Table_FieldStrength[Min UCS],0)-1</f>
        <v>#VALUE!</v>
      </c>
      <c r="AB490" s="62" t="e">
        <f>MATCH(LOOKUP(Data_PLT[[#This Row],[UCS avg (MPa)]],Table_FieldStrength[Min UCS]),Table_FieldStrength[Min UCS],0)-1</f>
        <v>#VALUE!</v>
      </c>
      <c r="AC490" s="62" t="e">
        <f>MATCH(LOOKUP(Data_PLT[[#This Row],[UCS max (MPa)]],Table_FieldStrength[Min UCS]),Table_FieldStrength[Min UCS],0)-1</f>
        <v>#VALUE!</v>
      </c>
      <c r="AD490" s="68" t="e">
        <f>Data_PLT[[#This Row],[Test code]]&amp;"-"&amp;Data_PLT[[#This Row],[UCS min code]]</f>
        <v>#VALUE!</v>
      </c>
      <c r="AE490" s="68" t="e">
        <f>Data_PLT[[#This Row],[Test code]]&amp;"-"&amp;Data_PLT[[#This Row],[UCS avg code]]</f>
        <v>#VALUE!</v>
      </c>
      <c r="AF490" s="67" t="e">
        <f>Data_PLT[[#This Row],[Test code]]&amp;"-"&amp;Data_PLT[[#This Row],[UCS max code]]</f>
        <v>#VALUE!</v>
      </c>
      <c r="AG490" s="67" t="e">
        <f>Data_PLT[[#This Row],[Failure type]]&amp;"-"&amp;Data_PLT[[#This Row],[Test type]]&amp;"-"&amp;(IF(Data_PLT[[#This Row],[Is50 (MPa)]]&lt;1,1,IF(Data_PLT[[#This Row],[Is50 (MPa)]]&lt;2,2,IF(Data_PLT[[#This Row],[Is50 (MPa)]]&lt;4,3,IF(Data_PLT[[#This Row],[Is50 (MPa)]]&lt;8,4,5)))))</f>
        <v>#VALUE!</v>
      </c>
    </row>
    <row r="491" spans="1:33" x14ac:dyDescent="0.25">
      <c r="A491" s="14"/>
      <c r="B491" s="88" t="e">
        <f>VLOOKUP(Data_PLT[[#This Row],[Hole ID]],Data_Log[],2,FALSE)</f>
        <v>#N/A</v>
      </c>
      <c r="C491" s="63" t="str">
        <f>IF(Data_PLT[[#This Row],[Hole ID]]="","",
IF(COUNTIF($A$4:A491,Data_PLT[[#This Row],[Hole ID]])=1,1,
IF(A491=A490,C490+1,
COUNTIF($A$4:A491,Data_PLT[[#This Row],[Hole ID]]))))</f>
        <v/>
      </c>
      <c r="D491" s="63" t="str">
        <f>IF(Data_PLT[[#This Row],[Hole ID]]="","",Data_PLT[[#This Row],[Hole ID]]&amp;"_"&amp;Data_PLT[[#This Row],[Sample ID]])</f>
        <v/>
      </c>
      <c r="E491" s="6"/>
      <c r="F491" s="6"/>
      <c r="G491" s="63" t="e" cm="1">
        <f t="array" ref="G491">_xlfn.XLOOKUP(1,(A491=Geotech!$A$4:$A$11100)*(Data_PLT[[#This Row],[Depth (m)]]&gt;=Geotech!$C$4:$C$11100)*(Data_PLT[[#This Row],[Depth (m)]]&lt;Geotech!$D$4:$D$11100),Geotech!$M$4:$M$11100)</f>
        <v>#N/A</v>
      </c>
      <c r="H491" s="6"/>
      <c r="I491" s="63" t="e">
        <f>VLOOKUP(Data_PLT[[#This Row],[Hole ID]],Data_Log[[Hole ID]:[Core size]],20,FALSE)</f>
        <v>#N/A</v>
      </c>
      <c r="J491" s="13" t="e">
        <f>VLOOKUP(Data_PLT[[#This Row],[Core Size]],Table_CoreSize[],2,FALSE)</f>
        <v>#N/A</v>
      </c>
      <c r="K491" s="19"/>
      <c r="L491" s="19"/>
      <c r="M491" s="5"/>
      <c r="N491" s="5"/>
      <c r="O491" s="6"/>
      <c r="P491" s="13" t="str">
        <f>IF(Data_PLT[[#This Row],[Failure type]]="","",IF(OR(Data_PLT[[#This Row],[Failure type]]="Invalid",Data_PLT[[#This Row],[Failure type]]="Chipped",Data_PLT[[#This Row],[Failure type]]="Penetrate",Data_PLT[[#This Row],[Failure type]]="Did not break"),"Invalid","Valid"))</f>
        <v/>
      </c>
      <c r="Q491" s="6"/>
      <c r="R491" s="11"/>
      <c r="S491" s="13" t="str">
        <f>IF(Data_PLT[[#This Row],[Test type]]="Diametral",Data_PLT[[#This Row],[Diameter (mm)]],IF(Data_PLT[[#This Row],[Test type]]="Axial",SQRT(4*Data_PLT[[#This Row],[Diameter (mm)]]*Data_PLT[[#This Row],[Length or width (mm)]]/PI()),"ERROR"))</f>
        <v>ERROR</v>
      </c>
      <c r="T491" s="13" t="e">
        <f>(Data_PLT[[#This Row],[Load (kN)]]*1000)/Data_PLT[[#This Row],[Equiv. Diam. (mm)]]^2</f>
        <v>#VALUE!</v>
      </c>
      <c r="U491" s="13" t="e">
        <f>(Data_PLT[[#This Row],[Equiv. Diam. (mm)]]/50)^0.45</f>
        <v>#VALUE!</v>
      </c>
      <c r="V491" s="13" t="e">
        <f>Data_PLT[[#This Row],[Is (MPa)]]*Data_PLT[[#This Row],[F]]</f>
        <v>#VALUE!</v>
      </c>
      <c r="W491" s="13" t="str">
        <f>Data_PLT[[#This Row],[Failure Validity]]&amp;"-"&amp;Data_PLT[[#This Row],[Test type]]</f>
        <v>-</v>
      </c>
      <c r="X491" s="13" t="e">
        <f>Data_PLT[[#This Row],[Is50 (MPa)]]*VLOOKUP("Min",Table_PLT_Conversion[],2,FALSE)</f>
        <v>#VALUE!</v>
      </c>
      <c r="Y491" s="13" t="e">
        <f>Data_PLT[[#This Row],[Is50 (MPa)]]*VLOOKUP("Avg",Table_PLT_Conversion[],2,FALSE)</f>
        <v>#VALUE!</v>
      </c>
      <c r="Z491" s="13" t="e">
        <f>Data_PLT[[#This Row],[Is50 (MPa)]]*VLOOKUP("Max",Table_PLT_Conversion[],2,FALSE)</f>
        <v>#VALUE!</v>
      </c>
      <c r="AA491" s="62" t="e">
        <f>MATCH(LOOKUP(Data_PLT[[#This Row],[UCS min (MPa)]],Table_FieldStrength[Min UCS]),Table_FieldStrength[Min UCS],0)-1</f>
        <v>#VALUE!</v>
      </c>
      <c r="AB491" s="62" t="e">
        <f>MATCH(LOOKUP(Data_PLT[[#This Row],[UCS avg (MPa)]],Table_FieldStrength[Min UCS]),Table_FieldStrength[Min UCS],0)-1</f>
        <v>#VALUE!</v>
      </c>
      <c r="AC491" s="62" t="e">
        <f>MATCH(LOOKUP(Data_PLT[[#This Row],[UCS max (MPa)]],Table_FieldStrength[Min UCS]),Table_FieldStrength[Min UCS],0)-1</f>
        <v>#VALUE!</v>
      </c>
      <c r="AD491" s="68" t="e">
        <f>Data_PLT[[#This Row],[Test code]]&amp;"-"&amp;Data_PLT[[#This Row],[UCS min code]]</f>
        <v>#VALUE!</v>
      </c>
      <c r="AE491" s="68" t="e">
        <f>Data_PLT[[#This Row],[Test code]]&amp;"-"&amp;Data_PLT[[#This Row],[UCS avg code]]</f>
        <v>#VALUE!</v>
      </c>
      <c r="AF491" s="67" t="e">
        <f>Data_PLT[[#This Row],[Test code]]&amp;"-"&amp;Data_PLT[[#This Row],[UCS max code]]</f>
        <v>#VALUE!</v>
      </c>
      <c r="AG491" s="67" t="e">
        <f>Data_PLT[[#This Row],[Failure type]]&amp;"-"&amp;Data_PLT[[#This Row],[Test type]]&amp;"-"&amp;(IF(Data_PLT[[#This Row],[Is50 (MPa)]]&lt;1,1,IF(Data_PLT[[#This Row],[Is50 (MPa)]]&lt;2,2,IF(Data_PLT[[#This Row],[Is50 (MPa)]]&lt;4,3,IF(Data_PLT[[#This Row],[Is50 (MPa)]]&lt;8,4,5)))))</f>
        <v>#VALUE!</v>
      </c>
    </row>
    <row r="492" spans="1:33" x14ac:dyDescent="0.25">
      <c r="A492" s="14"/>
      <c r="B492" s="88" t="e">
        <f>VLOOKUP(Data_PLT[[#This Row],[Hole ID]],Data_Log[],2,FALSE)</f>
        <v>#N/A</v>
      </c>
      <c r="C492" s="63" t="str">
        <f>IF(Data_PLT[[#This Row],[Hole ID]]="","",
IF(COUNTIF($A$4:A492,Data_PLT[[#This Row],[Hole ID]])=1,1,
IF(A492=A491,C491+1,
COUNTIF($A$4:A492,Data_PLT[[#This Row],[Hole ID]]))))</f>
        <v/>
      </c>
      <c r="D492" s="63" t="str">
        <f>IF(Data_PLT[[#This Row],[Hole ID]]="","",Data_PLT[[#This Row],[Hole ID]]&amp;"_"&amp;Data_PLT[[#This Row],[Sample ID]])</f>
        <v/>
      </c>
      <c r="E492" s="6"/>
      <c r="F492" s="6"/>
      <c r="G492" s="63" t="e" cm="1">
        <f t="array" ref="G492">_xlfn.XLOOKUP(1,(A492=Geotech!$A$4:$A$11100)*(Data_PLT[[#This Row],[Depth (m)]]&gt;=Geotech!$C$4:$C$11100)*(Data_PLT[[#This Row],[Depth (m)]]&lt;Geotech!$D$4:$D$11100),Geotech!$M$4:$M$11100)</f>
        <v>#N/A</v>
      </c>
      <c r="H492" s="6"/>
      <c r="I492" s="63" t="e">
        <f>VLOOKUP(Data_PLT[[#This Row],[Hole ID]],Data_Log[[Hole ID]:[Core size]],20,FALSE)</f>
        <v>#N/A</v>
      </c>
      <c r="J492" s="13" t="e">
        <f>VLOOKUP(Data_PLT[[#This Row],[Core Size]],Table_CoreSize[],2,FALSE)</f>
        <v>#N/A</v>
      </c>
      <c r="K492" s="19"/>
      <c r="L492" s="19"/>
      <c r="M492" s="5"/>
      <c r="N492" s="5"/>
      <c r="O492" s="6"/>
      <c r="P492" s="13" t="str">
        <f>IF(Data_PLT[[#This Row],[Failure type]]="","",IF(OR(Data_PLT[[#This Row],[Failure type]]="Invalid",Data_PLT[[#This Row],[Failure type]]="Chipped",Data_PLT[[#This Row],[Failure type]]="Penetrate",Data_PLT[[#This Row],[Failure type]]="Did not break"),"Invalid","Valid"))</f>
        <v/>
      </c>
      <c r="Q492" s="6"/>
      <c r="R492" s="11"/>
      <c r="S492" s="13" t="str">
        <f>IF(Data_PLT[[#This Row],[Test type]]="Diametral",Data_PLT[[#This Row],[Diameter (mm)]],IF(Data_PLT[[#This Row],[Test type]]="Axial",SQRT(4*Data_PLT[[#This Row],[Diameter (mm)]]*Data_PLT[[#This Row],[Length or width (mm)]]/PI()),"ERROR"))</f>
        <v>ERROR</v>
      </c>
      <c r="T492" s="13" t="e">
        <f>(Data_PLT[[#This Row],[Load (kN)]]*1000)/Data_PLT[[#This Row],[Equiv. Diam. (mm)]]^2</f>
        <v>#VALUE!</v>
      </c>
      <c r="U492" s="13" t="e">
        <f>(Data_PLT[[#This Row],[Equiv. Diam. (mm)]]/50)^0.45</f>
        <v>#VALUE!</v>
      </c>
      <c r="V492" s="13" t="e">
        <f>Data_PLT[[#This Row],[Is (MPa)]]*Data_PLT[[#This Row],[F]]</f>
        <v>#VALUE!</v>
      </c>
      <c r="W492" s="13" t="str">
        <f>Data_PLT[[#This Row],[Failure Validity]]&amp;"-"&amp;Data_PLT[[#This Row],[Test type]]</f>
        <v>-</v>
      </c>
      <c r="X492" s="13" t="e">
        <f>Data_PLT[[#This Row],[Is50 (MPa)]]*VLOOKUP("Min",Table_PLT_Conversion[],2,FALSE)</f>
        <v>#VALUE!</v>
      </c>
      <c r="Y492" s="13" t="e">
        <f>Data_PLT[[#This Row],[Is50 (MPa)]]*VLOOKUP("Avg",Table_PLT_Conversion[],2,FALSE)</f>
        <v>#VALUE!</v>
      </c>
      <c r="Z492" s="13" t="e">
        <f>Data_PLT[[#This Row],[Is50 (MPa)]]*VLOOKUP("Max",Table_PLT_Conversion[],2,FALSE)</f>
        <v>#VALUE!</v>
      </c>
      <c r="AA492" s="62" t="e">
        <f>MATCH(LOOKUP(Data_PLT[[#This Row],[UCS min (MPa)]],Table_FieldStrength[Min UCS]),Table_FieldStrength[Min UCS],0)-1</f>
        <v>#VALUE!</v>
      </c>
      <c r="AB492" s="62" t="e">
        <f>MATCH(LOOKUP(Data_PLT[[#This Row],[UCS avg (MPa)]],Table_FieldStrength[Min UCS]),Table_FieldStrength[Min UCS],0)-1</f>
        <v>#VALUE!</v>
      </c>
      <c r="AC492" s="62" t="e">
        <f>MATCH(LOOKUP(Data_PLT[[#This Row],[UCS max (MPa)]],Table_FieldStrength[Min UCS]),Table_FieldStrength[Min UCS],0)-1</f>
        <v>#VALUE!</v>
      </c>
      <c r="AD492" s="68" t="e">
        <f>Data_PLT[[#This Row],[Test code]]&amp;"-"&amp;Data_PLT[[#This Row],[UCS min code]]</f>
        <v>#VALUE!</v>
      </c>
      <c r="AE492" s="68" t="e">
        <f>Data_PLT[[#This Row],[Test code]]&amp;"-"&amp;Data_PLT[[#This Row],[UCS avg code]]</f>
        <v>#VALUE!</v>
      </c>
      <c r="AF492" s="67" t="e">
        <f>Data_PLT[[#This Row],[Test code]]&amp;"-"&amp;Data_PLT[[#This Row],[UCS max code]]</f>
        <v>#VALUE!</v>
      </c>
      <c r="AG492" s="67" t="e">
        <f>Data_PLT[[#This Row],[Failure type]]&amp;"-"&amp;Data_PLT[[#This Row],[Test type]]&amp;"-"&amp;(IF(Data_PLT[[#This Row],[Is50 (MPa)]]&lt;1,1,IF(Data_PLT[[#This Row],[Is50 (MPa)]]&lt;2,2,IF(Data_PLT[[#This Row],[Is50 (MPa)]]&lt;4,3,IF(Data_PLT[[#This Row],[Is50 (MPa)]]&lt;8,4,5)))))</f>
        <v>#VALUE!</v>
      </c>
    </row>
    <row r="493" spans="1:33" x14ac:dyDescent="0.25">
      <c r="A493" s="14"/>
      <c r="B493" s="88" t="e">
        <f>VLOOKUP(Data_PLT[[#This Row],[Hole ID]],Data_Log[],2,FALSE)</f>
        <v>#N/A</v>
      </c>
      <c r="C493" s="63" t="str">
        <f>IF(Data_PLT[[#This Row],[Hole ID]]="","",
IF(COUNTIF($A$4:A493,Data_PLT[[#This Row],[Hole ID]])=1,1,
IF(A493=A492,C492+1,
COUNTIF($A$4:A493,Data_PLT[[#This Row],[Hole ID]]))))</f>
        <v/>
      </c>
      <c r="D493" s="63" t="str">
        <f>IF(Data_PLT[[#This Row],[Hole ID]]="","",Data_PLT[[#This Row],[Hole ID]]&amp;"_"&amp;Data_PLT[[#This Row],[Sample ID]])</f>
        <v/>
      </c>
      <c r="E493" s="6"/>
      <c r="F493" s="6"/>
      <c r="G493" s="63" t="e" cm="1">
        <f t="array" ref="G493">_xlfn.XLOOKUP(1,(A493=Geotech!$A$4:$A$11100)*(Data_PLT[[#This Row],[Depth (m)]]&gt;=Geotech!$C$4:$C$11100)*(Data_PLT[[#This Row],[Depth (m)]]&lt;Geotech!$D$4:$D$11100),Geotech!$M$4:$M$11100)</f>
        <v>#N/A</v>
      </c>
      <c r="H493" s="6"/>
      <c r="I493" s="63" t="e">
        <f>VLOOKUP(Data_PLT[[#This Row],[Hole ID]],Data_Log[[Hole ID]:[Core size]],20,FALSE)</f>
        <v>#N/A</v>
      </c>
      <c r="J493" s="13" t="e">
        <f>VLOOKUP(Data_PLT[[#This Row],[Core Size]],Table_CoreSize[],2,FALSE)</f>
        <v>#N/A</v>
      </c>
      <c r="K493" s="19"/>
      <c r="L493" s="19"/>
      <c r="M493" s="5"/>
      <c r="N493" s="5"/>
      <c r="O493" s="6"/>
      <c r="P493" s="13" t="str">
        <f>IF(Data_PLT[[#This Row],[Failure type]]="","",IF(OR(Data_PLT[[#This Row],[Failure type]]="Invalid",Data_PLT[[#This Row],[Failure type]]="Chipped",Data_PLT[[#This Row],[Failure type]]="Penetrate",Data_PLT[[#This Row],[Failure type]]="Did not break"),"Invalid","Valid"))</f>
        <v/>
      </c>
      <c r="Q493" s="6"/>
      <c r="R493" s="11"/>
      <c r="S493" s="13" t="str">
        <f>IF(Data_PLT[[#This Row],[Test type]]="Diametral",Data_PLT[[#This Row],[Diameter (mm)]],IF(Data_PLT[[#This Row],[Test type]]="Axial",SQRT(4*Data_PLT[[#This Row],[Diameter (mm)]]*Data_PLT[[#This Row],[Length or width (mm)]]/PI()),"ERROR"))</f>
        <v>ERROR</v>
      </c>
      <c r="T493" s="13" t="e">
        <f>(Data_PLT[[#This Row],[Load (kN)]]*1000)/Data_PLT[[#This Row],[Equiv. Diam. (mm)]]^2</f>
        <v>#VALUE!</v>
      </c>
      <c r="U493" s="13" t="e">
        <f>(Data_PLT[[#This Row],[Equiv. Diam. (mm)]]/50)^0.45</f>
        <v>#VALUE!</v>
      </c>
      <c r="V493" s="13" t="e">
        <f>Data_PLT[[#This Row],[Is (MPa)]]*Data_PLT[[#This Row],[F]]</f>
        <v>#VALUE!</v>
      </c>
      <c r="W493" s="13" t="str">
        <f>Data_PLT[[#This Row],[Failure Validity]]&amp;"-"&amp;Data_PLT[[#This Row],[Test type]]</f>
        <v>-</v>
      </c>
      <c r="X493" s="13" t="e">
        <f>Data_PLT[[#This Row],[Is50 (MPa)]]*VLOOKUP("Min",Table_PLT_Conversion[],2,FALSE)</f>
        <v>#VALUE!</v>
      </c>
      <c r="Y493" s="13" t="e">
        <f>Data_PLT[[#This Row],[Is50 (MPa)]]*VLOOKUP("Avg",Table_PLT_Conversion[],2,FALSE)</f>
        <v>#VALUE!</v>
      </c>
      <c r="Z493" s="13" t="e">
        <f>Data_PLT[[#This Row],[Is50 (MPa)]]*VLOOKUP("Max",Table_PLT_Conversion[],2,FALSE)</f>
        <v>#VALUE!</v>
      </c>
      <c r="AA493" s="62" t="e">
        <f>MATCH(LOOKUP(Data_PLT[[#This Row],[UCS min (MPa)]],Table_FieldStrength[Min UCS]),Table_FieldStrength[Min UCS],0)-1</f>
        <v>#VALUE!</v>
      </c>
      <c r="AB493" s="62" t="e">
        <f>MATCH(LOOKUP(Data_PLT[[#This Row],[UCS avg (MPa)]],Table_FieldStrength[Min UCS]),Table_FieldStrength[Min UCS],0)-1</f>
        <v>#VALUE!</v>
      </c>
      <c r="AC493" s="62" t="e">
        <f>MATCH(LOOKUP(Data_PLT[[#This Row],[UCS max (MPa)]],Table_FieldStrength[Min UCS]),Table_FieldStrength[Min UCS],0)-1</f>
        <v>#VALUE!</v>
      </c>
      <c r="AD493" s="68" t="e">
        <f>Data_PLT[[#This Row],[Test code]]&amp;"-"&amp;Data_PLT[[#This Row],[UCS min code]]</f>
        <v>#VALUE!</v>
      </c>
      <c r="AE493" s="68" t="e">
        <f>Data_PLT[[#This Row],[Test code]]&amp;"-"&amp;Data_PLT[[#This Row],[UCS avg code]]</f>
        <v>#VALUE!</v>
      </c>
      <c r="AF493" s="67" t="e">
        <f>Data_PLT[[#This Row],[Test code]]&amp;"-"&amp;Data_PLT[[#This Row],[UCS max code]]</f>
        <v>#VALUE!</v>
      </c>
      <c r="AG493" s="67" t="e">
        <f>Data_PLT[[#This Row],[Failure type]]&amp;"-"&amp;Data_PLT[[#This Row],[Test type]]&amp;"-"&amp;(IF(Data_PLT[[#This Row],[Is50 (MPa)]]&lt;1,1,IF(Data_PLT[[#This Row],[Is50 (MPa)]]&lt;2,2,IF(Data_PLT[[#This Row],[Is50 (MPa)]]&lt;4,3,IF(Data_PLT[[#This Row],[Is50 (MPa)]]&lt;8,4,5)))))</f>
        <v>#VALUE!</v>
      </c>
    </row>
    <row r="494" spans="1:33" x14ac:dyDescent="0.25">
      <c r="A494" s="14"/>
      <c r="B494" s="88" t="e">
        <f>VLOOKUP(Data_PLT[[#This Row],[Hole ID]],Data_Log[],2,FALSE)</f>
        <v>#N/A</v>
      </c>
      <c r="C494" s="63" t="str">
        <f>IF(Data_PLT[[#This Row],[Hole ID]]="","",
IF(COUNTIF($A$4:A494,Data_PLT[[#This Row],[Hole ID]])=1,1,
IF(A494=A493,C493+1,
COUNTIF($A$4:A494,Data_PLT[[#This Row],[Hole ID]]))))</f>
        <v/>
      </c>
      <c r="D494" s="63" t="str">
        <f>IF(Data_PLT[[#This Row],[Hole ID]]="","",Data_PLT[[#This Row],[Hole ID]]&amp;"_"&amp;Data_PLT[[#This Row],[Sample ID]])</f>
        <v/>
      </c>
      <c r="E494" s="6"/>
      <c r="F494" s="6"/>
      <c r="G494" s="63" t="e" cm="1">
        <f t="array" ref="G494">_xlfn.XLOOKUP(1,(A494=Geotech!$A$4:$A$11100)*(Data_PLT[[#This Row],[Depth (m)]]&gt;=Geotech!$C$4:$C$11100)*(Data_PLT[[#This Row],[Depth (m)]]&lt;Geotech!$D$4:$D$11100),Geotech!$M$4:$M$11100)</f>
        <v>#N/A</v>
      </c>
      <c r="H494" s="6"/>
      <c r="I494" s="63" t="e">
        <f>VLOOKUP(Data_PLT[[#This Row],[Hole ID]],Data_Log[[Hole ID]:[Core size]],20,FALSE)</f>
        <v>#N/A</v>
      </c>
      <c r="J494" s="13" t="e">
        <f>VLOOKUP(Data_PLT[[#This Row],[Core Size]],Table_CoreSize[],2,FALSE)</f>
        <v>#N/A</v>
      </c>
      <c r="K494" s="19"/>
      <c r="L494" s="19"/>
      <c r="M494" s="5"/>
      <c r="N494" s="5"/>
      <c r="O494" s="6"/>
      <c r="P494" s="13" t="str">
        <f>IF(Data_PLT[[#This Row],[Failure type]]="","",IF(OR(Data_PLT[[#This Row],[Failure type]]="Invalid",Data_PLT[[#This Row],[Failure type]]="Chipped",Data_PLT[[#This Row],[Failure type]]="Penetrate",Data_PLT[[#This Row],[Failure type]]="Did not break"),"Invalid","Valid"))</f>
        <v/>
      </c>
      <c r="Q494" s="6"/>
      <c r="R494" s="11"/>
      <c r="S494" s="13" t="str">
        <f>IF(Data_PLT[[#This Row],[Test type]]="Diametral",Data_PLT[[#This Row],[Diameter (mm)]],IF(Data_PLT[[#This Row],[Test type]]="Axial",SQRT(4*Data_PLT[[#This Row],[Diameter (mm)]]*Data_PLT[[#This Row],[Length or width (mm)]]/PI()),"ERROR"))</f>
        <v>ERROR</v>
      </c>
      <c r="T494" s="13" t="e">
        <f>(Data_PLT[[#This Row],[Load (kN)]]*1000)/Data_PLT[[#This Row],[Equiv. Diam. (mm)]]^2</f>
        <v>#VALUE!</v>
      </c>
      <c r="U494" s="13" t="e">
        <f>(Data_PLT[[#This Row],[Equiv. Diam. (mm)]]/50)^0.45</f>
        <v>#VALUE!</v>
      </c>
      <c r="V494" s="13" t="e">
        <f>Data_PLT[[#This Row],[Is (MPa)]]*Data_PLT[[#This Row],[F]]</f>
        <v>#VALUE!</v>
      </c>
      <c r="W494" s="13" t="str">
        <f>Data_PLT[[#This Row],[Failure Validity]]&amp;"-"&amp;Data_PLT[[#This Row],[Test type]]</f>
        <v>-</v>
      </c>
      <c r="X494" s="13" t="e">
        <f>Data_PLT[[#This Row],[Is50 (MPa)]]*VLOOKUP("Min",Table_PLT_Conversion[],2,FALSE)</f>
        <v>#VALUE!</v>
      </c>
      <c r="Y494" s="13" t="e">
        <f>Data_PLT[[#This Row],[Is50 (MPa)]]*VLOOKUP("Avg",Table_PLT_Conversion[],2,FALSE)</f>
        <v>#VALUE!</v>
      </c>
      <c r="Z494" s="13" t="e">
        <f>Data_PLT[[#This Row],[Is50 (MPa)]]*VLOOKUP("Max",Table_PLT_Conversion[],2,FALSE)</f>
        <v>#VALUE!</v>
      </c>
      <c r="AA494" s="62" t="e">
        <f>MATCH(LOOKUP(Data_PLT[[#This Row],[UCS min (MPa)]],Table_FieldStrength[Min UCS]),Table_FieldStrength[Min UCS],0)-1</f>
        <v>#VALUE!</v>
      </c>
      <c r="AB494" s="62" t="e">
        <f>MATCH(LOOKUP(Data_PLT[[#This Row],[UCS avg (MPa)]],Table_FieldStrength[Min UCS]),Table_FieldStrength[Min UCS],0)-1</f>
        <v>#VALUE!</v>
      </c>
      <c r="AC494" s="62" t="e">
        <f>MATCH(LOOKUP(Data_PLT[[#This Row],[UCS max (MPa)]],Table_FieldStrength[Min UCS]),Table_FieldStrength[Min UCS],0)-1</f>
        <v>#VALUE!</v>
      </c>
      <c r="AD494" s="68" t="e">
        <f>Data_PLT[[#This Row],[Test code]]&amp;"-"&amp;Data_PLT[[#This Row],[UCS min code]]</f>
        <v>#VALUE!</v>
      </c>
      <c r="AE494" s="68" t="e">
        <f>Data_PLT[[#This Row],[Test code]]&amp;"-"&amp;Data_PLT[[#This Row],[UCS avg code]]</f>
        <v>#VALUE!</v>
      </c>
      <c r="AF494" s="67" t="e">
        <f>Data_PLT[[#This Row],[Test code]]&amp;"-"&amp;Data_PLT[[#This Row],[UCS max code]]</f>
        <v>#VALUE!</v>
      </c>
      <c r="AG494" s="67" t="e">
        <f>Data_PLT[[#This Row],[Failure type]]&amp;"-"&amp;Data_PLT[[#This Row],[Test type]]&amp;"-"&amp;(IF(Data_PLT[[#This Row],[Is50 (MPa)]]&lt;1,1,IF(Data_PLT[[#This Row],[Is50 (MPa)]]&lt;2,2,IF(Data_PLT[[#This Row],[Is50 (MPa)]]&lt;4,3,IF(Data_PLT[[#This Row],[Is50 (MPa)]]&lt;8,4,5)))))</f>
        <v>#VALUE!</v>
      </c>
    </row>
    <row r="495" spans="1:33" x14ac:dyDescent="0.25">
      <c r="A495" s="14"/>
      <c r="B495" s="88" t="e">
        <f>VLOOKUP(Data_PLT[[#This Row],[Hole ID]],Data_Log[],2,FALSE)</f>
        <v>#N/A</v>
      </c>
      <c r="C495" s="63" t="str">
        <f>IF(Data_PLT[[#This Row],[Hole ID]]="","",
IF(COUNTIF($A$4:A495,Data_PLT[[#This Row],[Hole ID]])=1,1,
IF(A495=A494,C494+1,
COUNTIF($A$4:A495,Data_PLT[[#This Row],[Hole ID]]))))</f>
        <v/>
      </c>
      <c r="D495" s="63" t="str">
        <f>IF(Data_PLT[[#This Row],[Hole ID]]="","",Data_PLT[[#This Row],[Hole ID]]&amp;"_"&amp;Data_PLT[[#This Row],[Sample ID]])</f>
        <v/>
      </c>
      <c r="E495" s="6"/>
      <c r="F495" s="6"/>
      <c r="G495" s="63" t="e" cm="1">
        <f t="array" ref="G495">_xlfn.XLOOKUP(1,(A495=Geotech!$A$4:$A$11100)*(Data_PLT[[#This Row],[Depth (m)]]&gt;=Geotech!$C$4:$C$11100)*(Data_PLT[[#This Row],[Depth (m)]]&lt;Geotech!$D$4:$D$11100),Geotech!$M$4:$M$11100)</f>
        <v>#N/A</v>
      </c>
      <c r="H495" s="6"/>
      <c r="I495" s="63" t="e">
        <f>VLOOKUP(Data_PLT[[#This Row],[Hole ID]],Data_Log[[Hole ID]:[Core size]],20,FALSE)</f>
        <v>#N/A</v>
      </c>
      <c r="J495" s="13" t="e">
        <f>VLOOKUP(Data_PLT[[#This Row],[Core Size]],Table_CoreSize[],2,FALSE)</f>
        <v>#N/A</v>
      </c>
      <c r="K495" s="19"/>
      <c r="L495" s="19"/>
      <c r="M495" s="5"/>
      <c r="N495" s="5"/>
      <c r="O495" s="6"/>
      <c r="P495" s="13" t="str">
        <f>IF(Data_PLT[[#This Row],[Failure type]]="","",IF(OR(Data_PLT[[#This Row],[Failure type]]="Invalid",Data_PLT[[#This Row],[Failure type]]="Chipped",Data_PLT[[#This Row],[Failure type]]="Penetrate",Data_PLT[[#This Row],[Failure type]]="Did not break"),"Invalid","Valid"))</f>
        <v/>
      </c>
      <c r="Q495" s="6"/>
      <c r="R495" s="11"/>
      <c r="S495" s="13" t="str">
        <f>IF(Data_PLT[[#This Row],[Test type]]="Diametral",Data_PLT[[#This Row],[Diameter (mm)]],IF(Data_PLT[[#This Row],[Test type]]="Axial",SQRT(4*Data_PLT[[#This Row],[Diameter (mm)]]*Data_PLT[[#This Row],[Length or width (mm)]]/PI()),"ERROR"))</f>
        <v>ERROR</v>
      </c>
      <c r="T495" s="13" t="e">
        <f>(Data_PLT[[#This Row],[Load (kN)]]*1000)/Data_PLT[[#This Row],[Equiv. Diam. (mm)]]^2</f>
        <v>#VALUE!</v>
      </c>
      <c r="U495" s="13" t="e">
        <f>(Data_PLT[[#This Row],[Equiv. Diam. (mm)]]/50)^0.45</f>
        <v>#VALUE!</v>
      </c>
      <c r="V495" s="13" t="e">
        <f>Data_PLT[[#This Row],[Is (MPa)]]*Data_PLT[[#This Row],[F]]</f>
        <v>#VALUE!</v>
      </c>
      <c r="W495" s="13" t="str">
        <f>Data_PLT[[#This Row],[Failure Validity]]&amp;"-"&amp;Data_PLT[[#This Row],[Test type]]</f>
        <v>-</v>
      </c>
      <c r="X495" s="13" t="e">
        <f>Data_PLT[[#This Row],[Is50 (MPa)]]*VLOOKUP("Min",Table_PLT_Conversion[],2,FALSE)</f>
        <v>#VALUE!</v>
      </c>
      <c r="Y495" s="13" t="e">
        <f>Data_PLT[[#This Row],[Is50 (MPa)]]*VLOOKUP("Avg",Table_PLT_Conversion[],2,FALSE)</f>
        <v>#VALUE!</v>
      </c>
      <c r="Z495" s="13" t="e">
        <f>Data_PLT[[#This Row],[Is50 (MPa)]]*VLOOKUP("Max",Table_PLT_Conversion[],2,FALSE)</f>
        <v>#VALUE!</v>
      </c>
      <c r="AA495" s="62" t="e">
        <f>MATCH(LOOKUP(Data_PLT[[#This Row],[UCS min (MPa)]],Table_FieldStrength[Min UCS]),Table_FieldStrength[Min UCS],0)-1</f>
        <v>#VALUE!</v>
      </c>
      <c r="AB495" s="62" t="e">
        <f>MATCH(LOOKUP(Data_PLT[[#This Row],[UCS avg (MPa)]],Table_FieldStrength[Min UCS]),Table_FieldStrength[Min UCS],0)-1</f>
        <v>#VALUE!</v>
      </c>
      <c r="AC495" s="62" t="e">
        <f>MATCH(LOOKUP(Data_PLT[[#This Row],[UCS max (MPa)]],Table_FieldStrength[Min UCS]),Table_FieldStrength[Min UCS],0)-1</f>
        <v>#VALUE!</v>
      </c>
      <c r="AD495" s="68" t="e">
        <f>Data_PLT[[#This Row],[Test code]]&amp;"-"&amp;Data_PLT[[#This Row],[UCS min code]]</f>
        <v>#VALUE!</v>
      </c>
      <c r="AE495" s="68" t="e">
        <f>Data_PLT[[#This Row],[Test code]]&amp;"-"&amp;Data_PLT[[#This Row],[UCS avg code]]</f>
        <v>#VALUE!</v>
      </c>
      <c r="AF495" s="67" t="e">
        <f>Data_PLT[[#This Row],[Test code]]&amp;"-"&amp;Data_PLT[[#This Row],[UCS max code]]</f>
        <v>#VALUE!</v>
      </c>
      <c r="AG495" s="67" t="e">
        <f>Data_PLT[[#This Row],[Failure type]]&amp;"-"&amp;Data_PLT[[#This Row],[Test type]]&amp;"-"&amp;(IF(Data_PLT[[#This Row],[Is50 (MPa)]]&lt;1,1,IF(Data_PLT[[#This Row],[Is50 (MPa)]]&lt;2,2,IF(Data_PLT[[#This Row],[Is50 (MPa)]]&lt;4,3,IF(Data_PLT[[#This Row],[Is50 (MPa)]]&lt;8,4,5)))))</f>
        <v>#VALUE!</v>
      </c>
    </row>
    <row r="496" spans="1:33" x14ac:dyDescent="0.25">
      <c r="A496" s="14"/>
      <c r="B496" s="88" t="e">
        <f>VLOOKUP(Data_PLT[[#This Row],[Hole ID]],Data_Log[],2,FALSE)</f>
        <v>#N/A</v>
      </c>
      <c r="C496" s="63" t="str">
        <f>IF(Data_PLT[[#This Row],[Hole ID]]="","",
IF(COUNTIF($A$4:A496,Data_PLT[[#This Row],[Hole ID]])=1,1,
IF(A496=A495,C495+1,
COUNTIF($A$4:A496,Data_PLT[[#This Row],[Hole ID]]))))</f>
        <v/>
      </c>
      <c r="D496" s="63" t="str">
        <f>IF(Data_PLT[[#This Row],[Hole ID]]="","",Data_PLT[[#This Row],[Hole ID]]&amp;"_"&amp;Data_PLT[[#This Row],[Sample ID]])</f>
        <v/>
      </c>
      <c r="E496" s="6"/>
      <c r="F496" s="6"/>
      <c r="G496" s="63" t="e" cm="1">
        <f t="array" ref="G496">_xlfn.XLOOKUP(1,(A496=Geotech!$A$4:$A$11100)*(Data_PLT[[#This Row],[Depth (m)]]&gt;=Geotech!$C$4:$C$11100)*(Data_PLT[[#This Row],[Depth (m)]]&lt;Geotech!$D$4:$D$11100),Geotech!$M$4:$M$11100)</f>
        <v>#N/A</v>
      </c>
      <c r="H496" s="6"/>
      <c r="I496" s="63" t="e">
        <f>VLOOKUP(Data_PLT[[#This Row],[Hole ID]],Data_Log[[Hole ID]:[Core size]],20,FALSE)</f>
        <v>#N/A</v>
      </c>
      <c r="J496" s="13" t="e">
        <f>VLOOKUP(Data_PLT[[#This Row],[Core Size]],Table_CoreSize[],2,FALSE)</f>
        <v>#N/A</v>
      </c>
      <c r="K496" s="19"/>
      <c r="L496" s="19"/>
      <c r="M496" s="5"/>
      <c r="N496" s="5"/>
      <c r="O496" s="6"/>
      <c r="P496" s="13" t="str">
        <f>IF(Data_PLT[[#This Row],[Failure type]]="","",IF(OR(Data_PLT[[#This Row],[Failure type]]="Invalid",Data_PLT[[#This Row],[Failure type]]="Chipped",Data_PLT[[#This Row],[Failure type]]="Penetrate",Data_PLT[[#This Row],[Failure type]]="Did not break"),"Invalid","Valid"))</f>
        <v/>
      </c>
      <c r="Q496" s="6"/>
      <c r="R496" s="11"/>
      <c r="S496" s="13" t="str">
        <f>IF(Data_PLT[[#This Row],[Test type]]="Diametral",Data_PLT[[#This Row],[Diameter (mm)]],IF(Data_PLT[[#This Row],[Test type]]="Axial",SQRT(4*Data_PLT[[#This Row],[Diameter (mm)]]*Data_PLT[[#This Row],[Length or width (mm)]]/PI()),"ERROR"))</f>
        <v>ERROR</v>
      </c>
      <c r="T496" s="13" t="e">
        <f>(Data_PLT[[#This Row],[Load (kN)]]*1000)/Data_PLT[[#This Row],[Equiv. Diam. (mm)]]^2</f>
        <v>#VALUE!</v>
      </c>
      <c r="U496" s="13" t="e">
        <f>(Data_PLT[[#This Row],[Equiv. Diam. (mm)]]/50)^0.45</f>
        <v>#VALUE!</v>
      </c>
      <c r="V496" s="13" t="e">
        <f>Data_PLT[[#This Row],[Is (MPa)]]*Data_PLT[[#This Row],[F]]</f>
        <v>#VALUE!</v>
      </c>
      <c r="W496" s="13" t="str">
        <f>Data_PLT[[#This Row],[Failure Validity]]&amp;"-"&amp;Data_PLT[[#This Row],[Test type]]</f>
        <v>-</v>
      </c>
      <c r="X496" s="13" t="e">
        <f>Data_PLT[[#This Row],[Is50 (MPa)]]*VLOOKUP("Min",Table_PLT_Conversion[],2,FALSE)</f>
        <v>#VALUE!</v>
      </c>
      <c r="Y496" s="13" t="e">
        <f>Data_PLT[[#This Row],[Is50 (MPa)]]*VLOOKUP("Avg",Table_PLT_Conversion[],2,FALSE)</f>
        <v>#VALUE!</v>
      </c>
      <c r="Z496" s="13" t="e">
        <f>Data_PLT[[#This Row],[Is50 (MPa)]]*VLOOKUP("Max",Table_PLT_Conversion[],2,FALSE)</f>
        <v>#VALUE!</v>
      </c>
      <c r="AA496" s="62" t="e">
        <f>MATCH(LOOKUP(Data_PLT[[#This Row],[UCS min (MPa)]],Table_FieldStrength[Min UCS]),Table_FieldStrength[Min UCS],0)-1</f>
        <v>#VALUE!</v>
      </c>
      <c r="AB496" s="62" t="e">
        <f>MATCH(LOOKUP(Data_PLT[[#This Row],[UCS avg (MPa)]],Table_FieldStrength[Min UCS]),Table_FieldStrength[Min UCS],0)-1</f>
        <v>#VALUE!</v>
      </c>
      <c r="AC496" s="62" t="e">
        <f>MATCH(LOOKUP(Data_PLT[[#This Row],[UCS max (MPa)]],Table_FieldStrength[Min UCS]),Table_FieldStrength[Min UCS],0)-1</f>
        <v>#VALUE!</v>
      </c>
      <c r="AD496" s="68" t="e">
        <f>Data_PLT[[#This Row],[Test code]]&amp;"-"&amp;Data_PLT[[#This Row],[UCS min code]]</f>
        <v>#VALUE!</v>
      </c>
      <c r="AE496" s="68" t="e">
        <f>Data_PLT[[#This Row],[Test code]]&amp;"-"&amp;Data_PLT[[#This Row],[UCS avg code]]</f>
        <v>#VALUE!</v>
      </c>
      <c r="AF496" s="67" t="e">
        <f>Data_PLT[[#This Row],[Test code]]&amp;"-"&amp;Data_PLT[[#This Row],[UCS max code]]</f>
        <v>#VALUE!</v>
      </c>
      <c r="AG496" s="67" t="e">
        <f>Data_PLT[[#This Row],[Failure type]]&amp;"-"&amp;Data_PLT[[#This Row],[Test type]]&amp;"-"&amp;(IF(Data_PLT[[#This Row],[Is50 (MPa)]]&lt;1,1,IF(Data_PLT[[#This Row],[Is50 (MPa)]]&lt;2,2,IF(Data_PLT[[#This Row],[Is50 (MPa)]]&lt;4,3,IF(Data_PLT[[#This Row],[Is50 (MPa)]]&lt;8,4,5)))))</f>
        <v>#VALUE!</v>
      </c>
    </row>
    <row r="497" spans="1:33" x14ac:dyDescent="0.25">
      <c r="A497" s="14"/>
      <c r="B497" s="88" t="e">
        <f>VLOOKUP(Data_PLT[[#This Row],[Hole ID]],Data_Log[],2,FALSE)</f>
        <v>#N/A</v>
      </c>
      <c r="C497" s="63" t="str">
        <f>IF(Data_PLT[[#This Row],[Hole ID]]="","",
IF(COUNTIF($A$4:A497,Data_PLT[[#This Row],[Hole ID]])=1,1,
IF(A497=A496,C496+1,
COUNTIF($A$4:A497,Data_PLT[[#This Row],[Hole ID]]))))</f>
        <v/>
      </c>
      <c r="D497" s="63" t="str">
        <f>IF(Data_PLT[[#This Row],[Hole ID]]="","",Data_PLT[[#This Row],[Hole ID]]&amp;"_"&amp;Data_PLT[[#This Row],[Sample ID]])</f>
        <v/>
      </c>
      <c r="E497" s="6"/>
      <c r="F497" s="6"/>
      <c r="G497" s="63" t="e" cm="1">
        <f t="array" ref="G497">_xlfn.XLOOKUP(1,(A497=Geotech!$A$4:$A$11100)*(Data_PLT[[#This Row],[Depth (m)]]&gt;=Geotech!$C$4:$C$11100)*(Data_PLT[[#This Row],[Depth (m)]]&lt;Geotech!$D$4:$D$11100),Geotech!$M$4:$M$11100)</f>
        <v>#N/A</v>
      </c>
      <c r="H497" s="6"/>
      <c r="I497" s="63" t="e">
        <f>VLOOKUP(Data_PLT[[#This Row],[Hole ID]],Data_Log[[Hole ID]:[Core size]],20,FALSE)</f>
        <v>#N/A</v>
      </c>
      <c r="J497" s="13" t="e">
        <f>VLOOKUP(Data_PLT[[#This Row],[Core Size]],Table_CoreSize[],2,FALSE)</f>
        <v>#N/A</v>
      </c>
      <c r="K497" s="19"/>
      <c r="L497" s="19"/>
      <c r="M497" s="5"/>
      <c r="N497" s="5"/>
      <c r="O497" s="6"/>
      <c r="P497" s="13" t="str">
        <f>IF(Data_PLT[[#This Row],[Failure type]]="","",IF(OR(Data_PLT[[#This Row],[Failure type]]="Invalid",Data_PLT[[#This Row],[Failure type]]="Chipped",Data_PLT[[#This Row],[Failure type]]="Penetrate",Data_PLT[[#This Row],[Failure type]]="Did not break"),"Invalid","Valid"))</f>
        <v/>
      </c>
      <c r="Q497" s="6"/>
      <c r="R497" s="11"/>
      <c r="S497" s="13" t="str">
        <f>IF(Data_PLT[[#This Row],[Test type]]="Diametral",Data_PLT[[#This Row],[Diameter (mm)]],IF(Data_PLT[[#This Row],[Test type]]="Axial",SQRT(4*Data_PLT[[#This Row],[Diameter (mm)]]*Data_PLT[[#This Row],[Length or width (mm)]]/PI()),"ERROR"))</f>
        <v>ERROR</v>
      </c>
      <c r="T497" s="13" t="e">
        <f>(Data_PLT[[#This Row],[Load (kN)]]*1000)/Data_PLT[[#This Row],[Equiv. Diam. (mm)]]^2</f>
        <v>#VALUE!</v>
      </c>
      <c r="U497" s="13" t="e">
        <f>(Data_PLT[[#This Row],[Equiv. Diam. (mm)]]/50)^0.45</f>
        <v>#VALUE!</v>
      </c>
      <c r="V497" s="13" t="e">
        <f>Data_PLT[[#This Row],[Is (MPa)]]*Data_PLT[[#This Row],[F]]</f>
        <v>#VALUE!</v>
      </c>
      <c r="W497" s="13" t="str">
        <f>Data_PLT[[#This Row],[Failure Validity]]&amp;"-"&amp;Data_PLT[[#This Row],[Test type]]</f>
        <v>-</v>
      </c>
      <c r="X497" s="13" t="e">
        <f>Data_PLT[[#This Row],[Is50 (MPa)]]*VLOOKUP("Min",Table_PLT_Conversion[],2,FALSE)</f>
        <v>#VALUE!</v>
      </c>
      <c r="Y497" s="13" t="e">
        <f>Data_PLT[[#This Row],[Is50 (MPa)]]*VLOOKUP("Avg",Table_PLT_Conversion[],2,FALSE)</f>
        <v>#VALUE!</v>
      </c>
      <c r="Z497" s="13" t="e">
        <f>Data_PLT[[#This Row],[Is50 (MPa)]]*VLOOKUP("Max",Table_PLT_Conversion[],2,FALSE)</f>
        <v>#VALUE!</v>
      </c>
      <c r="AA497" s="62" t="e">
        <f>MATCH(LOOKUP(Data_PLT[[#This Row],[UCS min (MPa)]],Table_FieldStrength[Min UCS]),Table_FieldStrength[Min UCS],0)-1</f>
        <v>#VALUE!</v>
      </c>
      <c r="AB497" s="62" t="e">
        <f>MATCH(LOOKUP(Data_PLT[[#This Row],[UCS avg (MPa)]],Table_FieldStrength[Min UCS]),Table_FieldStrength[Min UCS],0)-1</f>
        <v>#VALUE!</v>
      </c>
      <c r="AC497" s="62" t="e">
        <f>MATCH(LOOKUP(Data_PLT[[#This Row],[UCS max (MPa)]],Table_FieldStrength[Min UCS]),Table_FieldStrength[Min UCS],0)-1</f>
        <v>#VALUE!</v>
      </c>
      <c r="AD497" s="68" t="e">
        <f>Data_PLT[[#This Row],[Test code]]&amp;"-"&amp;Data_PLT[[#This Row],[UCS min code]]</f>
        <v>#VALUE!</v>
      </c>
      <c r="AE497" s="68" t="e">
        <f>Data_PLT[[#This Row],[Test code]]&amp;"-"&amp;Data_PLT[[#This Row],[UCS avg code]]</f>
        <v>#VALUE!</v>
      </c>
      <c r="AF497" s="67" t="e">
        <f>Data_PLT[[#This Row],[Test code]]&amp;"-"&amp;Data_PLT[[#This Row],[UCS max code]]</f>
        <v>#VALUE!</v>
      </c>
      <c r="AG497" s="67" t="e">
        <f>Data_PLT[[#This Row],[Failure type]]&amp;"-"&amp;Data_PLT[[#This Row],[Test type]]&amp;"-"&amp;(IF(Data_PLT[[#This Row],[Is50 (MPa)]]&lt;1,1,IF(Data_PLT[[#This Row],[Is50 (MPa)]]&lt;2,2,IF(Data_PLT[[#This Row],[Is50 (MPa)]]&lt;4,3,IF(Data_PLT[[#This Row],[Is50 (MPa)]]&lt;8,4,5)))))</f>
        <v>#VALUE!</v>
      </c>
    </row>
    <row r="498" spans="1:33" x14ac:dyDescent="0.25">
      <c r="A498" s="14"/>
      <c r="B498" s="88" t="e">
        <f>VLOOKUP(Data_PLT[[#This Row],[Hole ID]],Data_Log[],2,FALSE)</f>
        <v>#N/A</v>
      </c>
      <c r="C498" s="63" t="str">
        <f>IF(Data_PLT[[#This Row],[Hole ID]]="","",
IF(COUNTIF($A$4:A498,Data_PLT[[#This Row],[Hole ID]])=1,1,
IF(A498=A497,C497+1,
COUNTIF($A$4:A498,Data_PLT[[#This Row],[Hole ID]]))))</f>
        <v/>
      </c>
      <c r="D498" s="63" t="str">
        <f>IF(Data_PLT[[#This Row],[Hole ID]]="","",Data_PLT[[#This Row],[Hole ID]]&amp;"_"&amp;Data_PLT[[#This Row],[Sample ID]])</f>
        <v/>
      </c>
      <c r="E498" s="6"/>
      <c r="F498" s="6"/>
      <c r="G498" s="63" t="e" cm="1">
        <f t="array" ref="G498">_xlfn.XLOOKUP(1,(A498=Geotech!$A$4:$A$11100)*(Data_PLT[[#This Row],[Depth (m)]]&gt;=Geotech!$C$4:$C$11100)*(Data_PLT[[#This Row],[Depth (m)]]&lt;Geotech!$D$4:$D$11100),Geotech!$M$4:$M$11100)</f>
        <v>#N/A</v>
      </c>
      <c r="H498" s="6"/>
      <c r="I498" s="63" t="e">
        <f>VLOOKUP(Data_PLT[[#This Row],[Hole ID]],Data_Log[[Hole ID]:[Core size]],20,FALSE)</f>
        <v>#N/A</v>
      </c>
      <c r="J498" s="13" t="e">
        <f>VLOOKUP(Data_PLT[[#This Row],[Core Size]],Table_CoreSize[],2,FALSE)</f>
        <v>#N/A</v>
      </c>
      <c r="K498" s="19"/>
      <c r="L498" s="19"/>
      <c r="M498" s="5"/>
      <c r="N498" s="5"/>
      <c r="O498" s="6"/>
      <c r="P498" s="13" t="str">
        <f>IF(Data_PLT[[#This Row],[Failure type]]="","",IF(OR(Data_PLT[[#This Row],[Failure type]]="Invalid",Data_PLT[[#This Row],[Failure type]]="Chipped",Data_PLT[[#This Row],[Failure type]]="Penetrate",Data_PLT[[#This Row],[Failure type]]="Did not break"),"Invalid","Valid"))</f>
        <v/>
      </c>
      <c r="Q498" s="6"/>
      <c r="R498" s="11"/>
      <c r="S498" s="13" t="str">
        <f>IF(Data_PLT[[#This Row],[Test type]]="Diametral",Data_PLT[[#This Row],[Diameter (mm)]],IF(Data_PLT[[#This Row],[Test type]]="Axial",SQRT(4*Data_PLT[[#This Row],[Diameter (mm)]]*Data_PLT[[#This Row],[Length or width (mm)]]/PI()),"ERROR"))</f>
        <v>ERROR</v>
      </c>
      <c r="T498" s="13" t="e">
        <f>(Data_PLT[[#This Row],[Load (kN)]]*1000)/Data_PLT[[#This Row],[Equiv. Diam. (mm)]]^2</f>
        <v>#VALUE!</v>
      </c>
      <c r="U498" s="13" t="e">
        <f>(Data_PLT[[#This Row],[Equiv. Diam. (mm)]]/50)^0.45</f>
        <v>#VALUE!</v>
      </c>
      <c r="V498" s="13" t="e">
        <f>Data_PLT[[#This Row],[Is (MPa)]]*Data_PLT[[#This Row],[F]]</f>
        <v>#VALUE!</v>
      </c>
      <c r="W498" s="13" t="str">
        <f>Data_PLT[[#This Row],[Failure Validity]]&amp;"-"&amp;Data_PLT[[#This Row],[Test type]]</f>
        <v>-</v>
      </c>
      <c r="X498" s="13" t="e">
        <f>Data_PLT[[#This Row],[Is50 (MPa)]]*VLOOKUP("Min",Table_PLT_Conversion[],2,FALSE)</f>
        <v>#VALUE!</v>
      </c>
      <c r="Y498" s="13" t="e">
        <f>Data_PLT[[#This Row],[Is50 (MPa)]]*VLOOKUP("Avg",Table_PLT_Conversion[],2,FALSE)</f>
        <v>#VALUE!</v>
      </c>
      <c r="Z498" s="13" t="e">
        <f>Data_PLT[[#This Row],[Is50 (MPa)]]*VLOOKUP("Max",Table_PLT_Conversion[],2,FALSE)</f>
        <v>#VALUE!</v>
      </c>
      <c r="AA498" s="62" t="e">
        <f>MATCH(LOOKUP(Data_PLT[[#This Row],[UCS min (MPa)]],Table_FieldStrength[Min UCS]),Table_FieldStrength[Min UCS],0)-1</f>
        <v>#VALUE!</v>
      </c>
      <c r="AB498" s="62" t="e">
        <f>MATCH(LOOKUP(Data_PLT[[#This Row],[UCS avg (MPa)]],Table_FieldStrength[Min UCS]),Table_FieldStrength[Min UCS],0)-1</f>
        <v>#VALUE!</v>
      </c>
      <c r="AC498" s="62" t="e">
        <f>MATCH(LOOKUP(Data_PLT[[#This Row],[UCS max (MPa)]],Table_FieldStrength[Min UCS]),Table_FieldStrength[Min UCS],0)-1</f>
        <v>#VALUE!</v>
      </c>
      <c r="AD498" s="68" t="e">
        <f>Data_PLT[[#This Row],[Test code]]&amp;"-"&amp;Data_PLT[[#This Row],[UCS min code]]</f>
        <v>#VALUE!</v>
      </c>
      <c r="AE498" s="68" t="e">
        <f>Data_PLT[[#This Row],[Test code]]&amp;"-"&amp;Data_PLT[[#This Row],[UCS avg code]]</f>
        <v>#VALUE!</v>
      </c>
      <c r="AF498" s="67" t="e">
        <f>Data_PLT[[#This Row],[Test code]]&amp;"-"&amp;Data_PLT[[#This Row],[UCS max code]]</f>
        <v>#VALUE!</v>
      </c>
      <c r="AG498" s="67" t="e">
        <f>Data_PLT[[#This Row],[Failure type]]&amp;"-"&amp;Data_PLT[[#This Row],[Test type]]&amp;"-"&amp;(IF(Data_PLT[[#This Row],[Is50 (MPa)]]&lt;1,1,IF(Data_PLT[[#This Row],[Is50 (MPa)]]&lt;2,2,IF(Data_PLT[[#This Row],[Is50 (MPa)]]&lt;4,3,IF(Data_PLT[[#This Row],[Is50 (MPa)]]&lt;8,4,5)))))</f>
        <v>#VALUE!</v>
      </c>
    </row>
    <row r="499" spans="1:33" x14ac:dyDescent="0.25">
      <c r="A499" s="14"/>
      <c r="B499" s="88" t="e">
        <f>VLOOKUP(Data_PLT[[#This Row],[Hole ID]],Data_Log[],2,FALSE)</f>
        <v>#N/A</v>
      </c>
      <c r="C499" s="63" t="str">
        <f>IF(Data_PLT[[#This Row],[Hole ID]]="","",
IF(COUNTIF($A$4:A499,Data_PLT[[#This Row],[Hole ID]])=1,1,
IF(A499=A498,C498+1,
COUNTIF($A$4:A499,Data_PLT[[#This Row],[Hole ID]]))))</f>
        <v/>
      </c>
      <c r="D499" s="63" t="str">
        <f>IF(Data_PLT[[#This Row],[Hole ID]]="","",Data_PLT[[#This Row],[Hole ID]]&amp;"_"&amp;Data_PLT[[#This Row],[Sample ID]])</f>
        <v/>
      </c>
      <c r="E499" s="6"/>
      <c r="F499" s="6"/>
      <c r="G499" s="63" t="e" cm="1">
        <f t="array" ref="G499">_xlfn.XLOOKUP(1,(A499=Geotech!$A$4:$A$11100)*(Data_PLT[[#This Row],[Depth (m)]]&gt;=Geotech!$C$4:$C$11100)*(Data_PLT[[#This Row],[Depth (m)]]&lt;Geotech!$D$4:$D$11100),Geotech!$M$4:$M$11100)</f>
        <v>#N/A</v>
      </c>
      <c r="H499" s="6"/>
      <c r="I499" s="63" t="e">
        <f>VLOOKUP(Data_PLT[[#This Row],[Hole ID]],Data_Log[[Hole ID]:[Core size]],20,FALSE)</f>
        <v>#N/A</v>
      </c>
      <c r="J499" s="13" t="e">
        <f>VLOOKUP(Data_PLT[[#This Row],[Core Size]],Table_CoreSize[],2,FALSE)</f>
        <v>#N/A</v>
      </c>
      <c r="K499" s="19"/>
      <c r="L499" s="19"/>
      <c r="M499" s="5"/>
      <c r="N499" s="5"/>
      <c r="O499" s="6"/>
      <c r="P499" s="13" t="str">
        <f>IF(Data_PLT[[#This Row],[Failure type]]="","",IF(OR(Data_PLT[[#This Row],[Failure type]]="Invalid",Data_PLT[[#This Row],[Failure type]]="Chipped",Data_PLT[[#This Row],[Failure type]]="Penetrate",Data_PLT[[#This Row],[Failure type]]="Did not break"),"Invalid","Valid"))</f>
        <v/>
      </c>
      <c r="Q499" s="6"/>
      <c r="R499" s="11"/>
      <c r="S499" s="13" t="str">
        <f>IF(Data_PLT[[#This Row],[Test type]]="Diametral",Data_PLT[[#This Row],[Diameter (mm)]],IF(Data_PLT[[#This Row],[Test type]]="Axial",SQRT(4*Data_PLT[[#This Row],[Diameter (mm)]]*Data_PLT[[#This Row],[Length or width (mm)]]/PI()),"ERROR"))</f>
        <v>ERROR</v>
      </c>
      <c r="T499" s="13" t="e">
        <f>(Data_PLT[[#This Row],[Load (kN)]]*1000)/Data_PLT[[#This Row],[Equiv. Diam. (mm)]]^2</f>
        <v>#VALUE!</v>
      </c>
      <c r="U499" s="13" t="e">
        <f>(Data_PLT[[#This Row],[Equiv. Diam. (mm)]]/50)^0.45</f>
        <v>#VALUE!</v>
      </c>
      <c r="V499" s="13" t="e">
        <f>Data_PLT[[#This Row],[Is (MPa)]]*Data_PLT[[#This Row],[F]]</f>
        <v>#VALUE!</v>
      </c>
      <c r="W499" s="13" t="str">
        <f>Data_PLT[[#This Row],[Failure Validity]]&amp;"-"&amp;Data_PLT[[#This Row],[Test type]]</f>
        <v>-</v>
      </c>
      <c r="X499" s="13" t="e">
        <f>Data_PLT[[#This Row],[Is50 (MPa)]]*VLOOKUP("Min",Table_PLT_Conversion[],2,FALSE)</f>
        <v>#VALUE!</v>
      </c>
      <c r="Y499" s="13" t="e">
        <f>Data_PLT[[#This Row],[Is50 (MPa)]]*VLOOKUP("Avg",Table_PLT_Conversion[],2,FALSE)</f>
        <v>#VALUE!</v>
      </c>
      <c r="Z499" s="13" t="e">
        <f>Data_PLT[[#This Row],[Is50 (MPa)]]*VLOOKUP("Max",Table_PLT_Conversion[],2,FALSE)</f>
        <v>#VALUE!</v>
      </c>
      <c r="AA499" s="62" t="e">
        <f>MATCH(LOOKUP(Data_PLT[[#This Row],[UCS min (MPa)]],Table_FieldStrength[Min UCS]),Table_FieldStrength[Min UCS],0)-1</f>
        <v>#VALUE!</v>
      </c>
      <c r="AB499" s="62" t="e">
        <f>MATCH(LOOKUP(Data_PLT[[#This Row],[UCS avg (MPa)]],Table_FieldStrength[Min UCS]),Table_FieldStrength[Min UCS],0)-1</f>
        <v>#VALUE!</v>
      </c>
      <c r="AC499" s="62" t="e">
        <f>MATCH(LOOKUP(Data_PLT[[#This Row],[UCS max (MPa)]],Table_FieldStrength[Min UCS]),Table_FieldStrength[Min UCS],0)-1</f>
        <v>#VALUE!</v>
      </c>
      <c r="AD499" s="68" t="e">
        <f>Data_PLT[[#This Row],[Test code]]&amp;"-"&amp;Data_PLT[[#This Row],[UCS min code]]</f>
        <v>#VALUE!</v>
      </c>
      <c r="AE499" s="68" t="e">
        <f>Data_PLT[[#This Row],[Test code]]&amp;"-"&amp;Data_PLT[[#This Row],[UCS avg code]]</f>
        <v>#VALUE!</v>
      </c>
      <c r="AF499" s="67" t="e">
        <f>Data_PLT[[#This Row],[Test code]]&amp;"-"&amp;Data_PLT[[#This Row],[UCS max code]]</f>
        <v>#VALUE!</v>
      </c>
      <c r="AG499" s="67" t="e">
        <f>Data_PLT[[#This Row],[Failure type]]&amp;"-"&amp;Data_PLT[[#This Row],[Test type]]&amp;"-"&amp;(IF(Data_PLT[[#This Row],[Is50 (MPa)]]&lt;1,1,IF(Data_PLT[[#This Row],[Is50 (MPa)]]&lt;2,2,IF(Data_PLT[[#This Row],[Is50 (MPa)]]&lt;4,3,IF(Data_PLT[[#This Row],[Is50 (MPa)]]&lt;8,4,5)))))</f>
        <v>#VALUE!</v>
      </c>
    </row>
    <row r="500" spans="1:33" x14ac:dyDescent="0.25">
      <c r="A500" s="14"/>
      <c r="B500" s="88" t="e">
        <f>VLOOKUP(Data_PLT[[#This Row],[Hole ID]],Data_Log[],2,FALSE)</f>
        <v>#N/A</v>
      </c>
      <c r="C500" s="63" t="str">
        <f>IF(Data_PLT[[#This Row],[Hole ID]]="","",
IF(COUNTIF($A$4:A500,Data_PLT[[#This Row],[Hole ID]])=1,1,
IF(A500=A499,C499+1,
COUNTIF($A$4:A500,Data_PLT[[#This Row],[Hole ID]]))))</f>
        <v/>
      </c>
      <c r="D500" s="63" t="str">
        <f>IF(Data_PLT[[#This Row],[Hole ID]]="","",Data_PLT[[#This Row],[Hole ID]]&amp;"_"&amp;Data_PLT[[#This Row],[Sample ID]])</f>
        <v/>
      </c>
      <c r="E500" s="6"/>
      <c r="F500" s="6"/>
      <c r="G500" s="63" t="e" cm="1">
        <f t="array" ref="G500">_xlfn.XLOOKUP(1,(A500=Geotech!$A$4:$A$11100)*(Data_PLT[[#This Row],[Depth (m)]]&gt;=Geotech!$C$4:$C$11100)*(Data_PLT[[#This Row],[Depth (m)]]&lt;Geotech!$D$4:$D$11100),Geotech!$M$4:$M$11100)</f>
        <v>#N/A</v>
      </c>
      <c r="H500" s="6"/>
      <c r="I500" s="63" t="e">
        <f>VLOOKUP(Data_PLT[[#This Row],[Hole ID]],Data_Log[[Hole ID]:[Core size]],20,FALSE)</f>
        <v>#N/A</v>
      </c>
      <c r="J500" s="13" t="e">
        <f>VLOOKUP(Data_PLT[[#This Row],[Core Size]],Table_CoreSize[],2,FALSE)</f>
        <v>#N/A</v>
      </c>
      <c r="K500" s="19"/>
      <c r="L500" s="19"/>
      <c r="M500" s="5"/>
      <c r="N500" s="5"/>
      <c r="O500" s="6"/>
      <c r="P500" s="13" t="str">
        <f>IF(Data_PLT[[#This Row],[Failure type]]="","",IF(OR(Data_PLT[[#This Row],[Failure type]]="Invalid",Data_PLT[[#This Row],[Failure type]]="Chipped",Data_PLT[[#This Row],[Failure type]]="Penetrate",Data_PLT[[#This Row],[Failure type]]="Did not break"),"Invalid","Valid"))</f>
        <v/>
      </c>
      <c r="Q500" s="6"/>
      <c r="R500" s="11"/>
      <c r="S500" s="13" t="str">
        <f>IF(Data_PLT[[#This Row],[Test type]]="Diametral",Data_PLT[[#This Row],[Diameter (mm)]],IF(Data_PLT[[#This Row],[Test type]]="Axial",SQRT(4*Data_PLT[[#This Row],[Diameter (mm)]]*Data_PLT[[#This Row],[Length or width (mm)]]/PI()),"ERROR"))</f>
        <v>ERROR</v>
      </c>
      <c r="T500" s="13" t="e">
        <f>(Data_PLT[[#This Row],[Load (kN)]]*1000)/Data_PLT[[#This Row],[Equiv. Diam. (mm)]]^2</f>
        <v>#VALUE!</v>
      </c>
      <c r="U500" s="13" t="e">
        <f>(Data_PLT[[#This Row],[Equiv. Diam. (mm)]]/50)^0.45</f>
        <v>#VALUE!</v>
      </c>
      <c r="V500" s="13" t="e">
        <f>Data_PLT[[#This Row],[Is (MPa)]]*Data_PLT[[#This Row],[F]]</f>
        <v>#VALUE!</v>
      </c>
      <c r="W500" s="13" t="str">
        <f>Data_PLT[[#This Row],[Failure Validity]]&amp;"-"&amp;Data_PLT[[#This Row],[Test type]]</f>
        <v>-</v>
      </c>
      <c r="X500" s="13" t="e">
        <f>Data_PLT[[#This Row],[Is50 (MPa)]]*VLOOKUP("Min",Table_PLT_Conversion[],2,FALSE)</f>
        <v>#VALUE!</v>
      </c>
      <c r="Y500" s="13" t="e">
        <f>Data_PLT[[#This Row],[Is50 (MPa)]]*VLOOKUP("Avg",Table_PLT_Conversion[],2,FALSE)</f>
        <v>#VALUE!</v>
      </c>
      <c r="Z500" s="13" t="e">
        <f>Data_PLT[[#This Row],[Is50 (MPa)]]*VLOOKUP("Max",Table_PLT_Conversion[],2,FALSE)</f>
        <v>#VALUE!</v>
      </c>
      <c r="AA500" s="62" t="e">
        <f>MATCH(LOOKUP(Data_PLT[[#This Row],[UCS min (MPa)]],Table_FieldStrength[Min UCS]),Table_FieldStrength[Min UCS],0)-1</f>
        <v>#VALUE!</v>
      </c>
      <c r="AB500" s="62" t="e">
        <f>MATCH(LOOKUP(Data_PLT[[#This Row],[UCS avg (MPa)]],Table_FieldStrength[Min UCS]),Table_FieldStrength[Min UCS],0)-1</f>
        <v>#VALUE!</v>
      </c>
      <c r="AC500" s="62" t="e">
        <f>MATCH(LOOKUP(Data_PLT[[#This Row],[UCS max (MPa)]],Table_FieldStrength[Min UCS]),Table_FieldStrength[Min UCS],0)-1</f>
        <v>#VALUE!</v>
      </c>
      <c r="AD500" s="68" t="e">
        <f>Data_PLT[[#This Row],[Test code]]&amp;"-"&amp;Data_PLT[[#This Row],[UCS min code]]</f>
        <v>#VALUE!</v>
      </c>
      <c r="AE500" s="68" t="e">
        <f>Data_PLT[[#This Row],[Test code]]&amp;"-"&amp;Data_PLT[[#This Row],[UCS avg code]]</f>
        <v>#VALUE!</v>
      </c>
      <c r="AF500" s="67" t="e">
        <f>Data_PLT[[#This Row],[Test code]]&amp;"-"&amp;Data_PLT[[#This Row],[UCS max code]]</f>
        <v>#VALUE!</v>
      </c>
      <c r="AG500" s="67" t="e">
        <f>Data_PLT[[#This Row],[Failure type]]&amp;"-"&amp;Data_PLT[[#This Row],[Test type]]&amp;"-"&amp;(IF(Data_PLT[[#This Row],[Is50 (MPa)]]&lt;1,1,IF(Data_PLT[[#This Row],[Is50 (MPa)]]&lt;2,2,IF(Data_PLT[[#This Row],[Is50 (MPa)]]&lt;4,3,IF(Data_PLT[[#This Row],[Is50 (MPa)]]&lt;8,4,5)))))</f>
        <v>#VALUE!</v>
      </c>
    </row>
    <row r="501" spans="1:33" x14ac:dyDescent="0.25">
      <c r="A501" s="14"/>
      <c r="B501" s="88" t="e">
        <f>VLOOKUP(Data_PLT[[#This Row],[Hole ID]],Data_Log[],2,FALSE)</f>
        <v>#N/A</v>
      </c>
      <c r="C501" s="63" t="str">
        <f>IF(Data_PLT[[#This Row],[Hole ID]]="","",
IF(COUNTIF($A$4:A501,Data_PLT[[#This Row],[Hole ID]])=1,1,
IF(A501=A500,C500+1,
COUNTIF($A$4:A501,Data_PLT[[#This Row],[Hole ID]]))))</f>
        <v/>
      </c>
      <c r="D501" s="63" t="str">
        <f>IF(Data_PLT[[#This Row],[Hole ID]]="","",Data_PLT[[#This Row],[Hole ID]]&amp;"_"&amp;Data_PLT[[#This Row],[Sample ID]])</f>
        <v/>
      </c>
      <c r="E501" s="6"/>
      <c r="F501" s="6"/>
      <c r="G501" s="63" t="e" cm="1">
        <f t="array" ref="G501">_xlfn.XLOOKUP(1,(A501=Geotech!$A$4:$A$11100)*(Data_PLT[[#This Row],[Depth (m)]]&gt;=Geotech!$C$4:$C$11100)*(Data_PLT[[#This Row],[Depth (m)]]&lt;Geotech!$D$4:$D$11100),Geotech!$M$4:$M$11100)</f>
        <v>#N/A</v>
      </c>
      <c r="H501" s="6"/>
      <c r="I501" s="63" t="e">
        <f>VLOOKUP(Data_PLT[[#This Row],[Hole ID]],Data_Log[[Hole ID]:[Core size]],20,FALSE)</f>
        <v>#N/A</v>
      </c>
      <c r="J501" s="13" t="e">
        <f>VLOOKUP(Data_PLT[[#This Row],[Core Size]],Table_CoreSize[],2,FALSE)</f>
        <v>#N/A</v>
      </c>
      <c r="K501" s="19"/>
      <c r="L501" s="19"/>
      <c r="M501" s="5"/>
      <c r="N501" s="5"/>
      <c r="O501" s="6"/>
      <c r="P501" s="13" t="str">
        <f>IF(Data_PLT[[#This Row],[Failure type]]="","",IF(OR(Data_PLT[[#This Row],[Failure type]]="Invalid",Data_PLT[[#This Row],[Failure type]]="Chipped",Data_PLT[[#This Row],[Failure type]]="Penetrate",Data_PLT[[#This Row],[Failure type]]="Did not break"),"Invalid","Valid"))</f>
        <v/>
      </c>
      <c r="Q501" s="6"/>
      <c r="R501" s="11"/>
      <c r="S501" s="13" t="str">
        <f>IF(Data_PLT[[#This Row],[Test type]]="Diametral",Data_PLT[[#This Row],[Diameter (mm)]],IF(Data_PLT[[#This Row],[Test type]]="Axial",SQRT(4*Data_PLT[[#This Row],[Diameter (mm)]]*Data_PLT[[#This Row],[Length or width (mm)]]/PI()),"ERROR"))</f>
        <v>ERROR</v>
      </c>
      <c r="T501" s="13" t="e">
        <f>(Data_PLT[[#This Row],[Load (kN)]]*1000)/Data_PLT[[#This Row],[Equiv. Diam. (mm)]]^2</f>
        <v>#VALUE!</v>
      </c>
      <c r="U501" s="13" t="e">
        <f>(Data_PLT[[#This Row],[Equiv. Diam. (mm)]]/50)^0.45</f>
        <v>#VALUE!</v>
      </c>
      <c r="V501" s="13" t="e">
        <f>Data_PLT[[#This Row],[Is (MPa)]]*Data_PLT[[#This Row],[F]]</f>
        <v>#VALUE!</v>
      </c>
      <c r="W501" s="13" t="str">
        <f>Data_PLT[[#This Row],[Failure Validity]]&amp;"-"&amp;Data_PLT[[#This Row],[Test type]]</f>
        <v>-</v>
      </c>
      <c r="X501" s="13" t="e">
        <f>Data_PLT[[#This Row],[Is50 (MPa)]]*VLOOKUP("Min",Table_PLT_Conversion[],2,FALSE)</f>
        <v>#VALUE!</v>
      </c>
      <c r="Y501" s="13" t="e">
        <f>Data_PLT[[#This Row],[Is50 (MPa)]]*VLOOKUP("Avg",Table_PLT_Conversion[],2,FALSE)</f>
        <v>#VALUE!</v>
      </c>
      <c r="Z501" s="13" t="e">
        <f>Data_PLT[[#This Row],[Is50 (MPa)]]*VLOOKUP("Max",Table_PLT_Conversion[],2,FALSE)</f>
        <v>#VALUE!</v>
      </c>
      <c r="AA501" s="62" t="e">
        <f>MATCH(LOOKUP(Data_PLT[[#This Row],[UCS min (MPa)]],Table_FieldStrength[Min UCS]),Table_FieldStrength[Min UCS],0)-1</f>
        <v>#VALUE!</v>
      </c>
      <c r="AB501" s="62" t="e">
        <f>MATCH(LOOKUP(Data_PLT[[#This Row],[UCS avg (MPa)]],Table_FieldStrength[Min UCS]),Table_FieldStrength[Min UCS],0)-1</f>
        <v>#VALUE!</v>
      </c>
      <c r="AC501" s="62" t="e">
        <f>MATCH(LOOKUP(Data_PLT[[#This Row],[UCS max (MPa)]],Table_FieldStrength[Min UCS]),Table_FieldStrength[Min UCS],0)-1</f>
        <v>#VALUE!</v>
      </c>
      <c r="AD501" s="68" t="e">
        <f>Data_PLT[[#This Row],[Test code]]&amp;"-"&amp;Data_PLT[[#This Row],[UCS min code]]</f>
        <v>#VALUE!</v>
      </c>
      <c r="AE501" s="68" t="e">
        <f>Data_PLT[[#This Row],[Test code]]&amp;"-"&amp;Data_PLT[[#This Row],[UCS avg code]]</f>
        <v>#VALUE!</v>
      </c>
      <c r="AF501" s="67" t="e">
        <f>Data_PLT[[#This Row],[Test code]]&amp;"-"&amp;Data_PLT[[#This Row],[UCS max code]]</f>
        <v>#VALUE!</v>
      </c>
      <c r="AG501" s="67" t="e">
        <f>Data_PLT[[#This Row],[Failure type]]&amp;"-"&amp;Data_PLT[[#This Row],[Test type]]&amp;"-"&amp;(IF(Data_PLT[[#This Row],[Is50 (MPa)]]&lt;1,1,IF(Data_PLT[[#This Row],[Is50 (MPa)]]&lt;2,2,IF(Data_PLT[[#This Row],[Is50 (MPa)]]&lt;4,3,IF(Data_PLT[[#This Row],[Is50 (MPa)]]&lt;8,4,5)))))</f>
        <v>#VALUE!</v>
      </c>
    </row>
    <row r="502" spans="1:33" x14ac:dyDescent="0.25">
      <c r="A502" s="14"/>
      <c r="B502" s="88" t="e">
        <f>VLOOKUP(Data_PLT[[#This Row],[Hole ID]],Data_Log[],2,FALSE)</f>
        <v>#N/A</v>
      </c>
      <c r="C502" s="63" t="str">
        <f>IF(Data_PLT[[#This Row],[Hole ID]]="","",
IF(COUNTIF($A$4:A502,Data_PLT[[#This Row],[Hole ID]])=1,1,
IF(A502=A501,C501+1,
COUNTIF($A$4:A502,Data_PLT[[#This Row],[Hole ID]]))))</f>
        <v/>
      </c>
      <c r="D502" s="63" t="str">
        <f>IF(Data_PLT[[#This Row],[Hole ID]]="","",Data_PLT[[#This Row],[Hole ID]]&amp;"_"&amp;Data_PLT[[#This Row],[Sample ID]])</f>
        <v/>
      </c>
      <c r="E502" s="6"/>
      <c r="F502" s="6"/>
      <c r="G502" s="63" t="e" cm="1">
        <f t="array" ref="G502">_xlfn.XLOOKUP(1,(A502=Geotech!$A$4:$A$11100)*(Data_PLT[[#This Row],[Depth (m)]]&gt;=Geotech!$C$4:$C$11100)*(Data_PLT[[#This Row],[Depth (m)]]&lt;Geotech!$D$4:$D$11100),Geotech!$M$4:$M$11100)</f>
        <v>#N/A</v>
      </c>
      <c r="H502" s="6"/>
      <c r="I502" s="63" t="e">
        <f>VLOOKUP(Data_PLT[[#This Row],[Hole ID]],Data_Log[[Hole ID]:[Core size]],20,FALSE)</f>
        <v>#N/A</v>
      </c>
      <c r="J502" s="13" t="e">
        <f>VLOOKUP(Data_PLT[[#This Row],[Core Size]],Table_CoreSize[],2,FALSE)</f>
        <v>#N/A</v>
      </c>
      <c r="K502" s="19"/>
      <c r="L502" s="19"/>
      <c r="M502" s="5"/>
      <c r="N502" s="5"/>
      <c r="O502" s="6"/>
      <c r="P502" s="13" t="str">
        <f>IF(Data_PLT[[#This Row],[Failure type]]="","",IF(OR(Data_PLT[[#This Row],[Failure type]]="Invalid",Data_PLT[[#This Row],[Failure type]]="Chipped",Data_PLT[[#This Row],[Failure type]]="Penetrate",Data_PLT[[#This Row],[Failure type]]="Did not break"),"Invalid","Valid"))</f>
        <v/>
      </c>
      <c r="Q502" s="6"/>
      <c r="R502" s="11"/>
      <c r="S502" s="13" t="str">
        <f>IF(Data_PLT[[#This Row],[Test type]]="Diametral",Data_PLT[[#This Row],[Diameter (mm)]],IF(Data_PLT[[#This Row],[Test type]]="Axial",SQRT(4*Data_PLT[[#This Row],[Diameter (mm)]]*Data_PLT[[#This Row],[Length or width (mm)]]/PI()),"ERROR"))</f>
        <v>ERROR</v>
      </c>
      <c r="T502" s="13" t="e">
        <f>(Data_PLT[[#This Row],[Load (kN)]]*1000)/Data_PLT[[#This Row],[Equiv. Diam. (mm)]]^2</f>
        <v>#VALUE!</v>
      </c>
      <c r="U502" s="13" t="e">
        <f>(Data_PLT[[#This Row],[Equiv. Diam. (mm)]]/50)^0.45</f>
        <v>#VALUE!</v>
      </c>
      <c r="V502" s="13" t="e">
        <f>Data_PLT[[#This Row],[Is (MPa)]]*Data_PLT[[#This Row],[F]]</f>
        <v>#VALUE!</v>
      </c>
      <c r="W502" s="13" t="str">
        <f>Data_PLT[[#This Row],[Failure Validity]]&amp;"-"&amp;Data_PLT[[#This Row],[Test type]]</f>
        <v>-</v>
      </c>
      <c r="X502" s="13" t="e">
        <f>Data_PLT[[#This Row],[Is50 (MPa)]]*VLOOKUP("Min",Table_PLT_Conversion[],2,FALSE)</f>
        <v>#VALUE!</v>
      </c>
      <c r="Y502" s="13" t="e">
        <f>Data_PLT[[#This Row],[Is50 (MPa)]]*VLOOKUP("Avg",Table_PLT_Conversion[],2,FALSE)</f>
        <v>#VALUE!</v>
      </c>
      <c r="Z502" s="13" t="e">
        <f>Data_PLT[[#This Row],[Is50 (MPa)]]*VLOOKUP("Max",Table_PLT_Conversion[],2,FALSE)</f>
        <v>#VALUE!</v>
      </c>
      <c r="AA502" s="62" t="e">
        <f>MATCH(LOOKUP(Data_PLT[[#This Row],[UCS min (MPa)]],Table_FieldStrength[Min UCS]),Table_FieldStrength[Min UCS],0)-1</f>
        <v>#VALUE!</v>
      </c>
      <c r="AB502" s="62" t="e">
        <f>MATCH(LOOKUP(Data_PLT[[#This Row],[UCS avg (MPa)]],Table_FieldStrength[Min UCS]),Table_FieldStrength[Min UCS],0)-1</f>
        <v>#VALUE!</v>
      </c>
      <c r="AC502" s="62" t="e">
        <f>MATCH(LOOKUP(Data_PLT[[#This Row],[UCS max (MPa)]],Table_FieldStrength[Min UCS]),Table_FieldStrength[Min UCS],0)-1</f>
        <v>#VALUE!</v>
      </c>
      <c r="AD502" s="68" t="e">
        <f>Data_PLT[[#This Row],[Test code]]&amp;"-"&amp;Data_PLT[[#This Row],[UCS min code]]</f>
        <v>#VALUE!</v>
      </c>
      <c r="AE502" s="68" t="e">
        <f>Data_PLT[[#This Row],[Test code]]&amp;"-"&amp;Data_PLT[[#This Row],[UCS avg code]]</f>
        <v>#VALUE!</v>
      </c>
      <c r="AF502" s="67" t="e">
        <f>Data_PLT[[#This Row],[Test code]]&amp;"-"&amp;Data_PLT[[#This Row],[UCS max code]]</f>
        <v>#VALUE!</v>
      </c>
      <c r="AG502" s="67" t="e">
        <f>Data_PLT[[#This Row],[Failure type]]&amp;"-"&amp;Data_PLT[[#This Row],[Test type]]&amp;"-"&amp;(IF(Data_PLT[[#This Row],[Is50 (MPa)]]&lt;1,1,IF(Data_PLT[[#This Row],[Is50 (MPa)]]&lt;2,2,IF(Data_PLT[[#This Row],[Is50 (MPa)]]&lt;4,3,IF(Data_PLT[[#This Row],[Is50 (MPa)]]&lt;8,4,5)))))</f>
        <v>#VALUE!</v>
      </c>
    </row>
    <row r="503" spans="1:33" x14ac:dyDescent="0.25">
      <c r="A503" s="14"/>
      <c r="B503" s="88" t="e">
        <f>VLOOKUP(Data_PLT[[#This Row],[Hole ID]],Data_Log[],2,FALSE)</f>
        <v>#N/A</v>
      </c>
      <c r="C503" s="63" t="str">
        <f>IF(Data_PLT[[#This Row],[Hole ID]]="","",
IF(COUNTIF($A$4:A503,Data_PLT[[#This Row],[Hole ID]])=1,1,
IF(A503=A502,C502+1,
COUNTIF($A$4:A503,Data_PLT[[#This Row],[Hole ID]]))))</f>
        <v/>
      </c>
      <c r="D503" s="63" t="str">
        <f>IF(Data_PLT[[#This Row],[Hole ID]]="","",Data_PLT[[#This Row],[Hole ID]]&amp;"_"&amp;Data_PLT[[#This Row],[Sample ID]])</f>
        <v/>
      </c>
      <c r="E503" s="6"/>
      <c r="F503" s="6"/>
      <c r="G503" s="63" t="e" cm="1">
        <f t="array" ref="G503">_xlfn.XLOOKUP(1,(A503=Geotech!$A$4:$A$11100)*(Data_PLT[[#This Row],[Depth (m)]]&gt;=Geotech!$C$4:$C$11100)*(Data_PLT[[#This Row],[Depth (m)]]&lt;Geotech!$D$4:$D$11100),Geotech!$M$4:$M$11100)</f>
        <v>#N/A</v>
      </c>
      <c r="H503" s="6"/>
      <c r="I503" s="63" t="e">
        <f>VLOOKUP(Data_PLT[[#This Row],[Hole ID]],Data_Log[[Hole ID]:[Core size]],20,FALSE)</f>
        <v>#N/A</v>
      </c>
      <c r="J503" s="13" t="e">
        <f>VLOOKUP(Data_PLT[[#This Row],[Core Size]],Table_CoreSize[],2,FALSE)</f>
        <v>#N/A</v>
      </c>
      <c r="K503" s="19"/>
      <c r="L503" s="19"/>
      <c r="M503" s="5"/>
      <c r="N503" s="5"/>
      <c r="O503" s="6"/>
      <c r="P503" s="13" t="str">
        <f>IF(Data_PLT[[#This Row],[Failure type]]="","",IF(OR(Data_PLT[[#This Row],[Failure type]]="Invalid",Data_PLT[[#This Row],[Failure type]]="Chipped",Data_PLT[[#This Row],[Failure type]]="Penetrate",Data_PLT[[#This Row],[Failure type]]="Did not break"),"Invalid","Valid"))</f>
        <v/>
      </c>
      <c r="Q503" s="6"/>
      <c r="R503" s="11"/>
      <c r="S503" s="13" t="str">
        <f>IF(Data_PLT[[#This Row],[Test type]]="Diametral",Data_PLT[[#This Row],[Diameter (mm)]],IF(Data_PLT[[#This Row],[Test type]]="Axial",SQRT(4*Data_PLT[[#This Row],[Diameter (mm)]]*Data_PLT[[#This Row],[Length or width (mm)]]/PI()),"ERROR"))</f>
        <v>ERROR</v>
      </c>
      <c r="T503" s="13" t="e">
        <f>(Data_PLT[[#This Row],[Load (kN)]]*1000)/Data_PLT[[#This Row],[Equiv. Diam. (mm)]]^2</f>
        <v>#VALUE!</v>
      </c>
      <c r="U503" s="13" t="e">
        <f>(Data_PLT[[#This Row],[Equiv. Diam. (mm)]]/50)^0.45</f>
        <v>#VALUE!</v>
      </c>
      <c r="V503" s="13" t="e">
        <f>Data_PLT[[#This Row],[Is (MPa)]]*Data_PLT[[#This Row],[F]]</f>
        <v>#VALUE!</v>
      </c>
      <c r="W503" s="13" t="str">
        <f>Data_PLT[[#This Row],[Failure Validity]]&amp;"-"&amp;Data_PLT[[#This Row],[Test type]]</f>
        <v>-</v>
      </c>
      <c r="X503" s="13" t="e">
        <f>Data_PLT[[#This Row],[Is50 (MPa)]]*VLOOKUP("Min",Table_PLT_Conversion[],2,FALSE)</f>
        <v>#VALUE!</v>
      </c>
      <c r="Y503" s="13" t="e">
        <f>Data_PLT[[#This Row],[Is50 (MPa)]]*VLOOKUP("Avg",Table_PLT_Conversion[],2,FALSE)</f>
        <v>#VALUE!</v>
      </c>
      <c r="Z503" s="13" t="e">
        <f>Data_PLT[[#This Row],[Is50 (MPa)]]*VLOOKUP("Max",Table_PLT_Conversion[],2,FALSE)</f>
        <v>#VALUE!</v>
      </c>
      <c r="AA503" s="62" t="e">
        <f>MATCH(LOOKUP(Data_PLT[[#This Row],[UCS min (MPa)]],Table_FieldStrength[Min UCS]),Table_FieldStrength[Min UCS],0)-1</f>
        <v>#VALUE!</v>
      </c>
      <c r="AB503" s="62" t="e">
        <f>MATCH(LOOKUP(Data_PLT[[#This Row],[UCS avg (MPa)]],Table_FieldStrength[Min UCS]),Table_FieldStrength[Min UCS],0)-1</f>
        <v>#VALUE!</v>
      </c>
      <c r="AC503" s="62" t="e">
        <f>MATCH(LOOKUP(Data_PLT[[#This Row],[UCS max (MPa)]],Table_FieldStrength[Min UCS]),Table_FieldStrength[Min UCS],0)-1</f>
        <v>#VALUE!</v>
      </c>
      <c r="AD503" s="68" t="e">
        <f>Data_PLT[[#This Row],[Test code]]&amp;"-"&amp;Data_PLT[[#This Row],[UCS min code]]</f>
        <v>#VALUE!</v>
      </c>
      <c r="AE503" s="68" t="e">
        <f>Data_PLT[[#This Row],[Test code]]&amp;"-"&amp;Data_PLT[[#This Row],[UCS avg code]]</f>
        <v>#VALUE!</v>
      </c>
      <c r="AF503" s="67" t="e">
        <f>Data_PLT[[#This Row],[Test code]]&amp;"-"&amp;Data_PLT[[#This Row],[UCS max code]]</f>
        <v>#VALUE!</v>
      </c>
      <c r="AG503" s="67" t="e">
        <f>Data_PLT[[#This Row],[Failure type]]&amp;"-"&amp;Data_PLT[[#This Row],[Test type]]&amp;"-"&amp;(IF(Data_PLT[[#This Row],[Is50 (MPa)]]&lt;1,1,IF(Data_PLT[[#This Row],[Is50 (MPa)]]&lt;2,2,IF(Data_PLT[[#This Row],[Is50 (MPa)]]&lt;4,3,IF(Data_PLT[[#This Row],[Is50 (MPa)]]&lt;8,4,5)))))</f>
        <v>#VALUE!</v>
      </c>
    </row>
    <row r="504" spans="1:33" x14ac:dyDescent="0.25">
      <c r="A504" s="14"/>
      <c r="B504" s="88" t="e">
        <f>VLOOKUP(Data_PLT[[#This Row],[Hole ID]],Data_Log[],2,FALSE)</f>
        <v>#N/A</v>
      </c>
      <c r="C504" s="63" t="str">
        <f>IF(Data_PLT[[#This Row],[Hole ID]]="","",
IF(COUNTIF($A$4:A504,Data_PLT[[#This Row],[Hole ID]])=1,1,
IF(A504=A503,C503+1,
COUNTIF($A$4:A504,Data_PLT[[#This Row],[Hole ID]]))))</f>
        <v/>
      </c>
      <c r="D504" s="63" t="str">
        <f>IF(Data_PLT[[#This Row],[Hole ID]]="","",Data_PLT[[#This Row],[Hole ID]]&amp;"_"&amp;Data_PLT[[#This Row],[Sample ID]])</f>
        <v/>
      </c>
      <c r="E504" s="6"/>
      <c r="F504" s="6"/>
      <c r="G504" s="63" t="e" cm="1">
        <f t="array" ref="G504">_xlfn.XLOOKUP(1,(A504=Geotech!$A$4:$A$11100)*(Data_PLT[[#This Row],[Depth (m)]]&gt;=Geotech!$C$4:$C$11100)*(Data_PLT[[#This Row],[Depth (m)]]&lt;Geotech!$D$4:$D$11100),Geotech!$M$4:$M$11100)</f>
        <v>#N/A</v>
      </c>
      <c r="H504" s="6"/>
      <c r="I504" s="63" t="e">
        <f>VLOOKUP(Data_PLT[[#This Row],[Hole ID]],Data_Log[[Hole ID]:[Core size]],20,FALSE)</f>
        <v>#N/A</v>
      </c>
      <c r="J504" s="13" t="e">
        <f>VLOOKUP(Data_PLT[[#This Row],[Core Size]],Table_CoreSize[],2,FALSE)</f>
        <v>#N/A</v>
      </c>
      <c r="K504" s="19"/>
      <c r="L504" s="19"/>
      <c r="M504" s="5"/>
      <c r="N504" s="5"/>
      <c r="O504" s="6"/>
      <c r="P504" s="13" t="str">
        <f>IF(Data_PLT[[#This Row],[Failure type]]="","",IF(OR(Data_PLT[[#This Row],[Failure type]]="Invalid",Data_PLT[[#This Row],[Failure type]]="Chipped",Data_PLT[[#This Row],[Failure type]]="Penetrate",Data_PLT[[#This Row],[Failure type]]="Did not break"),"Invalid","Valid"))</f>
        <v/>
      </c>
      <c r="Q504" s="6"/>
      <c r="R504" s="11"/>
      <c r="S504" s="13" t="str">
        <f>IF(Data_PLT[[#This Row],[Test type]]="Diametral",Data_PLT[[#This Row],[Diameter (mm)]],IF(Data_PLT[[#This Row],[Test type]]="Axial",SQRT(4*Data_PLT[[#This Row],[Diameter (mm)]]*Data_PLT[[#This Row],[Length or width (mm)]]/PI()),"ERROR"))</f>
        <v>ERROR</v>
      </c>
      <c r="T504" s="13" t="e">
        <f>(Data_PLT[[#This Row],[Load (kN)]]*1000)/Data_PLT[[#This Row],[Equiv. Diam. (mm)]]^2</f>
        <v>#VALUE!</v>
      </c>
      <c r="U504" s="13" t="e">
        <f>(Data_PLT[[#This Row],[Equiv. Diam. (mm)]]/50)^0.45</f>
        <v>#VALUE!</v>
      </c>
      <c r="V504" s="13" t="e">
        <f>Data_PLT[[#This Row],[Is (MPa)]]*Data_PLT[[#This Row],[F]]</f>
        <v>#VALUE!</v>
      </c>
      <c r="W504" s="13" t="str">
        <f>Data_PLT[[#This Row],[Failure Validity]]&amp;"-"&amp;Data_PLT[[#This Row],[Test type]]</f>
        <v>-</v>
      </c>
      <c r="X504" s="13" t="e">
        <f>Data_PLT[[#This Row],[Is50 (MPa)]]*VLOOKUP("Min",Table_PLT_Conversion[],2,FALSE)</f>
        <v>#VALUE!</v>
      </c>
      <c r="Y504" s="13" t="e">
        <f>Data_PLT[[#This Row],[Is50 (MPa)]]*VLOOKUP("Avg",Table_PLT_Conversion[],2,FALSE)</f>
        <v>#VALUE!</v>
      </c>
      <c r="Z504" s="13" t="e">
        <f>Data_PLT[[#This Row],[Is50 (MPa)]]*VLOOKUP("Max",Table_PLT_Conversion[],2,FALSE)</f>
        <v>#VALUE!</v>
      </c>
      <c r="AA504" s="62" t="e">
        <f>MATCH(LOOKUP(Data_PLT[[#This Row],[UCS min (MPa)]],Table_FieldStrength[Min UCS]),Table_FieldStrength[Min UCS],0)-1</f>
        <v>#VALUE!</v>
      </c>
      <c r="AB504" s="62" t="e">
        <f>MATCH(LOOKUP(Data_PLT[[#This Row],[UCS avg (MPa)]],Table_FieldStrength[Min UCS]),Table_FieldStrength[Min UCS],0)-1</f>
        <v>#VALUE!</v>
      </c>
      <c r="AC504" s="62" t="e">
        <f>MATCH(LOOKUP(Data_PLT[[#This Row],[UCS max (MPa)]],Table_FieldStrength[Min UCS]),Table_FieldStrength[Min UCS],0)-1</f>
        <v>#VALUE!</v>
      </c>
      <c r="AD504" s="68" t="e">
        <f>Data_PLT[[#This Row],[Test code]]&amp;"-"&amp;Data_PLT[[#This Row],[UCS min code]]</f>
        <v>#VALUE!</v>
      </c>
      <c r="AE504" s="68" t="e">
        <f>Data_PLT[[#This Row],[Test code]]&amp;"-"&amp;Data_PLT[[#This Row],[UCS avg code]]</f>
        <v>#VALUE!</v>
      </c>
      <c r="AF504" s="67" t="e">
        <f>Data_PLT[[#This Row],[Test code]]&amp;"-"&amp;Data_PLT[[#This Row],[UCS max code]]</f>
        <v>#VALUE!</v>
      </c>
      <c r="AG504" s="67" t="e">
        <f>Data_PLT[[#This Row],[Failure type]]&amp;"-"&amp;Data_PLT[[#This Row],[Test type]]&amp;"-"&amp;(IF(Data_PLT[[#This Row],[Is50 (MPa)]]&lt;1,1,IF(Data_PLT[[#This Row],[Is50 (MPa)]]&lt;2,2,IF(Data_PLT[[#This Row],[Is50 (MPa)]]&lt;4,3,IF(Data_PLT[[#This Row],[Is50 (MPa)]]&lt;8,4,5)))))</f>
        <v>#VALUE!</v>
      </c>
    </row>
    <row r="505" spans="1:33" x14ac:dyDescent="0.25">
      <c r="A505" s="14"/>
      <c r="B505" s="88" t="e">
        <f>VLOOKUP(Data_PLT[[#This Row],[Hole ID]],Data_Log[],2,FALSE)</f>
        <v>#N/A</v>
      </c>
      <c r="C505" s="63" t="str">
        <f>IF(Data_PLT[[#This Row],[Hole ID]]="","",
IF(COUNTIF($A$4:A505,Data_PLT[[#This Row],[Hole ID]])=1,1,
IF(A505=A504,C504+1,
COUNTIF($A$4:A505,Data_PLT[[#This Row],[Hole ID]]))))</f>
        <v/>
      </c>
      <c r="D505" s="63" t="str">
        <f>IF(Data_PLT[[#This Row],[Hole ID]]="","",Data_PLT[[#This Row],[Hole ID]]&amp;"_"&amp;Data_PLT[[#This Row],[Sample ID]])</f>
        <v/>
      </c>
      <c r="E505" s="6"/>
      <c r="F505" s="6"/>
      <c r="G505" s="63" t="e" cm="1">
        <f t="array" ref="G505">_xlfn.XLOOKUP(1,(A505=Geotech!$A$4:$A$11100)*(Data_PLT[[#This Row],[Depth (m)]]&gt;=Geotech!$C$4:$C$11100)*(Data_PLT[[#This Row],[Depth (m)]]&lt;Geotech!$D$4:$D$11100),Geotech!$M$4:$M$11100)</f>
        <v>#N/A</v>
      </c>
      <c r="H505" s="6"/>
      <c r="I505" s="63" t="e">
        <f>VLOOKUP(Data_PLT[[#This Row],[Hole ID]],Data_Log[[Hole ID]:[Core size]],20,FALSE)</f>
        <v>#N/A</v>
      </c>
      <c r="J505" s="13" t="e">
        <f>VLOOKUP(Data_PLT[[#This Row],[Core Size]],Table_CoreSize[],2,FALSE)</f>
        <v>#N/A</v>
      </c>
      <c r="K505" s="19"/>
      <c r="L505" s="19"/>
      <c r="M505" s="5"/>
      <c r="N505" s="5"/>
      <c r="O505" s="6"/>
      <c r="P505" s="13" t="str">
        <f>IF(Data_PLT[[#This Row],[Failure type]]="","",IF(OR(Data_PLT[[#This Row],[Failure type]]="Invalid",Data_PLT[[#This Row],[Failure type]]="Chipped",Data_PLT[[#This Row],[Failure type]]="Penetrate",Data_PLT[[#This Row],[Failure type]]="Did not break"),"Invalid","Valid"))</f>
        <v/>
      </c>
      <c r="Q505" s="6"/>
      <c r="R505" s="11"/>
      <c r="S505" s="13" t="str">
        <f>IF(Data_PLT[[#This Row],[Test type]]="Diametral",Data_PLT[[#This Row],[Diameter (mm)]],IF(Data_PLT[[#This Row],[Test type]]="Axial",SQRT(4*Data_PLT[[#This Row],[Diameter (mm)]]*Data_PLT[[#This Row],[Length or width (mm)]]/PI()),"ERROR"))</f>
        <v>ERROR</v>
      </c>
      <c r="T505" s="13" t="e">
        <f>(Data_PLT[[#This Row],[Load (kN)]]*1000)/Data_PLT[[#This Row],[Equiv. Diam. (mm)]]^2</f>
        <v>#VALUE!</v>
      </c>
      <c r="U505" s="13" t="e">
        <f>(Data_PLT[[#This Row],[Equiv. Diam. (mm)]]/50)^0.45</f>
        <v>#VALUE!</v>
      </c>
      <c r="V505" s="13" t="e">
        <f>Data_PLT[[#This Row],[Is (MPa)]]*Data_PLT[[#This Row],[F]]</f>
        <v>#VALUE!</v>
      </c>
      <c r="W505" s="13" t="str">
        <f>Data_PLT[[#This Row],[Failure Validity]]&amp;"-"&amp;Data_PLT[[#This Row],[Test type]]</f>
        <v>-</v>
      </c>
      <c r="X505" s="13" t="e">
        <f>Data_PLT[[#This Row],[Is50 (MPa)]]*VLOOKUP("Min",Table_PLT_Conversion[],2,FALSE)</f>
        <v>#VALUE!</v>
      </c>
      <c r="Y505" s="13" t="e">
        <f>Data_PLT[[#This Row],[Is50 (MPa)]]*VLOOKUP("Avg",Table_PLT_Conversion[],2,FALSE)</f>
        <v>#VALUE!</v>
      </c>
      <c r="Z505" s="13" t="e">
        <f>Data_PLT[[#This Row],[Is50 (MPa)]]*VLOOKUP("Max",Table_PLT_Conversion[],2,FALSE)</f>
        <v>#VALUE!</v>
      </c>
      <c r="AA505" s="62" t="e">
        <f>MATCH(LOOKUP(Data_PLT[[#This Row],[UCS min (MPa)]],Table_FieldStrength[Min UCS]),Table_FieldStrength[Min UCS],0)-1</f>
        <v>#VALUE!</v>
      </c>
      <c r="AB505" s="62" t="e">
        <f>MATCH(LOOKUP(Data_PLT[[#This Row],[UCS avg (MPa)]],Table_FieldStrength[Min UCS]),Table_FieldStrength[Min UCS],0)-1</f>
        <v>#VALUE!</v>
      </c>
      <c r="AC505" s="62" t="e">
        <f>MATCH(LOOKUP(Data_PLT[[#This Row],[UCS max (MPa)]],Table_FieldStrength[Min UCS]),Table_FieldStrength[Min UCS],0)-1</f>
        <v>#VALUE!</v>
      </c>
      <c r="AD505" s="68" t="e">
        <f>Data_PLT[[#This Row],[Test code]]&amp;"-"&amp;Data_PLT[[#This Row],[UCS min code]]</f>
        <v>#VALUE!</v>
      </c>
      <c r="AE505" s="68" t="e">
        <f>Data_PLT[[#This Row],[Test code]]&amp;"-"&amp;Data_PLT[[#This Row],[UCS avg code]]</f>
        <v>#VALUE!</v>
      </c>
      <c r="AF505" s="67" t="e">
        <f>Data_PLT[[#This Row],[Test code]]&amp;"-"&amp;Data_PLT[[#This Row],[UCS max code]]</f>
        <v>#VALUE!</v>
      </c>
      <c r="AG505" s="67" t="e">
        <f>Data_PLT[[#This Row],[Failure type]]&amp;"-"&amp;Data_PLT[[#This Row],[Test type]]&amp;"-"&amp;(IF(Data_PLT[[#This Row],[Is50 (MPa)]]&lt;1,1,IF(Data_PLT[[#This Row],[Is50 (MPa)]]&lt;2,2,IF(Data_PLT[[#This Row],[Is50 (MPa)]]&lt;4,3,IF(Data_PLT[[#This Row],[Is50 (MPa)]]&lt;8,4,5)))))</f>
        <v>#VALUE!</v>
      </c>
    </row>
    <row r="506" spans="1:33" x14ac:dyDescent="0.25">
      <c r="A506" s="14"/>
      <c r="B506" s="88" t="e">
        <f>VLOOKUP(Data_PLT[[#This Row],[Hole ID]],Data_Log[],2,FALSE)</f>
        <v>#N/A</v>
      </c>
      <c r="C506" s="63" t="str">
        <f>IF(Data_PLT[[#This Row],[Hole ID]]="","",
IF(COUNTIF($A$4:A506,Data_PLT[[#This Row],[Hole ID]])=1,1,
IF(A506=A505,C505+1,
COUNTIF($A$4:A506,Data_PLT[[#This Row],[Hole ID]]))))</f>
        <v/>
      </c>
      <c r="D506" s="63" t="str">
        <f>IF(Data_PLT[[#This Row],[Hole ID]]="","",Data_PLT[[#This Row],[Hole ID]]&amp;"_"&amp;Data_PLT[[#This Row],[Sample ID]])</f>
        <v/>
      </c>
      <c r="E506" s="6"/>
      <c r="F506" s="6"/>
      <c r="G506" s="63" t="e" cm="1">
        <f t="array" ref="G506">_xlfn.XLOOKUP(1,(A506=Geotech!$A$4:$A$11100)*(Data_PLT[[#This Row],[Depth (m)]]&gt;=Geotech!$C$4:$C$11100)*(Data_PLT[[#This Row],[Depth (m)]]&lt;Geotech!$D$4:$D$11100),Geotech!$M$4:$M$11100)</f>
        <v>#N/A</v>
      </c>
      <c r="H506" s="6"/>
      <c r="I506" s="63" t="e">
        <f>VLOOKUP(Data_PLT[[#This Row],[Hole ID]],Data_Log[[Hole ID]:[Core size]],20,FALSE)</f>
        <v>#N/A</v>
      </c>
      <c r="J506" s="13" t="e">
        <f>VLOOKUP(Data_PLT[[#This Row],[Core Size]],Table_CoreSize[],2,FALSE)</f>
        <v>#N/A</v>
      </c>
      <c r="K506" s="19"/>
      <c r="L506" s="19"/>
      <c r="M506" s="5"/>
      <c r="N506" s="5"/>
      <c r="O506" s="6"/>
      <c r="P506" s="13" t="str">
        <f>IF(Data_PLT[[#This Row],[Failure type]]="","",IF(OR(Data_PLT[[#This Row],[Failure type]]="Invalid",Data_PLT[[#This Row],[Failure type]]="Chipped",Data_PLT[[#This Row],[Failure type]]="Penetrate",Data_PLT[[#This Row],[Failure type]]="Did not break"),"Invalid","Valid"))</f>
        <v/>
      </c>
      <c r="Q506" s="6"/>
      <c r="R506" s="11"/>
      <c r="S506" s="13" t="str">
        <f>IF(Data_PLT[[#This Row],[Test type]]="Diametral",Data_PLT[[#This Row],[Diameter (mm)]],IF(Data_PLT[[#This Row],[Test type]]="Axial",SQRT(4*Data_PLT[[#This Row],[Diameter (mm)]]*Data_PLT[[#This Row],[Length or width (mm)]]/PI()),"ERROR"))</f>
        <v>ERROR</v>
      </c>
      <c r="T506" s="13" t="e">
        <f>(Data_PLT[[#This Row],[Load (kN)]]*1000)/Data_PLT[[#This Row],[Equiv. Diam. (mm)]]^2</f>
        <v>#VALUE!</v>
      </c>
      <c r="U506" s="13" t="e">
        <f>(Data_PLT[[#This Row],[Equiv. Diam. (mm)]]/50)^0.45</f>
        <v>#VALUE!</v>
      </c>
      <c r="V506" s="13" t="e">
        <f>Data_PLT[[#This Row],[Is (MPa)]]*Data_PLT[[#This Row],[F]]</f>
        <v>#VALUE!</v>
      </c>
      <c r="W506" s="13" t="str">
        <f>Data_PLT[[#This Row],[Failure Validity]]&amp;"-"&amp;Data_PLT[[#This Row],[Test type]]</f>
        <v>-</v>
      </c>
      <c r="X506" s="13" t="e">
        <f>Data_PLT[[#This Row],[Is50 (MPa)]]*VLOOKUP("Min",Table_PLT_Conversion[],2,FALSE)</f>
        <v>#VALUE!</v>
      </c>
      <c r="Y506" s="13" t="e">
        <f>Data_PLT[[#This Row],[Is50 (MPa)]]*VLOOKUP("Avg",Table_PLT_Conversion[],2,FALSE)</f>
        <v>#VALUE!</v>
      </c>
      <c r="Z506" s="13" t="e">
        <f>Data_PLT[[#This Row],[Is50 (MPa)]]*VLOOKUP("Max",Table_PLT_Conversion[],2,FALSE)</f>
        <v>#VALUE!</v>
      </c>
      <c r="AA506" s="62" t="e">
        <f>MATCH(LOOKUP(Data_PLT[[#This Row],[UCS min (MPa)]],Table_FieldStrength[Min UCS]),Table_FieldStrength[Min UCS],0)-1</f>
        <v>#VALUE!</v>
      </c>
      <c r="AB506" s="62" t="e">
        <f>MATCH(LOOKUP(Data_PLT[[#This Row],[UCS avg (MPa)]],Table_FieldStrength[Min UCS]),Table_FieldStrength[Min UCS],0)-1</f>
        <v>#VALUE!</v>
      </c>
      <c r="AC506" s="62" t="e">
        <f>MATCH(LOOKUP(Data_PLT[[#This Row],[UCS max (MPa)]],Table_FieldStrength[Min UCS]),Table_FieldStrength[Min UCS],0)-1</f>
        <v>#VALUE!</v>
      </c>
      <c r="AD506" s="68" t="e">
        <f>Data_PLT[[#This Row],[Test code]]&amp;"-"&amp;Data_PLT[[#This Row],[UCS min code]]</f>
        <v>#VALUE!</v>
      </c>
      <c r="AE506" s="68" t="e">
        <f>Data_PLT[[#This Row],[Test code]]&amp;"-"&amp;Data_PLT[[#This Row],[UCS avg code]]</f>
        <v>#VALUE!</v>
      </c>
      <c r="AF506" s="67" t="e">
        <f>Data_PLT[[#This Row],[Test code]]&amp;"-"&amp;Data_PLT[[#This Row],[UCS max code]]</f>
        <v>#VALUE!</v>
      </c>
      <c r="AG506" s="67" t="e">
        <f>Data_PLT[[#This Row],[Failure type]]&amp;"-"&amp;Data_PLT[[#This Row],[Test type]]&amp;"-"&amp;(IF(Data_PLT[[#This Row],[Is50 (MPa)]]&lt;1,1,IF(Data_PLT[[#This Row],[Is50 (MPa)]]&lt;2,2,IF(Data_PLT[[#This Row],[Is50 (MPa)]]&lt;4,3,IF(Data_PLT[[#This Row],[Is50 (MPa)]]&lt;8,4,5)))))</f>
        <v>#VALUE!</v>
      </c>
    </row>
    <row r="507" spans="1:33" x14ac:dyDescent="0.25">
      <c r="A507" s="14"/>
      <c r="B507" s="88" t="e">
        <f>VLOOKUP(Data_PLT[[#This Row],[Hole ID]],Data_Log[],2,FALSE)</f>
        <v>#N/A</v>
      </c>
      <c r="C507" s="63" t="str">
        <f>IF(Data_PLT[[#This Row],[Hole ID]]="","",
IF(COUNTIF($A$4:A507,Data_PLT[[#This Row],[Hole ID]])=1,1,
IF(A507=A506,C506+1,
COUNTIF($A$4:A507,Data_PLT[[#This Row],[Hole ID]]))))</f>
        <v/>
      </c>
      <c r="D507" s="63" t="str">
        <f>IF(Data_PLT[[#This Row],[Hole ID]]="","",Data_PLT[[#This Row],[Hole ID]]&amp;"_"&amp;Data_PLT[[#This Row],[Sample ID]])</f>
        <v/>
      </c>
      <c r="E507" s="6"/>
      <c r="F507" s="6"/>
      <c r="G507" s="63" t="e" cm="1">
        <f t="array" ref="G507">_xlfn.XLOOKUP(1,(A507=Geotech!$A$4:$A$11100)*(Data_PLT[[#This Row],[Depth (m)]]&gt;=Geotech!$C$4:$C$11100)*(Data_PLT[[#This Row],[Depth (m)]]&lt;Geotech!$D$4:$D$11100),Geotech!$M$4:$M$11100)</f>
        <v>#N/A</v>
      </c>
      <c r="H507" s="6"/>
      <c r="I507" s="63" t="e">
        <f>VLOOKUP(Data_PLT[[#This Row],[Hole ID]],Data_Log[[Hole ID]:[Core size]],20,FALSE)</f>
        <v>#N/A</v>
      </c>
      <c r="J507" s="13" t="e">
        <f>VLOOKUP(Data_PLT[[#This Row],[Core Size]],Table_CoreSize[],2,FALSE)</f>
        <v>#N/A</v>
      </c>
      <c r="K507" s="19"/>
      <c r="L507" s="19"/>
      <c r="M507" s="5"/>
      <c r="N507" s="5"/>
      <c r="O507" s="6"/>
      <c r="P507" s="13" t="str">
        <f>IF(Data_PLT[[#This Row],[Failure type]]="","",IF(OR(Data_PLT[[#This Row],[Failure type]]="Invalid",Data_PLT[[#This Row],[Failure type]]="Chipped",Data_PLT[[#This Row],[Failure type]]="Penetrate",Data_PLT[[#This Row],[Failure type]]="Did not break"),"Invalid","Valid"))</f>
        <v/>
      </c>
      <c r="Q507" s="6"/>
      <c r="R507" s="11"/>
      <c r="S507" s="13" t="str">
        <f>IF(Data_PLT[[#This Row],[Test type]]="Diametral",Data_PLT[[#This Row],[Diameter (mm)]],IF(Data_PLT[[#This Row],[Test type]]="Axial",SQRT(4*Data_PLT[[#This Row],[Diameter (mm)]]*Data_PLT[[#This Row],[Length or width (mm)]]/PI()),"ERROR"))</f>
        <v>ERROR</v>
      </c>
      <c r="T507" s="13" t="e">
        <f>(Data_PLT[[#This Row],[Load (kN)]]*1000)/Data_PLT[[#This Row],[Equiv. Diam. (mm)]]^2</f>
        <v>#VALUE!</v>
      </c>
      <c r="U507" s="13" t="e">
        <f>(Data_PLT[[#This Row],[Equiv. Diam. (mm)]]/50)^0.45</f>
        <v>#VALUE!</v>
      </c>
      <c r="V507" s="13" t="e">
        <f>Data_PLT[[#This Row],[Is (MPa)]]*Data_PLT[[#This Row],[F]]</f>
        <v>#VALUE!</v>
      </c>
      <c r="W507" s="13" t="str">
        <f>Data_PLT[[#This Row],[Failure Validity]]&amp;"-"&amp;Data_PLT[[#This Row],[Test type]]</f>
        <v>-</v>
      </c>
      <c r="X507" s="13" t="e">
        <f>Data_PLT[[#This Row],[Is50 (MPa)]]*VLOOKUP("Min",Table_PLT_Conversion[],2,FALSE)</f>
        <v>#VALUE!</v>
      </c>
      <c r="Y507" s="13" t="e">
        <f>Data_PLT[[#This Row],[Is50 (MPa)]]*VLOOKUP("Avg",Table_PLT_Conversion[],2,FALSE)</f>
        <v>#VALUE!</v>
      </c>
      <c r="Z507" s="13" t="e">
        <f>Data_PLT[[#This Row],[Is50 (MPa)]]*VLOOKUP("Max",Table_PLT_Conversion[],2,FALSE)</f>
        <v>#VALUE!</v>
      </c>
      <c r="AA507" s="62" t="e">
        <f>MATCH(LOOKUP(Data_PLT[[#This Row],[UCS min (MPa)]],Table_FieldStrength[Min UCS]),Table_FieldStrength[Min UCS],0)-1</f>
        <v>#VALUE!</v>
      </c>
      <c r="AB507" s="62" t="e">
        <f>MATCH(LOOKUP(Data_PLT[[#This Row],[UCS avg (MPa)]],Table_FieldStrength[Min UCS]),Table_FieldStrength[Min UCS],0)-1</f>
        <v>#VALUE!</v>
      </c>
      <c r="AC507" s="62" t="e">
        <f>MATCH(LOOKUP(Data_PLT[[#This Row],[UCS max (MPa)]],Table_FieldStrength[Min UCS]),Table_FieldStrength[Min UCS],0)-1</f>
        <v>#VALUE!</v>
      </c>
      <c r="AD507" s="68" t="e">
        <f>Data_PLT[[#This Row],[Test code]]&amp;"-"&amp;Data_PLT[[#This Row],[UCS min code]]</f>
        <v>#VALUE!</v>
      </c>
      <c r="AE507" s="68" t="e">
        <f>Data_PLT[[#This Row],[Test code]]&amp;"-"&amp;Data_PLT[[#This Row],[UCS avg code]]</f>
        <v>#VALUE!</v>
      </c>
      <c r="AF507" s="67" t="e">
        <f>Data_PLT[[#This Row],[Test code]]&amp;"-"&amp;Data_PLT[[#This Row],[UCS max code]]</f>
        <v>#VALUE!</v>
      </c>
      <c r="AG507" s="67" t="e">
        <f>Data_PLT[[#This Row],[Failure type]]&amp;"-"&amp;Data_PLT[[#This Row],[Test type]]&amp;"-"&amp;(IF(Data_PLT[[#This Row],[Is50 (MPa)]]&lt;1,1,IF(Data_PLT[[#This Row],[Is50 (MPa)]]&lt;2,2,IF(Data_PLT[[#This Row],[Is50 (MPa)]]&lt;4,3,IF(Data_PLT[[#This Row],[Is50 (MPa)]]&lt;8,4,5)))))</f>
        <v>#VALUE!</v>
      </c>
    </row>
    <row r="508" spans="1:33" x14ac:dyDescent="0.25">
      <c r="A508" s="14"/>
      <c r="B508" s="88" t="e">
        <f>VLOOKUP(Data_PLT[[#This Row],[Hole ID]],Data_Log[],2,FALSE)</f>
        <v>#N/A</v>
      </c>
      <c r="C508" s="63" t="str">
        <f>IF(Data_PLT[[#This Row],[Hole ID]]="","",
IF(COUNTIF($A$4:A508,Data_PLT[[#This Row],[Hole ID]])=1,1,
IF(A508=A507,C507+1,
COUNTIF($A$4:A508,Data_PLT[[#This Row],[Hole ID]]))))</f>
        <v/>
      </c>
      <c r="D508" s="63" t="str">
        <f>IF(Data_PLT[[#This Row],[Hole ID]]="","",Data_PLT[[#This Row],[Hole ID]]&amp;"_"&amp;Data_PLT[[#This Row],[Sample ID]])</f>
        <v/>
      </c>
      <c r="E508" s="6"/>
      <c r="F508" s="6"/>
      <c r="G508" s="63" t="e" cm="1">
        <f t="array" ref="G508">_xlfn.XLOOKUP(1,(A508=Geotech!$A$4:$A$11100)*(Data_PLT[[#This Row],[Depth (m)]]&gt;=Geotech!$C$4:$C$11100)*(Data_PLT[[#This Row],[Depth (m)]]&lt;Geotech!$D$4:$D$11100),Geotech!$M$4:$M$11100)</f>
        <v>#N/A</v>
      </c>
      <c r="H508" s="6"/>
      <c r="I508" s="63" t="e">
        <f>VLOOKUP(Data_PLT[[#This Row],[Hole ID]],Data_Log[[Hole ID]:[Core size]],20,FALSE)</f>
        <v>#N/A</v>
      </c>
      <c r="J508" s="13" t="e">
        <f>VLOOKUP(Data_PLT[[#This Row],[Core Size]],Table_CoreSize[],2,FALSE)</f>
        <v>#N/A</v>
      </c>
      <c r="K508" s="19"/>
      <c r="L508" s="19"/>
      <c r="M508" s="5"/>
      <c r="N508" s="5"/>
      <c r="O508" s="6"/>
      <c r="P508" s="13" t="str">
        <f>IF(Data_PLT[[#This Row],[Failure type]]="","",IF(OR(Data_PLT[[#This Row],[Failure type]]="Invalid",Data_PLT[[#This Row],[Failure type]]="Chipped",Data_PLT[[#This Row],[Failure type]]="Penetrate",Data_PLT[[#This Row],[Failure type]]="Did not break"),"Invalid","Valid"))</f>
        <v/>
      </c>
      <c r="Q508" s="6"/>
      <c r="R508" s="11"/>
      <c r="S508" s="13" t="str">
        <f>IF(Data_PLT[[#This Row],[Test type]]="Diametral",Data_PLT[[#This Row],[Diameter (mm)]],IF(Data_PLT[[#This Row],[Test type]]="Axial",SQRT(4*Data_PLT[[#This Row],[Diameter (mm)]]*Data_PLT[[#This Row],[Length or width (mm)]]/PI()),"ERROR"))</f>
        <v>ERROR</v>
      </c>
      <c r="T508" s="13" t="e">
        <f>(Data_PLT[[#This Row],[Load (kN)]]*1000)/Data_PLT[[#This Row],[Equiv. Diam. (mm)]]^2</f>
        <v>#VALUE!</v>
      </c>
      <c r="U508" s="13" t="e">
        <f>(Data_PLT[[#This Row],[Equiv. Diam. (mm)]]/50)^0.45</f>
        <v>#VALUE!</v>
      </c>
      <c r="V508" s="13" t="e">
        <f>Data_PLT[[#This Row],[Is (MPa)]]*Data_PLT[[#This Row],[F]]</f>
        <v>#VALUE!</v>
      </c>
      <c r="W508" s="13" t="str">
        <f>Data_PLT[[#This Row],[Failure Validity]]&amp;"-"&amp;Data_PLT[[#This Row],[Test type]]</f>
        <v>-</v>
      </c>
      <c r="X508" s="13" t="e">
        <f>Data_PLT[[#This Row],[Is50 (MPa)]]*VLOOKUP("Min",Table_PLT_Conversion[],2,FALSE)</f>
        <v>#VALUE!</v>
      </c>
      <c r="Y508" s="13" t="e">
        <f>Data_PLT[[#This Row],[Is50 (MPa)]]*VLOOKUP("Avg",Table_PLT_Conversion[],2,FALSE)</f>
        <v>#VALUE!</v>
      </c>
      <c r="Z508" s="13" t="e">
        <f>Data_PLT[[#This Row],[Is50 (MPa)]]*VLOOKUP("Max",Table_PLT_Conversion[],2,FALSE)</f>
        <v>#VALUE!</v>
      </c>
      <c r="AA508" s="62" t="e">
        <f>MATCH(LOOKUP(Data_PLT[[#This Row],[UCS min (MPa)]],Table_FieldStrength[Min UCS]),Table_FieldStrength[Min UCS],0)-1</f>
        <v>#VALUE!</v>
      </c>
      <c r="AB508" s="62" t="e">
        <f>MATCH(LOOKUP(Data_PLT[[#This Row],[UCS avg (MPa)]],Table_FieldStrength[Min UCS]),Table_FieldStrength[Min UCS],0)-1</f>
        <v>#VALUE!</v>
      </c>
      <c r="AC508" s="62" t="e">
        <f>MATCH(LOOKUP(Data_PLT[[#This Row],[UCS max (MPa)]],Table_FieldStrength[Min UCS]),Table_FieldStrength[Min UCS],0)-1</f>
        <v>#VALUE!</v>
      </c>
      <c r="AD508" s="68" t="e">
        <f>Data_PLT[[#This Row],[Test code]]&amp;"-"&amp;Data_PLT[[#This Row],[UCS min code]]</f>
        <v>#VALUE!</v>
      </c>
      <c r="AE508" s="68" t="e">
        <f>Data_PLT[[#This Row],[Test code]]&amp;"-"&amp;Data_PLT[[#This Row],[UCS avg code]]</f>
        <v>#VALUE!</v>
      </c>
      <c r="AF508" s="67" t="e">
        <f>Data_PLT[[#This Row],[Test code]]&amp;"-"&amp;Data_PLT[[#This Row],[UCS max code]]</f>
        <v>#VALUE!</v>
      </c>
      <c r="AG508" s="67" t="e">
        <f>Data_PLT[[#This Row],[Failure type]]&amp;"-"&amp;Data_PLT[[#This Row],[Test type]]&amp;"-"&amp;(IF(Data_PLT[[#This Row],[Is50 (MPa)]]&lt;1,1,IF(Data_PLT[[#This Row],[Is50 (MPa)]]&lt;2,2,IF(Data_PLT[[#This Row],[Is50 (MPa)]]&lt;4,3,IF(Data_PLT[[#This Row],[Is50 (MPa)]]&lt;8,4,5)))))</f>
        <v>#VALUE!</v>
      </c>
    </row>
    <row r="509" spans="1:33" x14ac:dyDescent="0.25">
      <c r="A509" s="14"/>
      <c r="B509" s="88" t="e">
        <f>VLOOKUP(Data_PLT[[#This Row],[Hole ID]],Data_Log[],2,FALSE)</f>
        <v>#N/A</v>
      </c>
      <c r="C509" s="63" t="str">
        <f>IF(Data_PLT[[#This Row],[Hole ID]]="","",
IF(COUNTIF($A$4:A509,Data_PLT[[#This Row],[Hole ID]])=1,1,
IF(A509=A508,C508+1,
COUNTIF($A$4:A509,Data_PLT[[#This Row],[Hole ID]]))))</f>
        <v/>
      </c>
      <c r="D509" s="63" t="str">
        <f>IF(Data_PLT[[#This Row],[Hole ID]]="","",Data_PLT[[#This Row],[Hole ID]]&amp;"_"&amp;Data_PLT[[#This Row],[Sample ID]])</f>
        <v/>
      </c>
      <c r="E509" s="6"/>
      <c r="F509" s="6"/>
      <c r="G509" s="63" t="e" cm="1">
        <f t="array" ref="G509">_xlfn.XLOOKUP(1,(A509=Geotech!$A$4:$A$11100)*(Data_PLT[[#This Row],[Depth (m)]]&gt;=Geotech!$C$4:$C$11100)*(Data_PLT[[#This Row],[Depth (m)]]&lt;Geotech!$D$4:$D$11100),Geotech!$M$4:$M$11100)</f>
        <v>#N/A</v>
      </c>
      <c r="H509" s="6"/>
      <c r="I509" s="63" t="e">
        <f>VLOOKUP(Data_PLT[[#This Row],[Hole ID]],Data_Log[[Hole ID]:[Core size]],20,FALSE)</f>
        <v>#N/A</v>
      </c>
      <c r="J509" s="13" t="e">
        <f>VLOOKUP(Data_PLT[[#This Row],[Core Size]],Table_CoreSize[],2,FALSE)</f>
        <v>#N/A</v>
      </c>
      <c r="K509" s="19"/>
      <c r="L509" s="19"/>
      <c r="M509" s="5"/>
      <c r="N509" s="5"/>
      <c r="O509" s="6"/>
      <c r="P509" s="13" t="str">
        <f>IF(Data_PLT[[#This Row],[Failure type]]="","",IF(OR(Data_PLT[[#This Row],[Failure type]]="Invalid",Data_PLT[[#This Row],[Failure type]]="Chipped",Data_PLT[[#This Row],[Failure type]]="Penetrate",Data_PLT[[#This Row],[Failure type]]="Did not break"),"Invalid","Valid"))</f>
        <v/>
      </c>
      <c r="Q509" s="6"/>
      <c r="R509" s="11"/>
      <c r="S509" s="13" t="str">
        <f>IF(Data_PLT[[#This Row],[Test type]]="Diametral",Data_PLT[[#This Row],[Diameter (mm)]],IF(Data_PLT[[#This Row],[Test type]]="Axial",SQRT(4*Data_PLT[[#This Row],[Diameter (mm)]]*Data_PLT[[#This Row],[Length or width (mm)]]/PI()),"ERROR"))</f>
        <v>ERROR</v>
      </c>
      <c r="T509" s="13" t="e">
        <f>(Data_PLT[[#This Row],[Load (kN)]]*1000)/Data_PLT[[#This Row],[Equiv. Diam. (mm)]]^2</f>
        <v>#VALUE!</v>
      </c>
      <c r="U509" s="13" t="e">
        <f>(Data_PLT[[#This Row],[Equiv. Diam. (mm)]]/50)^0.45</f>
        <v>#VALUE!</v>
      </c>
      <c r="V509" s="13" t="e">
        <f>Data_PLT[[#This Row],[Is (MPa)]]*Data_PLT[[#This Row],[F]]</f>
        <v>#VALUE!</v>
      </c>
      <c r="W509" s="13" t="str">
        <f>Data_PLT[[#This Row],[Failure Validity]]&amp;"-"&amp;Data_PLT[[#This Row],[Test type]]</f>
        <v>-</v>
      </c>
      <c r="X509" s="13" t="e">
        <f>Data_PLT[[#This Row],[Is50 (MPa)]]*VLOOKUP("Min",Table_PLT_Conversion[],2,FALSE)</f>
        <v>#VALUE!</v>
      </c>
      <c r="Y509" s="13" t="e">
        <f>Data_PLT[[#This Row],[Is50 (MPa)]]*VLOOKUP("Avg",Table_PLT_Conversion[],2,FALSE)</f>
        <v>#VALUE!</v>
      </c>
      <c r="Z509" s="13" t="e">
        <f>Data_PLT[[#This Row],[Is50 (MPa)]]*VLOOKUP("Max",Table_PLT_Conversion[],2,FALSE)</f>
        <v>#VALUE!</v>
      </c>
      <c r="AA509" s="62" t="e">
        <f>MATCH(LOOKUP(Data_PLT[[#This Row],[UCS min (MPa)]],Table_FieldStrength[Min UCS]),Table_FieldStrength[Min UCS],0)-1</f>
        <v>#VALUE!</v>
      </c>
      <c r="AB509" s="62" t="e">
        <f>MATCH(LOOKUP(Data_PLT[[#This Row],[UCS avg (MPa)]],Table_FieldStrength[Min UCS]),Table_FieldStrength[Min UCS],0)-1</f>
        <v>#VALUE!</v>
      </c>
      <c r="AC509" s="62" t="e">
        <f>MATCH(LOOKUP(Data_PLT[[#This Row],[UCS max (MPa)]],Table_FieldStrength[Min UCS]),Table_FieldStrength[Min UCS],0)-1</f>
        <v>#VALUE!</v>
      </c>
      <c r="AD509" s="68" t="e">
        <f>Data_PLT[[#This Row],[Test code]]&amp;"-"&amp;Data_PLT[[#This Row],[UCS min code]]</f>
        <v>#VALUE!</v>
      </c>
      <c r="AE509" s="68" t="e">
        <f>Data_PLT[[#This Row],[Test code]]&amp;"-"&amp;Data_PLT[[#This Row],[UCS avg code]]</f>
        <v>#VALUE!</v>
      </c>
      <c r="AF509" s="67" t="e">
        <f>Data_PLT[[#This Row],[Test code]]&amp;"-"&amp;Data_PLT[[#This Row],[UCS max code]]</f>
        <v>#VALUE!</v>
      </c>
      <c r="AG509" s="67" t="e">
        <f>Data_PLT[[#This Row],[Failure type]]&amp;"-"&amp;Data_PLT[[#This Row],[Test type]]&amp;"-"&amp;(IF(Data_PLT[[#This Row],[Is50 (MPa)]]&lt;1,1,IF(Data_PLT[[#This Row],[Is50 (MPa)]]&lt;2,2,IF(Data_PLT[[#This Row],[Is50 (MPa)]]&lt;4,3,IF(Data_PLT[[#This Row],[Is50 (MPa)]]&lt;8,4,5)))))</f>
        <v>#VALUE!</v>
      </c>
    </row>
    <row r="510" spans="1:33" x14ac:dyDescent="0.25">
      <c r="A510" s="14"/>
      <c r="B510" s="88" t="e">
        <f>VLOOKUP(Data_PLT[[#This Row],[Hole ID]],Data_Log[],2,FALSE)</f>
        <v>#N/A</v>
      </c>
      <c r="C510" s="63" t="str">
        <f>IF(Data_PLT[[#This Row],[Hole ID]]="","",
IF(COUNTIF($A$4:A510,Data_PLT[[#This Row],[Hole ID]])=1,1,
IF(A510=A509,C509+1,
COUNTIF($A$4:A510,Data_PLT[[#This Row],[Hole ID]]))))</f>
        <v/>
      </c>
      <c r="D510" s="63" t="str">
        <f>IF(Data_PLT[[#This Row],[Hole ID]]="","",Data_PLT[[#This Row],[Hole ID]]&amp;"_"&amp;Data_PLT[[#This Row],[Sample ID]])</f>
        <v/>
      </c>
      <c r="E510" s="6"/>
      <c r="F510" s="6"/>
      <c r="G510" s="63" t="e" cm="1">
        <f t="array" ref="G510">_xlfn.XLOOKUP(1,(A510=Geotech!$A$4:$A$11100)*(Data_PLT[[#This Row],[Depth (m)]]&gt;=Geotech!$C$4:$C$11100)*(Data_PLT[[#This Row],[Depth (m)]]&lt;Geotech!$D$4:$D$11100),Geotech!$M$4:$M$11100)</f>
        <v>#N/A</v>
      </c>
      <c r="H510" s="6"/>
      <c r="I510" s="63" t="e">
        <f>VLOOKUP(Data_PLT[[#This Row],[Hole ID]],Data_Log[[Hole ID]:[Core size]],20,FALSE)</f>
        <v>#N/A</v>
      </c>
      <c r="J510" s="13" t="e">
        <f>VLOOKUP(Data_PLT[[#This Row],[Core Size]],Table_CoreSize[],2,FALSE)</f>
        <v>#N/A</v>
      </c>
      <c r="K510" s="19"/>
      <c r="L510" s="19"/>
      <c r="M510" s="5"/>
      <c r="N510" s="5"/>
      <c r="O510" s="6"/>
      <c r="P510" s="13" t="str">
        <f>IF(Data_PLT[[#This Row],[Failure type]]="","",IF(OR(Data_PLT[[#This Row],[Failure type]]="Invalid",Data_PLT[[#This Row],[Failure type]]="Chipped",Data_PLT[[#This Row],[Failure type]]="Penetrate",Data_PLT[[#This Row],[Failure type]]="Did not break"),"Invalid","Valid"))</f>
        <v/>
      </c>
      <c r="Q510" s="6"/>
      <c r="R510" s="11"/>
      <c r="S510" s="13" t="str">
        <f>IF(Data_PLT[[#This Row],[Test type]]="Diametral",Data_PLT[[#This Row],[Diameter (mm)]],IF(Data_PLT[[#This Row],[Test type]]="Axial",SQRT(4*Data_PLT[[#This Row],[Diameter (mm)]]*Data_PLT[[#This Row],[Length or width (mm)]]/PI()),"ERROR"))</f>
        <v>ERROR</v>
      </c>
      <c r="T510" s="13" t="e">
        <f>(Data_PLT[[#This Row],[Load (kN)]]*1000)/Data_PLT[[#This Row],[Equiv. Diam. (mm)]]^2</f>
        <v>#VALUE!</v>
      </c>
      <c r="U510" s="13" t="e">
        <f>(Data_PLT[[#This Row],[Equiv. Diam. (mm)]]/50)^0.45</f>
        <v>#VALUE!</v>
      </c>
      <c r="V510" s="13" t="e">
        <f>Data_PLT[[#This Row],[Is (MPa)]]*Data_PLT[[#This Row],[F]]</f>
        <v>#VALUE!</v>
      </c>
      <c r="W510" s="13" t="str">
        <f>Data_PLT[[#This Row],[Failure Validity]]&amp;"-"&amp;Data_PLT[[#This Row],[Test type]]</f>
        <v>-</v>
      </c>
      <c r="X510" s="13" t="e">
        <f>Data_PLT[[#This Row],[Is50 (MPa)]]*VLOOKUP("Min",Table_PLT_Conversion[],2,FALSE)</f>
        <v>#VALUE!</v>
      </c>
      <c r="Y510" s="13" t="e">
        <f>Data_PLT[[#This Row],[Is50 (MPa)]]*VLOOKUP("Avg",Table_PLT_Conversion[],2,FALSE)</f>
        <v>#VALUE!</v>
      </c>
      <c r="Z510" s="13" t="e">
        <f>Data_PLT[[#This Row],[Is50 (MPa)]]*VLOOKUP("Max",Table_PLT_Conversion[],2,FALSE)</f>
        <v>#VALUE!</v>
      </c>
      <c r="AA510" s="62" t="e">
        <f>MATCH(LOOKUP(Data_PLT[[#This Row],[UCS min (MPa)]],Table_FieldStrength[Min UCS]),Table_FieldStrength[Min UCS],0)-1</f>
        <v>#VALUE!</v>
      </c>
      <c r="AB510" s="62" t="e">
        <f>MATCH(LOOKUP(Data_PLT[[#This Row],[UCS avg (MPa)]],Table_FieldStrength[Min UCS]),Table_FieldStrength[Min UCS],0)-1</f>
        <v>#VALUE!</v>
      </c>
      <c r="AC510" s="62" t="e">
        <f>MATCH(LOOKUP(Data_PLT[[#This Row],[UCS max (MPa)]],Table_FieldStrength[Min UCS]),Table_FieldStrength[Min UCS],0)-1</f>
        <v>#VALUE!</v>
      </c>
      <c r="AD510" s="68" t="e">
        <f>Data_PLT[[#This Row],[Test code]]&amp;"-"&amp;Data_PLT[[#This Row],[UCS min code]]</f>
        <v>#VALUE!</v>
      </c>
      <c r="AE510" s="68" t="e">
        <f>Data_PLT[[#This Row],[Test code]]&amp;"-"&amp;Data_PLT[[#This Row],[UCS avg code]]</f>
        <v>#VALUE!</v>
      </c>
      <c r="AF510" s="67" t="e">
        <f>Data_PLT[[#This Row],[Test code]]&amp;"-"&amp;Data_PLT[[#This Row],[UCS max code]]</f>
        <v>#VALUE!</v>
      </c>
      <c r="AG510" s="67" t="e">
        <f>Data_PLT[[#This Row],[Failure type]]&amp;"-"&amp;Data_PLT[[#This Row],[Test type]]&amp;"-"&amp;(IF(Data_PLT[[#This Row],[Is50 (MPa)]]&lt;1,1,IF(Data_PLT[[#This Row],[Is50 (MPa)]]&lt;2,2,IF(Data_PLT[[#This Row],[Is50 (MPa)]]&lt;4,3,IF(Data_PLT[[#This Row],[Is50 (MPa)]]&lt;8,4,5)))))</f>
        <v>#VALUE!</v>
      </c>
    </row>
    <row r="511" spans="1:33" x14ac:dyDescent="0.25">
      <c r="A511" s="14"/>
      <c r="B511" s="88" t="e">
        <f>VLOOKUP(Data_PLT[[#This Row],[Hole ID]],Data_Log[],2,FALSE)</f>
        <v>#N/A</v>
      </c>
      <c r="C511" s="63" t="str">
        <f>IF(Data_PLT[[#This Row],[Hole ID]]="","",
IF(COUNTIF($A$4:A511,Data_PLT[[#This Row],[Hole ID]])=1,1,
IF(A511=A510,C510+1,
COUNTIF($A$4:A511,Data_PLT[[#This Row],[Hole ID]]))))</f>
        <v/>
      </c>
      <c r="D511" s="63" t="str">
        <f>IF(Data_PLT[[#This Row],[Hole ID]]="","",Data_PLT[[#This Row],[Hole ID]]&amp;"_"&amp;Data_PLT[[#This Row],[Sample ID]])</f>
        <v/>
      </c>
      <c r="E511" s="6"/>
      <c r="F511" s="6"/>
      <c r="G511" s="63" t="e" cm="1">
        <f t="array" ref="G511">_xlfn.XLOOKUP(1,(A511=Geotech!$A$4:$A$11100)*(Data_PLT[[#This Row],[Depth (m)]]&gt;=Geotech!$C$4:$C$11100)*(Data_PLT[[#This Row],[Depth (m)]]&lt;Geotech!$D$4:$D$11100),Geotech!$M$4:$M$11100)</f>
        <v>#N/A</v>
      </c>
      <c r="H511" s="6"/>
      <c r="I511" s="63" t="e">
        <f>VLOOKUP(Data_PLT[[#This Row],[Hole ID]],Data_Log[[Hole ID]:[Core size]],20,FALSE)</f>
        <v>#N/A</v>
      </c>
      <c r="J511" s="13" t="e">
        <f>VLOOKUP(Data_PLT[[#This Row],[Core Size]],Table_CoreSize[],2,FALSE)</f>
        <v>#N/A</v>
      </c>
      <c r="K511" s="19"/>
      <c r="L511" s="19"/>
      <c r="M511" s="5"/>
      <c r="N511" s="5"/>
      <c r="O511" s="6"/>
      <c r="P511" s="13" t="str">
        <f>IF(Data_PLT[[#This Row],[Failure type]]="","",IF(OR(Data_PLT[[#This Row],[Failure type]]="Invalid",Data_PLT[[#This Row],[Failure type]]="Chipped",Data_PLT[[#This Row],[Failure type]]="Penetrate",Data_PLT[[#This Row],[Failure type]]="Did not break"),"Invalid","Valid"))</f>
        <v/>
      </c>
      <c r="Q511" s="6"/>
      <c r="R511" s="11"/>
      <c r="S511" s="13" t="str">
        <f>IF(Data_PLT[[#This Row],[Test type]]="Diametral",Data_PLT[[#This Row],[Diameter (mm)]],IF(Data_PLT[[#This Row],[Test type]]="Axial",SQRT(4*Data_PLT[[#This Row],[Diameter (mm)]]*Data_PLT[[#This Row],[Length or width (mm)]]/PI()),"ERROR"))</f>
        <v>ERROR</v>
      </c>
      <c r="T511" s="13" t="e">
        <f>(Data_PLT[[#This Row],[Load (kN)]]*1000)/Data_PLT[[#This Row],[Equiv. Diam. (mm)]]^2</f>
        <v>#VALUE!</v>
      </c>
      <c r="U511" s="13" t="e">
        <f>(Data_PLT[[#This Row],[Equiv. Diam. (mm)]]/50)^0.45</f>
        <v>#VALUE!</v>
      </c>
      <c r="V511" s="13" t="e">
        <f>Data_PLT[[#This Row],[Is (MPa)]]*Data_PLT[[#This Row],[F]]</f>
        <v>#VALUE!</v>
      </c>
      <c r="W511" s="13" t="str">
        <f>Data_PLT[[#This Row],[Failure Validity]]&amp;"-"&amp;Data_PLT[[#This Row],[Test type]]</f>
        <v>-</v>
      </c>
      <c r="X511" s="13" t="e">
        <f>Data_PLT[[#This Row],[Is50 (MPa)]]*VLOOKUP("Min",Table_PLT_Conversion[],2,FALSE)</f>
        <v>#VALUE!</v>
      </c>
      <c r="Y511" s="13" t="e">
        <f>Data_PLT[[#This Row],[Is50 (MPa)]]*VLOOKUP("Avg",Table_PLT_Conversion[],2,FALSE)</f>
        <v>#VALUE!</v>
      </c>
      <c r="Z511" s="13" t="e">
        <f>Data_PLT[[#This Row],[Is50 (MPa)]]*VLOOKUP("Max",Table_PLT_Conversion[],2,FALSE)</f>
        <v>#VALUE!</v>
      </c>
      <c r="AA511" s="62" t="e">
        <f>MATCH(LOOKUP(Data_PLT[[#This Row],[UCS min (MPa)]],Table_FieldStrength[Min UCS]),Table_FieldStrength[Min UCS],0)-1</f>
        <v>#VALUE!</v>
      </c>
      <c r="AB511" s="62" t="e">
        <f>MATCH(LOOKUP(Data_PLT[[#This Row],[UCS avg (MPa)]],Table_FieldStrength[Min UCS]),Table_FieldStrength[Min UCS],0)-1</f>
        <v>#VALUE!</v>
      </c>
      <c r="AC511" s="62" t="e">
        <f>MATCH(LOOKUP(Data_PLT[[#This Row],[UCS max (MPa)]],Table_FieldStrength[Min UCS]),Table_FieldStrength[Min UCS],0)-1</f>
        <v>#VALUE!</v>
      </c>
      <c r="AD511" s="68" t="e">
        <f>Data_PLT[[#This Row],[Test code]]&amp;"-"&amp;Data_PLT[[#This Row],[UCS min code]]</f>
        <v>#VALUE!</v>
      </c>
      <c r="AE511" s="68" t="e">
        <f>Data_PLT[[#This Row],[Test code]]&amp;"-"&amp;Data_PLT[[#This Row],[UCS avg code]]</f>
        <v>#VALUE!</v>
      </c>
      <c r="AF511" s="67" t="e">
        <f>Data_PLT[[#This Row],[Test code]]&amp;"-"&amp;Data_PLT[[#This Row],[UCS max code]]</f>
        <v>#VALUE!</v>
      </c>
      <c r="AG511" s="67" t="e">
        <f>Data_PLT[[#This Row],[Failure type]]&amp;"-"&amp;Data_PLT[[#This Row],[Test type]]&amp;"-"&amp;(IF(Data_PLT[[#This Row],[Is50 (MPa)]]&lt;1,1,IF(Data_PLT[[#This Row],[Is50 (MPa)]]&lt;2,2,IF(Data_PLT[[#This Row],[Is50 (MPa)]]&lt;4,3,IF(Data_PLT[[#This Row],[Is50 (MPa)]]&lt;8,4,5)))))</f>
        <v>#VALUE!</v>
      </c>
    </row>
    <row r="512" spans="1:33" x14ac:dyDescent="0.25">
      <c r="B512" s="88" t="e">
        <f>VLOOKUP(Data_PLT[[#This Row],[Hole ID]],Data_Log[],2,FALSE)</f>
        <v>#N/A</v>
      </c>
      <c r="C512" s="63" t="str">
        <f>IF(Data_PLT[[#This Row],[Hole ID]]="","",
IF(COUNTIF($A$4:A512,Data_PLT[[#This Row],[Hole ID]])=1,1,
IF(A512=A511,C511+1,
COUNTIF($A$4:A512,Data_PLT[[#This Row],[Hole ID]]))))</f>
        <v/>
      </c>
      <c r="D512" s="63" t="str">
        <f>IF(Data_PLT[[#This Row],[Hole ID]]="","",Data_PLT[[#This Row],[Hole ID]]&amp;"_"&amp;Data_PLT[[#This Row],[Sample ID]])</f>
        <v/>
      </c>
      <c r="E512" s="6"/>
      <c r="F512" s="6"/>
      <c r="G512" s="63" t="e" cm="1">
        <f t="array" ref="G512">_xlfn.XLOOKUP(1,(A512=Geotech!$A$4:$A$11100)*(Data_PLT[[#This Row],[Depth (m)]]&gt;=Geotech!$C$4:$C$11100)*(Data_PLT[[#This Row],[Depth (m)]]&lt;Geotech!$D$4:$D$11100),Geotech!$M$4:$M$11100)</f>
        <v>#N/A</v>
      </c>
      <c r="H512" s="6"/>
      <c r="I512" s="63" t="e">
        <f>VLOOKUP(Data_PLT[[#This Row],[Hole ID]],Data_Log[[Hole ID]:[Core size]],20,FALSE)</f>
        <v>#N/A</v>
      </c>
      <c r="J512" s="13" t="e">
        <f>VLOOKUP(Data_PLT[[#This Row],[Core Size]],Table_CoreSize[],2,FALSE)</f>
        <v>#N/A</v>
      </c>
      <c r="K512" s="19"/>
      <c r="L512" s="19"/>
      <c r="M512" s="5"/>
      <c r="N512" s="5"/>
      <c r="O512" s="6"/>
      <c r="P512" s="13" t="str">
        <f>IF(Data_PLT[[#This Row],[Failure type]]="","",IF(OR(Data_PLT[[#This Row],[Failure type]]="Invalid",Data_PLT[[#This Row],[Failure type]]="Chipped",Data_PLT[[#This Row],[Failure type]]="Penetrate",Data_PLT[[#This Row],[Failure type]]="Did not break"),"Invalid","Valid"))</f>
        <v/>
      </c>
      <c r="Q512" s="6"/>
      <c r="R512" s="11"/>
      <c r="S512" s="13" t="str">
        <f>IF(Data_PLT[[#This Row],[Test type]]="Diametral",Data_PLT[[#This Row],[Diameter (mm)]],IF(Data_PLT[[#This Row],[Test type]]="Axial",SQRT(4*Data_PLT[[#This Row],[Diameter (mm)]]*Data_PLT[[#This Row],[Length or width (mm)]]/PI()),"ERROR"))</f>
        <v>ERROR</v>
      </c>
      <c r="T512" s="13" t="e">
        <f>(Data_PLT[[#This Row],[Load (kN)]]*1000)/Data_PLT[[#This Row],[Equiv. Diam. (mm)]]^2</f>
        <v>#VALUE!</v>
      </c>
      <c r="U512" s="13" t="e">
        <f>(Data_PLT[[#This Row],[Equiv. Diam. (mm)]]/50)^0.45</f>
        <v>#VALUE!</v>
      </c>
      <c r="V512" s="13" t="e">
        <f>Data_PLT[[#This Row],[Is (MPa)]]*Data_PLT[[#This Row],[F]]</f>
        <v>#VALUE!</v>
      </c>
      <c r="W512" s="13" t="str">
        <f>Data_PLT[[#This Row],[Failure Validity]]&amp;"-"&amp;Data_PLT[[#This Row],[Test type]]</f>
        <v>-</v>
      </c>
      <c r="X512" s="13" t="e">
        <f>Data_PLT[[#This Row],[Is50 (MPa)]]*VLOOKUP("Min",Table_PLT_Conversion[],2,FALSE)</f>
        <v>#VALUE!</v>
      </c>
      <c r="Y512" s="13" t="e">
        <f>Data_PLT[[#This Row],[Is50 (MPa)]]*VLOOKUP("Avg",Table_PLT_Conversion[],2,FALSE)</f>
        <v>#VALUE!</v>
      </c>
      <c r="Z512" s="13" t="e">
        <f>Data_PLT[[#This Row],[Is50 (MPa)]]*VLOOKUP("Max",Table_PLT_Conversion[],2,FALSE)</f>
        <v>#VALUE!</v>
      </c>
      <c r="AA512" s="62" t="e">
        <f>MATCH(LOOKUP(Data_PLT[[#This Row],[UCS min (MPa)]],Table_FieldStrength[Min UCS]),Table_FieldStrength[Min UCS],0)-1</f>
        <v>#VALUE!</v>
      </c>
      <c r="AB512" s="62" t="e">
        <f>MATCH(LOOKUP(Data_PLT[[#This Row],[UCS avg (MPa)]],Table_FieldStrength[Min UCS]),Table_FieldStrength[Min UCS],0)-1</f>
        <v>#VALUE!</v>
      </c>
      <c r="AC512" s="62" t="e">
        <f>MATCH(LOOKUP(Data_PLT[[#This Row],[UCS max (MPa)]],Table_FieldStrength[Min UCS]),Table_FieldStrength[Min UCS],0)-1</f>
        <v>#VALUE!</v>
      </c>
      <c r="AD512" s="68" t="e">
        <f>Data_PLT[[#This Row],[Test code]]&amp;"-"&amp;Data_PLT[[#This Row],[UCS min code]]</f>
        <v>#VALUE!</v>
      </c>
      <c r="AE512" s="68" t="e">
        <f>Data_PLT[[#This Row],[Test code]]&amp;"-"&amp;Data_PLT[[#This Row],[UCS avg code]]</f>
        <v>#VALUE!</v>
      </c>
      <c r="AF512" s="67" t="e">
        <f>Data_PLT[[#This Row],[Test code]]&amp;"-"&amp;Data_PLT[[#This Row],[UCS max code]]</f>
        <v>#VALUE!</v>
      </c>
      <c r="AG512" s="67" t="e">
        <f>Data_PLT[[#This Row],[Failure type]]&amp;"-"&amp;Data_PLT[[#This Row],[Test type]]&amp;"-"&amp;(IF(Data_PLT[[#This Row],[Is50 (MPa)]]&lt;1,1,IF(Data_PLT[[#This Row],[Is50 (MPa)]]&lt;2,2,IF(Data_PLT[[#This Row],[Is50 (MPa)]]&lt;4,3,IF(Data_PLT[[#This Row],[Is50 (MPa)]]&lt;8,4,5)))))</f>
        <v>#VALUE!</v>
      </c>
    </row>
    <row r="513" spans="2:33" x14ac:dyDescent="0.25">
      <c r="B513" s="88" t="e">
        <f>VLOOKUP(Data_PLT[[#This Row],[Hole ID]],Data_Log[],2,FALSE)</f>
        <v>#N/A</v>
      </c>
      <c r="C513" s="63" t="str">
        <f>IF(Data_PLT[[#This Row],[Hole ID]]="","",
IF(COUNTIF($A$4:A513,Data_PLT[[#This Row],[Hole ID]])=1,1,
IF(A513=A512,C512+1,
COUNTIF($A$4:A513,Data_PLT[[#This Row],[Hole ID]]))))</f>
        <v/>
      </c>
      <c r="D513" s="63" t="str">
        <f>IF(Data_PLT[[#This Row],[Hole ID]]="","",Data_PLT[[#This Row],[Hole ID]]&amp;"_"&amp;Data_PLT[[#This Row],[Sample ID]])</f>
        <v/>
      </c>
      <c r="E513" s="6"/>
      <c r="F513" s="6"/>
      <c r="G513" s="63" t="e" cm="1">
        <f t="array" ref="G513">_xlfn.XLOOKUP(1,(A513=Geotech!$A$4:$A$11100)*(Data_PLT[[#This Row],[Depth (m)]]&gt;=Geotech!$C$4:$C$11100)*(Data_PLT[[#This Row],[Depth (m)]]&lt;Geotech!$D$4:$D$11100),Geotech!$M$4:$M$11100)</f>
        <v>#N/A</v>
      </c>
      <c r="H513" s="6"/>
      <c r="I513" s="63" t="e">
        <f>VLOOKUP(Data_PLT[[#This Row],[Hole ID]],Data_Log[[Hole ID]:[Core size]],20,FALSE)</f>
        <v>#N/A</v>
      </c>
      <c r="J513" s="13" t="e">
        <f>VLOOKUP(Data_PLT[[#This Row],[Core Size]],Table_CoreSize[],2,FALSE)</f>
        <v>#N/A</v>
      </c>
      <c r="K513" s="19"/>
      <c r="L513" s="19"/>
      <c r="M513" s="5"/>
      <c r="N513" s="5"/>
      <c r="O513" s="6"/>
      <c r="P513" s="13" t="str">
        <f>IF(Data_PLT[[#This Row],[Failure type]]="","",IF(OR(Data_PLT[[#This Row],[Failure type]]="Invalid",Data_PLT[[#This Row],[Failure type]]="Chipped",Data_PLT[[#This Row],[Failure type]]="Penetrate",Data_PLT[[#This Row],[Failure type]]="Did not break"),"Invalid","Valid"))</f>
        <v/>
      </c>
      <c r="Q513" s="6"/>
      <c r="R513" s="11"/>
      <c r="S513" s="13" t="str">
        <f>IF(Data_PLT[[#This Row],[Test type]]="Diametral",Data_PLT[[#This Row],[Diameter (mm)]],IF(Data_PLT[[#This Row],[Test type]]="Axial",SQRT(4*Data_PLT[[#This Row],[Diameter (mm)]]*Data_PLT[[#This Row],[Length or width (mm)]]/PI()),"ERROR"))</f>
        <v>ERROR</v>
      </c>
      <c r="T513" s="13" t="e">
        <f>(Data_PLT[[#This Row],[Load (kN)]]*1000)/Data_PLT[[#This Row],[Equiv. Diam. (mm)]]^2</f>
        <v>#VALUE!</v>
      </c>
      <c r="U513" s="13" t="e">
        <f>(Data_PLT[[#This Row],[Equiv. Diam. (mm)]]/50)^0.45</f>
        <v>#VALUE!</v>
      </c>
      <c r="V513" s="13" t="e">
        <f>Data_PLT[[#This Row],[Is (MPa)]]*Data_PLT[[#This Row],[F]]</f>
        <v>#VALUE!</v>
      </c>
      <c r="W513" s="13" t="str">
        <f>Data_PLT[[#This Row],[Failure Validity]]&amp;"-"&amp;Data_PLT[[#This Row],[Test type]]</f>
        <v>-</v>
      </c>
      <c r="X513" s="13" t="e">
        <f>Data_PLT[[#This Row],[Is50 (MPa)]]*VLOOKUP("Min",Table_PLT_Conversion[],2,FALSE)</f>
        <v>#VALUE!</v>
      </c>
      <c r="Y513" s="13" t="e">
        <f>Data_PLT[[#This Row],[Is50 (MPa)]]*VLOOKUP("Avg",Table_PLT_Conversion[],2,FALSE)</f>
        <v>#VALUE!</v>
      </c>
      <c r="Z513" s="13" t="e">
        <f>Data_PLT[[#This Row],[Is50 (MPa)]]*VLOOKUP("Max",Table_PLT_Conversion[],2,FALSE)</f>
        <v>#VALUE!</v>
      </c>
      <c r="AA513" s="62" t="e">
        <f>MATCH(LOOKUP(Data_PLT[[#This Row],[UCS min (MPa)]],Table_FieldStrength[Min UCS]),Table_FieldStrength[Min UCS],0)-1</f>
        <v>#VALUE!</v>
      </c>
      <c r="AB513" s="62" t="e">
        <f>MATCH(LOOKUP(Data_PLT[[#This Row],[UCS avg (MPa)]],Table_FieldStrength[Min UCS]),Table_FieldStrength[Min UCS],0)-1</f>
        <v>#VALUE!</v>
      </c>
      <c r="AC513" s="62" t="e">
        <f>MATCH(LOOKUP(Data_PLT[[#This Row],[UCS max (MPa)]],Table_FieldStrength[Min UCS]),Table_FieldStrength[Min UCS],0)-1</f>
        <v>#VALUE!</v>
      </c>
      <c r="AD513" s="68" t="e">
        <f>Data_PLT[[#This Row],[Test code]]&amp;"-"&amp;Data_PLT[[#This Row],[UCS min code]]</f>
        <v>#VALUE!</v>
      </c>
      <c r="AE513" s="68" t="e">
        <f>Data_PLT[[#This Row],[Test code]]&amp;"-"&amp;Data_PLT[[#This Row],[UCS avg code]]</f>
        <v>#VALUE!</v>
      </c>
      <c r="AF513" s="67" t="e">
        <f>Data_PLT[[#This Row],[Test code]]&amp;"-"&amp;Data_PLT[[#This Row],[UCS max code]]</f>
        <v>#VALUE!</v>
      </c>
      <c r="AG513" s="67" t="e">
        <f>Data_PLT[[#This Row],[Failure type]]&amp;"-"&amp;Data_PLT[[#This Row],[Test type]]&amp;"-"&amp;(IF(Data_PLT[[#This Row],[Is50 (MPa)]]&lt;1,1,IF(Data_PLT[[#This Row],[Is50 (MPa)]]&lt;2,2,IF(Data_PLT[[#This Row],[Is50 (MPa)]]&lt;4,3,IF(Data_PLT[[#This Row],[Is50 (MPa)]]&lt;8,4,5)))))</f>
        <v>#VALUE!</v>
      </c>
    </row>
    <row r="514" spans="2:33" x14ac:dyDescent="0.25">
      <c r="B514" s="88" t="e">
        <f>VLOOKUP(Data_PLT[[#This Row],[Hole ID]],Data_Log[],2,FALSE)</f>
        <v>#N/A</v>
      </c>
      <c r="C514" s="63" t="str">
        <f>IF(Data_PLT[[#This Row],[Hole ID]]="","",
IF(COUNTIF($A$4:A514,Data_PLT[[#This Row],[Hole ID]])=1,1,
IF(A514=A513,C513+1,
COUNTIF($A$4:A514,Data_PLT[[#This Row],[Hole ID]]))))</f>
        <v/>
      </c>
      <c r="D514" s="63" t="str">
        <f>IF(Data_PLT[[#This Row],[Hole ID]]="","",Data_PLT[[#This Row],[Hole ID]]&amp;"_"&amp;Data_PLT[[#This Row],[Sample ID]])</f>
        <v/>
      </c>
      <c r="E514" s="6"/>
      <c r="F514" s="6"/>
      <c r="G514" s="63" t="e" cm="1">
        <f t="array" ref="G514">_xlfn.XLOOKUP(1,(A514=Geotech!$A$4:$A$11100)*(Data_PLT[[#This Row],[Depth (m)]]&gt;=Geotech!$C$4:$C$11100)*(Data_PLT[[#This Row],[Depth (m)]]&lt;Geotech!$D$4:$D$11100),Geotech!$M$4:$M$11100)</f>
        <v>#N/A</v>
      </c>
      <c r="H514" s="6"/>
      <c r="I514" s="63" t="e">
        <f>VLOOKUP(Data_PLT[[#This Row],[Hole ID]],Data_Log[[Hole ID]:[Core size]],20,FALSE)</f>
        <v>#N/A</v>
      </c>
      <c r="J514" s="13" t="e">
        <f>VLOOKUP(Data_PLT[[#This Row],[Core Size]],Table_CoreSize[],2,FALSE)</f>
        <v>#N/A</v>
      </c>
      <c r="K514" s="19"/>
      <c r="L514" s="19"/>
      <c r="M514" s="5"/>
      <c r="N514" s="5"/>
      <c r="O514" s="6"/>
      <c r="P514" s="13" t="str">
        <f>IF(Data_PLT[[#This Row],[Failure type]]="","",IF(OR(Data_PLT[[#This Row],[Failure type]]="Invalid",Data_PLT[[#This Row],[Failure type]]="Chipped",Data_PLT[[#This Row],[Failure type]]="Penetrate",Data_PLT[[#This Row],[Failure type]]="Did not break"),"Invalid","Valid"))</f>
        <v/>
      </c>
      <c r="Q514" s="6"/>
      <c r="R514" s="11"/>
      <c r="S514" s="13" t="str">
        <f>IF(Data_PLT[[#This Row],[Test type]]="Diametral",Data_PLT[[#This Row],[Diameter (mm)]],IF(Data_PLT[[#This Row],[Test type]]="Axial",SQRT(4*Data_PLT[[#This Row],[Diameter (mm)]]*Data_PLT[[#This Row],[Length or width (mm)]]/PI()),"ERROR"))</f>
        <v>ERROR</v>
      </c>
      <c r="T514" s="13" t="e">
        <f>(Data_PLT[[#This Row],[Load (kN)]]*1000)/Data_PLT[[#This Row],[Equiv. Diam. (mm)]]^2</f>
        <v>#VALUE!</v>
      </c>
      <c r="U514" s="13" t="e">
        <f>(Data_PLT[[#This Row],[Equiv. Diam. (mm)]]/50)^0.45</f>
        <v>#VALUE!</v>
      </c>
      <c r="V514" s="13" t="e">
        <f>Data_PLT[[#This Row],[Is (MPa)]]*Data_PLT[[#This Row],[F]]</f>
        <v>#VALUE!</v>
      </c>
      <c r="W514" s="13" t="str">
        <f>Data_PLT[[#This Row],[Failure Validity]]&amp;"-"&amp;Data_PLT[[#This Row],[Test type]]</f>
        <v>-</v>
      </c>
      <c r="X514" s="13" t="e">
        <f>Data_PLT[[#This Row],[Is50 (MPa)]]*VLOOKUP("Min",Table_PLT_Conversion[],2,FALSE)</f>
        <v>#VALUE!</v>
      </c>
      <c r="Y514" s="13" t="e">
        <f>Data_PLT[[#This Row],[Is50 (MPa)]]*VLOOKUP("Avg",Table_PLT_Conversion[],2,FALSE)</f>
        <v>#VALUE!</v>
      </c>
      <c r="Z514" s="13" t="e">
        <f>Data_PLT[[#This Row],[Is50 (MPa)]]*VLOOKUP("Max",Table_PLT_Conversion[],2,FALSE)</f>
        <v>#VALUE!</v>
      </c>
      <c r="AA514" s="62" t="e">
        <f>MATCH(LOOKUP(Data_PLT[[#This Row],[UCS min (MPa)]],Table_FieldStrength[Min UCS]),Table_FieldStrength[Min UCS],0)-1</f>
        <v>#VALUE!</v>
      </c>
      <c r="AB514" s="62" t="e">
        <f>MATCH(LOOKUP(Data_PLT[[#This Row],[UCS avg (MPa)]],Table_FieldStrength[Min UCS]),Table_FieldStrength[Min UCS],0)-1</f>
        <v>#VALUE!</v>
      </c>
      <c r="AC514" s="62" t="e">
        <f>MATCH(LOOKUP(Data_PLT[[#This Row],[UCS max (MPa)]],Table_FieldStrength[Min UCS]),Table_FieldStrength[Min UCS],0)-1</f>
        <v>#VALUE!</v>
      </c>
      <c r="AD514" s="68" t="e">
        <f>Data_PLT[[#This Row],[Test code]]&amp;"-"&amp;Data_PLT[[#This Row],[UCS min code]]</f>
        <v>#VALUE!</v>
      </c>
      <c r="AE514" s="68" t="e">
        <f>Data_PLT[[#This Row],[Test code]]&amp;"-"&amp;Data_PLT[[#This Row],[UCS avg code]]</f>
        <v>#VALUE!</v>
      </c>
      <c r="AF514" s="67" t="e">
        <f>Data_PLT[[#This Row],[Test code]]&amp;"-"&amp;Data_PLT[[#This Row],[UCS max code]]</f>
        <v>#VALUE!</v>
      </c>
      <c r="AG514" s="67" t="e">
        <f>Data_PLT[[#This Row],[Failure type]]&amp;"-"&amp;Data_PLT[[#This Row],[Test type]]&amp;"-"&amp;(IF(Data_PLT[[#This Row],[Is50 (MPa)]]&lt;1,1,IF(Data_PLT[[#This Row],[Is50 (MPa)]]&lt;2,2,IF(Data_PLT[[#This Row],[Is50 (MPa)]]&lt;4,3,IF(Data_PLT[[#This Row],[Is50 (MPa)]]&lt;8,4,5)))))</f>
        <v>#VALUE!</v>
      </c>
    </row>
    <row r="515" spans="2:33" x14ac:dyDescent="0.25">
      <c r="B515" s="88" t="e">
        <f>VLOOKUP(Data_PLT[[#This Row],[Hole ID]],Data_Log[],2,FALSE)</f>
        <v>#N/A</v>
      </c>
      <c r="C515" s="63" t="str">
        <f>IF(Data_PLT[[#This Row],[Hole ID]]="","",
IF(COUNTIF($A$4:A515,Data_PLT[[#This Row],[Hole ID]])=1,1,
IF(A515=A514,C514+1,
COUNTIF($A$4:A515,Data_PLT[[#This Row],[Hole ID]]))))</f>
        <v/>
      </c>
      <c r="D515" s="63" t="str">
        <f>IF(Data_PLT[[#This Row],[Hole ID]]="","",Data_PLT[[#This Row],[Hole ID]]&amp;"_"&amp;Data_PLT[[#This Row],[Sample ID]])</f>
        <v/>
      </c>
      <c r="E515" s="6"/>
      <c r="F515" s="6"/>
      <c r="G515" s="63" t="e" cm="1">
        <f t="array" ref="G515">_xlfn.XLOOKUP(1,(A515=Geotech!$A$4:$A$11100)*(Data_PLT[[#This Row],[Depth (m)]]&gt;=Geotech!$C$4:$C$11100)*(Data_PLT[[#This Row],[Depth (m)]]&lt;Geotech!$D$4:$D$11100),Geotech!$M$4:$M$11100)</f>
        <v>#N/A</v>
      </c>
      <c r="H515" s="6"/>
      <c r="I515" s="63" t="e">
        <f>VLOOKUP(Data_PLT[[#This Row],[Hole ID]],Data_Log[[Hole ID]:[Core size]],20,FALSE)</f>
        <v>#N/A</v>
      </c>
      <c r="J515" s="13" t="e">
        <f>VLOOKUP(Data_PLT[[#This Row],[Core Size]],Table_CoreSize[],2,FALSE)</f>
        <v>#N/A</v>
      </c>
      <c r="K515" s="19"/>
      <c r="L515" s="19"/>
      <c r="M515" s="5"/>
      <c r="N515" s="5"/>
      <c r="O515" s="6"/>
      <c r="P515" s="13" t="str">
        <f>IF(Data_PLT[[#This Row],[Failure type]]="","",IF(OR(Data_PLT[[#This Row],[Failure type]]="Invalid",Data_PLT[[#This Row],[Failure type]]="Chipped",Data_PLT[[#This Row],[Failure type]]="Penetrate",Data_PLT[[#This Row],[Failure type]]="Did not break"),"Invalid","Valid"))</f>
        <v/>
      </c>
      <c r="Q515" s="6"/>
      <c r="R515" s="11"/>
      <c r="S515" s="13" t="str">
        <f>IF(Data_PLT[[#This Row],[Test type]]="Diametral",Data_PLT[[#This Row],[Diameter (mm)]],IF(Data_PLT[[#This Row],[Test type]]="Axial",SQRT(4*Data_PLT[[#This Row],[Diameter (mm)]]*Data_PLT[[#This Row],[Length or width (mm)]]/PI()),"ERROR"))</f>
        <v>ERROR</v>
      </c>
      <c r="T515" s="13" t="e">
        <f>(Data_PLT[[#This Row],[Load (kN)]]*1000)/Data_PLT[[#This Row],[Equiv. Diam. (mm)]]^2</f>
        <v>#VALUE!</v>
      </c>
      <c r="U515" s="13" t="e">
        <f>(Data_PLT[[#This Row],[Equiv. Diam. (mm)]]/50)^0.45</f>
        <v>#VALUE!</v>
      </c>
      <c r="V515" s="13" t="e">
        <f>Data_PLT[[#This Row],[Is (MPa)]]*Data_PLT[[#This Row],[F]]</f>
        <v>#VALUE!</v>
      </c>
      <c r="W515" s="13" t="str">
        <f>Data_PLT[[#This Row],[Failure Validity]]&amp;"-"&amp;Data_PLT[[#This Row],[Test type]]</f>
        <v>-</v>
      </c>
      <c r="X515" s="13" t="e">
        <f>Data_PLT[[#This Row],[Is50 (MPa)]]*VLOOKUP("Min",Table_PLT_Conversion[],2,FALSE)</f>
        <v>#VALUE!</v>
      </c>
      <c r="Y515" s="13" t="e">
        <f>Data_PLT[[#This Row],[Is50 (MPa)]]*VLOOKUP("Avg",Table_PLT_Conversion[],2,FALSE)</f>
        <v>#VALUE!</v>
      </c>
      <c r="Z515" s="13" t="e">
        <f>Data_PLT[[#This Row],[Is50 (MPa)]]*VLOOKUP("Max",Table_PLT_Conversion[],2,FALSE)</f>
        <v>#VALUE!</v>
      </c>
      <c r="AA515" s="62" t="e">
        <f>MATCH(LOOKUP(Data_PLT[[#This Row],[UCS min (MPa)]],Table_FieldStrength[Min UCS]),Table_FieldStrength[Min UCS],0)-1</f>
        <v>#VALUE!</v>
      </c>
      <c r="AB515" s="62" t="e">
        <f>MATCH(LOOKUP(Data_PLT[[#This Row],[UCS avg (MPa)]],Table_FieldStrength[Min UCS]),Table_FieldStrength[Min UCS],0)-1</f>
        <v>#VALUE!</v>
      </c>
      <c r="AC515" s="62" t="e">
        <f>MATCH(LOOKUP(Data_PLT[[#This Row],[UCS max (MPa)]],Table_FieldStrength[Min UCS]),Table_FieldStrength[Min UCS],0)-1</f>
        <v>#VALUE!</v>
      </c>
      <c r="AD515" s="68" t="e">
        <f>Data_PLT[[#This Row],[Test code]]&amp;"-"&amp;Data_PLT[[#This Row],[UCS min code]]</f>
        <v>#VALUE!</v>
      </c>
      <c r="AE515" s="68" t="e">
        <f>Data_PLT[[#This Row],[Test code]]&amp;"-"&amp;Data_PLT[[#This Row],[UCS avg code]]</f>
        <v>#VALUE!</v>
      </c>
      <c r="AF515" s="67" t="e">
        <f>Data_PLT[[#This Row],[Test code]]&amp;"-"&amp;Data_PLT[[#This Row],[UCS max code]]</f>
        <v>#VALUE!</v>
      </c>
      <c r="AG515" s="67" t="e">
        <f>Data_PLT[[#This Row],[Failure type]]&amp;"-"&amp;Data_PLT[[#This Row],[Test type]]&amp;"-"&amp;(IF(Data_PLT[[#This Row],[Is50 (MPa)]]&lt;1,1,IF(Data_PLT[[#This Row],[Is50 (MPa)]]&lt;2,2,IF(Data_PLT[[#This Row],[Is50 (MPa)]]&lt;4,3,IF(Data_PLT[[#This Row],[Is50 (MPa)]]&lt;8,4,5)))))</f>
        <v>#VALUE!</v>
      </c>
    </row>
    <row r="516" spans="2:33" x14ac:dyDescent="0.25">
      <c r="B516" s="88" t="e">
        <f>VLOOKUP(Data_PLT[[#This Row],[Hole ID]],Data_Log[],2,FALSE)</f>
        <v>#N/A</v>
      </c>
      <c r="C516" s="63" t="str">
        <f>IF(Data_PLT[[#This Row],[Hole ID]]="","",
IF(COUNTIF($A$4:A516,Data_PLT[[#This Row],[Hole ID]])=1,1,
IF(A516=A515,C515+1,
COUNTIF($A$4:A516,Data_PLT[[#This Row],[Hole ID]]))))</f>
        <v/>
      </c>
      <c r="D516" s="63" t="str">
        <f>IF(Data_PLT[[#This Row],[Hole ID]]="","",Data_PLT[[#This Row],[Hole ID]]&amp;"_"&amp;Data_PLT[[#This Row],[Sample ID]])</f>
        <v/>
      </c>
      <c r="E516" s="6"/>
      <c r="F516" s="6"/>
      <c r="G516" s="63" t="e" cm="1">
        <f t="array" ref="G516">_xlfn.XLOOKUP(1,(A516=Geotech!$A$4:$A$11100)*(Data_PLT[[#This Row],[Depth (m)]]&gt;=Geotech!$C$4:$C$11100)*(Data_PLT[[#This Row],[Depth (m)]]&lt;Geotech!$D$4:$D$11100),Geotech!$M$4:$M$11100)</f>
        <v>#N/A</v>
      </c>
      <c r="H516" s="6"/>
      <c r="I516" s="63" t="e">
        <f>VLOOKUP(Data_PLT[[#This Row],[Hole ID]],Data_Log[[Hole ID]:[Core size]],20,FALSE)</f>
        <v>#N/A</v>
      </c>
      <c r="J516" s="13" t="e">
        <f>VLOOKUP(Data_PLT[[#This Row],[Core Size]],Table_CoreSize[],2,FALSE)</f>
        <v>#N/A</v>
      </c>
      <c r="K516" s="19"/>
      <c r="L516" s="19"/>
      <c r="M516" s="5"/>
      <c r="N516" s="5"/>
      <c r="O516" s="6"/>
      <c r="P516" s="13" t="str">
        <f>IF(Data_PLT[[#This Row],[Failure type]]="","",IF(OR(Data_PLT[[#This Row],[Failure type]]="Invalid",Data_PLT[[#This Row],[Failure type]]="Chipped",Data_PLT[[#This Row],[Failure type]]="Penetrate",Data_PLT[[#This Row],[Failure type]]="Did not break"),"Invalid","Valid"))</f>
        <v/>
      </c>
      <c r="Q516" s="6"/>
      <c r="R516" s="11"/>
      <c r="S516" s="13" t="str">
        <f>IF(Data_PLT[[#This Row],[Test type]]="Diametral",Data_PLT[[#This Row],[Diameter (mm)]],IF(Data_PLT[[#This Row],[Test type]]="Axial",SQRT(4*Data_PLT[[#This Row],[Diameter (mm)]]*Data_PLT[[#This Row],[Length or width (mm)]]/PI()),"ERROR"))</f>
        <v>ERROR</v>
      </c>
      <c r="T516" s="13" t="e">
        <f>(Data_PLT[[#This Row],[Load (kN)]]*1000)/Data_PLT[[#This Row],[Equiv. Diam. (mm)]]^2</f>
        <v>#VALUE!</v>
      </c>
      <c r="U516" s="13" t="e">
        <f>(Data_PLT[[#This Row],[Equiv. Diam. (mm)]]/50)^0.45</f>
        <v>#VALUE!</v>
      </c>
      <c r="V516" s="13" t="e">
        <f>Data_PLT[[#This Row],[Is (MPa)]]*Data_PLT[[#This Row],[F]]</f>
        <v>#VALUE!</v>
      </c>
      <c r="W516" s="13" t="str">
        <f>Data_PLT[[#This Row],[Failure Validity]]&amp;"-"&amp;Data_PLT[[#This Row],[Test type]]</f>
        <v>-</v>
      </c>
      <c r="X516" s="13" t="e">
        <f>Data_PLT[[#This Row],[Is50 (MPa)]]*VLOOKUP("Min",Table_PLT_Conversion[],2,FALSE)</f>
        <v>#VALUE!</v>
      </c>
      <c r="Y516" s="13" t="e">
        <f>Data_PLT[[#This Row],[Is50 (MPa)]]*VLOOKUP("Avg",Table_PLT_Conversion[],2,FALSE)</f>
        <v>#VALUE!</v>
      </c>
      <c r="Z516" s="13" t="e">
        <f>Data_PLT[[#This Row],[Is50 (MPa)]]*VLOOKUP("Max",Table_PLT_Conversion[],2,FALSE)</f>
        <v>#VALUE!</v>
      </c>
      <c r="AA516" s="62" t="e">
        <f>MATCH(LOOKUP(Data_PLT[[#This Row],[UCS min (MPa)]],Table_FieldStrength[Min UCS]),Table_FieldStrength[Min UCS],0)-1</f>
        <v>#VALUE!</v>
      </c>
      <c r="AB516" s="62" t="e">
        <f>MATCH(LOOKUP(Data_PLT[[#This Row],[UCS avg (MPa)]],Table_FieldStrength[Min UCS]),Table_FieldStrength[Min UCS],0)-1</f>
        <v>#VALUE!</v>
      </c>
      <c r="AC516" s="62" t="e">
        <f>MATCH(LOOKUP(Data_PLT[[#This Row],[UCS max (MPa)]],Table_FieldStrength[Min UCS]),Table_FieldStrength[Min UCS],0)-1</f>
        <v>#VALUE!</v>
      </c>
      <c r="AD516" s="68" t="e">
        <f>Data_PLT[[#This Row],[Test code]]&amp;"-"&amp;Data_PLT[[#This Row],[UCS min code]]</f>
        <v>#VALUE!</v>
      </c>
      <c r="AE516" s="68" t="e">
        <f>Data_PLT[[#This Row],[Test code]]&amp;"-"&amp;Data_PLT[[#This Row],[UCS avg code]]</f>
        <v>#VALUE!</v>
      </c>
      <c r="AF516" s="67" t="e">
        <f>Data_PLT[[#This Row],[Test code]]&amp;"-"&amp;Data_PLT[[#This Row],[UCS max code]]</f>
        <v>#VALUE!</v>
      </c>
      <c r="AG516" s="67" t="e">
        <f>Data_PLT[[#This Row],[Failure type]]&amp;"-"&amp;Data_PLT[[#This Row],[Test type]]&amp;"-"&amp;(IF(Data_PLT[[#This Row],[Is50 (MPa)]]&lt;1,1,IF(Data_PLT[[#This Row],[Is50 (MPa)]]&lt;2,2,IF(Data_PLT[[#This Row],[Is50 (MPa)]]&lt;4,3,IF(Data_PLT[[#This Row],[Is50 (MPa)]]&lt;8,4,5)))))</f>
        <v>#VALUE!</v>
      </c>
    </row>
    <row r="517" spans="2:33" x14ac:dyDescent="0.25">
      <c r="B517" s="88" t="e">
        <f>VLOOKUP(Data_PLT[[#This Row],[Hole ID]],Data_Log[],2,FALSE)</f>
        <v>#N/A</v>
      </c>
      <c r="C517" s="63" t="str">
        <f>IF(Data_PLT[[#This Row],[Hole ID]]="","",
IF(COUNTIF($A$4:A517,Data_PLT[[#This Row],[Hole ID]])=1,1,
IF(A517=A516,C516+1,
COUNTIF($A$4:A517,Data_PLT[[#This Row],[Hole ID]]))))</f>
        <v/>
      </c>
      <c r="D517" s="63" t="str">
        <f>IF(Data_PLT[[#This Row],[Hole ID]]="","",Data_PLT[[#This Row],[Hole ID]]&amp;"_"&amp;Data_PLT[[#This Row],[Sample ID]])</f>
        <v/>
      </c>
      <c r="E517" s="6"/>
      <c r="F517" s="6"/>
      <c r="G517" s="63" t="e" cm="1">
        <f t="array" ref="G517">_xlfn.XLOOKUP(1,(A517=Geotech!$A$4:$A$11100)*(Data_PLT[[#This Row],[Depth (m)]]&gt;=Geotech!$C$4:$C$11100)*(Data_PLT[[#This Row],[Depth (m)]]&lt;Geotech!$D$4:$D$11100),Geotech!$M$4:$M$11100)</f>
        <v>#N/A</v>
      </c>
      <c r="H517" s="6"/>
      <c r="I517" s="63" t="e">
        <f>VLOOKUP(Data_PLT[[#This Row],[Hole ID]],Data_Log[[Hole ID]:[Core size]],20,FALSE)</f>
        <v>#N/A</v>
      </c>
      <c r="J517" s="13" t="e">
        <f>VLOOKUP(Data_PLT[[#This Row],[Core Size]],Table_CoreSize[],2,FALSE)</f>
        <v>#N/A</v>
      </c>
      <c r="K517" s="19"/>
      <c r="L517" s="19"/>
      <c r="M517" s="5"/>
      <c r="N517" s="5"/>
      <c r="O517" s="6"/>
      <c r="P517" s="13" t="str">
        <f>IF(Data_PLT[[#This Row],[Failure type]]="","",IF(OR(Data_PLT[[#This Row],[Failure type]]="Invalid",Data_PLT[[#This Row],[Failure type]]="Chipped",Data_PLT[[#This Row],[Failure type]]="Penetrate",Data_PLT[[#This Row],[Failure type]]="Did not break"),"Invalid","Valid"))</f>
        <v/>
      </c>
      <c r="Q517" s="6"/>
      <c r="R517" s="11"/>
      <c r="S517" s="13" t="str">
        <f>IF(Data_PLT[[#This Row],[Test type]]="Diametral",Data_PLT[[#This Row],[Diameter (mm)]],IF(Data_PLT[[#This Row],[Test type]]="Axial",SQRT(4*Data_PLT[[#This Row],[Diameter (mm)]]*Data_PLT[[#This Row],[Length or width (mm)]]/PI()),"ERROR"))</f>
        <v>ERROR</v>
      </c>
      <c r="T517" s="13" t="e">
        <f>(Data_PLT[[#This Row],[Load (kN)]]*1000)/Data_PLT[[#This Row],[Equiv. Diam. (mm)]]^2</f>
        <v>#VALUE!</v>
      </c>
      <c r="U517" s="13" t="e">
        <f>(Data_PLT[[#This Row],[Equiv. Diam. (mm)]]/50)^0.45</f>
        <v>#VALUE!</v>
      </c>
      <c r="V517" s="13" t="e">
        <f>Data_PLT[[#This Row],[Is (MPa)]]*Data_PLT[[#This Row],[F]]</f>
        <v>#VALUE!</v>
      </c>
      <c r="W517" s="13" t="str">
        <f>Data_PLT[[#This Row],[Failure Validity]]&amp;"-"&amp;Data_PLT[[#This Row],[Test type]]</f>
        <v>-</v>
      </c>
      <c r="X517" s="13" t="e">
        <f>Data_PLT[[#This Row],[Is50 (MPa)]]*VLOOKUP("Min",Table_PLT_Conversion[],2,FALSE)</f>
        <v>#VALUE!</v>
      </c>
      <c r="Y517" s="13" t="e">
        <f>Data_PLT[[#This Row],[Is50 (MPa)]]*VLOOKUP("Avg",Table_PLT_Conversion[],2,FALSE)</f>
        <v>#VALUE!</v>
      </c>
      <c r="Z517" s="13" t="e">
        <f>Data_PLT[[#This Row],[Is50 (MPa)]]*VLOOKUP("Max",Table_PLT_Conversion[],2,FALSE)</f>
        <v>#VALUE!</v>
      </c>
      <c r="AA517" s="62" t="e">
        <f>MATCH(LOOKUP(Data_PLT[[#This Row],[UCS min (MPa)]],Table_FieldStrength[Min UCS]),Table_FieldStrength[Min UCS],0)-1</f>
        <v>#VALUE!</v>
      </c>
      <c r="AB517" s="62" t="e">
        <f>MATCH(LOOKUP(Data_PLT[[#This Row],[UCS avg (MPa)]],Table_FieldStrength[Min UCS]),Table_FieldStrength[Min UCS],0)-1</f>
        <v>#VALUE!</v>
      </c>
      <c r="AC517" s="62" t="e">
        <f>MATCH(LOOKUP(Data_PLT[[#This Row],[UCS max (MPa)]],Table_FieldStrength[Min UCS]),Table_FieldStrength[Min UCS],0)-1</f>
        <v>#VALUE!</v>
      </c>
      <c r="AD517" s="68" t="e">
        <f>Data_PLT[[#This Row],[Test code]]&amp;"-"&amp;Data_PLT[[#This Row],[UCS min code]]</f>
        <v>#VALUE!</v>
      </c>
      <c r="AE517" s="68" t="e">
        <f>Data_PLT[[#This Row],[Test code]]&amp;"-"&amp;Data_PLT[[#This Row],[UCS avg code]]</f>
        <v>#VALUE!</v>
      </c>
      <c r="AF517" s="67" t="e">
        <f>Data_PLT[[#This Row],[Test code]]&amp;"-"&amp;Data_PLT[[#This Row],[UCS max code]]</f>
        <v>#VALUE!</v>
      </c>
      <c r="AG517" s="67" t="e">
        <f>Data_PLT[[#This Row],[Failure type]]&amp;"-"&amp;Data_PLT[[#This Row],[Test type]]&amp;"-"&amp;(IF(Data_PLT[[#This Row],[Is50 (MPa)]]&lt;1,1,IF(Data_PLT[[#This Row],[Is50 (MPa)]]&lt;2,2,IF(Data_PLT[[#This Row],[Is50 (MPa)]]&lt;4,3,IF(Data_PLT[[#This Row],[Is50 (MPa)]]&lt;8,4,5)))))</f>
        <v>#VALUE!</v>
      </c>
    </row>
    <row r="518" spans="2:33" x14ac:dyDescent="0.25">
      <c r="B518" s="88" t="e">
        <f>VLOOKUP(Data_PLT[[#This Row],[Hole ID]],Data_Log[],2,FALSE)</f>
        <v>#N/A</v>
      </c>
      <c r="C518" s="63" t="str">
        <f>IF(Data_PLT[[#This Row],[Hole ID]]="","",
IF(COUNTIF($A$4:A518,Data_PLT[[#This Row],[Hole ID]])=1,1,
IF(A518=A517,C517+1,
COUNTIF($A$4:A518,Data_PLT[[#This Row],[Hole ID]]))))</f>
        <v/>
      </c>
      <c r="D518" s="63" t="str">
        <f>IF(Data_PLT[[#This Row],[Hole ID]]="","",Data_PLT[[#This Row],[Hole ID]]&amp;"_"&amp;Data_PLT[[#This Row],[Sample ID]])</f>
        <v/>
      </c>
      <c r="E518" s="6"/>
      <c r="F518" s="6"/>
      <c r="G518" s="63" t="e" cm="1">
        <f t="array" ref="G518">_xlfn.XLOOKUP(1,(A518=Geotech!$A$4:$A$11100)*(Data_PLT[[#This Row],[Depth (m)]]&gt;=Geotech!$C$4:$C$11100)*(Data_PLT[[#This Row],[Depth (m)]]&lt;Geotech!$D$4:$D$11100),Geotech!$M$4:$M$11100)</f>
        <v>#N/A</v>
      </c>
      <c r="H518" s="6"/>
      <c r="I518" s="63" t="e">
        <f>VLOOKUP(Data_PLT[[#This Row],[Hole ID]],Data_Log[[Hole ID]:[Core size]],20,FALSE)</f>
        <v>#N/A</v>
      </c>
      <c r="J518" s="13" t="e">
        <f>VLOOKUP(Data_PLT[[#This Row],[Core Size]],Table_CoreSize[],2,FALSE)</f>
        <v>#N/A</v>
      </c>
      <c r="K518" s="19"/>
      <c r="L518" s="19"/>
      <c r="M518" s="5"/>
      <c r="N518" s="5"/>
      <c r="O518" s="6"/>
      <c r="P518" s="13" t="str">
        <f>IF(Data_PLT[[#This Row],[Failure type]]="","",IF(OR(Data_PLT[[#This Row],[Failure type]]="Invalid",Data_PLT[[#This Row],[Failure type]]="Chipped",Data_PLT[[#This Row],[Failure type]]="Penetrate",Data_PLT[[#This Row],[Failure type]]="Did not break"),"Invalid","Valid"))</f>
        <v/>
      </c>
      <c r="Q518" s="6"/>
      <c r="R518" s="11"/>
      <c r="S518" s="13" t="str">
        <f>IF(Data_PLT[[#This Row],[Test type]]="Diametral",Data_PLT[[#This Row],[Diameter (mm)]],IF(Data_PLT[[#This Row],[Test type]]="Axial",SQRT(4*Data_PLT[[#This Row],[Diameter (mm)]]*Data_PLT[[#This Row],[Length or width (mm)]]/PI()),"ERROR"))</f>
        <v>ERROR</v>
      </c>
      <c r="T518" s="13" t="e">
        <f>(Data_PLT[[#This Row],[Load (kN)]]*1000)/Data_PLT[[#This Row],[Equiv. Diam. (mm)]]^2</f>
        <v>#VALUE!</v>
      </c>
      <c r="U518" s="13" t="e">
        <f>(Data_PLT[[#This Row],[Equiv. Diam. (mm)]]/50)^0.45</f>
        <v>#VALUE!</v>
      </c>
      <c r="V518" s="13" t="e">
        <f>Data_PLT[[#This Row],[Is (MPa)]]*Data_PLT[[#This Row],[F]]</f>
        <v>#VALUE!</v>
      </c>
      <c r="W518" s="13" t="str">
        <f>Data_PLT[[#This Row],[Failure Validity]]&amp;"-"&amp;Data_PLT[[#This Row],[Test type]]</f>
        <v>-</v>
      </c>
      <c r="X518" s="13" t="e">
        <f>Data_PLT[[#This Row],[Is50 (MPa)]]*VLOOKUP("Min",Table_PLT_Conversion[],2,FALSE)</f>
        <v>#VALUE!</v>
      </c>
      <c r="Y518" s="13" t="e">
        <f>Data_PLT[[#This Row],[Is50 (MPa)]]*VLOOKUP("Avg",Table_PLT_Conversion[],2,FALSE)</f>
        <v>#VALUE!</v>
      </c>
      <c r="Z518" s="13" t="e">
        <f>Data_PLT[[#This Row],[Is50 (MPa)]]*VLOOKUP("Max",Table_PLT_Conversion[],2,FALSE)</f>
        <v>#VALUE!</v>
      </c>
      <c r="AA518" s="62" t="e">
        <f>MATCH(LOOKUP(Data_PLT[[#This Row],[UCS min (MPa)]],Table_FieldStrength[Min UCS]),Table_FieldStrength[Min UCS],0)-1</f>
        <v>#VALUE!</v>
      </c>
      <c r="AB518" s="62" t="e">
        <f>MATCH(LOOKUP(Data_PLT[[#This Row],[UCS avg (MPa)]],Table_FieldStrength[Min UCS]),Table_FieldStrength[Min UCS],0)-1</f>
        <v>#VALUE!</v>
      </c>
      <c r="AC518" s="62" t="e">
        <f>MATCH(LOOKUP(Data_PLT[[#This Row],[UCS max (MPa)]],Table_FieldStrength[Min UCS]),Table_FieldStrength[Min UCS],0)-1</f>
        <v>#VALUE!</v>
      </c>
      <c r="AD518" s="68" t="e">
        <f>Data_PLT[[#This Row],[Test code]]&amp;"-"&amp;Data_PLT[[#This Row],[UCS min code]]</f>
        <v>#VALUE!</v>
      </c>
      <c r="AE518" s="68" t="e">
        <f>Data_PLT[[#This Row],[Test code]]&amp;"-"&amp;Data_PLT[[#This Row],[UCS avg code]]</f>
        <v>#VALUE!</v>
      </c>
      <c r="AF518" s="67" t="e">
        <f>Data_PLT[[#This Row],[Test code]]&amp;"-"&amp;Data_PLT[[#This Row],[UCS max code]]</f>
        <v>#VALUE!</v>
      </c>
      <c r="AG518" s="67" t="e">
        <f>Data_PLT[[#This Row],[Failure type]]&amp;"-"&amp;Data_PLT[[#This Row],[Test type]]&amp;"-"&amp;(IF(Data_PLT[[#This Row],[Is50 (MPa)]]&lt;1,1,IF(Data_PLT[[#This Row],[Is50 (MPa)]]&lt;2,2,IF(Data_PLT[[#This Row],[Is50 (MPa)]]&lt;4,3,IF(Data_PLT[[#This Row],[Is50 (MPa)]]&lt;8,4,5)))))</f>
        <v>#VALUE!</v>
      </c>
    </row>
    <row r="519" spans="2:33" x14ac:dyDescent="0.25">
      <c r="B519" s="88" t="e">
        <f>VLOOKUP(Data_PLT[[#This Row],[Hole ID]],Data_Log[],2,FALSE)</f>
        <v>#N/A</v>
      </c>
      <c r="C519" s="63" t="str">
        <f>IF(Data_PLT[[#This Row],[Hole ID]]="","",
IF(COUNTIF($A$4:A519,Data_PLT[[#This Row],[Hole ID]])=1,1,
IF(A519=A518,C518+1,
COUNTIF($A$4:A519,Data_PLT[[#This Row],[Hole ID]]))))</f>
        <v/>
      </c>
      <c r="D519" s="63" t="str">
        <f>IF(Data_PLT[[#This Row],[Hole ID]]="","",Data_PLT[[#This Row],[Hole ID]]&amp;"_"&amp;Data_PLT[[#This Row],[Sample ID]])</f>
        <v/>
      </c>
      <c r="E519" s="6"/>
      <c r="F519" s="6"/>
      <c r="G519" s="63" t="e" cm="1">
        <f t="array" ref="G519">_xlfn.XLOOKUP(1,(A519=Geotech!$A$4:$A$11100)*(Data_PLT[[#This Row],[Depth (m)]]&gt;=Geotech!$C$4:$C$11100)*(Data_PLT[[#This Row],[Depth (m)]]&lt;Geotech!$D$4:$D$11100),Geotech!$M$4:$M$11100)</f>
        <v>#N/A</v>
      </c>
      <c r="H519" s="6"/>
      <c r="I519" s="63" t="e">
        <f>VLOOKUP(Data_PLT[[#This Row],[Hole ID]],Data_Log[[Hole ID]:[Core size]],20,FALSE)</f>
        <v>#N/A</v>
      </c>
      <c r="J519" s="13" t="e">
        <f>VLOOKUP(Data_PLT[[#This Row],[Core Size]],Table_CoreSize[],2,FALSE)</f>
        <v>#N/A</v>
      </c>
      <c r="K519" s="19"/>
      <c r="L519" s="19"/>
      <c r="M519" s="5"/>
      <c r="N519" s="5"/>
      <c r="O519" s="6"/>
      <c r="P519" s="13" t="str">
        <f>IF(Data_PLT[[#This Row],[Failure type]]="","",IF(OR(Data_PLT[[#This Row],[Failure type]]="Invalid",Data_PLT[[#This Row],[Failure type]]="Chipped",Data_PLT[[#This Row],[Failure type]]="Penetrate",Data_PLT[[#This Row],[Failure type]]="Did not break"),"Invalid","Valid"))</f>
        <v/>
      </c>
      <c r="Q519" s="6"/>
      <c r="R519" s="11"/>
      <c r="S519" s="13" t="str">
        <f>IF(Data_PLT[[#This Row],[Test type]]="Diametral",Data_PLT[[#This Row],[Diameter (mm)]],IF(Data_PLT[[#This Row],[Test type]]="Axial",SQRT(4*Data_PLT[[#This Row],[Diameter (mm)]]*Data_PLT[[#This Row],[Length or width (mm)]]/PI()),"ERROR"))</f>
        <v>ERROR</v>
      </c>
      <c r="T519" s="13" t="e">
        <f>(Data_PLT[[#This Row],[Load (kN)]]*1000)/Data_PLT[[#This Row],[Equiv. Diam. (mm)]]^2</f>
        <v>#VALUE!</v>
      </c>
      <c r="U519" s="13" t="e">
        <f>(Data_PLT[[#This Row],[Equiv. Diam. (mm)]]/50)^0.45</f>
        <v>#VALUE!</v>
      </c>
      <c r="V519" s="13" t="e">
        <f>Data_PLT[[#This Row],[Is (MPa)]]*Data_PLT[[#This Row],[F]]</f>
        <v>#VALUE!</v>
      </c>
      <c r="W519" s="13" t="str">
        <f>Data_PLT[[#This Row],[Failure Validity]]&amp;"-"&amp;Data_PLT[[#This Row],[Test type]]</f>
        <v>-</v>
      </c>
      <c r="X519" s="13" t="e">
        <f>Data_PLT[[#This Row],[Is50 (MPa)]]*VLOOKUP("Min",Table_PLT_Conversion[],2,FALSE)</f>
        <v>#VALUE!</v>
      </c>
      <c r="Y519" s="13" t="e">
        <f>Data_PLT[[#This Row],[Is50 (MPa)]]*VLOOKUP("Avg",Table_PLT_Conversion[],2,FALSE)</f>
        <v>#VALUE!</v>
      </c>
      <c r="Z519" s="13" t="e">
        <f>Data_PLT[[#This Row],[Is50 (MPa)]]*VLOOKUP("Max",Table_PLT_Conversion[],2,FALSE)</f>
        <v>#VALUE!</v>
      </c>
      <c r="AA519" s="62" t="e">
        <f>MATCH(LOOKUP(Data_PLT[[#This Row],[UCS min (MPa)]],Table_FieldStrength[Min UCS]),Table_FieldStrength[Min UCS],0)-1</f>
        <v>#VALUE!</v>
      </c>
      <c r="AB519" s="62" t="e">
        <f>MATCH(LOOKUP(Data_PLT[[#This Row],[UCS avg (MPa)]],Table_FieldStrength[Min UCS]),Table_FieldStrength[Min UCS],0)-1</f>
        <v>#VALUE!</v>
      </c>
      <c r="AC519" s="62" t="e">
        <f>MATCH(LOOKUP(Data_PLT[[#This Row],[UCS max (MPa)]],Table_FieldStrength[Min UCS]),Table_FieldStrength[Min UCS],0)-1</f>
        <v>#VALUE!</v>
      </c>
      <c r="AD519" s="68" t="e">
        <f>Data_PLT[[#This Row],[Test code]]&amp;"-"&amp;Data_PLT[[#This Row],[UCS min code]]</f>
        <v>#VALUE!</v>
      </c>
      <c r="AE519" s="68" t="e">
        <f>Data_PLT[[#This Row],[Test code]]&amp;"-"&amp;Data_PLT[[#This Row],[UCS avg code]]</f>
        <v>#VALUE!</v>
      </c>
      <c r="AF519" s="67" t="e">
        <f>Data_PLT[[#This Row],[Test code]]&amp;"-"&amp;Data_PLT[[#This Row],[UCS max code]]</f>
        <v>#VALUE!</v>
      </c>
      <c r="AG519" s="67" t="e">
        <f>Data_PLT[[#This Row],[Failure type]]&amp;"-"&amp;Data_PLT[[#This Row],[Test type]]&amp;"-"&amp;(IF(Data_PLT[[#This Row],[Is50 (MPa)]]&lt;1,1,IF(Data_PLT[[#This Row],[Is50 (MPa)]]&lt;2,2,IF(Data_PLT[[#This Row],[Is50 (MPa)]]&lt;4,3,IF(Data_PLT[[#This Row],[Is50 (MPa)]]&lt;8,4,5)))))</f>
        <v>#VALUE!</v>
      </c>
    </row>
    <row r="520" spans="2:33" x14ac:dyDescent="0.25">
      <c r="B520" s="88" t="e">
        <f>VLOOKUP(Data_PLT[[#This Row],[Hole ID]],Data_Log[],2,FALSE)</f>
        <v>#N/A</v>
      </c>
      <c r="C520" s="63" t="str">
        <f>IF(Data_PLT[[#This Row],[Hole ID]]="","",
IF(COUNTIF($A$4:A520,Data_PLT[[#This Row],[Hole ID]])=1,1,
IF(A520=A519,C519+1,
COUNTIF($A$4:A520,Data_PLT[[#This Row],[Hole ID]]))))</f>
        <v/>
      </c>
      <c r="D520" s="63" t="str">
        <f>IF(Data_PLT[[#This Row],[Hole ID]]="","",Data_PLT[[#This Row],[Hole ID]]&amp;"_"&amp;Data_PLT[[#This Row],[Sample ID]])</f>
        <v/>
      </c>
      <c r="E520" s="6"/>
      <c r="F520" s="6"/>
      <c r="G520" s="63" t="e" cm="1">
        <f t="array" ref="G520">_xlfn.XLOOKUP(1,(A520=Geotech!$A$4:$A$11100)*(Data_PLT[[#This Row],[Depth (m)]]&gt;=Geotech!$C$4:$C$11100)*(Data_PLT[[#This Row],[Depth (m)]]&lt;Geotech!$D$4:$D$11100),Geotech!$M$4:$M$11100)</f>
        <v>#N/A</v>
      </c>
      <c r="H520" s="6"/>
      <c r="I520" s="63" t="e">
        <f>VLOOKUP(Data_PLT[[#This Row],[Hole ID]],Data_Log[[Hole ID]:[Core size]],20,FALSE)</f>
        <v>#N/A</v>
      </c>
      <c r="J520" s="13" t="e">
        <f>VLOOKUP(Data_PLT[[#This Row],[Core Size]],Table_CoreSize[],2,FALSE)</f>
        <v>#N/A</v>
      </c>
      <c r="K520" s="19"/>
      <c r="L520" s="19"/>
      <c r="M520" s="5"/>
      <c r="N520" s="5"/>
      <c r="O520" s="6"/>
      <c r="P520" s="13" t="str">
        <f>IF(Data_PLT[[#This Row],[Failure type]]="","",IF(OR(Data_PLT[[#This Row],[Failure type]]="Invalid",Data_PLT[[#This Row],[Failure type]]="Chipped",Data_PLT[[#This Row],[Failure type]]="Penetrate",Data_PLT[[#This Row],[Failure type]]="Did not break"),"Invalid","Valid"))</f>
        <v/>
      </c>
      <c r="Q520" s="6"/>
      <c r="R520" s="11"/>
      <c r="S520" s="13" t="str">
        <f>IF(Data_PLT[[#This Row],[Test type]]="Diametral",Data_PLT[[#This Row],[Diameter (mm)]],IF(Data_PLT[[#This Row],[Test type]]="Axial",SQRT(4*Data_PLT[[#This Row],[Diameter (mm)]]*Data_PLT[[#This Row],[Length or width (mm)]]/PI()),"ERROR"))</f>
        <v>ERROR</v>
      </c>
      <c r="T520" s="13" t="e">
        <f>(Data_PLT[[#This Row],[Load (kN)]]*1000)/Data_PLT[[#This Row],[Equiv. Diam. (mm)]]^2</f>
        <v>#VALUE!</v>
      </c>
      <c r="U520" s="13" t="e">
        <f>(Data_PLT[[#This Row],[Equiv. Diam. (mm)]]/50)^0.45</f>
        <v>#VALUE!</v>
      </c>
      <c r="V520" s="13" t="e">
        <f>Data_PLT[[#This Row],[Is (MPa)]]*Data_PLT[[#This Row],[F]]</f>
        <v>#VALUE!</v>
      </c>
      <c r="W520" s="13" t="str">
        <f>Data_PLT[[#This Row],[Failure Validity]]&amp;"-"&amp;Data_PLT[[#This Row],[Test type]]</f>
        <v>-</v>
      </c>
      <c r="X520" s="13" t="e">
        <f>Data_PLT[[#This Row],[Is50 (MPa)]]*VLOOKUP("Min",Table_PLT_Conversion[],2,FALSE)</f>
        <v>#VALUE!</v>
      </c>
      <c r="Y520" s="13" t="e">
        <f>Data_PLT[[#This Row],[Is50 (MPa)]]*VLOOKUP("Avg",Table_PLT_Conversion[],2,FALSE)</f>
        <v>#VALUE!</v>
      </c>
      <c r="Z520" s="13" t="e">
        <f>Data_PLT[[#This Row],[Is50 (MPa)]]*VLOOKUP("Max",Table_PLT_Conversion[],2,FALSE)</f>
        <v>#VALUE!</v>
      </c>
      <c r="AA520" s="62" t="e">
        <f>MATCH(LOOKUP(Data_PLT[[#This Row],[UCS min (MPa)]],Table_FieldStrength[Min UCS]),Table_FieldStrength[Min UCS],0)-1</f>
        <v>#VALUE!</v>
      </c>
      <c r="AB520" s="62" t="e">
        <f>MATCH(LOOKUP(Data_PLT[[#This Row],[UCS avg (MPa)]],Table_FieldStrength[Min UCS]),Table_FieldStrength[Min UCS],0)-1</f>
        <v>#VALUE!</v>
      </c>
      <c r="AC520" s="62" t="e">
        <f>MATCH(LOOKUP(Data_PLT[[#This Row],[UCS max (MPa)]],Table_FieldStrength[Min UCS]),Table_FieldStrength[Min UCS],0)-1</f>
        <v>#VALUE!</v>
      </c>
      <c r="AD520" s="68" t="e">
        <f>Data_PLT[[#This Row],[Test code]]&amp;"-"&amp;Data_PLT[[#This Row],[UCS min code]]</f>
        <v>#VALUE!</v>
      </c>
      <c r="AE520" s="68" t="e">
        <f>Data_PLT[[#This Row],[Test code]]&amp;"-"&amp;Data_PLT[[#This Row],[UCS avg code]]</f>
        <v>#VALUE!</v>
      </c>
      <c r="AF520" s="67" t="e">
        <f>Data_PLT[[#This Row],[Test code]]&amp;"-"&amp;Data_PLT[[#This Row],[UCS max code]]</f>
        <v>#VALUE!</v>
      </c>
      <c r="AG520" s="67" t="e">
        <f>Data_PLT[[#This Row],[Failure type]]&amp;"-"&amp;Data_PLT[[#This Row],[Test type]]&amp;"-"&amp;(IF(Data_PLT[[#This Row],[Is50 (MPa)]]&lt;1,1,IF(Data_PLT[[#This Row],[Is50 (MPa)]]&lt;2,2,IF(Data_PLT[[#This Row],[Is50 (MPa)]]&lt;4,3,IF(Data_PLT[[#This Row],[Is50 (MPa)]]&lt;8,4,5)))))</f>
        <v>#VALUE!</v>
      </c>
    </row>
    <row r="521" spans="2:33" x14ac:dyDescent="0.25">
      <c r="B521" s="88" t="e">
        <f>VLOOKUP(Data_PLT[[#This Row],[Hole ID]],Data_Log[],2,FALSE)</f>
        <v>#N/A</v>
      </c>
      <c r="C521" s="63" t="str">
        <f>IF(Data_PLT[[#This Row],[Hole ID]]="","",
IF(COUNTIF($A$4:A521,Data_PLT[[#This Row],[Hole ID]])=1,1,
IF(A521=A520,C520+1,
COUNTIF($A$4:A521,Data_PLT[[#This Row],[Hole ID]]))))</f>
        <v/>
      </c>
      <c r="D521" s="63" t="str">
        <f>IF(Data_PLT[[#This Row],[Hole ID]]="","",Data_PLT[[#This Row],[Hole ID]]&amp;"_"&amp;Data_PLT[[#This Row],[Sample ID]])</f>
        <v/>
      </c>
      <c r="E521" s="6"/>
      <c r="F521" s="6"/>
      <c r="G521" s="63" t="e" cm="1">
        <f t="array" ref="G521">_xlfn.XLOOKUP(1,(A521=Geotech!$A$4:$A$11100)*(Data_PLT[[#This Row],[Depth (m)]]&gt;=Geotech!$C$4:$C$11100)*(Data_PLT[[#This Row],[Depth (m)]]&lt;Geotech!$D$4:$D$11100),Geotech!$M$4:$M$11100)</f>
        <v>#N/A</v>
      </c>
      <c r="H521" s="6"/>
      <c r="I521" s="63" t="e">
        <f>VLOOKUP(Data_PLT[[#This Row],[Hole ID]],Data_Log[[Hole ID]:[Core size]],20,FALSE)</f>
        <v>#N/A</v>
      </c>
      <c r="J521" s="13" t="e">
        <f>VLOOKUP(Data_PLT[[#This Row],[Core Size]],Table_CoreSize[],2,FALSE)</f>
        <v>#N/A</v>
      </c>
      <c r="K521" s="19"/>
      <c r="L521" s="19"/>
      <c r="M521" s="5"/>
      <c r="N521" s="5"/>
      <c r="O521" s="6"/>
      <c r="P521" s="13" t="str">
        <f>IF(Data_PLT[[#This Row],[Failure type]]="","",IF(OR(Data_PLT[[#This Row],[Failure type]]="Invalid",Data_PLT[[#This Row],[Failure type]]="Chipped",Data_PLT[[#This Row],[Failure type]]="Penetrate",Data_PLT[[#This Row],[Failure type]]="Did not break"),"Invalid","Valid"))</f>
        <v/>
      </c>
      <c r="Q521" s="6"/>
      <c r="R521" s="11"/>
      <c r="S521" s="13" t="str">
        <f>IF(Data_PLT[[#This Row],[Test type]]="Diametral",Data_PLT[[#This Row],[Diameter (mm)]],IF(Data_PLT[[#This Row],[Test type]]="Axial",SQRT(4*Data_PLT[[#This Row],[Diameter (mm)]]*Data_PLT[[#This Row],[Length or width (mm)]]/PI()),"ERROR"))</f>
        <v>ERROR</v>
      </c>
      <c r="T521" s="13" t="e">
        <f>(Data_PLT[[#This Row],[Load (kN)]]*1000)/Data_PLT[[#This Row],[Equiv. Diam. (mm)]]^2</f>
        <v>#VALUE!</v>
      </c>
      <c r="U521" s="13" t="e">
        <f>(Data_PLT[[#This Row],[Equiv. Diam. (mm)]]/50)^0.45</f>
        <v>#VALUE!</v>
      </c>
      <c r="V521" s="13" t="e">
        <f>Data_PLT[[#This Row],[Is (MPa)]]*Data_PLT[[#This Row],[F]]</f>
        <v>#VALUE!</v>
      </c>
      <c r="W521" s="13" t="str">
        <f>Data_PLT[[#This Row],[Failure Validity]]&amp;"-"&amp;Data_PLT[[#This Row],[Test type]]</f>
        <v>-</v>
      </c>
      <c r="X521" s="13" t="e">
        <f>Data_PLT[[#This Row],[Is50 (MPa)]]*VLOOKUP("Min",Table_PLT_Conversion[],2,FALSE)</f>
        <v>#VALUE!</v>
      </c>
      <c r="Y521" s="13" t="e">
        <f>Data_PLT[[#This Row],[Is50 (MPa)]]*VLOOKUP("Avg",Table_PLT_Conversion[],2,FALSE)</f>
        <v>#VALUE!</v>
      </c>
      <c r="Z521" s="13" t="e">
        <f>Data_PLT[[#This Row],[Is50 (MPa)]]*VLOOKUP("Max",Table_PLT_Conversion[],2,FALSE)</f>
        <v>#VALUE!</v>
      </c>
      <c r="AA521" s="62" t="e">
        <f>MATCH(LOOKUP(Data_PLT[[#This Row],[UCS min (MPa)]],Table_FieldStrength[Min UCS]),Table_FieldStrength[Min UCS],0)-1</f>
        <v>#VALUE!</v>
      </c>
      <c r="AB521" s="62" t="e">
        <f>MATCH(LOOKUP(Data_PLT[[#This Row],[UCS avg (MPa)]],Table_FieldStrength[Min UCS]),Table_FieldStrength[Min UCS],0)-1</f>
        <v>#VALUE!</v>
      </c>
      <c r="AC521" s="62" t="e">
        <f>MATCH(LOOKUP(Data_PLT[[#This Row],[UCS max (MPa)]],Table_FieldStrength[Min UCS]),Table_FieldStrength[Min UCS],0)-1</f>
        <v>#VALUE!</v>
      </c>
      <c r="AD521" s="68" t="e">
        <f>Data_PLT[[#This Row],[Test code]]&amp;"-"&amp;Data_PLT[[#This Row],[UCS min code]]</f>
        <v>#VALUE!</v>
      </c>
      <c r="AE521" s="68" t="e">
        <f>Data_PLT[[#This Row],[Test code]]&amp;"-"&amp;Data_PLT[[#This Row],[UCS avg code]]</f>
        <v>#VALUE!</v>
      </c>
      <c r="AF521" s="67" t="e">
        <f>Data_PLT[[#This Row],[Test code]]&amp;"-"&amp;Data_PLT[[#This Row],[UCS max code]]</f>
        <v>#VALUE!</v>
      </c>
      <c r="AG521" s="67" t="e">
        <f>Data_PLT[[#This Row],[Failure type]]&amp;"-"&amp;Data_PLT[[#This Row],[Test type]]&amp;"-"&amp;(IF(Data_PLT[[#This Row],[Is50 (MPa)]]&lt;1,1,IF(Data_PLT[[#This Row],[Is50 (MPa)]]&lt;2,2,IF(Data_PLT[[#This Row],[Is50 (MPa)]]&lt;4,3,IF(Data_PLT[[#This Row],[Is50 (MPa)]]&lt;8,4,5)))))</f>
        <v>#VALUE!</v>
      </c>
    </row>
    <row r="522" spans="2:33" x14ac:dyDescent="0.25">
      <c r="B522" s="88" t="e">
        <f>VLOOKUP(Data_PLT[[#This Row],[Hole ID]],Data_Log[],2,FALSE)</f>
        <v>#N/A</v>
      </c>
      <c r="C522" s="63" t="str">
        <f>IF(Data_PLT[[#This Row],[Hole ID]]="","",
IF(COUNTIF($A$4:A522,Data_PLT[[#This Row],[Hole ID]])=1,1,
IF(A522=A521,C521+1,
COUNTIF($A$4:A522,Data_PLT[[#This Row],[Hole ID]]))))</f>
        <v/>
      </c>
      <c r="D522" s="63" t="str">
        <f>IF(Data_PLT[[#This Row],[Hole ID]]="","",Data_PLT[[#This Row],[Hole ID]]&amp;"_"&amp;Data_PLT[[#This Row],[Sample ID]])</f>
        <v/>
      </c>
      <c r="E522" s="6"/>
      <c r="F522" s="6"/>
      <c r="G522" s="63" t="e" cm="1">
        <f t="array" ref="G522">_xlfn.XLOOKUP(1,(A522=Geotech!$A$4:$A$11100)*(Data_PLT[[#This Row],[Depth (m)]]&gt;=Geotech!$C$4:$C$11100)*(Data_PLT[[#This Row],[Depth (m)]]&lt;Geotech!$D$4:$D$11100),Geotech!$M$4:$M$11100)</f>
        <v>#N/A</v>
      </c>
      <c r="H522" s="6"/>
      <c r="I522" s="63" t="e">
        <f>VLOOKUP(Data_PLT[[#This Row],[Hole ID]],Data_Log[[Hole ID]:[Core size]],20,FALSE)</f>
        <v>#N/A</v>
      </c>
      <c r="J522" s="13" t="e">
        <f>VLOOKUP(Data_PLT[[#This Row],[Core Size]],Table_CoreSize[],2,FALSE)</f>
        <v>#N/A</v>
      </c>
      <c r="K522" s="19"/>
      <c r="L522" s="19"/>
      <c r="M522" s="5"/>
      <c r="N522" s="5"/>
      <c r="O522" s="6"/>
      <c r="P522" s="13" t="str">
        <f>IF(Data_PLT[[#This Row],[Failure type]]="","",IF(OR(Data_PLT[[#This Row],[Failure type]]="Invalid",Data_PLT[[#This Row],[Failure type]]="Chipped",Data_PLT[[#This Row],[Failure type]]="Penetrate",Data_PLT[[#This Row],[Failure type]]="Did not break"),"Invalid","Valid"))</f>
        <v/>
      </c>
      <c r="Q522" s="6"/>
      <c r="R522" s="11"/>
      <c r="S522" s="13" t="str">
        <f>IF(Data_PLT[[#This Row],[Test type]]="Diametral",Data_PLT[[#This Row],[Diameter (mm)]],IF(Data_PLT[[#This Row],[Test type]]="Axial",SQRT(4*Data_PLT[[#This Row],[Diameter (mm)]]*Data_PLT[[#This Row],[Length or width (mm)]]/PI()),"ERROR"))</f>
        <v>ERROR</v>
      </c>
      <c r="T522" s="13" t="e">
        <f>(Data_PLT[[#This Row],[Load (kN)]]*1000)/Data_PLT[[#This Row],[Equiv. Diam. (mm)]]^2</f>
        <v>#VALUE!</v>
      </c>
      <c r="U522" s="13" t="e">
        <f>(Data_PLT[[#This Row],[Equiv. Diam. (mm)]]/50)^0.45</f>
        <v>#VALUE!</v>
      </c>
      <c r="V522" s="13" t="e">
        <f>Data_PLT[[#This Row],[Is (MPa)]]*Data_PLT[[#This Row],[F]]</f>
        <v>#VALUE!</v>
      </c>
      <c r="W522" s="13" t="str">
        <f>Data_PLT[[#This Row],[Failure Validity]]&amp;"-"&amp;Data_PLT[[#This Row],[Test type]]</f>
        <v>-</v>
      </c>
      <c r="X522" s="13" t="e">
        <f>Data_PLT[[#This Row],[Is50 (MPa)]]*VLOOKUP("Min",Table_PLT_Conversion[],2,FALSE)</f>
        <v>#VALUE!</v>
      </c>
      <c r="Y522" s="13" t="e">
        <f>Data_PLT[[#This Row],[Is50 (MPa)]]*VLOOKUP("Avg",Table_PLT_Conversion[],2,FALSE)</f>
        <v>#VALUE!</v>
      </c>
      <c r="Z522" s="13" t="e">
        <f>Data_PLT[[#This Row],[Is50 (MPa)]]*VLOOKUP("Max",Table_PLT_Conversion[],2,FALSE)</f>
        <v>#VALUE!</v>
      </c>
      <c r="AA522" s="62" t="e">
        <f>MATCH(LOOKUP(Data_PLT[[#This Row],[UCS min (MPa)]],Table_FieldStrength[Min UCS]),Table_FieldStrength[Min UCS],0)-1</f>
        <v>#VALUE!</v>
      </c>
      <c r="AB522" s="62" t="e">
        <f>MATCH(LOOKUP(Data_PLT[[#This Row],[UCS avg (MPa)]],Table_FieldStrength[Min UCS]),Table_FieldStrength[Min UCS],0)-1</f>
        <v>#VALUE!</v>
      </c>
      <c r="AC522" s="62" t="e">
        <f>MATCH(LOOKUP(Data_PLT[[#This Row],[UCS max (MPa)]],Table_FieldStrength[Min UCS]),Table_FieldStrength[Min UCS],0)-1</f>
        <v>#VALUE!</v>
      </c>
      <c r="AD522" s="68" t="e">
        <f>Data_PLT[[#This Row],[Test code]]&amp;"-"&amp;Data_PLT[[#This Row],[UCS min code]]</f>
        <v>#VALUE!</v>
      </c>
      <c r="AE522" s="68" t="e">
        <f>Data_PLT[[#This Row],[Test code]]&amp;"-"&amp;Data_PLT[[#This Row],[UCS avg code]]</f>
        <v>#VALUE!</v>
      </c>
      <c r="AF522" s="67" t="e">
        <f>Data_PLT[[#This Row],[Test code]]&amp;"-"&amp;Data_PLT[[#This Row],[UCS max code]]</f>
        <v>#VALUE!</v>
      </c>
      <c r="AG522" s="67" t="e">
        <f>Data_PLT[[#This Row],[Failure type]]&amp;"-"&amp;Data_PLT[[#This Row],[Test type]]&amp;"-"&amp;(IF(Data_PLT[[#This Row],[Is50 (MPa)]]&lt;1,1,IF(Data_PLT[[#This Row],[Is50 (MPa)]]&lt;2,2,IF(Data_PLT[[#This Row],[Is50 (MPa)]]&lt;4,3,IF(Data_PLT[[#This Row],[Is50 (MPa)]]&lt;8,4,5)))))</f>
        <v>#VALUE!</v>
      </c>
    </row>
    <row r="523" spans="2:33" x14ac:dyDescent="0.25">
      <c r="B523" s="88" t="e">
        <f>VLOOKUP(Data_PLT[[#This Row],[Hole ID]],Data_Log[],2,FALSE)</f>
        <v>#N/A</v>
      </c>
      <c r="C523" s="63" t="str">
        <f>IF(Data_PLT[[#This Row],[Hole ID]]="","",
IF(COUNTIF($A$4:A523,Data_PLT[[#This Row],[Hole ID]])=1,1,
IF(A523=A522,C522+1,
COUNTIF($A$4:A523,Data_PLT[[#This Row],[Hole ID]]))))</f>
        <v/>
      </c>
      <c r="D523" s="63" t="str">
        <f>IF(Data_PLT[[#This Row],[Hole ID]]="","",Data_PLT[[#This Row],[Hole ID]]&amp;"_"&amp;Data_PLT[[#This Row],[Sample ID]])</f>
        <v/>
      </c>
      <c r="E523" s="6"/>
      <c r="F523" s="6"/>
      <c r="G523" s="63" t="e" cm="1">
        <f t="array" ref="G523">_xlfn.XLOOKUP(1,(A523=Geotech!$A$4:$A$11100)*(Data_PLT[[#This Row],[Depth (m)]]&gt;=Geotech!$C$4:$C$11100)*(Data_PLT[[#This Row],[Depth (m)]]&lt;Geotech!$D$4:$D$11100),Geotech!$M$4:$M$11100)</f>
        <v>#N/A</v>
      </c>
      <c r="H523" s="6"/>
      <c r="I523" s="63" t="e">
        <f>VLOOKUP(Data_PLT[[#This Row],[Hole ID]],Data_Log[[Hole ID]:[Core size]],20,FALSE)</f>
        <v>#N/A</v>
      </c>
      <c r="J523" s="13" t="e">
        <f>VLOOKUP(Data_PLT[[#This Row],[Core Size]],Table_CoreSize[],2,FALSE)</f>
        <v>#N/A</v>
      </c>
      <c r="K523" s="19"/>
      <c r="L523" s="19"/>
      <c r="M523" s="5"/>
      <c r="N523" s="5"/>
      <c r="O523" s="6"/>
      <c r="P523" s="13" t="str">
        <f>IF(Data_PLT[[#This Row],[Failure type]]="","",IF(OR(Data_PLT[[#This Row],[Failure type]]="Invalid",Data_PLT[[#This Row],[Failure type]]="Chipped",Data_PLT[[#This Row],[Failure type]]="Penetrate",Data_PLT[[#This Row],[Failure type]]="Did not break"),"Invalid","Valid"))</f>
        <v/>
      </c>
      <c r="Q523" s="6"/>
      <c r="R523" s="11"/>
      <c r="S523" s="13" t="str">
        <f>IF(Data_PLT[[#This Row],[Test type]]="Diametral",Data_PLT[[#This Row],[Diameter (mm)]],IF(Data_PLT[[#This Row],[Test type]]="Axial",SQRT(4*Data_PLT[[#This Row],[Diameter (mm)]]*Data_PLT[[#This Row],[Length or width (mm)]]/PI()),"ERROR"))</f>
        <v>ERROR</v>
      </c>
      <c r="T523" s="13" t="e">
        <f>(Data_PLT[[#This Row],[Load (kN)]]*1000)/Data_PLT[[#This Row],[Equiv. Diam. (mm)]]^2</f>
        <v>#VALUE!</v>
      </c>
      <c r="U523" s="13" t="e">
        <f>(Data_PLT[[#This Row],[Equiv. Diam. (mm)]]/50)^0.45</f>
        <v>#VALUE!</v>
      </c>
      <c r="V523" s="13" t="e">
        <f>Data_PLT[[#This Row],[Is (MPa)]]*Data_PLT[[#This Row],[F]]</f>
        <v>#VALUE!</v>
      </c>
      <c r="W523" s="13" t="str">
        <f>Data_PLT[[#This Row],[Failure Validity]]&amp;"-"&amp;Data_PLT[[#This Row],[Test type]]</f>
        <v>-</v>
      </c>
      <c r="X523" s="13" t="e">
        <f>Data_PLT[[#This Row],[Is50 (MPa)]]*VLOOKUP("Min",Table_PLT_Conversion[],2,FALSE)</f>
        <v>#VALUE!</v>
      </c>
      <c r="Y523" s="13" t="e">
        <f>Data_PLT[[#This Row],[Is50 (MPa)]]*VLOOKUP("Avg",Table_PLT_Conversion[],2,FALSE)</f>
        <v>#VALUE!</v>
      </c>
      <c r="Z523" s="13" t="e">
        <f>Data_PLT[[#This Row],[Is50 (MPa)]]*VLOOKUP("Max",Table_PLT_Conversion[],2,FALSE)</f>
        <v>#VALUE!</v>
      </c>
      <c r="AA523" s="62" t="e">
        <f>MATCH(LOOKUP(Data_PLT[[#This Row],[UCS min (MPa)]],Table_FieldStrength[Min UCS]),Table_FieldStrength[Min UCS],0)-1</f>
        <v>#VALUE!</v>
      </c>
      <c r="AB523" s="62" t="e">
        <f>MATCH(LOOKUP(Data_PLT[[#This Row],[UCS avg (MPa)]],Table_FieldStrength[Min UCS]),Table_FieldStrength[Min UCS],0)-1</f>
        <v>#VALUE!</v>
      </c>
      <c r="AC523" s="62" t="e">
        <f>MATCH(LOOKUP(Data_PLT[[#This Row],[UCS max (MPa)]],Table_FieldStrength[Min UCS]),Table_FieldStrength[Min UCS],0)-1</f>
        <v>#VALUE!</v>
      </c>
      <c r="AD523" s="68" t="e">
        <f>Data_PLT[[#This Row],[Test code]]&amp;"-"&amp;Data_PLT[[#This Row],[UCS min code]]</f>
        <v>#VALUE!</v>
      </c>
      <c r="AE523" s="68" t="e">
        <f>Data_PLT[[#This Row],[Test code]]&amp;"-"&amp;Data_PLT[[#This Row],[UCS avg code]]</f>
        <v>#VALUE!</v>
      </c>
      <c r="AF523" s="67" t="e">
        <f>Data_PLT[[#This Row],[Test code]]&amp;"-"&amp;Data_PLT[[#This Row],[UCS max code]]</f>
        <v>#VALUE!</v>
      </c>
      <c r="AG523" s="67" t="e">
        <f>Data_PLT[[#This Row],[Failure type]]&amp;"-"&amp;Data_PLT[[#This Row],[Test type]]&amp;"-"&amp;(IF(Data_PLT[[#This Row],[Is50 (MPa)]]&lt;1,1,IF(Data_PLT[[#This Row],[Is50 (MPa)]]&lt;2,2,IF(Data_PLT[[#This Row],[Is50 (MPa)]]&lt;4,3,IF(Data_PLT[[#This Row],[Is50 (MPa)]]&lt;8,4,5)))))</f>
        <v>#VALUE!</v>
      </c>
    </row>
    <row r="524" spans="2:33" x14ac:dyDescent="0.25">
      <c r="B524" s="88" t="e">
        <f>VLOOKUP(Data_PLT[[#This Row],[Hole ID]],Data_Log[],2,FALSE)</f>
        <v>#N/A</v>
      </c>
      <c r="C524" s="63" t="str">
        <f>IF(Data_PLT[[#This Row],[Hole ID]]="","",
IF(COUNTIF($A$4:A524,Data_PLT[[#This Row],[Hole ID]])=1,1,
IF(A524=A523,C523+1,
COUNTIF($A$4:A524,Data_PLT[[#This Row],[Hole ID]]))))</f>
        <v/>
      </c>
      <c r="D524" s="63" t="str">
        <f>IF(Data_PLT[[#This Row],[Hole ID]]="","",Data_PLT[[#This Row],[Hole ID]]&amp;"_"&amp;Data_PLT[[#This Row],[Sample ID]])</f>
        <v/>
      </c>
      <c r="E524" s="6"/>
      <c r="F524" s="6"/>
      <c r="G524" s="63" t="e" cm="1">
        <f t="array" ref="G524">_xlfn.XLOOKUP(1,(A524=Geotech!$A$4:$A$11100)*(Data_PLT[[#This Row],[Depth (m)]]&gt;=Geotech!$C$4:$C$11100)*(Data_PLT[[#This Row],[Depth (m)]]&lt;Geotech!$D$4:$D$11100),Geotech!$M$4:$M$11100)</f>
        <v>#N/A</v>
      </c>
      <c r="H524" s="6"/>
      <c r="I524" s="63" t="e">
        <f>VLOOKUP(Data_PLT[[#This Row],[Hole ID]],Data_Log[[Hole ID]:[Core size]],20,FALSE)</f>
        <v>#N/A</v>
      </c>
      <c r="J524" s="13" t="e">
        <f>VLOOKUP(Data_PLT[[#This Row],[Core Size]],Table_CoreSize[],2,FALSE)</f>
        <v>#N/A</v>
      </c>
      <c r="K524" s="19"/>
      <c r="L524" s="19"/>
      <c r="M524" s="5"/>
      <c r="N524" s="5"/>
      <c r="O524" s="6"/>
      <c r="P524" s="13" t="str">
        <f>IF(Data_PLT[[#This Row],[Failure type]]="","",IF(OR(Data_PLT[[#This Row],[Failure type]]="Invalid",Data_PLT[[#This Row],[Failure type]]="Chipped",Data_PLT[[#This Row],[Failure type]]="Penetrate",Data_PLT[[#This Row],[Failure type]]="Did not break"),"Invalid","Valid"))</f>
        <v/>
      </c>
      <c r="Q524" s="6"/>
      <c r="R524" s="11"/>
      <c r="S524" s="13" t="str">
        <f>IF(Data_PLT[[#This Row],[Test type]]="Diametral",Data_PLT[[#This Row],[Diameter (mm)]],IF(Data_PLT[[#This Row],[Test type]]="Axial",SQRT(4*Data_PLT[[#This Row],[Diameter (mm)]]*Data_PLT[[#This Row],[Length or width (mm)]]/PI()),"ERROR"))</f>
        <v>ERROR</v>
      </c>
      <c r="T524" s="13" t="e">
        <f>(Data_PLT[[#This Row],[Load (kN)]]*1000)/Data_PLT[[#This Row],[Equiv. Diam. (mm)]]^2</f>
        <v>#VALUE!</v>
      </c>
      <c r="U524" s="13" t="e">
        <f>(Data_PLT[[#This Row],[Equiv. Diam. (mm)]]/50)^0.45</f>
        <v>#VALUE!</v>
      </c>
      <c r="V524" s="13" t="e">
        <f>Data_PLT[[#This Row],[Is (MPa)]]*Data_PLT[[#This Row],[F]]</f>
        <v>#VALUE!</v>
      </c>
      <c r="W524" s="13" t="str">
        <f>Data_PLT[[#This Row],[Failure Validity]]&amp;"-"&amp;Data_PLT[[#This Row],[Test type]]</f>
        <v>-</v>
      </c>
      <c r="X524" s="13" t="e">
        <f>Data_PLT[[#This Row],[Is50 (MPa)]]*VLOOKUP("Min",Table_PLT_Conversion[],2,FALSE)</f>
        <v>#VALUE!</v>
      </c>
      <c r="Y524" s="13" t="e">
        <f>Data_PLT[[#This Row],[Is50 (MPa)]]*VLOOKUP("Avg",Table_PLT_Conversion[],2,FALSE)</f>
        <v>#VALUE!</v>
      </c>
      <c r="Z524" s="13" t="e">
        <f>Data_PLT[[#This Row],[Is50 (MPa)]]*VLOOKUP("Max",Table_PLT_Conversion[],2,FALSE)</f>
        <v>#VALUE!</v>
      </c>
      <c r="AA524" s="62" t="e">
        <f>MATCH(LOOKUP(Data_PLT[[#This Row],[UCS min (MPa)]],Table_FieldStrength[Min UCS]),Table_FieldStrength[Min UCS],0)-1</f>
        <v>#VALUE!</v>
      </c>
      <c r="AB524" s="62" t="e">
        <f>MATCH(LOOKUP(Data_PLT[[#This Row],[UCS avg (MPa)]],Table_FieldStrength[Min UCS]),Table_FieldStrength[Min UCS],0)-1</f>
        <v>#VALUE!</v>
      </c>
      <c r="AC524" s="62" t="e">
        <f>MATCH(LOOKUP(Data_PLT[[#This Row],[UCS max (MPa)]],Table_FieldStrength[Min UCS]),Table_FieldStrength[Min UCS],0)-1</f>
        <v>#VALUE!</v>
      </c>
      <c r="AD524" s="68" t="e">
        <f>Data_PLT[[#This Row],[Test code]]&amp;"-"&amp;Data_PLT[[#This Row],[UCS min code]]</f>
        <v>#VALUE!</v>
      </c>
      <c r="AE524" s="68" t="e">
        <f>Data_PLT[[#This Row],[Test code]]&amp;"-"&amp;Data_PLT[[#This Row],[UCS avg code]]</f>
        <v>#VALUE!</v>
      </c>
      <c r="AF524" s="67" t="e">
        <f>Data_PLT[[#This Row],[Test code]]&amp;"-"&amp;Data_PLT[[#This Row],[UCS max code]]</f>
        <v>#VALUE!</v>
      </c>
      <c r="AG524" s="67" t="e">
        <f>Data_PLT[[#This Row],[Failure type]]&amp;"-"&amp;Data_PLT[[#This Row],[Test type]]&amp;"-"&amp;(IF(Data_PLT[[#This Row],[Is50 (MPa)]]&lt;1,1,IF(Data_PLT[[#This Row],[Is50 (MPa)]]&lt;2,2,IF(Data_PLT[[#This Row],[Is50 (MPa)]]&lt;4,3,IF(Data_PLT[[#This Row],[Is50 (MPa)]]&lt;8,4,5)))))</f>
        <v>#VALUE!</v>
      </c>
    </row>
    <row r="525" spans="2:33" x14ac:dyDescent="0.25">
      <c r="B525" s="88" t="e">
        <f>VLOOKUP(Data_PLT[[#This Row],[Hole ID]],Data_Log[],2,FALSE)</f>
        <v>#N/A</v>
      </c>
      <c r="C525" s="63" t="str">
        <f>IF(Data_PLT[[#This Row],[Hole ID]]="","",
IF(COUNTIF($A$4:A525,Data_PLT[[#This Row],[Hole ID]])=1,1,
IF(A525=A524,C524+1,
COUNTIF($A$4:A525,Data_PLT[[#This Row],[Hole ID]]))))</f>
        <v/>
      </c>
      <c r="D525" s="63" t="str">
        <f>IF(Data_PLT[[#This Row],[Hole ID]]="","",Data_PLT[[#This Row],[Hole ID]]&amp;"_"&amp;Data_PLT[[#This Row],[Sample ID]])</f>
        <v/>
      </c>
      <c r="E525" s="6"/>
      <c r="F525" s="6"/>
      <c r="G525" s="63" t="e" cm="1">
        <f t="array" ref="G525">_xlfn.XLOOKUP(1,(A525=Geotech!$A$4:$A$11100)*(Data_PLT[[#This Row],[Depth (m)]]&gt;=Geotech!$C$4:$C$11100)*(Data_PLT[[#This Row],[Depth (m)]]&lt;Geotech!$D$4:$D$11100),Geotech!$M$4:$M$11100)</f>
        <v>#N/A</v>
      </c>
      <c r="H525" s="6"/>
      <c r="I525" s="63" t="e">
        <f>VLOOKUP(Data_PLT[[#This Row],[Hole ID]],Data_Log[[Hole ID]:[Core size]],20,FALSE)</f>
        <v>#N/A</v>
      </c>
      <c r="J525" s="13" t="e">
        <f>VLOOKUP(Data_PLT[[#This Row],[Core Size]],Table_CoreSize[],2,FALSE)</f>
        <v>#N/A</v>
      </c>
      <c r="K525" s="19"/>
      <c r="L525" s="19"/>
      <c r="M525" s="5"/>
      <c r="N525" s="5"/>
      <c r="O525" s="6"/>
      <c r="P525" s="13" t="str">
        <f>IF(Data_PLT[[#This Row],[Failure type]]="","",IF(OR(Data_PLT[[#This Row],[Failure type]]="Invalid",Data_PLT[[#This Row],[Failure type]]="Chipped",Data_PLT[[#This Row],[Failure type]]="Penetrate",Data_PLT[[#This Row],[Failure type]]="Did not break"),"Invalid","Valid"))</f>
        <v/>
      </c>
      <c r="Q525" s="6"/>
      <c r="R525" s="11"/>
      <c r="S525" s="13" t="str">
        <f>IF(Data_PLT[[#This Row],[Test type]]="Diametral",Data_PLT[[#This Row],[Diameter (mm)]],IF(Data_PLT[[#This Row],[Test type]]="Axial",SQRT(4*Data_PLT[[#This Row],[Diameter (mm)]]*Data_PLT[[#This Row],[Length or width (mm)]]/PI()),"ERROR"))</f>
        <v>ERROR</v>
      </c>
      <c r="T525" s="13" t="e">
        <f>(Data_PLT[[#This Row],[Load (kN)]]*1000)/Data_PLT[[#This Row],[Equiv. Diam. (mm)]]^2</f>
        <v>#VALUE!</v>
      </c>
      <c r="U525" s="13" t="e">
        <f>(Data_PLT[[#This Row],[Equiv. Diam. (mm)]]/50)^0.45</f>
        <v>#VALUE!</v>
      </c>
      <c r="V525" s="13" t="e">
        <f>Data_PLT[[#This Row],[Is (MPa)]]*Data_PLT[[#This Row],[F]]</f>
        <v>#VALUE!</v>
      </c>
      <c r="W525" s="13" t="str">
        <f>Data_PLT[[#This Row],[Failure Validity]]&amp;"-"&amp;Data_PLT[[#This Row],[Test type]]</f>
        <v>-</v>
      </c>
      <c r="X525" s="13" t="e">
        <f>Data_PLT[[#This Row],[Is50 (MPa)]]*VLOOKUP("Min",Table_PLT_Conversion[],2,FALSE)</f>
        <v>#VALUE!</v>
      </c>
      <c r="Y525" s="13" t="e">
        <f>Data_PLT[[#This Row],[Is50 (MPa)]]*VLOOKUP("Avg",Table_PLT_Conversion[],2,FALSE)</f>
        <v>#VALUE!</v>
      </c>
      <c r="Z525" s="13" t="e">
        <f>Data_PLT[[#This Row],[Is50 (MPa)]]*VLOOKUP("Max",Table_PLT_Conversion[],2,FALSE)</f>
        <v>#VALUE!</v>
      </c>
      <c r="AA525" s="62" t="e">
        <f>MATCH(LOOKUP(Data_PLT[[#This Row],[UCS min (MPa)]],Table_FieldStrength[Min UCS]),Table_FieldStrength[Min UCS],0)-1</f>
        <v>#VALUE!</v>
      </c>
      <c r="AB525" s="62" t="e">
        <f>MATCH(LOOKUP(Data_PLT[[#This Row],[UCS avg (MPa)]],Table_FieldStrength[Min UCS]),Table_FieldStrength[Min UCS],0)-1</f>
        <v>#VALUE!</v>
      </c>
      <c r="AC525" s="62" t="e">
        <f>MATCH(LOOKUP(Data_PLT[[#This Row],[UCS max (MPa)]],Table_FieldStrength[Min UCS]),Table_FieldStrength[Min UCS],0)-1</f>
        <v>#VALUE!</v>
      </c>
      <c r="AD525" s="68" t="e">
        <f>Data_PLT[[#This Row],[Test code]]&amp;"-"&amp;Data_PLT[[#This Row],[UCS min code]]</f>
        <v>#VALUE!</v>
      </c>
      <c r="AE525" s="68" t="e">
        <f>Data_PLT[[#This Row],[Test code]]&amp;"-"&amp;Data_PLT[[#This Row],[UCS avg code]]</f>
        <v>#VALUE!</v>
      </c>
      <c r="AF525" s="67" t="e">
        <f>Data_PLT[[#This Row],[Test code]]&amp;"-"&amp;Data_PLT[[#This Row],[UCS max code]]</f>
        <v>#VALUE!</v>
      </c>
      <c r="AG525" s="67" t="e">
        <f>Data_PLT[[#This Row],[Failure type]]&amp;"-"&amp;Data_PLT[[#This Row],[Test type]]&amp;"-"&amp;(IF(Data_PLT[[#This Row],[Is50 (MPa)]]&lt;1,1,IF(Data_PLT[[#This Row],[Is50 (MPa)]]&lt;2,2,IF(Data_PLT[[#This Row],[Is50 (MPa)]]&lt;4,3,IF(Data_PLT[[#This Row],[Is50 (MPa)]]&lt;8,4,5)))))</f>
        <v>#VALUE!</v>
      </c>
    </row>
  </sheetData>
  <phoneticPr fontId="4" type="noConversion"/>
  <dataValidations count="4">
    <dataValidation type="list" allowBlank="1" showInputMessage="1" showErrorMessage="1" sqref="O4:O108 O122:O525" xr:uid="{5894C7D3-9558-4619-B14F-E0B8189225CA}">
      <formula1>INDIRECT("Table_PLT_FailureType[Description]")</formula1>
    </dataValidation>
    <dataValidation type="list" allowBlank="1" showInputMessage="1" showErrorMessage="1" sqref="H4:H525" xr:uid="{F03254F2-4ABF-4F10-8636-4C7D77F8C439}">
      <formula1>INDIRECT("Table_PLT_TestType[Description]")</formula1>
    </dataValidation>
    <dataValidation type="list" allowBlank="1" showInputMessage="1" showErrorMessage="1" sqref="L4:L525" xr:uid="{FC103D31-4581-4E0A-998F-39720E46F135}">
      <formula1>INDIRECT("Table_PLT_Model[Description]")</formula1>
    </dataValidation>
    <dataValidation type="list" allowBlank="1" showInputMessage="1" showErrorMessage="1" sqref="A512:A525 A302:A477 A73 A99 A75 A77 A79 A81 A83 A85 A87 A89 A91 A93 A95 A97 A119 A101 A103 A105 A107 A109 A111 A113 A115 A117 A121 A123 A125 A127 A129 A131 A133 A135 A137 A139 A141 A143 A145 A147 A149 A151 A153 A155 A157 A159 A161 A163 A165 A167 A169 A171 A173 A175 A177 A179 A181 A183 A185 A187 A189 A191 A193 A195 A197 A201 A205 A209 A213 A199 A203 A207 A211" xr:uid="{B33AD252-8467-4B9C-B5C2-14F34A31C3FB}">
      <formula1>INDIRECT("Data_Log[Hole ID]")</formula1>
    </dataValidation>
  </dataValidations>
  <pageMargins left="0.7" right="0.7" top="0.75" bottom="0.75" header="0.3" footer="0.3"/>
  <pageSetup orientation="portrait" r:id="rId1"/>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C699-05C5-4185-B3B4-31C8189B6B77}">
  <sheetPr codeName="Sheet6">
    <tabColor theme="0" tint="-0.499984740745262"/>
  </sheetPr>
  <dimension ref="A1:C17"/>
  <sheetViews>
    <sheetView workbookViewId="0"/>
  </sheetViews>
  <sheetFormatPr baseColWidth="10" defaultColWidth="9.140625" defaultRowHeight="15" x14ac:dyDescent="0.25"/>
  <cols>
    <col min="1" max="1" width="2.7109375" customWidth="1"/>
    <col min="2" max="2" width="39.140625" customWidth="1"/>
    <col min="3" max="3" width="19.5703125" customWidth="1"/>
  </cols>
  <sheetData>
    <row r="1" spans="1:3" ht="21.75" thickBot="1" x14ac:dyDescent="0.3">
      <c r="A1" s="29" t="s">
        <v>170</v>
      </c>
      <c r="B1" s="29"/>
      <c r="C1" s="29"/>
    </row>
    <row r="2" spans="1:3" ht="18.75" x14ac:dyDescent="0.3">
      <c r="B2" s="24"/>
      <c r="C2" s="24"/>
    </row>
    <row r="3" spans="1:3" ht="18.75" x14ac:dyDescent="0.25">
      <c r="B3" s="26" t="s">
        <v>171</v>
      </c>
      <c r="C3" s="26"/>
    </row>
    <row r="4" spans="1:3" x14ac:dyDescent="0.25">
      <c r="B4" s="1" t="s">
        <v>172</v>
      </c>
      <c r="C4" s="1" t="s">
        <v>173</v>
      </c>
    </row>
    <row r="5" spans="1:3" x14ac:dyDescent="0.25">
      <c r="B5" s="20" t="s">
        <v>69</v>
      </c>
      <c r="C5" t="s">
        <v>174</v>
      </c>
    </row>
    <row r="6" spans="1:3" x14ac:dyDescent="0.25">
      <c r="B6" s="20" t="s">
        <v>20</v>
      </c>
      <c r="C6" t="s">
        <v>175</v>
      </c>
    </row>
    <row r="7" spans="1:3" x14ac:dyDescent="0.25">
      <c r="B7" s="20" t="s">
        <v>70</v>
      </c>
      <c r="C7" t="s">
        <v>176</v>
      </c>
    </row>
    <row r="8" spans="1:3" x14ac:dyDescent="0.25">
      <c r="B8" s="20" t="s">
        <v>177</v>
      </c>
      <c r="C8" t="s">
        <v>178</v>
      </c>
    </row>
    <row r="9" spans="1:3" x14ac:dyDescent="0.25">
      <c r="B9" s="20" t="s">
        <v>79</v>
      </c>
      <c r="C9" t="s">
        <v>179</v>
      </c>
    </row>
    <row r="10" spans="1:3" x14ac:dyDescent="0.25">
      <c r="B10" s="20" t="s">
        <v>112</v>
      </c>
      <c r="C10" t="s">
        <v>180</v>
      </c>
    </row>
    <row r="11" spans="1:3" x14ac:dyDescent="0.25">
      <c r="B11" s="20" t="s">
        <v>115</v>
      </c>
      <c r="C11" t="s">
        <v>181</v>
      </c>
    </row>
    <row r="12" spans="1:3" x14ac:dyDescent="0.25">
      <c r="B12" s="20"/>
    </row>
    <row r="13" spans="1:3" x14ac:dyDescent="0.25">
      <c r="B13" s="20"/>
    </row>
    <row r="14" spans="1:3" x14ac:dyDescent="0.25">
      <c r="B14" s="20"/>
    </row>
    <row r="15" spans="1:3" x14ac:dyDescent="0.25">
      <c r="B15" s="20"/>
    </row>
    <row r="16" spans="1:3" x14ac:dyDescent="0.25">
      <c r="B16" s="20"/>
    </row>
    <row r="17" spans="2:2" x14ac:dyDescent="0.25">
      <c r="B17" s="20"/>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56A78-D554-4D0F-9732-47A5BAF7E975}">
  <sheetPr codeName="Sheet7">
    <tabColor theme="7"/>
  </sheetPr>
  <dimension ref="A1:T206"/>
  <sheetViews>
    <sheetView topLeftCell="A44" zoomScale="80" zoomScaleNormal="80" workbookViewId="0">
      <selection activeCell="A83" sqref="A83"/>
    </sheetView>
  </sheetViews>
  <sheetFormatPr baseColWidth="10" defaultColWidth="10.7109375" defaultRowHeight="15" x14ac:dyDescent="0.25"/>
  <cols>
    <col min="1" max="1" width="16.28515625" style="14" customWidth="1"/>
    <col min="2" max="3" width="15.42578125" style="14" customWidth="1"/>
    <col min="4" max="4" width="13.7109375" bestFit="1" customWidth="1"/>
    <col min="5" max="5" width="15.42578125" bestFit="1" customWidth="1"/>
    <col min="6" max="6" width="18.7109375" bestFit="1" customWidth="1"/>
    <col min="8" max="8" width="13.28515625" customWidth="1"/>
    <col min="9" max="9" width="11.7109375" customWidth="1"/>
    <col min="10" max="10" width="9.5703125" customWidth="1"/>
    <col min="11" max="11" width="23" bestFit="1" customWidth="1"/>
    <col min="13" max="13" width="17.5703125" bestFit="1" customWidth="1"/>
    <col min="14" max="14" width="21" bestFit="1" customWidth="1"/>
    <col min="15" max="15" width="13.42578125" bestFit="1" customWidth="1"/>
    <col min="16" max="16" width="13.42578125" customWidth="1"/>
    <col min="17" max="17" width="59.140625" customWidth="1"/>
    <col min="18" max="18" width="20.28515625" bestFit="1" customWidth="1"/>
    <col min="19" max="19" width="13.28515625" bestFit="1" customWidth="1"/>
    <col min="20" max="20" width="16.140625" bestFit="1" customWidth="1"/>
    <col min="21" max="21" width="12.85546875" bestFit="1" customWidth="1"/>
  </cols>
  <sheetData>
    <row r="1" spans="1:20" ht="21" x14ac:dyDescent="0.25">
      <c r="A1" s="18" t="s">
        <v>182</v>
      </c>
      <c r="B1" s="18"/>
      <c r="C1" s="18"/>
      <c r="D1" s="18"/>
      <c r="E1" s="18"/>
      <c r="F1" s="18"/>
      <c r="G1" s="18"/>
      <c r="H1" s="18"/>
      <c r="I1" s="18"/>
      <c r="J1" s="18"/>
      <c r="K1" s="18"/>
      <c r="L1" s="18"/>
      <c r="M1" s="18"/>
      <c r="N1" s="18"/>
      <c r="O1" s="18"/>
      <c r="P1" s="18"/>
      <c r="Q1" s="18"/>
      <c r="R1" s="1"/>
      <c r="S1" s="1"/>
      <c r="T1" s="1"/>
    </row>
    <row r="2" spans="1:20" x14ac:dyDescent="0.25">
      <c r="D2" s="14"/>
    </row>
    <row r="3" spans="1:20" s="53" customFormat="1" ht="30" x14ac:dyDescent="0.25">
      <c r="A3" s="51" t="s">
        <v>1</v>
      </c>
      <c r="B3" s="54" t="s">
        <v>2</v>
      </c>
      <c r="C3" s="54" t="s">
        <v>183</v>
      </c>
      <c r="D3" s="50" t="s">
        <v>184</v>
      </c>
      <c r="E3" s="55" t="s">
        <v>131</v>
      </c>
      <c r="F3" s="50" t="s">
        <v>185</v>
      </c>
      <c r="G3" s="50" t="s">
        <v>186</v>
      </c>
      <c r="H3" s="50" t="s">
        <v>187</v>
      </c>
      <c r="I3" s="50" t="s">
        <v>188</v>
      </c>
      <c r="J3" s="55" t="s">
        <v>189</v>
      </c>
      <c r="K3" s="55" t="s">
        <v>69</v>
      </c>
      <c r="L3" s="55" t="s">
        <v>190</v>
      </c>
      <c r="M3" s="50" t="s">
        <v>191</v>
      </c>
      <c r="N3" s="50" t="s">
        <v>192</v>
      </c>
      <c r="O3" s="50" t="s">
        <v>193</v>
      </c>
      <c r="P3" s="50" t="s">
        <v>194</v>
      </c>
      <c r="Q3" s="50" t="s">
        <v>25</v>
      </c>
      <c r="R3" s="52"/>
      <c r="S3" s="52"/>
      <c r="T3" s="52"/>
    </row>
    <row r="4" spans="1:20" x14ac:dyDescent="0.25">
      <c r="A4" t="s">
        <v>26</v>
      </c>
      <c r="B4" s="67" t="str">
        <f>VLOOKUP(Data_LabTests[[#This Row],[Hole ID]],Data_Log[],2,FALSE)</f>
        <v>CGF-01</v>
      </c>
      <c r="C4" s="67" t="str">
        <f>_xlfn.XLOOKUP(Data_LabTests[[#This Row],[Hole ID]],Data_Log[Hole ID],Data_Log[Pit])</f>
        <v>Courvan Nord Bussière</v>
      </c>
      <c r="D4" s="19"/>
      <c r="E4" s="63" t="str">
        <f>Data_LabTests[[#This Row],[Hole ID]]&amp;"_"&amp;Data_LabTests[[#This Row],[Sample '#]]</f>
        <v>COG-25-08_</v>
      </c>
      <c r="F4" s="6" t="s">
        <v>364</v>
      </c>
      <c r="G4" s="6"/>
      <c r="H4" s="5">
        <v>92.48</v>
      </c>
      <c r="I4" s="5">
        <v>92.61</v>
      </c>
      <c r="J4" s="13">
        <f>Data_LabTests[[#This Row],[Depth to (m)]]-Data_LabTests[[#This Row],[Depth from (m)]]</f>
        <v>0.12999999999999545</v>
      </c>
      <c r="K4" s="6" t="s">
        <v>585</v>
      </c>
      <c r="L4" s="63" t="str">
        <f>VLOOKUP(Data_LabTests[[#This Row],[Hole ID]],Data_Log[[Hole ID]:[Core size]],20,FALSE)</f>
        <v>HQ</v>
      </c>
      <c r="M4" s="6"/>
      <c r="N4" s="6"/>
      <c r="O4" s="6"/>
      <c r="P4" s="6">
        <v>23</v>
      </c>
      <c r="Q4" s="6"/>
    </row>
    <row r="5" spans="1:20" x14ac:dyDescent="0.25">
      <c r="A5" t="s">
        <v>26</v>
      </c>
      <c r="B5" s="67" t="str">
        <f>VLOOKUP(Data_LabTests[[#This Row],[Hole ID]],Data_Log[],2,FALSE)</f>
        <v>CGF-01</v>
      </c>
      <c r="C5" s="67" t="str">
        <f>_xlfn.XLOOKUP(Data_LabTests[[#This Row],[Hole ID]],Data_Log[Hole ID],Data_Log[Pit])</f>
        <v>Courvan Nord Bussière</v>
      </c>
      <c r="D5" s="19"/>
      <c r="E5" s="63" t="str">
        <f>Data_LabTests[[#This Row],[Hole ID]]&amp;"_"&amp;Data_LabTests[[#This Row],[Sample '#]]</f>
        <v>COG-25-08_</v>
      </c>
      <c r="F5" s="6" t="s">
        <v>268</v>
      </c>
      <c r="G5" s="6"/>
      <c r="H5" s="5">
        <v>85.93</v>
      </c>
      <c r="I5" s="5">
        <v>86.2</v>
      </c>
      <c r="J5" s="13">
        <f>Data_LabTests[[#This Row],[Depth to (m)]]-Data_LabTests[[#This Row],[Depth from (m)]]</f>
        <v>0.26999999999999602</v>
      </c>
      <c r="K5" s="6" t="s">
        <v>585</v>
      </c>
      <c r="L5" s="63" t="str">
        <f>VLOOKUP(Data_LabTests[[#This Row],[Hole ID]],Data_Log[[Hole ID]:[Core size]],20,FALSE)</f>
        <v>HQ</v>
      </c>
      <c r="M5" s="6"/>
      <c r="N5" s="6"/>
      <c r="O5" s="6"/>
      <c r="P5" s="6">
        <v>23</v>
      </c>
      <c r="Q5" s="6"/>
    </row>
    <row r="6" spans="1:20" x14ac:dyDescent="0.25">
      <c r="A6" t="s">
        <v>26</v>
      </c>
      <c r="B6" s="67" t="str">
        <f>VLOOKUP(Data_LabTests[[#This Row],[Hole ID]],Data_Log[],2,FALSE)</f>
        <v>CGF-01</v>
      </c>
      <c r="C6" s="67" t="str">
        <f>_xlfn.XLOOKUP(Data_LabTests[[#This Row],[Hole ID]],Data_Log[Hole ID],Data_Log[Pit])</f>
        <v>Courvan Nord Bussière</v>
      </c>
      <c r="D6" s="19"/>
      <c r="E6" s="63" t="str">
        <f>Data_LabTests[[#This Row],[Hole ID]]&amp;"_"&amp;Data_LabTests[[#This Row],[Sample '#]]</f>
        <v>COG-25-08_</v>
      </c>
      <c r="F6" s="6" t="s">
        <v>411</v>
      </c>
      <c r="G6" s="6"/>
      <c r="H6" s="5">
        <v>80.2</v>
      </c>
      <c r="I6" s="5">
        <v>80.31</v>
      </c>
      <c r="J6" s="13">
        <f>Data_LabTests[[#This Row],[Depth to (m)]]-Data_LabTests[[#This Row],[Depth from (m)]]</f>
        <v>0.10999999999999943</v>
      </c>
      <c r="K6" s="6" t="s">
        <v>585</v>
      </c>
      <c r="L6" s="63" t="str">
        <f>VLOOKUP(Data_LabTests[[#This Row],[Hole ID]],Data_Log[[Hole ID]:[Core size]],20,FALSE)</f>
        <v>HQ</v>
      </c>
      <c r="M6" s="6"/>
      <c r="N6" s="6"/>
      <c r="O6" s="6"/>
      <c r="P6" s="6">
        <v>23</v>
      </c>
      <c r="Q6" s="6"/>
    </row>
    <row r="7" spans="1:20" x14ac:dyDescent="0.25">
      <c r="A7" t="s">
        <v>26</v>
      </c>
      <c r="B7" s="67" t="str">
        <f>VLOOKUP(Data_LabTests[[#This Row],[Hole ID]],Data_Log[],2,FALSE)</f>
        <v>CGF-01</v>
      </c>
      <c r="C7" s="67" t="str">
        <f>_xlfn.XLOOKUP(Data_LabTests[[#This Row],[Hole ID]],Data_Log[Hole ID],Data_Log[Pit])</f>
        <v>Courvan Nord Bussière</v>
      </c>
      <c r="D7" s="19"/>
      <c r="E7" s="63" t="str">
        <f>Data_LabTests[[#This Row],[Hole ID]]&amp;"_"&amp;Data_LabTests[[#This Row],[Sample '#]]</f>
        <v>COG-25-08_</v>
      </c>
      <c r="F7" s="6" t="s">
        <v>429</v>
      </c>
      <c r="G7" s="6"/>
      <c r="H7" s="5">
        <v>80.31</v>
      </c>
      <c r="I7" s="5">
        <v>80.39</v>
      </c>
      <c r="J7" s="13">
        <f>Data_LabTests[[#This Row],[Depth to (m)]]-Data_LabTests[[#This Row],[Depth from (m)]]</f>
        <v>7.9999999999998295E-2</v>
      </c>
      <c r="K7" s="6" t="s">
        <v>585</v>
      </c>
      <c r="L7" s="63" t="str">
        <f>VLOOKUP(Data_LabTests[[#This Row],[Hole ID]],Data_Log[[Hole ID]:[Core size]],20,FALSE)</f>
        <v>HQ</v>
      </c>
      <c r="M7" s="6"/>
      <c r="N7" s="6"/>
      <c r="O7" s="6"/>
      <c r="P7" s="6">
        <v>23</v>
      </c>
      <c r="Q7" s="6"/>
    </row>
    <row r="8" spans="1:20" x14ac:dyDescent="0.25">
      <c r="A8" t="s">
        <v>26</v>
      </c>
      <c r="B8" s="67" t="str">
        <f>VLOOKUP(Data_LabTests[[#This Row],[Hole ID]],Data_Log[],2,FALSE)</f>
        <v>CGF-01</v>
      </c>
      <c r="C8" s="67" t="str">
        <f>_xlfn.XLOOKUP(Data_LabTests[[#This Row],[Hole ID]],Data_Log[Hole ID],Data_Log[Pit])</f>
        <v>Courvan Nord Bussière</v>
      </c>
      <c r="D8" s="19"/>
      <c r="E8" s="63" t="str">
        <f>Data_LabTests[[#This Row],[Hole ID]]&amp;"_"&amp;Data_LabTests[[#This Row],[Sample '#]]</f>
        <v>COG-25-08_</v>
      </c>
      <c r="F8" s="6" t="s">
        <v>268</v>
      </c>
      <c r="G8" s="6"/>
      <c r="H8" s="5">
        <v>80.39</v>
      </c>
      <c r="I8" s="5">
        <v>80.62</v>
      </c>
      <c r="J8" s="13">
        <f>Data_LabTests[[#This Row],[Depth to (m)]]-Data_LabTests[[#This Row],[Depth from (m)]]</f>
        <v>0.23000000000000398</v>
      </c>
      <c r="K8" s="6" t="s">
        <v>585</v>
      </c>
      <c r="L8" s="63" t="str">
        <f>VLOOKUP(Data_LabTests[[#This Row],[Hole ID]],Data_Log[[Hole ID]:[Core size]],20,FALSE)</f>
        <v>HQ</v>
      </c>
      <c r="M8" s="6"/>
      <c r="N8" s="6"/>
      <c r="O8" s="6"/>
      <c r="P8" s="6">
        <v>23</v>
      </c>
      <c r="Q8" s="6"/>
    </row>
    <row r="9" spans="1:20" x14ac:dyDescent="0.25">
      <c r="A9" t="s">
        <v>26</v>
      </c>
      <c r="B9" s="67" t="str">
        <f>VLOOKUP(Data_LabTests[[#This Row],[Hole ID]],Data_Log[],2,FALSE)</f>
        <v>CGF-01</v>
      </c>
      <c r="C9" s="67" t="str">
        <f>_xlfn.XLOOKUP(Data_LabTests[[#This Row],[Hole ID]],Data_Log[Hole ID],Data_Log[Pit])</f>
        <v>Courvan Nord Bussière</v>
      </c>
      <c r="D9" s="19"/>
      <c r="E9" s="63" t="str">
        <f>Data_LabTests[[#This Row],[Hole ID]]&amp;"_"&amp;Data_LabTests[[#This Row],[Sample '#]]</f>
        <v>COG-25-08_</v>
      </c>
      <c r="F9" s="6" t="s">
        <v>411</v>
      </c>
      <c r="G9" s="6"/>
      <c r="H9" s="5">
        <v>85.69</v>
      </c>
      <c r="I9" s="5">
        <v>85.82</v>
      </c>
      <c r="J9" s="13">
        <f>Data_LabTests[[#This Row],[Depth to (m)]]-Data_LabTests[[#This Row],[Depth from (m)]]</f>
        <v>0.12999999999999545</v>
      </c>
      <c r="K9" s="6" t="s">
        <v>585</v>
      </c>
      <c r="L9" s="63" t="str">
        <f>VLOOKUP(Data_LabTests[[#This Row],[Hole ID]],Data_Log[[Hole ID]:[Core size]],20,FALSE)</f>
        <v>HQ</v>
      </c>
      <c r="M9" s="6"/>
      <c r="N9" s="6"/>
      <c r="O9" s="6"/>
      <c r="P9" s="6">
        <v>25</v>
      </c>
      <c r="Q9" s="6"/>
    </row>
    <row r="10" spans="1:20" x14ac:dyDescent="0.25">
      <c r="A10" t="s">
        <v>26</v>
      </c>
      <c r="B10" s="67" t="str">
        <f>VLOOKUP(Data_LabTests[[#This Row],[Hole ID]],Data_Log[],2,FALSE)</f>
        <v>CGF-01</v>
      </c>
      <c r="C10" s="67" t="str">
        <f>_xlfn.XLOOKUP(Data_LabTests[[#This Row],[Hole ID]],Data_Log[Hole ID],Data_Log[Pit])</f>
        <v>Courvan Nord Bussière</v>
      </c>
      <c r="D10" s="19"/>
      <c r="E10" s="63" t="str">
        <f>Data_LabTests[[#This Row],[Hole ID]]&amp;"_"&amp;Data_LabTests[[#This Row],[Sample '#]]</f>
        <v>COG-25-08_</v>
      </c>
      <c r="F10" s="6" t="s">
        <v>429</v>
      </c>
      <c r="G10" s="6"/>
      <c r="H10" s="5">
        <v>85.82</v>
      </c>
      <c r="I10" s="5">
        <v>85.93</v>
      </c>
      <c r="J10" s="13">
        <f>Data_LabTests[[#This Row],[Depth to (m)]]-Data_LabTests[[#This Row],[Depth from (m)]]</f>
        <v>0.11000000000001364</v>
      </c>
      <c r="K10" s="6" t="s">
        <v>585</v>
      </c>
      <c r="L10" s="63" t="str">
        <f>VLOOKUP(Data_LabTests[[#This Row],[Hole ID]],Data_Log[[Hole ID]:[Core size]],20,FALSE)</f>
        <v>HQ</v>
      </c>
      <c r="M10" s="6"/>
      <c r="N10" s="6"/>
      <c r="O10" s="6"/>
      <c r="P10" s="6">
        <v>25</v>
      </c>
      <c r="Q10" s="6"/>
    </row>
    <row r="11" spans="1:20" x14ac:dyDescent="0.25">
      <c r="A11" t="s">
        <v>26</v>
      </c>
      <c r="B11" s="67" t="str">
        <f>VLOOKUP(Data_LabTests[[#This Row],[Hole ID]],Data_Log[],2,FALSE)</f>
        <v>CGF-01</v>
      </c>
      <c r="C11" s="67" t="str">
        <f>_xlfn.XLOOKUP(Data_LabTests[[#This Row],[Hole ID]],Data_Log[Hole ID],Data_Log[Pit])</f>
        <v>Courvan Nord Bussière</v>
      </c>
      <c r="D11" s="19"/>
      <c r="E11" s="63" t="str">
        <f>Data_LabTests[[#This Row],[Hole ID]]&amp;"_"&amp;Data_LabTests[[#This Row],[Sample '#]]</f>
        <v>COG-25-08_</v>
      </c>
      <c r="F11" s="6" t="s">
        <v>364</v>
      </c>
      <c r="G11" s="6"/>
      <c r="H11" s="5">
        <v>156.93</v>
      </c>
      <c r="I11" s="5">
        <v>157.19</v>
      </c>
      <c r="J11" s="13">
        <f>Data_LabTests[[#This Row],[Depth to (m)]]-Data_LabTests[[#This Row],[Depth from (m)]]</f>
        <v>0.25999999999999091</v>
      </c>
      <c r="K11" s="6" t="s">
        <v>585</v>
      </c>
      <c r="L11" s="63" t="str">
        <f>VLOOKUP(Data_LabTests[[#This Row],[Hole ID]],Data_Log[[Hole ID]:[Core size]],20,FALSE)</f>
        <v>HQ</v>
      </c>
      <c r="M11" s="6"/>
      <c r="N11" s="6"/>
      <c r="O11" s="6"/>
      <c r="P11" s="6">
        <v>25</v>
      </c>
      <c r="Q11" s="6"/>
    </row>
    <row r="12" spans="1:20" x14ac:dyDescent="0.25">
      <c r="A12" t="s">
        <v>32</v>
      </c>
      <c r="B12" s="67" t="str">
        <f>VLOOKUP(Data_LabTests[[#This Row],[Hole ID]],Data_Log[],2,FALSE)</f>
        <v>CGF-03</v>
      </c>
      <c r="C12" s="67" t="str">
        <f>_xlfn.XLOOKUP(Data_LabTests[[#This Row],[Hole ID]],Data_Log[Hole ID],Data_Log[Pit])</f>
        <v>Courvan Nord Bussière</v>
      </c>
      <c r="D12" s="19"/>
      <c r="E12" s="63" t="str">
        <f>Data_LabTests[[#This Row],[Hole ID]]&amp;"_"&amp;Data_LabTests[[#This Row],[Sample '#]]</f>
        <v>COG-25-11_</v>
      </c>
      <c r="F12" s="6" t="s">
        <v>268</v>
      </c>
      <c r="G12" s="6"/>
      <c r="H12" s="5">
        <v>114.05</v>
      </c>
      <c r="I12" s="5">
        <v>114.25</v>
      </c>
      <c r="J12" s="13">
        <f>Data_LabTests[[#This Row],[Depth to (m)]]-Data_LabTests[[#This Row],[Depth from (m)]]</f>
        <v>0.20000000000000284</v>
      </c>
      <c r="K12" s="6" t="s">
        <v>581</v>
      </c>
      <c r="L12" s="63" t="str">
        <f>VLOOKUP(Data_LabTests[[#This Row],[Hole ID]],Data_Log[[Hole ID]:[Core size]],20,FALSE)</f>
        <v>HQ</v>
      </c>
      <c r="M12" s="6"/>
      <c r="N12" s="6"/>
      <c r="O12" s="6"/>
      <c r="P12" s="6">
        <v>25</v>
      </c>
      <c r="Q12" s="6" t="s">
        <v>605</v>
      </c>
    </row>
    <row r="13" spans="1:20" x14ac:dyDescent="0.25">
      <c r="A13" t="s">
        <v>32</v>
      </c>
      <c r="B13" s="67" t="str">
        <f>VLOOKUP(Data_LabTests[[#This Row],[Hole ID]],Data_Log[],2,FALSE)</f>
        <v>CGF-03</v>
      </c>
      <c r="C13" s="67" t="str">
        <f>_xlfn.XLOOKUP(Data_LabTests[[#This Row],[Hole ID]],Data_Log[Hole ID],Data_Log[Pit])</f>
        <v>Courvan Nord Bussière</v>
      </c>
      <c r="D13" s="19"/>
      <c r="E13" s="63" t="str">
        <f>Data_LabTests[[#This Row],[Hole ID]]&amp;"_"&amp;Data_LabTests[[#This Row],[Sample '#]]</f>
        <v>COG-25-11_</v>
      </c>
      <c r="F13" s="6" t="s">
        <v>411</v>
      </c>
      <c r="G13" s="6"/>
      <c r="H13" s="5">
        <v>114.42</v>
      </c>
      <c r="I13" s="5">
        <v>114.68</v>
      </c>
      <c r="J13" s="13">
        <f>Data_LabTests[[#This Row],[Depth to (m)]]-Data_LabTests[[#This Row],[Depth from (m)]]</f>
        <v>0.26000000000000512</v>
      </c>
      <c r="K13" s="6" t="s">
        <v>581</v>
      </c>
      <c r="L13" s="63" t="str">
        <f>VLOOKUP(Data_LabTests[[#This Row],[Hole ID]],Data_Log[[Hole ID]:[Core size]],20,FALSE)</f>
        <v>HQ</v>
      </c>
      <c r="M13" s="6"/>
      <c r="N13" s="6"/>
      <c r="O13" s="6"/>
      <c r="P13" s="6">
        <v>25</v>
      </c>
      <c r="Q13" s="6" t="s">
        <v>605</v>
      </c>
    </row>
    <row r="14" spans="1:20" x14ac:dyDescent="0.25">
      <c r="A14" t="s">
        <v>32</v>
      </c>
      <c r="B14" s="67" t="str">
        <f>VLOOKUP(Data_LabTests[[#This Row],[Hole ID]],Data_Log[],2,FALSE)</f>
        <v>CGF-03</v>
      </c>
      <c r="C14" s="67" t="str">
        <f>_xlfn.XLOOKUP(Data_LabTests[[#This Row],[Hole ID]],Data_Log[Hole ID],Data_Log[Pit])</f>
        <v>Courvan Nord Bussière</v>
      </c>
      <c r="D14" s="19"/>
      <c r="E14" s="63" t="str">
        <f>Data_LabTests[[#This Row],[Hole ID]]&amp;"_"&amp;Data_LabTests[[#This Row],[Sample '#]]</f>
        <v>COG-25-11_</v>
      </c>
      <c r="F14" s="6" t="s">
        <v>391</v>
      </c>
      <c r="G14" s="6"/>
      <c r="H14" s="5">
        <v>109.35</v>
      </c>
      <c r="I14" s="5">
        <v>109.65</v>
      </c>
      <c r="J14" s="13">
        <f>Data_LabTests[[#This Row],[Depth to (m)]]-Data_LabTests[[#This Row],[Depth from (m)]]</f>
        <v>0.30000000000001137</v>
      </c>
      <c r="K14" s="6" t="s">
        <v>585</v>
      </c>
      <c r="L14" s="63" t="str">
        <f>VLOOKUP(Data_LabTests[[#This Row],[Hole ID]],Data_Log[[Hole ID]:[Core size]],20,FALSE)</f>
        <v>HQ</v>
      </c>
      <c r="M14" s="6"/>
      <c r="N14" s="6"/>
      <c r="O14" s="6"/>
      <c r="P14" s="6">
        <v>30</v>
      </c>
      <c r="Q14" s="6"/>
    </row>
    <row r="15" spans="1:20" x14ac:dyDescent="0.25">
      <c r="A15" t="s">
        <v>32</v>
      </c>
      <c r="B15" s="67" t="str">
        <f>VLOOKUP(Data_LabTests[[#This Row],[Hole ID]],Data_Log[],2,FALSE)</f>
        <v>CGF-03</v>
      </c>
      <c r="C15" s="67" t="str">
        <f>_xlfn.XLOOKUP(Data_LabTests[[#This Row],[Hole ID]],Data_Log[Hole ID],Data_Log[Pit])</f>
        <v>Courvan Nord Bussière</v>
      </c>
      <c r="D15" s="19"/>
      <c r="E15" s="63" t="str">
        <f>Data_LabTests[[#This Row],[Hole ID]]&amp;"_"&amp;Data_LabTests[[#This Row],[Sample '#]]</f>
        <v>COG-25-11_</v>
      </c>
      <c r="F15" s="6" t="s">
        <v>391</v>
      </c>
      <c r="G15" s="6"/>
      <c r="H15" s="5">
        <v>137.11000000000001</v>
      </c>
      <c r="I15" s="5">
        <v>137.37</v>
      </c>
      <c r="J15" s="13">
        <f>Data_LabTests[[#This Row],[Depth to (m)]]-Data_LabTests[[#This Row],[Depth from (m)]]</f>
        <v>0.25999999999999091</v>
      </c>
      <c r="K15" s="6" t="s">
        <v>585</v>
      </c>
      <c r="L15" s="63" t="str">
        <f>VLOOKUP(Data_LabTests[[#This Row],[Hole ID]],Data_Log[[Hole ID]:[Core size]],20,FALSE)</f>
        <v>HQ</v>
      </c>
      <c r="M15" s="6"/>
      <c r="N15" s="6"/>
      <c r="O15" s="6"/>
      <c r="P15" s="6">
        <v>30</v>
      </c>
      <c r="Q15" s="6"/>
    </row>
    <row r="16" spans="1:20" x14ac:dyDescent="0.25">
      <c r="A16" t="s">
        <v>32</v>
      </c>
      <c r="B16" s="67" t="str">
        <f>VLOOKUP(Data_LabTests[[#This Row],[Hole ID]],Data_Log[],2,FALSE)</f>
        <v>CGF-03</v>
      </c>
      <c r="C16" s="67" t="str">
        <f>_xlfn.XLOOKUP(Data_LabTests[[#This Row],[Hole ID]],Data_Log[Hole ID],Data_Log[Pit])</f>
        <v>Courvan Nord Bussière</v>
      </c>
      <c r="D16" s="19"/>
      <c r="E16" s="63" t="str">
        <f>Data_LabTests[[#This Row],[Hole ID]]&amp;"_"&amp;Data_LabTests[[#This Row],[Sample '#]]</f>
        <v>COG-25-11_</v>
      </c>
      <c r="F16" s="6" t="s">
        <v>364</v>
      </c>
      <c r="G16" s="6"/>
      <c r="H16" s="5">
        <v>77.56</v>
      </c>
      <c r="I16" s="5">
        <v>77.88</v>
      </c>
      <c r="J16" s="13">
        <f>Data_LabTests[[#This Row],[Depth to (m)]]-Data_LabTests[[#This Row],[Depth from (m)]]</f>
        <v>0.31999999999999318</v>
      </c>
      <c r="K16" s="6" t="s">
        <v>585</v>
      </c>
      <c r="L16" s="63" t="str">
        <f>VLOOKUP(Data_LabTests[[#This Row],[Hole ID]],Data_Log[[Hole ID]:[Core size]],20,FALSE)</f>
        <v>HQ</v>
      </c>
      <c r="M16" s="6"/>
      <c r="N16" s="6"/>
      <c r="O16" s="6"/>
      <c r="P16" s="6">
        <v>30</v>
      </c>
      <c r="Q16" s="6"/>
    </row>
    <row r="17" spans="1:17" x14ac:dyDescent="0.25">
      <c r="A17" t="s">
        <v>36</v>
      </c>
      <c r="B17" s="67" t="str">
        <f>VLOOKUP(Data_LabTests[[#This Row],[Hole ID]],Data_Log[],2,FALSE)</f>
        <v>CGF-05</v>
      </c>
      <c r="C17" s="67" t="str">
        <f>_xlfn.XLOOKUP(Data_LabTests[[#This Row],[Hole ID]],Data_Log[Hole ID],Data_Log[Pit])</f>
        <v>Courvan Nord Creek Zone</v>
      </c>
      <c r="D17" s="19"/>
      <c r="E17" s="63" t="str">
        <f>Data_LabTests[[#This Row],[Hole ID]]&amp;"_"&amp;Data_LabTests[[#This Row],[Sample '#]]</f>
        <v>COG-25-12_</v>
      </c>
      <c r="F17" s="6" t="s">
        <v>268</v>
      </c>
      <c r="G17" s="6"/>
      <c r="H17" s="5">
        <v>104.12</v>
      </c>
      <c r="I17" s="5">
        <v>104.36</v>
      </c>
      <c r="J17" s="13">
        <f>Data_LabTests[[#This Row],[Depth to (m)]]-Data_LabTests[[#This Row],[Depth from (m)]]</f>
        <v>0.23999999999999488</v>
      </c>
      <c r="K17" s="6" t="s">
        <v>573</v>
      </c>
      <c r="L17" s="63" t="str">
        <f>VLOOKUP(Data_LabTests[[#This Row],[Hole ID]],Data_Log[[Hole ID]:[Core size]],20,FALSE)</f>
        <v>HQ</v>
      </c>
      <c r="M17" s="6"/>
      <c r="N17" s="6"/>
      <c r="O17" s="6"/>
      <c r="P17" s="6">
        <v>30</v>
      </c>
      <c r="Q17" s="6"/>
    </row>
    <row r="18" spans="1:17" x14ac:dyDescent="0.25">
      <c r="A18" t="s">
        <v>36</v>
      </c>
      <c r="B18" s="67" t="str">
        <f>VLOOKUP(Data_LabTests[[#This Row],[Hole ID]],Data_Log[],2,FALSE)</f>
        <v>CGF-05</v>
      </c>
      <c r="C18" s="67" t="str">
        <f>_xlfn.XLOOKUP(Data_LabTests[[#This Row],[Hole ID]],Data_Log[Hole ID],Data_Log[Pit])</f>
        <v>Courvan Nord Creek Zone</v>
      </c>
      <c r="D18" s="19"/>
      <c r="E18" s="63" t="str">
        <f>Data_LabTests[[#This Row],[Hole ID]]&amp;"_"&amp;Data_LabTests[[#This Row],[Sample '#]]</f>
        <v>COG-25-12_</v>
      </c>
      <c r="F18" s="6" t="s">
        <v>440</v>
      </c>
      <c r="G18" s="6"/>
      <c r="H18" s="5">
        <v>91.34</v>
      </c>
      <c r="I18" s="5">
        <v>91.45</v>
      </c>
      <c r="J18" s="13">
        <f>Data_LabTests[[#This Row],[Depth to (m)]]-Data_LabTests[[#This Row],[Depth from (m)]]</f>
        <v>0.10999999999999943</v>
      </c>
      <c r="K18" s="6" t="s">
        <v>581</v>
      </c>
      <c r="L18" s="63" t="str">
        <f>VLOOKUP(Data_LabTests[[#This Row],[Hole ID]],Data_Log[[Hole ID]:[Core size]],20,FALSE)</f>
        <v>HQ</v>
      </c>
      <c r="M18" s="6"/>
      <c r="N18" s="6"/>
      <c r="O18" s="6"/>
      <c r="P18" s="6">
        <v>30</v>
      </c>
      <c r="Q18" s="6"/>
    </row>
    <row r="19" spans="1:17" x14ac:dyDescent="0.25">
      <c r="A19" t="s">
        <v>36</v>
      </c>
      <c r="B19" s="67" t="str">
        <f>VLOOKUP(Data_LabTests[[#This Row],[Hole ID]],Data_Log[],2,FALSE)</f>
        <v>CGF-05</v>
      </c>
      <c r="C19" s="67" t="str">
        <f>_xlfn.XLOOKUP(Data_LabTests[[#This Row],[Hole ID]],Data_Log[Hole ID],Data_Log[Pit])</f>
        <v>Courvan Nord Creek Zone</v>
      </c>
      <c r="D19" s="19"/>
      <c r="E19" s="63" t="str">
        <f>Data_LabTests[[#This Row],[Hole ID]]&amp;"_"&amp;Data_LabTests[[#This Row],[Sample '#]]</f>
        <v>COG-25-12_</v>
      </c>
      <c r="F19" s="6" t="s">
        <v>268</v>
      </c>
      <c r="G19" s="6"/>
      <c r="H19" s="5">
        <v>106.89</v>
      </c>
      <c r="I19" s="5">
        <v>107.11</v>
      </c>
      <c r="J19" s="13">
        <f>Data_LabTests[[#This Row],[Depth to (m)]]-Data_LabTests[[#This Row],[Depth from (m)]]</f>
        <v>0.21999999999999886</v>
      </c>
      <c r="K19" s="6" t="s">
        <v>573</v>
      </c>
      <c r="L19" s="63" t="str">
        <f>VLOOKUP(Data_LabTests[[#This Row],[Hole ID]],Data_Log[[Hole ID]:[Core size]],20,FALSE)</f>
        <v>HQ</v>
      </c>
      <c r="M19" s="6"/>
      <c r="N19" s="6"/>
      <c r="O19" s="6"/>
      <c r="P19" s="6">
        <v>31</v>
      </c>
      <c r="Q19" s="6"/>
    </row>
    <row r="20" spans="1:17" x14ac:dyDescent="0.25">
      <c r="A20" t="s">
        <v>36</v>
      </c>
      <c r="B20" s="67" t="str">
        <f>VLOOKUP(Data_LabTests[[#This Row],[Hole ID]],Data_Log[],2,FALSE)</f>
        <v>CGF-05</v>
      </c>
      <c r="C20" s="67" t="str">
        <f>_xlfn.XLOOKUP(Data_LabTests[[#This Row],[Hole ID]],Data_Log[Hole ID],Data_Log[Pit])</f>
        <v>Courvan Nord Creek Zone</v>
      </c>
      <c r="D20" s="19"/>
      <c r="E20" s="63" t="str">
        <f>Data_LabTests[[#This Row],[Hole ID]]&amp;"_"&amp;Data_LabTests[[#This Row],[Sample '#]]</f>
        <v>COG-25-12_</v>
      </c>
      <c r="F20" s="6" t="s">
        <v>449</v>
      </c>
      <c r="G20" s="6"/>
      <c r="H20" s="5">
        <v>104.52</v>
      </c>
      <c r="I20" s="5">
        <v>104.69</v>
      </c>
      <c r="J20" s="13">
        <f>Data_LabTests[[#This Row],[Depth to (m)]]-Data_LabTests[[#This Row],[Depth from (m)]]</f>
        <v>0.17000000000000171</v>
      </c>
      <c r="K20" s="6" t="s">
        <v>573</v>
      </c>
      <c r="L20" s="63" t="str">
        <f>VLOOKUP(Data_LabTests[[#This Row],[Hole ID]],Data_Log[[Hole ID]:[Core size]],20,FALSE)</f>
        <v>HQ</v>
      </c>
      <c r="M20" s="6"/>
      <c r="N20" s="6"/>
      <c r="O20" s="6"/>
      <c r="P20" s="6">
        <v>31</v>
      </c>
      <c r="Q20" s="6"/>
    </row>
    <row r="21" spans="1:17" x14ac:dyDescent="0.25">
      <c r="A21" s="14" t="s">
        <v>36</v>
      </c>
      <c r="B21" s="67" t="str">
        <f>VLOOKUP(Data_LabTests[[#This Row],[Hole ID]],Data_Log[],2,FALSE)</f>
        <v>CGF-05</v>
      </c>
      <c r="C21" s="67" t="str">
        <f>_xlfn.XLOOKUP(Data_LabTests[[#This Row],[Hole ID]],Data_Log[Hole ID],Data_Log[Pit])</f>
        <v>Courvan Nord Creek Zone</v>
      </c>
      <c r="D21" s="19"/>
      <c r="E21" s="63" t="str">
        <f>Data_LabTests[[#This Row],[Hole ID]]&amp;"_"&amp;Data_LabTests[[#This Row],[Sample '#]]</f>
        <v>COG-25-12_</v>
      </c>
      <c r="F21" s="6" t="s">
        <v>391</v>
      </c>
      <c r="G21" s="6"/>
      <c r="H21" s="5">
        <v>90.7</v>
      </c>
      <c r="I21" s="5">
        <v>90.92</v>
      </c>
      <c r="J21" s="13">
        <f>Data_LabTests[[#This Row],[Depth to (m)]]-Data_LabTests[[#This Row],[Depth from (m)]]</f>
        <v>0.21999999999999886</v>
      </c>
      <c r="K21" s="6" t="s">
        <v>581</v>
      </c>
      <c r="L21" s="63" t="str">
        <f>VLOOKUP(Data_LabTests[[#This Row],[Hole ID]],Data_Log[[Hole ID]:[Core size]],20,FALSE)</f>
        <v>HQ</v>
      </c>
      <c r="M21" s="6"/>
      <c r="N21" s="6"/>
      <c r="O21" s="6"/>
      <c r="P21" s="6">
        <v>31</v>
      </c>
      <c r="Q21" s="6"/>
    </row>
    <row r="22" spans="1:17" x14ac:dyDescent="0.25">
      <c r="A22" s="14" t="s">
        <v>36</v>
      </c>
      <c r="B22" s="67" t="str">
        <f>VLOOKUP(Data_LabTests[[#This Row],[Hole ID]],Data_Log[],2,FALSE)</f>
        <v>CGF-05</v>
      </c>
      <c r="C22" s="67" t="str">
        <f>_xlfn.XLOOKUP(Data_LabTests[[#This Row],[Hole ID]],Data_Log[Hole ID],Data_Log[Pit])</f>
        <v>Courvan Nord Creek Zone</v>
      </c>
      <c r="D22" s="19"/>
      <c r="E22" s="63" t="str">
        <f>Data_LabTests[[#This Row],[Hole ID]]&amp;"_"&amp;Data_LabTests[[#This Row],[Sample '#]]</f>
        <v>COG-25-12_</v>
      </c>
      <c r="F22" s="6" t="s">
        <v>391</v>
      </c>
      <c r="G22" s="6"/>
      <c r="H22" s="5">
        <v>91.58</v>
      </c>
      <c r="I22" s="5">
        <v>91.87</v>
      </c>
      <c r="J22" s="13">
        <f>Data_LabTests[[#This Row],[Depth to (m)]]-Data_LabTests[[#This Row],[Depth from (m)]]</f>
        <v>0.29000000000000625</v>
      </c>
      <c r="K22" s="6" t="s">
        <v>581</v>
      </c>
      <c r="L22" s="63" t="str">
        <f>VLOOKUP(Data_LabTests[[#This Row],[Hole ID]],Data_Log[[Hole ID]:[Core size]],20,FALSE)</f>
        <v>HQ</v>
      </c>
      <c r="M22" s="6"/>
      <c r="N22" s="6"/>
      <c r="O22" s="6"/>
      <c r="P22" s="6">
        <v>31</v>
      </c>
      <c r="Q22" s="6"/>
    </row>
    <row r="23" spans="1:17" x14ac:dyDescent="0.25">
      <c r="A23" s="14" t="s">
        <v>36</v>
      </c>
      <c r="B23" s="67" t="str">
        <f>VLOOKUP(Data_LabTests[[#This Row],[Hole ID]],Data_Log[],2,FALSE)</f>
        <v>CGF-05</v>
      </c>
      <c r="C23" s="67" t="str">
        <f>_xlfn.XLOOKUP(Data_LabTests[[#This Row],[Hole ID]],Data_Log[Hole ID],Data_Log[Pit])</f>
        <v>Courvan Nord Creek Zone</v>
      </c>
      <c r="D23" s="19"/>
      <c r="E23" s="63" t="str">
        <f>Data_LabTests[[#This Row],[Hole ID]]&amp;"_"&amp;Data_LabTests[[#This Row],[Sample '#]]</f>
        <v>COG-25-12_</v>
      </c>
      <c r="F23" s="6" t="s">
        <v>268</v>
      </c>
      <c r="G23" s="6"/>
      <c r="H23" s="5">
        <v>95.38</v>
      </c>
      <c r="I23" s="5">
        <v>95.64</v>
      </c>
      <c r="J23" s="13">
        <f>Data_LabTests[[#This Row],[Depth to (m)]]-Data_LabTests[[#This Row],[Depth from (m)]]</f>
        <v>0.26000000000000512</v>
      </c>
      <c r="K23" s="6" t="s">
        <v>581</v>
      </c>
      <c r="L23" s="63" t="str">
        <f>VLOOKUP(Data_LabTests[[#This Row],[Hole ID]],Data_Log[[Hole ID]:[Core size]],20,FALSE)</f>
        <v>HQ</v>
      </c>
      <c r="M23" s="6"/>
      <c r="N23" s="6"/>
      <c r="O23" s="6"/>
      <c r="P23" s="6">
        <v>32</v>
      </c>
      <c r="Q23" s="6"/>
    </row>
    <row r="24" spans="1:17" x14ac:dyDescent="0.25">
      <c r="A24" s="14" t="s">
        <v>36</v>
      </c>
      <c r="B24" s="67" t="str">
        <f>VLOOKUP(Data_LabTests[[#This Row],[Hole ID]],Data_Log[],2,FALSE)</f>
        <v>CGF-05</v>
      </c>
      <c r="C24" s="67" t="str">
        <f>_xlfn.XLOOKUP(Data_LabTests[[#This Row],[Hole ID]],Data_Log[Hole ID],Data_Log[Pit])</f>
        <v>Courvan Nord Creek Zone</v>
      </c>
      <c r="D24" s="19"/>
      <c r="E24" s="63" t="str">
        <f>Data_LabTests[[#This Row],[Hole ID]]&amp;"_"&amp;Data_LabTests[[#This Row],[Sample '#]]</f>
        <v>COG-25-12_</v>
      </c>
      <c r="F24" s="6" t="s">
        <v>449</v>
      </c>
      <c r="G24" s="6"/>
      <c r="H24" s="5">
        <v>106.74</v>
      </c>
      <c r="I24" s="5">
        <v>106.89</v>
      </c>
      <c r="J24" s="13">
        <f>Data_LabTests[[#This Row],[Depth to (m)]]-Data_LabTests[[#This Row],[Depth from (m)]]</f>
        <v>0.15000000000000568</v>
      </c>
      <c r="K24" s="6" t="s">
        <v>573</v>
      </c>
      <c r="L24" s="63" t="str">
        <f>VLOOKUP(Data_LabTests[[#This Row],[Hole ID]],Data_Log[[Hole ID]:[Core size]],20,FALSE)</f>
        <v>HQ</v>
      </c>
      <c r="M24" s="6"/>
      <c r="N24" s="6"/>
      <c r="O24" s="6"/>
      <c r="P24" s="6">
        <v>32</v>
      </c>
      <c r="Q24" s="6"/>
    </row>
    <row r="25" spans="1:17" x14ac:dyDescent="0.25">
      <c r="A25" s="14" t="s">
        <v>36</v>
      </c>
      <c r="B25" s="67" t="str">
        <f>VLOOKUP(Data_LabTests[[#This Row],[Hole ID]],Data_Log[],2,FALSE)</f>
        <v>CGF-05</v>
      </c>
      <c r="C25" s="67" t="str">
        <f>_xlfn.XLOOKUP(Data_LabTests[[#This Row],[Hole ID]],Data_Log[Hole ID],Data_Log[Pit])</f>
        <v>Courvan Nord Creek Zone</v>
      </c>
      <c r="D25" s="19"/>
      <c r="E25" s="63" t="str">
        <f>Data_LabTests[[#This Row],[Hole ID]]&amp;"_"&amp;Data_LabTests[[#This Row],[Sample '#]]</f>
        <v>COG-25-12_</v>
      </c>
      <c r="F25" s="6" t="s">
        <v>449</v>
      </c>
      <c r="G25" s="6"/>
      <c r="H25" s="5">
        <v>96.28</v>
      </c>
      <c r="I25" s="5">
        <v>96.44</v>
      </c>
      <c r="J25" s="13">
        <f>Data_LabTests[[#This Row],[Depth to (m)]]-Data_LabTests[[#This Row],[Depth from (m)]]</f>
        <v>0.15999999999999659</v>
      </c>
      <c r="K25" s="6" t="s">
        <v>581</v>
      </c>
      <c r="L25" s="63" t="str">
        <f>VLOOKUP(Data_LabTests[[#This Row],[Hole ID]],Data_Log[[Hole ID]:[Core size]],20,FALSE)</f>
        <v>HQ</v>
      </c>
      <c r="M25" s="6"/>
      <c r="N25" s="6"/>
      <c r="O25" s="6"/>
      <c r="P25" s="6">
        <v>32</v>
      </c>
      <c r="Q25" s="6"/>
    </row>
    <row r="26" spans="1:17" x14ac:dyDescent="0.25">
      <c r="A26" s="14" t="s">
        <v>36</v>
      </c>
      <c r="B26" s="67" t="str">
        <f>VLOOKUP(Data_LabTests[[#This Row],[Hole ID]],Data_Log[],2,FALSE)</f>
        <v>CGF-05</v>
      </c>
      <c r="C26" s="67" t="str">
        <f>_xlfn.XLOOKUP(Data_LabTests[[#This Row],[Hole ID]],Data_Log[Hole ID],Data_Log[Pit])</f>
        <v>Courvan Nord Creek Zone</v>
      </c>
      <c r="D26" s="19"/>
      <c r="E26" s="63" t="str">
        <f>Data_LabTests[[#This Row],[Hole ID]]&amp;"_"&amp;Data_LabTests[[#This Row],[Sample '#]]</f>
        <v>COG-25-12_</v>
      </c>
      <c r="F26" s="6" t="s">
        <v>449</v>
      </c>
      <c r="G26" s="6"/>
      <c r="H26" s="5">
        <v>79.12</v>
      </c>
      <c r="I26" s="5">
        <v>79.37</v>
      </c>
      <c r="J26" s="13">
        <f>Data_LabTests[[#This Row],[Depth to (m)]]-Data_LabTests[[#This Row],[Depth from (m)]]</f>
        <v>0.25</v>
      </c>
      <c r="K26" s="6" t="s">
        <v>573</v>
      </c>
      <c r="L26" s="63" t="str">
        <f>VLOOKUP(Data_LabTests[[#This Row],[Hole ID]],Data_Log[[Hole ID]:[Core size]],20,FALSE)</f>
        <v>HQ</v>
      </c>
      <c r="M26" s="6"/>
      <c r="N26" s="6"/>
      <c r="O26" s="6"/>
      <c r="P26" s="6">
        <v>32</v>
      </c>
      <c r="Q26" s="6"/>
    </row>
    <row r="27" spans="1:17" x14ac:dyDescent="0.25">
      <c r="A27" s="14" t="s">
        <v>36</v>
      </c>
      <c r="B27" s="67" t="str">
        <f>VLOOKUP(Data_LabTests[[#This Row],[Hole ID]],Data_Log[],2,FALSE)</f>
        <v>CGF-05</v>
      </c>
      <c r="C27" s="67" t="str">
        <f>_xlfn.XLOOKUP(Data_LabTests[[#This Row],[Hole ID]],Data_Log[Hole ID],Data_Log[Pit])</f>
        <v>Courvan Nord Creek Zone</v>
      </c>
      <c r="D27" s="19"/>
      <c r="E27" s="63" t="str">
        <f>Data_LabTests[[#This Row],[Hole ID]]&amp;"_"&amp;Data_LabTests[[#This Row],[Sample '#]]</f>
        <v>COG-25-12_</v>
      </c>
      <c r="F27" s="6" t="s">
        <v>268</v>
      </c>
      <c r="G27" s="6"/>
      <c r="H27" s="5">
        <v>79.37</v>
      </c>
      <c r="I27" s="5">
        <v>79.59</v>
      </c>
      <c r="J27" s="13">
        <f>Data_LabTests[[#This Row],[Depth to (m)]]-Data_LabTests[[#This Row],[Depth from (m)]]</f>
        <v>0.21999999999999886</v>
      </c>
      <c r="K27" s="6" t="s">
        <v>573</v>
      </c>
      <c r="L27" s="63" t="str">
        <f>VLOOKUP(Data_LabTests[[#This Row],[Hole ID]],Data_Log[[Hole ID]:[Core size]],20,FALSE)</f>
        <v>HQ</v>
      </c>
      <c r="M27" s="6"/>
      <c r="N27" s="6"/>
      <c r="O27" s="6"/>
      <c r="P27" s="6">
        <v>32</v>
      </c>
      <c r="Q27" s="6"/>
    </row>
    <row r="28" spans="1:17" x14ac:dyDescent="0.25">
      <c r="A28" s="14" t="s">
        <v>36</v>
      </c>
      <c r="B28" s="67" t="str">
        <f>VLOOKUP(Data_LabTests[[#This Row],[Hole ID]],Data_Log[],2,FALSE)</f>
        <v>CGF-05</v>
      </c>
      <c r="C28" s="67" t="str">
        <f>_xlfn.XLOOKUP(Data_LabTests[[#This Row],[Hole ID]],Data_Log[Hole ID],Data_Log[Pit])</f>
        <v>Courvan Nord Creek Zone</v>
      </c>
      <c r="D28" s="19"/>
      <c r="E28" s="63" t="str">
        <f>Data_LabTests[[#This Row],[Hole ID]]&amp;"_"&amp;Data_LabTests[[#This Row],[Sample '#]]</f>
        <v>COG-25-12_</v>
      </c>
      <c r="F28" s="6" t="s">
        <v>449</v>
      </c>
      <c r="G28" s="6"/>
      <c r="H28" s="5">
        <v>69.7</v>
      </c>
      <c r="I28" s="5">
        <v>69.900000000000006</v>
      </c>
      <c r="J28" s="13">
        <f>Data_LabTests[[#This Row],[Depth to (m)]]-Data_LabTests[[#This Row],[Depth from (m)]]</f>
        <v>0.20000000000000284</v>
      </c>
      <c r="K28" s="6" t="s">
        <v>602</v>
      </c>
      <c r="L28" s="63" t="str">
        <f>VLOOKUP(Data_LabTests[[#This Row],[Hole ID]],Data_Log[[Hole ID]:[Core size]],20,FALSE)</f>
        <v>HQ</v>
      </c>
      <c r="M28" s="6"/>
      <c r="N28" s="6"/>
      <c r="O28" s="6"/>
      <c r="P28" s="6">
        <v>33</v>
      </c>
      <c r="Q28" s="6"/>
    </row>
    <row r="29" spans="1:17" x14ac:dyDescent="0.25">
      <c r="A29" s="14" t="s">
        <v>32</v>
      </c>
      <c r="B29" s="67" t="str">
        <f>VLOOKUP(Data_LabTests[[#This Row],[Hole ID]],Data_Log[],2,FALSE)</f>
        <v>CGF-03</v>
      </c>
      <c r="C29" s="67" t="str">
        <f>_xlfn.XLOOKUP(Data_LabTests[[#This Row],[Hole ID]],Data_Log[Hole ID],Data_Log[Pit])</f>
        <v>Courvan Nord Bussière</v>
      </c>
      <c r="D29" s="19"/>
      <c r="E29" s="63" t="str">
        <f>Data_LabTests[[#This Row],[Hole ID]]&amp;"_"&amp;Data_LabTests[[#This Row],[Sample '#]]</f>
        <v>COG-25-11_</v>
      </c>
      <c r="F29" s="6" t="s">
        <v>364</v>
      </c>
      <c r="G29" s="6"/>
      <c r="H29" s="5">
        <v>48.33</v>
      </c>
      <c r="I29" s="5">
        <v>48.59</v>
      </c>
      <c r="J29" s="13">
        <f>Data_LabTests[[#This Row],[Depth to (m)]]-Data_LabTests[[#This Row],[Depth from (m)]]</f>
        <v>0.26000000000000512</v>
      </c>
      <c r="K29" s="6" t="s">
        <v>585</v>
      </c>
      <c r="L29" s="63" t="str">
        <f>VLOOKUP(Data_LabTests[[#This Row],[Hole ID]],Data_Log[[Hole ID]:[Core size]],20,FALSE)</f>
        <v>HQ</v>
      </c>
      <c r="M29" s="6"/>
      <c r="N29" s="6"/>
      <c r="O29" s="6"/>
      <c r="P29" s="6">
        <v>33</v>
      </c>
      <c r="Q29" s="6"/>
    </row>
    <row r="30" spans="1:17" x14ac:dyDescent="0.25">
      <c r="A30" s="14" t="s">
        <v>32</v>
      </c>
      <c r="B30" s="67" t="str">
        <f>VLOOKUP(Data_LabTests[[#This Row],[Hole ID]],Data_Log[],2,FALSE)</f>
        <v>CGF-03</v>
      </c>
      <c r="C30" s="67" t="str">
        <f>_xlfn.XLOOKUP(Data_LabTests[[#This Row],[Hole ID]],Data_Log[Hole ID],Data_Log[Pit])</f>
        <v>Courvan Nord Bussière</v>
      </c>
      <c r="D30" s="19"/>
      <c r="E30" s="63" t="str">
        <f>Data_LabTests[[#This Row],[Hole ID]]&amp;"_"&amp;Data_LabTests[[#This Row],[Sample '#]]</f>
        <v>COG-25-11_</v>
      </c>
      <c r="F30" s="6" t="s">
        <v>364</v>
      </c>
      <c r="G30" s="6"/>
      <c r="H30" s="5">
        <v>41.5</v>
      </c>
      <c r="I30" s="5">
        <v>41.74</v>
      </c>
      <c r="J30" s="13">
        <f>Data_LabTests[[#This Row],[Depth to (m)]]-Data_LabTests[[#This Row],[Depth from (m)]]</f>
        <v>0.24000000000000199</v>
      </c>
      <c r="K30" s="6" t="s">
        <v>585</v>
      </c>
      <c r="L30" s="63" t="str">
        <f>VLOOKUP(Data_LabTests[[#This Row],[Hole ID]],Data_Log[[Hole ID]:[Core size]],20,FALSE)</f>
        <v>HQ</v>
      </c>
      <c r="M30" s="6"/>
      <c r="N30" s="6"/>
      <c r="O30" s="6"/>
      <c r="P30" s="6">
        <v>33</v>
      </c>
      <c r="Q30" s="6"/>
    </row>
    <row r="31" spans="1:17" x14ac:dyDescent="0.25">
      <c r="A31" s="14" t="s">
        <v>30</v>
      </c>
      <c r="B31" s="67" t="str">
        <f>VLOOKUP(Data_LabTests[[#This Row],[Hole ID]],Data_Log[],2,FALSE)</f>
        <v>CGF-02</v>
      </c>
      <c r="C31" s="67" t="str">
        <f>_xlfn.XLOOKUP(Data_LabTests[[#This Row],[Hole ID]],Data_Log[Hole ID],Data_Log[Pit])</f>
        <v>Courvan Nord Bussière</v>
      </c>
      <c r="D31" s="19"/>
      <c r="E31" s="63" t="str">
        <f>Data_LabTests[[#This Row],[Hole ID]]&amp;"_"&amp;Data_LabTests[[#This Row],[Sample '#]]</f>
        <v>COG-25-10_</v>
      </c>
      <c r="F31" s="6" t="s">
        <v>391</v>
      </c>
      <c r="G31" s="6"/>
      <c r="H31" s="5">
        <v>76.98</v>
      </c>
      <c r="I31" s="5">
        <v>77.2</v>
      </c>
      <c r="J31" s="13">
        <f>Data_LabTests[[#This Row],[Depth to (m)]]-Data_LabTests[[#This Row],[Depth from (m)]]</f>
        <v>0.21999999999999886</v>
      </c>
      <c r="K31" s="6" t="s">
        <v>581</v>
      </c>
      <c r="L31" s="63" t="str">
        <f>VLOOKUP(Data_LabTests[[#This Row],[Hole ID]],Data_Log[[Hole ID]:[Core size]],20,FALSE)</f>
        <v>HQ</v>
      </c>
      <c r="M31" s="6"/>
      <c r="N31" s="6"/>
      <c r="O31" s="6"/>
      <c r="P31" s="6">
        <v>33</v>
      </c>
      <c r="Q31" s="6"/>
    </row>
    <row r="32" spans="1:17" x14ac:dyDescent="0.25">
      <c r="A32" s="14" t="s">
        <v>26</v>
      </c>
      <c r="B32" s="67" t="str">
        <f>VLOOKUP(Data_LabTests[[#This Row],[Hole ID]],Data_Log[],2,FALSE)</f>
        <v>CGF-01</v>
      </c>
      <c r="C32" s="67" t="str">
        <f>_xlfn.XLOOKUP(Data_LabTests[[#This Row],[Hole ID]],Data_Log[Hole ID],Data_Log[Pit])</f>
        <v>Courvan Nord Bussière</v>
      </c>
      <c r="D32" s="19"/>
      <c r="E32" s="63" t="str">
        <f>Data_LabTests[[#This Row],[Hole ID]]&amp;"_"&amp;Data_LabTests[[#This Row],[Sample '#]]</f>
        <v>COG-25-08_</v>
      </c>
      <c r="F32" s="6" t="s">
        <v>364</v>
      </c>
      <c r="G32" s="6"/>
      <c r="H32" s="5">
        <v>183.99</v>
      </c>
      <c r="I32" s="5">
        <v>184.25</v>
      </c>
      <c r="J32" s="13">
        <f>Data_LabTests[[#This Row],[Depth to (m)]]-Data_LabTests[[#This Row],[Depth from (m)]]</f>
        <v>0.25999999999999091</v>
      </c>
      <c r="K32" s="6" t="s">
        <v>585</v>
      </c>
      <c r="L32" s="63" t="str">
        <f>VLOOKUP(Data_LabTests[[#This Row],[Hole ID]],Data_Log[[Hole ID]:[Core size]],20,FALSE)</f>
        <v>HQ</v>
      </c>
      <c r="M32" s="6"/>
      <c r="N32" s="6"/>
      <c r="O32" s="6"/>
      <c r="P32" s="6">
        <v>34</v>
      </c>
      <c r="Q32" s="6"/>
    </row>
    <row r="33" spans="1:17" x14ac:dyDescent="0.25">
      <c r="A33" s="14" t="s">
        <v>36</v>
      </c>
      <c r="B33" s="67" t="str">
        <f>VLOOKUP(Data_LabTests[[#This Row],[Hole ID]],Data_Log[],2,FALSE)</f>
        <v>CGF-05</v>
      </c>
      <c r="C33" s="67" t="str">
        <f>_xlfn.XLOOKUP(Data_LabTests[[#This Row],[Hole ID]],Data_Log[Hole ID],Data_Log[Pit])</f>
        <v>Courvan Nord Creek Zone</v>
      </c>
      <c r="D33" s="19"/>
      <c r="E33" s="63" t="str">
        <f>Data_LabTests[[#This Row],[Hole ID]]&amp;"_"&amp;Data_LabTests[[#This Row],[Sample '#]]</f>
        <v>COG-25-12_</v>
      </c>
      <c r="F33" s="6" t="s">
        <v>364</v>
      </c>
      <c r="G33" s="6"/>
      <c r="H33" s="5">
        <v>61.62</v>
      </c>
      <c r="I33" s="5">
        <v>62.08</v>
      </c>
      <c r="J33" s="13">
        <f>Data_LabTests[[#This Row],[Depth to (m)]]-Data_LabTests[[#This Row],[Depth from (m)]]</f>
        <v>0.46000000000000085</v>
      </c>
      <c r="K33" s="6" t="s">
        <v>602</v>
      </c>
      <c r="L33" s="63" t="str">
        <f>VLOOKUP(Data_LabTests[[#This Row],[Hole ID]],Data_Log[[Hole ID]:[Core size]],20,FALSE)</f>
        <v>HQ</v>
      </c>
      <c r="M33" s="6"/>
      <c r="N33" s="6"/>
      <c r="O33" s="6"/>
      <c r="P33" s="6">
        <v>34</v>
      </c>
      <c r="Q33" s="6"/>
    </row>
    <row r="34" spans="1:17" x14ac:dyDescent="0.25">
      <c r="A34" s="14" t="s">
        <v>36</v>
      </c>
      <c r="B34" s="67" t="str">
        <f>VLOOKUP(Data_LabTests[[#This Row],[Hole ID]],Data_Log[],2,FALSE)</f>
        <v>CGF-05</v>
      </c>
      <c r="C34" s="67" t="str">
        <f>_xlfn.XLOOKUP(Data_LabTests[[#This Row],[Hole ID]],Data_Log[Hole ID],Data_Log[Pit])</f>
        <v>Courvan Nord Creek Zone</v>
      </c>
      <c r="D34" s="19"/>
      <c r="E34" s="63" t="str">
        <f>Data_LabTests[[#This Row],[Hole ID]]&amp;"_"&amp;Data_LabTests[[#This Row],[Sample '#]]</f>
        <v>COG-25-12_</v>
      </c>
      <c r="F34" s="6" t="s">
        <v>364</v>
      </c>
      <c r="G34" s="6"/>
      <c r="H34" s="5">
        <v>102.7</v>
      </c>
      <c r="I34" s="5">
        <v>102.93</v>
      </c>
      <c r="J34" s="13">
        <f>Data_LabTests[[#This Row],[Depth to (m)]]-Data_LabTests[[#This Row],[Depth from (m)]]</f>
        <v>0.23000000000000398</v>
      </c>
      <c r="K34" s="6" t="s">
        <v>573</v>
      </c>
      <c r="L34" s="63" t="str">
        <f>VLOOKUP(Data_LabTests[[#This Row],[Hole ID]],Data_Log[[Hole ID]:[Core size]],20,FALSE)</f>
        <v>HQ</v>
      </c>
      <c r="M34" s="6"/>
      <c r="N34" s="6"/>
      <c r="O34" s="6"/>
      <c r="P34" s="6">
        <v>35</v>
      </c>
      <c r="Q34" s="6"/>
    </row>
    <row r="35" spans="1:17" x14ac:dyDescent="0.25">
      <c r="A35" s="14" t="s">
        <v>36</v>
      </c>
      <c r="B35" s="67" t="str">
        <f>VLOOKUP(Data_LabTests[[#This Row],[Hole ID]],Data_Log[],2,FALSE)</f>
        <v>CGF-05</v>
      </c>
      <c r="C35" s="67" t="str">
        <f>_xlfn.XLOOKUP(Data_LabTests[[#This Row],[Hole ID]],Data_Log[Hole ID],Data_Log[Pit])</f>
        <v>Courvan Nord Creek Zone</v>
      </c>
      <c r="D35" s="19"/>
      <c r="E35" s="63" t="str">
        <f>Data_LabTests[[#This Row],[Hole ID]]&amp;"_"&amp;Data_LabTests[[#This Row],[Sample '#]]</f>
        <v>COG-25-12_</v>
      </c>
      <c r="F35" s="6" t="s">
        <v>364</v>
      </c>
      <c r="G35" s="6"/>
      <c r="H35" s="5">
        <v>58.9</v>
      </c>
      <c r="I35" s="5">
        <v>59.31</v>
      </c>
      <c r="J35" s="13">
        <f>Data_LabTests[[#This Row],[Depth to (m)]]-Data_LabTests[[#This Row],[Depth from (m)]]</f>
        <v>0.41000000000000369</v>
      </c>
      <c r="K35" s="6" t="s">
        <v>602</v>
      </c>
      <c r="L35" s="63" t="str">
        <f>VLOOKUP(Data_LabTests[[#This Row],[Hole ID]],Data_Log[[Hole ID]:[Core size]],20,FALSE)</f>
        <v>HQ</v>
      </c>
      <c r="M35" s="6"/>
      <c r="N35" s="6"/>
      <c r="O35" s="6"/>
      <c r="P35" s="6">
        <v>35</v>
      </c>
      <c r="Q35" s="6"/>
    </row>
    <row r="36" spans="1:17" x14ac:dyDescent="0.25">
      <c r="A36" s="14" t="s">
        <v>26</v>
      </c>
      <c r="B36" s="67" t="str">
        <f>VLOOKUP(Data_LabTests[[#This Row],[Hole ID]],Data_Log[],2,FALSE)</f>
        <v>CGF-01</v>
      </c>
      <c r="C36" s="67" t="str">
        <f>_xlfn.XLOOKUP(Data_LabTests[[#This Row],[Hole ID]],Data_Log[Hole ID],Data_Log[Pit])</f>
        <v>Courvan Nord Bussière</v>
      </c>
      <c r="D36" s="19"/>
      <c r="E36" s="63" t="str">
        <f>Data_LabTests[[#This Row],[Hole ID]]&amp;"_"&amp;Data_LabTests[[#This Row],[Sample '#]]</f>
        <v>COG-25-08_</v>
      </c>
      <c r="F36" s="6" t="s">
        <v>391</v>
      </c>
      <c r="G36" s="6"/>
      <c r="H36" s="5">
        <v>175.85</v>
      </c>
      <c r="I36" s="5">
        <v>176.06</v>
      </c>
      <c r="J36" s="13">
        <f>Data_LabTests[[#This Row],[Depth to (m)]]-Data_LabTests[[#This Row],[Depth from (m)]]</f>
        <v>0.21000000000000796</v>
      </c>
      <c r="K36" s="6" t="s">
        <v>585</v>
      </c>
      <c r="L36" s="63" t="str">
        <f>VLOOKUP(Data_LabTests[[#This Row],[Hole ID]],Data_Log[[Hole ID]:[Core size]],20,FALSE)</f>
        <v>HQ</v>
      </c>
      <c r="M36" s="6"/>
      <c r="N36" s="6"/>
      <c r="O36" s="6"/>
      <c r="P36" s="6">
        <v>35</v>
      </c>
      <c r="Q36" s="6"/>
    </row>
    <row r="37" spans="1:17" x14ac:dyDescent="0.25">
      <c r="A37" s="14" t="s">
        <v>30</v>
      </c>
      <c r="B37" s="67" t="str">
        <f>VLOOKUP(Data_LabTests[[#This Row],[Hole ID]],Data_Log[],2,FALSE)</f>
        <v>CGF-02</v>
      </c>
      <c r="C37" s="67" t="str">
        <f>_xlfn.XLOOKUP(Data_LabTests[[#This Row],[Hole ID]],Data_Log[Hole ID],Data_Log[Pit])</f>
        <v>Courvan Nord Bussière</v>
      </c>
      <c r="D37" s="19"/>
      <c r="E37" s="63" t="str">
        <f>Data_LabTests[[#This Row],[Hole ID]]&amp;"_"&amp;Data_LabTests[[#This Row],[Sample '#]]</f>
        <v>COG-25-10_</v>
      </c>
      <c r="F37" s="6" t="s">
        <v>440</v>
      </c>
      <c r="G37" s="6"/>
      <c r="H37" s="5">
        <v>77.72</v>
      </c>
      <c r="I37" s="5">
        <v>77.84</v>
      </c>
      <c r="J37" s="13">
        <f>Data_LabTests[[#This Row],[Depth to (m)]]-Data_LabTests[[#This Row],[Depth from (m)]]</f>
        <v>0.12000000000000455</v>
      </c>
      <c r="K37" s="6" t="s">
        <v>581</v>
      </c>
      <c r="L37" s="63" t="str">
        <f>VLOOKUP(Data_LabTests[[#This Row],[Hole ID]],Data_Log[[Hole ID]:[Core size]],20,FALSE)</f>
        <v>HQ</v>
      </c>
      <c r="M37" s="6"/>
      <c r="N37" s="6"/>
      <c r="O37" s="6"/>
      <c r="P37" s="6">
        <v>35</v>
      </c>
      <c r="Q37" s="6"/>
    </row>
    <row r="38" spans="1:17" x14ac:dyDescent="0.25">
      <c r="A38" s="14" t="s">
        <v>30</v>
      </c>
      <c r="B38" s="67" t="str">
        <f>VLOOKUP(Data_LabTests[[#This Row],[Hole ID]],Data_Log[],2,FALSE)</f>
        <v>CGF-02</v>
      </c>
      <c r="C38" s="67" t="str">
        <f>_xlfn.XLOOKUP(Data_LabTests[[#This Row],[Hole ID]],Data_Log[Hole ID],Data_Log[Pit])</f>
        <v>Courvan Nord Bussière</v>
      </c>
      <c r="D38" s="19"/>
      <c r="E38" s="63" t="str">
        <f>Data_LabTests[[#This Row],[Hole ID]]&amp;"_"&amp;Data_LabTests[[#This Row],[Sample '#]]</f>
        <v>COG-25-10_</v>
      </c>
      <c r="F38" s="6" t="s">
        <v>364</v>
      </c>
      <c r="G38" s="6"/>
      <c r="H38" s="5">
        <v>116.43</v>
      </c>
      <c r="I38" s="5">
        <v>116.77</v>
      </c>
      <c r="J38" s="13">
        <f>Data_LabTests[[#This Row],[Depth to (m)]]-Data_LabTests[[#This Row],[Depth from (m)]]</f>
        <v>0.3399999999999892</v>
      </c>
      <c r="K38" s="6" t="s">
        <v>602</v>
      </c>
      <c r="L38" s="63" t="str">
        <f>VLOOKUP(Data_LabTests[[#This Row],[Hole ID]],Data_Log[[Hole ID]:[Core size]],20,FALSE)</f>
        <v>HQ</v>
      </c>
      <c r="M38" s="6"/>
      <c r="N38" s="6"/>
      <c r="O38" s="6"/>
      <c r="P38" s="6">
        <v>36</v>
      </c>
      <c r="Q38" s="6"/>
    </row>
    <row r="39" spans="1:17" x14ac:dyDescent="0.25">
      <c r="A39" s="14" t="s">
        <v>26</v>
      </c>
      <c r="B39" s="67" t="str">
        <f>VLOOKUP(Data_LabTests[[#This Row],[Hole ID]],Data_Log[],2,FALSE)</f>
        <v>CGF-01</v>
      </c>
      <c r="C39" s="67" t="str">
        <f>_xlfn.XLOOKUP(Data_LabTests[[#This Row],[Hole ID]],Data_Log[Hole ID],Data_Log[Pit])</f>
        <v>Courvan Nord Bussière</v>
      </c>
      <c r="D39" s="19"/>
      <c r="E39" s="63" t="str">
        <f>Data_LabTests[[#This Row],[Hole ID]]&amp;"_"&amp;Data_LabTests[[#This Row],[Sample '#]]</f>
        <v>COG-25-08_</v>
      </c>
      <c r="F39" s="6" t="s">
        <v>391</v>
      </c>
      <c r="G39" s="6"/>
      <c r="H39" s="5">
        <v>176.06</v>
      </c>
      <c r="I39" s="5">
        <v>176.3</v>
      </c>
      <c r="J39" s="13">
        <f>Data_LabTests[[#This Row],[Depth to (m)]]-Data_LabTests[[#This Row],[Depth from (m)]]</f>
        <v>0.24000000000000909</v>
      </c>
      <c r="K39" s="6" t="s">
        <v>585</v>
      </c>
      <c r="L39" s="63" t="str">
        <f>VLOOKUP(Data_LabTests[[#This Row],[Hole ID]],Data_Log[[Hole ID]:[Core size]],20,FALSE)</f>
        <v>HQ</v>
      </c>
      <c r="M39" s="6"/>
      <c r="N39" s="6"/>
      <c r="O39" s="6"/>
      <c r="P39" s="6">
        <v>36</v>
      </c>
      <c r="Q39" s="6"/>
    </row>
    <row r="40" spans="1:17" x14ac:dyDescent="0.25">
      <c r="A40" s="14" t="s">
        <v>36</v>
      </c>
      <c r="B40" s="67" t="str">
        <f>VLOOKUP(Data_LabTests[[#This Row],[Hole ID]],Data_Log[],2,FALSE)</f>
        <v>CGF-05</v>
      </c>
      <c r="C40" s="67" t="str">
        <f>_xlfn.XLOOKUP(Data_LabTests[[#This Row],[Hole ID]],Data_Log[Hole ID],Data_Log[Pit])</f>
        <v>Courvan Nord Creek Zone</v>
      </c>
      <c r="D40" s="19"/>
      <c r="E40" s="63" t="str">
        <f>Data_LabTests[[#This Row],[Hole ID]]&amp;"_"&amp;Data_LabTests[[#This Row],[Sample '#]]</f>
        <v>COG-25-12_</v>
      </c>
      <c r="F40" s="6" t="s">
        <v>268</v>
      </c>
      <c r="G40" s="6"/>
      <c r="H40" s="5">
        <v>69.5</v>
      </c>
      <c r="I40" s="5">
        <v>69.7</v>
      </c>
      <c r="J40" s="13">
        <f>Data_LabTests[[#This Row],[Depth to (m)]]-Data_LabTests[[#This Row],[Depth from (m)]]</f>
        <v>0.20000000000000284</v>
      </c>
      <c r="K40" s="6" t="s">
        <v>602</v>
      </c>
      <c r="L40" s="63" t="str">
        <f>VLOOKUP(Data_LabTests[[#This Row],[Hole ID]],Data_Log[[Hole ID]:[Core size]],20,FALSE)</f>
        <v>HQ</v>
      </c>
      <c r="M40" s="6"/>
      <c r="N40" s="6"/>
      <c r="O40" s="6"/>
      <c r="P40" s="6">
        <v>36</v>
      </c>
      <c r="Q40" s="6"/>
    </row>
    <row r="41" spans="1:17" x14ac:dyDescent="0.25">
      <c r="A41" s="14" t="s">
        <v>36</v>
      </c>
      <c r="B41" s="67" t="str">
        <f>VLOOKUP(Data_LabTests[[#This Row],[Hole ID]],Data_Log[],2,FALSE)</f>
        <v>CGF-05</v>
      </c>
      <c r="C41" s="67" t="str">
        <f>_xlfn.XLOOKUP(Data_LabTests[[#This Row],[Hole ID]],Data_Log[Hole ID],Data_Log[Pit])</f>
        <v>Courvan Nord Creek Zone</v>
      </c>
      <c r="D41" s="19"/>
      <c r="E41" s="63" t="str">
        <f>Data_LabTests[[#This Row],[Hole ID]]&amp;"_"&amp;Data_LabTests[[#This Row],[Sample '#]]</f>
        <v>COG-25-12_</v>
      </c>
      <c r="F41" s="6" t="s">
        <v>268</v>
      </c>
      <c r="G41" s="6"/>
      <c r="H41" s="5">
        <v>78.88</v>
      </c>
      <c r="I41" s="5">
        <v>79.12</v>
      </c>
      <c r="J41" s="13">
        <f>Data_LabTests[[#This Row],[Depth to (m)]]-Data_LabTests[[#This Row],[Depth from (m)]]</f>
        <v>0.24000000000000909</v>
      </c>
      <c r="K41" s="6" t="s">
        <v>573</v>
      </c>
      <c r="L41" s="63" t="str">
        <f>VLOOKUP(Data_LabTests[[#This Row],[Hole ID]],Data_Log[[Hole ID]:[Core size]],20,FALSE)</f>
        <v>HQ</v>
      </c>
      <c r="M41" s="6"/>
      <c r="N41" s="6"/>
      <c r="O41" s="6"/>
      <c r="P41" s="6">
        <v>36</v>
      </c>
      <c r="Q41" s="6"/>
    </row>
    <row r="42" spans="1:17" x14ac:dyDescent="0.25">
      <c r="A42" s="14" t="s">
        <v>36</v>
      </c>
      <c r="B42" s="67" t="str">
        <f>VLOOKUP(Data_LabTests[[#This Row],[Hole ID]],Data_Log[],2,FALSE)</f>
        <v>CGF-05</v>
      </c>
      <c r="C42" s="67" t="str">
        <f>_xlfn.XLOOKUP(Data_LabTests[[#This Row],[Hole ID]],Data_Log[Hole ID],Data_Log[Pit])</f>
        <v>Courvan Nord Creek Zone</v>
      </c>
      <c r="D42" s="19"/>
      <c r="E42" s="63" t="str">
        <f>Data_LabTests[[#This Row],[Hole ID]]&amp;"_"&amp;Data_LabTests[[#This Row],[Sample '#]]</f>
        <v>COG-25-12_</v>
      </c>
      <c r="F42" s="6" t="s">
        <v>364</v>
      </c>
      <c r="G42" s="6"/>
      <c r="H42" s="5">
        <v>57.77</v>
      </c>
      <c r="I42" s="5">
        <v>58.14</v>
      </c>
      <c r="J42" s="13">
        <f>Data_LabTests[[#This Row],[Depth to (m)]]-Data_LabTests[[#This Row],[Depth from (m)]]</f>
        <v>0.36999999999999744</v>
      </c>
      <c r="K42" s="6" t="s">
        <v>602</v>
      </c>
      <c r="L42" s="63" t="str">
        <f>VLOOKUP(Data_LabTests[[#This Row],[Hole ID]],Data_Log[[Hole ID]:[Core size]],20,FALSE)</f>
        <v>HQ</v>
      </c>
      <c r="M42" s="6"/>
      <c r="N42" s="6"/>
      <c r="O42" s="6"/>
      <c r="P42" s="6">
        <v>37</v>
      </c>
      <c r="Q42" s="6"/>
    </row>
    <row r="43" spans="1:17" x14ac:dyDescent="0.25">
      <c r="A43" s="14" t="s">
        <v>36</v>
      </c>
      <c r="B43" s="67" t="str">
        <f>VLOOKUP(Data_LabTests[[#This Row],[Hole ID]],Data_Log[],2,FALSE)</f>
        <v>CGF-05</v>
      </c>
      <c r="C43" s="67" t="str">
        <f>_xlfn.XLOOKUP(Data_LabTests[[#This Row],[Hole ID]],Data_Log[Hole ID],Data_Log[Pit])</f>
        <v>Courvan Nord Creek Zone</v>
      </c>
      <c r="D43" s="19"/>
      <c r="E43" s="63" t="str">
        <f>Data_LabTests[[#This Row],[Hole ID]]&amp;"_"&amp;Data_LabTests[[#This Row],[Sample '#]]</f>
        <v>COG-25-12_</v>
      </c>
      <c r="F43" s="6" t="s">
        <v>364</v>
      </c>
      <c r="G43" s="6"/>
      <c r="H43" s="5">
        <v>100.98</v>
      </c>
      <c r="I43" s="5">
        <v>101.26</v>
      </c>
      <c r="J43" s="13">
        <f>Data_LabTests[[#This Row],[Depth to (m)]]-Data_LabTests[[#This Row],[Depth from (m)]]</f>
        <v>0.28000000000000114</v>
      </c>
      <c r="K43" s="6" t="s">
        <v>573</v>
      </c>
      <c r="L43" s="63" t="str">
        <f>VLOOKUP(Data_LabTests[[#This Row],[Hole ID]],Data_Log[[Hole ID]:[Core size]],20,FALSE)</f>
        <v>HQ</v>
      </c>
      <c r="M43" s="6"/>
      <c r="N43" s="6"/>
      <c r="O43" s="6"/>
      <c r="P43" s="6">
        <v>37</v>
      </c>
      <c r="Q43" s="6"/>
    </row>
    <row r="44" spans="1:17" x14ac:dyDescent="0.25">
      <c r="A44" s="14" t="s">
        <v>30</v>
      </c>
      <c r="B44" s="67" t="str">
        <f>VLOOKUP(Data_LabTests[[#This Row],[Hole ID]],Data_Log[],2,FALSE)</f>
        <v>CGF-02</v>
      </c>
      <c r="C44" s="67" t="str">
        <f>_xlfn.XLOOKUP(Data_LabTests[[#This Row],[Hole ID]],Data_Log[Hole ID],Data_Log[Pit])</f>
        <v>Courvan Nord Bussière</v>
      </c>
      <c r="D44" s="19"/>
      <c r="E44" s="63" t="str">
        <f>Data_LabTests[[#This Row],[Hole ID]]&amp;"_"&amp;Data_LabTests[[#This Row],[Sample '#]]</f>
        <v>COG-25-10_</v>
      </c>
      <c r="F44" s="6" t="s">
        <v>268</v>
      </c>
      <c r="G44" s="6"/>
      <c r="H44" s="5">
        <v>62.34</v>
      </c>
      <c r="I44" s="5">
        <v>62.55</v>
      </c>
      <c r="J44" s="13">
        <f>Data_LabTests[[#This Row],[Depth to (m)]]-Data_LabTests[[#This Row],[Depth from (m)]]</f>
        <v>0.20999999999999375</v>
      </c>
      <c r="K44" s="6" t="s">
        <v>602</v>
      </c>
      <c r="L44" s="63" t="str">
        <f>VLOOKUP(Data_LabTests[[#This Row],[Hole ID]],Data_Log[[Hole ID]:[Core size]],20,FALSE)</f>
        <v>HQ</v>
      </c>
      <c r="M44" s="6"/>
      <c r="N44" s="6"/>
      <c r="O44" s="6"/>
      <c r="P44" s="6">
        <v>37</v>
      </c>
      <c r="Q44" s="6"/>
    </row>
    <row r="45" spans="1:17" x14ac:dyDescent="0.25">
      <c r="A45" s="14" t="s">
        <v>36</v>
      </c>
      <c r="B45" s="67" t="str">
        <f>VLOOKUP(Data_LabTests[[#This Row],[Hole ID]],Data_Log[],2,FALSE)</f>
        <v>CGF-05</v>
      </c>
      <c r="C45" s="67" t="str">
        <f>_xlfn.XLOOKUP(Data_LabTests[[#This Row],[Hole ID]],Data_Log[Hole ID],Data_Log[Pit])</f>
        <v>Courvan Nord Creek Zone</v>
      </c>
      <c r="D45" s="19"/>
      <c r="E45" s="63" t="str">
        <f>Data_LabTests[[#This Row],[Hole ID]]&amp;"_"&amp;Data_LabTests[[#This Row],[Sample '#]]</f>
        <v>COG-25-12_</v>
      </c>
      <c r="F45" s="6" t="s">
        <v>364</v>
      </c>
      <c r="G45" s="6"/>
      <c r="H45" s="5">
        <v>106.48</v>
      </c>
      <c r="I45" s="5">
        <v>106.74</v>
      </c>
      <c r="J45" s="13">
        <f>Data_LabTests[[#This Row],[Depth to (m)]]-Data_LabTests[[#This Row],[Depth from (m)]]</f>
        <v>0.25999999999999091</v>
      </c>
      <c r="K45" s="6" t="s">
        <v>573</v>
      </c>
      <c r="L45" s="63" t="str">
        <f>VLOOKUP(Data_LabTests[[#This Row],[Hole ID]],Data_Log[[Hole ID]:[Core size]],20,FALSE)</f>
        <v>HQ</v>
      </c>
      <c r="M45" s="6"/>
      <c r="N45" s="6"/>
      <c r="O45" s="6"/>
      <c r="P45" s="6">
        <v>38</v>
      </c>
      <c r="Q45" s="6"/>
    </row>
    <row r="46" spans="1:17" x14ac:dyDescent="0.25">
      <c r="A46" s="14" t="s">
        <v>36</v>
      </c>
      <c r="B46" s="67" t="str">
        <f>VLOOKUP(Data_LabTests[[#This Row],[Hole ID]],Data_Log[],2,FALSE)</f>
        <v>CGF-05</v>
      </c>
      <c r="C46" s="67" t="str">
        <f>_xlfn.XLOOKUP(Data_LabTests[[#This Row],[Hole ID]],Data_Log[Hole ID],Data_Log[Pit])</f>
        <v>Courvan Nord Creek Zone</v>
      </c>
      <c r="D46" s="19"/>
      <c r="E46" s="63" t="str">
        <f>Data_LabTests[[#This Row],[Hole ID]]&amp;"_"&amp;Data_LabTests[[#This Row],[Sample '#]]</f>
        <v>COG-25-12_</v>
      </c>
      <c r="F46" s="6" t="s">
        <v>364</v>
      </c>
      <c r="G46" s="6"/>
      <c r="H46" s="5">
        <v>95.12</v>
      </c>
      <c r="I46" s="5">
        <v>95.38</v>
      </c>
      <c r="J46" s="13">
        <f>Data_LabTests[[#This Row],[Depth to (m)]]-Data_LabTests[[#This Row],[Depth from (m)]]</f>
        <v>0.25999999999999091</v>
      </c>
      <c r="K46" s="6" t="s">
        <v>581</v>
      </c>
      <c r="L46" s="63" t="str">
        <f>VLOOKUP(Data_LabTests[[#This Row],[Hole ID]],Data_Log[[Hole ID]:[Core size]],20,FALSE)</f>
        <v>HQ</v>
      </c>
      <c r="M46" s="6"/>
      <c r="N46" s="6"/>
      <c r="O46" s="6"/>
      <c r="P46" s="6">
        <v>38</v>
      </c>
      <c r="Q46" s="6"/>
    </row>
    <row r="47" spans="1:17" x14ac:dyDescent="0.25">
      <c r="A47" s="14" t="s">
        <v>26</v>
      </c>
      <c r="B47" s="67" t="str">
        <f>VLOOKUP(Data_LabTests[[#This Row],[Hole ID]],Data_Log[],2,FALSE)</f>
        <v>CGF-01</v>
      </c>
      <c r="C47" s="67" t="str">
        <f>_xlfn.XLOOKUP(Data_LabTests[[#This Row],[Hole ID]],Data_Log[Hole ID],Data_Log[Pit])</f>
        <v>Courvan Nord Bussière</v>
      </c>
      <c r="D47" s="19"/>
      <c r="E47" s="63" t="str">
        <f>Data_LabTests[[#This Row],[Hole ID]]&amp;"_"&amp;Data_LabTests[[#This Row],[Sample '#]]</f>
        <v>COG-25-08_</v>
      </c>
      <c r="F47" s="6" t="s">
        <v>391</v>
      </c>
      <c r="G47" s="6"/>
      <c r="H47" s="5">
        <v>171</v>
      </c>
      <c r="I47" s="5">
        <v>171.24</v>
      </c>
      <c r="J47" s="13">
        <f>Data_LabTests[[#This Row],[Depth to (m)]]-Data_LabTests[[#This Row],[Depth from (m)]]</f>
        <v>0.24000000000000909</v>
      </c>
      <c r="K47" s="6" t="s">
        <v>585</v>
      </c>
      <c r="L47" s="63" t="str">
        <f>VLOOKUP(Data_LabTests[[#This Row],[Hole ID]],Data_Log[[Hole ID]:[Core size]],20,FALSE)</f>
        <v>HQ</v>
      </c>
      <c r="M47" s="6"/>
      <c r="N47" s="6"/>
      <c r="O47" s="6"/>
      <c r="P47" s="6">
        <v>38</v>
      </c>
      <c r="Q47" s="6"/>
    </row>
    <row r="48" spans="1:17" x14ac:dyDescent="0.25">
      <c r="A48" s="14" t="s">
        <v>30</v>
      </c>
      <c r="B48" s="67" t="str">
        <f>VLOOKUP(Data_LabTests[[#This Row],[Hole ID]],Data_Log[],2,FALSE)</f>
        <v>CGF-02</v>
      </c>
      <c r="C48" s="67" t="str">
        <f>_xlfn.XLOOKUP(Data_LabTests[[#This Row],[Hole ID]],Data_Log[Hole ID],Data_Log[Pit])</f>
        <v>Courvan Nord Bussière</v>
      </c>
      <c r="D48" s="19"/>
      <c r="E48" s="63" t="str">
        <f>Data_LabTests[[#This Row],[Hole ID]]&amp;"_"&amp;Data_LabTests[[#This Row],[Sample '#]]</f>
        <v>COG-25-10_</v>
      </c>
      <c r="F48" s="6" t="s">
        <v>268</v>
      </c>
      <c r="G48" s="6"/>
      <c r="H48" s="5">
        <v>82.83</v>
      </c>
      <c r="I48" s="5">
        <v>83.05</v>
      </c>
      <c r="J48" s="13">
        <f>Data_LabTests[[#This Row],[Depth to (m)]]-Data_LabTests[[#This Row],[Depth from (m)]]</f>
        <v>0.21999999999999886</v>
      </c>
      <c r="K48" s="6" t="s">
        <v>581</v>
      </c>
      <c r="L48" s="63" t="str">
        <f>VLOOKUP(Data_LabTests[[#This Row],[Hole ID]],Data_Log[[Hole ID]:[Core size]],20,FALSE)</f>
        <v>HQ</v>
      </c>
      <c r="M48" s="6"/>
      <c r="N48" s="6"/>
      <c r="O48" s="6"/>
      <c r="P48" s="6">
        <v>38</v>
      </c>
      <c r="Q48" s="6"/>
    </row>
    <row r="49" spans="1:17" x14ac:dyDescent="0.25">
      <c r="A49" s="14" t="s">
        <v>30</v>
      </c>
      <c r="B49" s="67" t="str">
        <f>VLOOKUP(Data_LabTests[[#This Row],[Hole ID]],Data_Log[],2,FALSE)</f>
        <v>CGF-02</v>
      </c>
      <c r="C49" s="67" t="str">
        <f>_xlfn.XLOOKUP(Data_LabTests[[#This Row],[Hole ID]],Data_Log[Hole ID],Data_Log[Pit])</f>
        <v>Courvan Nord Bussière</v>
      </c>
      <c r="D49" s="19"/>
      <c r="E49" s="63" t="str">
        <f>Data_LabTests[[#This Row],[Hole ID]]&amp;"_"&amp;Data_LabTests[[#This Row],[Sample '#]]</f>
        <v>COG-25-10_</v>
      </c>
      <c r="F49" s="6" t="s">
        <v>411</v>
      </c>
      <c r="G49" s="6"/>
      <c r="H49" s="5">
        <v>62.55</v>
      </c>
      <c r="I49" s="5">
        <v>62.69</v>
      </c>
      <c r="J49" s="13">
        <f>Data_LabTests[[#This Row],[Depth to (m)]]-Data_LabTests[[#This Row],[Depth from (m)]]</f>
        <v>0.14000000000000057</v>
      </c>
      <c r="K49" s="6" t="s">
        <v>602</v>
      </c>
      <c r="L49" s="63" t="str">
        <f>VLOOKUP(Data_LabTests[[#This Row],[Hole ID]],Data_Log[[Hole ID]:[Core size]],20,FALSE)</f>
        <v>HQ</v>
      </c>
      <c r="M49" s="6"/>
      <c r="N49" s="6"/>
      <c r="O49" s="6"/>
      <c r="P49" s="6">
        <v>38</v>
      </c>
      <c r="Q49" s="6"/>
    </row>
    <row r="50" spans="1:17" x14ac:dyDescent="0.25">
      <c r="A50" s="14" t="s">
        <v>30</v>
      </c>
      <c r="B50" s="67" t="str">
        <f>VLOOKUP(Data_LabTests[[#This Row],[Hole ID]],Data_Log[],2,FALSE)</f>
        <v>CGF-02</v>
      </c>
      <c r="C50" s="67" t="str">
        <f>_xlfn.XLOOKUP(Data_LabTests[[#This Row],[Hole ID]],Data_Log[Hole ID],Data_Log[Pit])</f>
        <v>Courvan Nord Bussière</v>
      </c>
      <c r="D50" s="19"/>
      <c r="E50" s="63" t="str">
        <f>Data_LabTests[[#This Row],[Hole ID]]&amp;"_"&amp;Data_LabTests[[#This Row],[Sample '#]]</f>
        <v>COG-25-10_</v>
      </c>
      <c r="F50" s="6" t="s">
        <v>440</v>
      </c>
      <c r="G50" s="6"/>
      <c r="H50" s="5">
        <v>81.69</v>
      </c>
      <c r="I50" s="5">
        <v>81.819999999999993</v>
      </c>
      <c r="J50" s="13">
        <f>Data_LabTests[[#This Row],[Depth to (m)]]-Data_LabTests[[#This Row],[Depth from (m)]]</f>
        <v>0.12999999999999545</v>
      </c>
      <c r="K50" s="6" t="s">
        <v>581</v>
      </c>
      <c r="L50" s="63" t="str">
        <f>VLOOKUP(Data_LabTests[[#This Row],[Hole ID]],Data_Log[[Hole ID]:[Core size]],20,FALSE)</f>
        <v>HQ</v>
      </c>
      <c r="M50" s="6"/>
      <c r="N50" s="6"/>
      <c r="O50" s="6"/>
      <c r="P50" s="6">
        <v>38</v>
      </c>
      <c r="Q50" s="6"/>
    </row>
    <row r="51" spans="1:17" x14ac:dyDescent="0.25">
      <c r="A51" s="14" t="s">
        <v>30</v>
      </c>
      <c r="B51" s="67" t="str">
        <f>VLOOKUP(Data_LabTests[[#This Row],[Hole ID]],Data_Log[],2,FALSE)</f>
        <v>CGF-02</v>
      </c>
      <c r="C51" s="67" t="str">
        <f>_xlfn.XLOOKUP(Data_LabTests[[#This Row],[Hole ID]],Data_Log[Hole ID],Data_Log[Pit])</f>
        <v>Courvan Nord Bussière</v>
      </c>
      <c r="D51" s="19"/>
      <c r="E51" s="63" t="str">
        <f>Data_LabTests[[#This Row],[Hole ID]]&amp;"_"&amp;Data_LabTests[[#This Row],[Sample '#]]</f>
        <v>COG-25-10_</v>
      </c>
      <c r="F51" s="6" t="s">
        <v>449</v>
      </c>
      <c r="G51" s="6"/>
      <c r="H51" s="5">
        <v>82.27</v>
      </c>
      <c r="I51" s="5">
        <v>82.43</v>
      </c>
      <c r="J51" s="13">
        <f>Data_LabTests[[#This Row],[Depth to (m)]]-Data_LabTests[[#This Row],[Depth from (m)]]</f>
        <v>0.1600000000000108</v>
      </c>
      <c r="K51" s="6" t="s">
        <v>581</v>
      </c>
      <c r="L51" s="63" t="str">
        <f>VLOOKUP(Data_LabTests[[#This Row],[Hole ID]],Data_Log[[Hole ID]:[Core size]],20,FALSE)</f>
        <v>HQ</v>
      </c>
      <c r="M51" s="6"/>
      <c r="N51" s="6"/>
      <c r="O51" s="6"/>
      <c r="P51" s="6">
        <v>39</v>
      </c>
      <c r="Q51" s="6"/>
    </row>
    <row r="52" spans="1:17" x14ac:dyDescent="0.25">
      <c r="A52" s="14" t="s">
        <v>30</v>
      </c>
      <c r="B52" s="67" t="str">
        <f>VLOOKUP(Data_LabTests[[#This Row],[Hole ID]],Data_Log[],2,FALSE)</f>
        <v>CGF-02</v>
      </c>
      <c r="C52" s="67" t="str">
        <f>_xlfn.XLOOKUP(Data_LabTests[[#This Row],[Hole ID]],Data_Log[Hole ID],Data_Log[Pit])</f>
        <v>Courvan Nord Bussière</v>
      </c>
      <c r="D52" s="19"/>
      <c r="E52" s="63" t="str">
        <f>Data_LabTests[[#This Row],[Hole ID]]&amp;"_"&amp;Data_LabTests[[#This Row],[Sample '#]]</f>
        <v>COG-25-10_</v>
      </c>
      <c r="F52" s="6" t="s">
        <v>268</v>
      </c>
      <c r="G52" s="6"/>
      <c r="H52" s="5">
        <v>82.43</v>
      </c>
      <c r="I52" s="5">
        <v>82.68</v>
      </c>
      <c r="J52" s="13">
        <f>Data_LabTests[[#This Row],[Depth to (m)]]-Data_LabTests[[#This Row],[Depth from (m)]]</f>
        <v>0.25</v>
      </c>
      <c r="K52" s="6" t="s">
        <v>581</v>
      </c>
      <c r="L52" s="63" t="str">
        <f>VLOOKUP(Data_LabTests[[#This Row],[Hole ID]],Data_Log[[Hole ID]:[Core size]],20,FALSE)</f>
        <v>HQ</v>
      </c>
      <c r="M52" s="6"/>
      <c r="N52" s="6"/>
      <c r="O52" s="6"/>
      <c r="P52" s="6">
        <v>39</v>
      </c>
      <c r="Q52" s="6"/>
    </row>
    <row r="53" spans="1:17" x14ac:dyDescent="0.25">
      <c r="A53" s="14" t="s">
        <v>30</v>
      </c>
      <c r="B53" s="67" t="str">
        <f>VLOOKUP(Data_LabTests[[#This Row],[Hole ID]],Data_Log[],2,FALSE)</f>
        <v>CGF-02</v>
      </c>
      <c r="C53" s="67" t="str">
        <f>_xlfn.XLOOKUP(Data_LabTests[[#This Row],[Hole ID]],Data_Log[Hole ID],Data_Log[Pit])</f>
        <v>Courvan Nord Bussière</v>
      </c>
      <c r="D53" s="62"/>
      <c r="E53" s="63" t="str">
        <f>Data_LabTests[[#This Row],[Hole ID]]&amp;"_"&amp;Data_LabTests[[#This Row],[Sample '#]]</f>
        <v>COG-25-10_</v>
      </c>
      <c r="F53" s="6" t="s">
        <v>429</v>
      </c>
      <c r="G53" s="6"/>
      <c r="H53" s="5">
        <v>62.69</v>
      </c>
      <c r="I53" s="5">
        <v>62.85</v>
      </c>
      <c r="J53" s="13">
        <f>Data_LabTests[[#This Row],[Depth to (m)]]-Data_LabTests[[#This Row],[Depth from (m)]]</f>
        <v>0.16000000000000369</v>
      </c>
      <c r="K53" s="6" t="s">
        <v>602</v>
      </c>
      <c r="L53" s="63" t="str">
        <f>VLOOKUP(Data_LabTests[[#This Row],[Hole ID]],Data_Log[[Hole ID]:[Core size]],20,FALSE)</f>
        <v>HQ</v>
      </c>
      <c r="M53" s="6"/>
      <c r="N53" s="6"/>
      <c r="O53" s="6"/>
      <c r="P53" s="6">
        <v>39</v>
      </c>
      <c r="Q53" s="14"/>
    </row>
    <row r="54" spans="1:17" x14ac:dyDescent="0.25">
      <c r="A54" s="14" t="s">
        <v>30</v>
      </c>
      <c r="B54" s="67" t="str">
        <f>VLOOKUP(Data_LabTests[[#This Row],[Hole ID]],Data_Log[],2,FALSE)</f>
        <v>CGF-02</v>
      </c>
      <c r="C54" s="67" t="str">
        <f>_xlfn.XLOOKUP(Data_LabTests[[#This Row],[Hole ID]],Data_Log[Hole ID],Data_Log[Pit])</f>
        <v>Courvan Nord Bussière</v>
      </c>
      <c r="D54" s="19"/>
      <c r="E54" s="63" t="str">
        <f>Data_LabTests[[#This Row],[Hole ID]]&amp;"_"&amp;Data_LabTests[[#This Row],[Sample '#]]</f>
        <v>COG-25-10_</v>
      </c>
      <c r="F54" s="6" t="s">
        <v>391</v>
      </c>
      <c r="G54" s="6"/>
      <c r="H54" s="5">
        <v>81.459999999999994</v>
      </c>
      <c r="I54" s="5">
        <v>81.69</v>
      </c>
      <c r="J54" s="13">
        <f>Data_LabTests[[#This Row],[Depth to (m)]]-Data_LabTests[[#This Row],[Depth from (m)]]</f>
        <v>0.23000000000000398</v>
      </c>
      <c r="K54" s="6" t="s">
        <v>581</v>
      </c>
      <c r="L54" s="63" t="str">
        <f>VLOOKUP(Data_LabTests[[#This Row],[Hole ID]],Data_Log[[Hole ID]:[Core size]],20,FALSE)</f>
        <v>HQ</v>
      </c>
      <c r="M54" s="6"/>
      <c r="N54" s="6"/>
      <c r="O54" s="6"/>
      <c r="P54" s="6">
        <v>39</v>
      </c>
      <c r="Q54" s="6"/>
    </row>
    <row r="55" spans="1:17" x14ac:dyDescent="0.25">
      <c r="A55" s="14" t="s">
        <v>30</v>
      </c>
      <c r="B55" s="67" t="str">
        <f>VLOOKUP(Data_LabTests[[#This Row],[Hole ID]],Data_Log[],2,FALSE)</f>
        <v>CGF-02</v>
      </c>
      <c r="C55" s="67" t="str">
        <f>_xlfn.XLOOKUP(Data_LabTests[[#This Row],[Hole ID]],Data_Log[Hole ID],Data_Log[Pit])</f>
        <v>Courvan Nord Bussière</v>
      </c>
      <c r="D55" s="19"/>
      <c r="E55" s="63" t="str">
        <f>Data_LabTests[[#This Row],[Hole ID]]&amp;"_"&amp;Data_LabTests[[#This Row],[Sample '#]]</f>
        <v>COG-25-10_</v>
      </c>
      <c r="F55" s="6" t="s">
        <v>391</v>
      </c>
      <c r="G55" s="6"/>
      <c r="H55" s="5">
        <v>90.41</v>
      </c>
      <c r="I55" s="5">
        <v>90.59</v>
      </c>
      <c r="J55" s="13">
        <f>Data_LabTests[[#This Row],[Depth to (m)]]-Data_LabTests[[#This Row],[Depth from (m)]]</f>
        <v>0.18000000000000682</v>
      </c>
      <c r="K55" s="6" t="s">
        <v>581</v>
      </c>
      <c r="L55" s="63" t="str">
        <f>VLOOKUP(Data_LabTests[[#This Row],[Hole ID]],Data_Log[[Hole ID]:[Core size]],20,FALSE)</f>
        <v>HQ</v>
      </c>
      <c r="M55" s="6"/>
      <c r="N55" s="6"/>
      <c r="O55" s="6"/>
      <c r="P55" s="6">
        <v>39</v>
      </c>
      <c r="Q55" s="6"/>
    </row>
    <row r="56" spans="1:17" x14ac:dyDescent="0.25">
      <c r="A56" s="14" t="s">
        <v>30</v>
      </c>
      <c r="B56" s="67" t="str">
        <f>VLOOKUP(Data_LabTests[[#This Row],[Hole ID]],Data_Log[],2,FALSE)</f>
        <v>CGF-02</v>
      </c>
      <c r="C56" s="67" t="str">
        <f>_xlfn.XLOOKUP(Data_LabTests[[#This Row],[Hole ID]],Data_Log[Hole ID],Data_Log[Pit])</f>
        <v>Courvan Nord Bussière</v>
      </c>
      <c r="D56" s="19"/>
      <c r="E56" s="63" t="str">
        <f>Data_LabTests[[#This Row],[Hole ID]]&amp;"_"&amp;Data_LabTests[[#This Row],[Sample '#]]</f>
        <v>COG-25-10_</v>
      </c>
      <c r="F56" s="6" t="s">
        <v>391</v>
      </c>
      <c r="G56" s="6"/>
      <c r="H56" s="5">
        <v>94.72</v>
      </c>
      <c r="I56" s="5">
        <v>94.95</v>
      </c>
      <c r="J56" s="13">
        <f>Data_LabTests[[#This Row],[Depth to (m)]]-Data_LabTests[[#This Row],[Depth from (m)]]</f>
        <v>0.23000000000000398</v>
      </c>
      <c r="K56" s="6" t="s">
        <v>581</v>
      </c>
      <c r="L56" s="63" t="str">
        <f>VLOOKUP(Data_LabTests[[#This Row],[Hole ID]],Data_Log[[Hole ID]:[Core size]],20,FALSE)</f>
        <v>HQ</v>
      </c>
      <c r="M56" s="6"/>
      <c r="N56" s="6"/>
      <c r="O56" s="6"/>
      <c r="P56" s="6">
        <v>39</v>
      </c>
      <c r="Q56" s="6"/>
    </row>
    <row r="57" spans="1:17" x14ac:dyDescent="0.25">
      <c r="A57" s="14" t="s">
        <v>30</v>
      </c>
      <c r="B57" s="67" t="str">
        <f>VLOOKUP(Data_LabTests[[#This Row],[Hole ID]],Data_Log[],2,FALSE)</f>
        <v>CGF-02</v>
      </c>
      <c r="C57" s="67" t="str">
        <f>_xlfn.XLOOKUP(Data_LabTests[[#This Row],[Hole ID]],Data_Log[Hole ID],Data_Log[Pit])</f>
        <v>Courvan Nord Bussière</v>
      </c>
      <c r="D57" s="19"/>
      <c r="E57" s="63" t="str">
        <f>Data_LabTests[[#This Row],[Hole ID]]&amp;"_"&amp;Data_LabTests[[#This Row],[Sample '#]]</f>
        <v>COG-25-10_</v>
      </c>
      <c r="F57" s="6" t="s">
        <v>364</v>
      </c>
      <c r="G57" s="6"/>
      <c r="H57" s="5">
        <v>86.34</v>
      </c>
      <c r="I57" s="5">
        <v>86.7</v>
      </c>
      <c r="J57" s="13">
        <f>Data_LabTests[[#This Row],[Depth to (m)]]-Data_LabTests[[#This Row],[Depth from (m)]]</f>
        <v>0.35999999999999943</v>
      </c>
      <c r="K57" s="6" t="s">
        <v>581</v>
      </c>
      <c r="L57" s="63" t="str">
        <f>VLOOKUP(Data_LabTests[[#This Row],[Hole ID]],Data_Log[[Hole ID]:[Core size]],20,FALSE)</f>
        <v>HQ</v>
      </c>
      <c r="M57" s="6"/>
      <c r="N57" s="6"/>
      <c r="O57" s="6"/>
      <c r="P57" s="6">
        <v>40</v>
      </c>
      <c r="Q57" s="6"/>
    </row>
    <row r="58" spans="1:17" x14ac:dyDescent="0.25">
      <c r="A58" s="14" t="s">
        <v>36</v>
      </c>
      <c r="B58" s="67" t="str">
        <f>VLOOKUP(Data_LabTests[[#This Row],[Hole ID]],Data_Log[],2,FALSE)</f>
        <v>CGF-05</v>
      </c>
      <c r="C58" s="67" t="str">
        <f>_xlfn.XLOOKUP(Data_LabTests[[#This Row],[Hole ID]],Data_Log[Hole ID],Data_Log[Pit])</f>
        <v>Courvan Nord Creek Zone</v>
      </c>
      <c r="D58" s="19"/>
      <c r="E58" s="63" t="str">
        <f>Data_LabTests[[#This Row],[Hole ID]]&amp;"_"&amp;Data_LabTests[[#This Row],[Sample '#]]</f>
        <v>COG-25-12_</v>
      </c>
      <c r="F58" s="6" t="s">
        <v>449</v>
      </c>
      <c r="G58" s="6"/>
      <c r="H58" s="5">
        <v>66</v>
      </c>
      <c r="I58" s="5">
        <v>66.180000000000007</v>
      </c>
      <c r="J58" s="13">
        <f>Data_LabTests[[#This Row],[Depth to (m)]]-Data_LabTests[[#This Row],[Depth from (m)]]</f>
        <v>0.18000000000000682</v>
      </c>
      <c r="K58" s="6" t="s">
        <v>602</v>
      </c>
      <c r="L58" s="63" t="str">
        <f>VLOOKUP(Data_LabTests[[#This Row],[Hole ID]],Data_Log[[Hole ID]:[Core size]],20,FALSE)</f>
        <v>HQ</v>
      </c>
      <c r="M58" s="6"/>
      <c r="N58" s="6"/>
      <c r="O58" s="6"/>
      <c r="P58" s="6">
        <v>40</v>
      </c>
      <c r="Q58" s="6"/>
    </row>
    <row r="59" spans="1:17" x14ac:dyDescent="0.25">
      <c r="A59" s="14" t="s">
        <v>36</v>
      </c>
      <c r="B59" s="67" t="str">
        <f>VLOOKUP(Data_LabTests[[#This Row],[Hole ID]],Data_Log[],2,FALSE)</f>
        <v>CGF-05</v>
      </c>
      <c r="C59" s="67" t="str">
        <f>_xlfn.XLOOKUP(Data_LabTests[[#This Row],[Hole ID]],Data_Log[Hole ID],Data_Log[Pit])</f>
        <v>Courvan Nord Creek Zone</v>
      </c>
      <c r="D59" s="19"/>
      <c r="E59" s="63" t="str">
        <f>Data_LabTests[[#This Row],[Hole ID]]&amp;"_"&amp;Data_LabTests[[#This Row],[Sample '#]]</f>
        <v>COG-25-12_</v>
      </c>
      <c r="F59" s="6" t="s">
        <v>449</v>
      </c>
      <c r="G59" s="6"/>
      <c r="H59" s="5">
        <v>78.540000000000006</v>
      </c>
      <c r="I59" s="5">
        <v>78.7</v>
      </c>
      <c r="J59" s="13">
        <f>Data_LabTests[[#This Row],[Depth to (m)]]-Data_LabTests[[#This Row],[Depth from (m)]]</f>
        <v>0.15999999999999659</v>
      </c>
      <c r="K59" s="6" t="s">
        <v>573</v>
      </c>
      <c r="L59" s="63" t="str">
        <f>VLOOKUP(Data_LabTests[[#This Row],[Hole ID]],Data_Log[[Hole ID]:[Core size]],20,FALSE)</f>
        <v>HQ</v>
      </c>
      <c r="M59" s="6"/>
      <c r="N59" s="6"/>
      <c r="O59" s="6"/>
      <c r="P59" s="6">
        <v>40</v>
      </c>
      <c r="Q59" s="6"/>
    </row>
    <row r="60" spans="1:17" x14ac:dyDescent="0.25">
      <c r="A60" s="14" t="s">
        <v>30</v>
      </c>
      <c r="B60" s="67" t="str">
        <f>VLOOKUP(Data_LabTests[[#This Row],[Hole ID]],Data_Log[],2,FALSE)</f>
        <v>CGF-02</v>
      </c>
      <c r="C60" s="67" t="str">
        <f>_xlfn.XLOOKUP(Data_LabTests[[#This Row],[Hole ID]],Data_Log[Hole ID],Data_Log[Pit])</f>
        <v>Courvan Nord Bussière</v>
      </c>
      <c r="D60" s="19"/>
      <c r="E60" s="63" t="str">
        <f>Data_LabTests[[#This Row],[Hole ID]]&amp;"_"&amp;Data_LabTests[[#This Row],[Sample '#]]</f>
        <v>COG-25-10_</v>
      </c>
      <c r="F60" s="6" t="s">
        <v>449</v>
      </c>
      <c r="G60" s="6"/>
      <c r="H60" s="5">
        <v>82.68</v>
      </c>
      <c r="I60" s="5">
        <v>82.83</v>
      </c>
      <c r="J60" s="13">
        <f>Data_LabTests[[#This Row],[Depth to (m)]]-Data_LabTests[[#This Row],[Depth from (m)]]</f>
        <v>0.14999999999999147</v>
      </c>
      <c r="K60" s="6" t="s">
        <v>581</v>
      </c>
      <c r="L60" s="63" t="str">
        <f>VLOOKUP(Data_LabTests[[#This Row],[Hole ID]],Data_Log[[Hole ID]:[Core size]],20,FALSE)</f>
        <v>HQ</v>
      </c>
      <c r="M60" s="6"/>
      <c r="N60" s="6"/>
      <c r="O60" s="6"/>
      <c r="P60" s="6">
        <v>40</v>
      </c>
      <c r="Q60" s="6"/>
    </row>
    <row r="61" spans="1:17" x14ac:dyDescent="0.25">
      <c r="A61" s="14" t="s">
        <v>32</v>
      </c>
      <c r="B61" s="67" t="str">
        <f>VLOOKUP(Data_LabTests[[#This Row],[Hole ID]],Data_Log[],2,FALSE)</f>
        <v>CGF-03</v>
      </c>
      <c r="C61" s="67" t="str">
        <f>_xlfn.XLOOKUP(Data_LabTests[[#This Row],[Hole ID]],Data_Log[Hole ID],Data_Log[Pit])</f>
        <v>Courvan Nord Bussière</v>
      </c>
      <c r="D61" s="19"/>
      <c r="E61" s="63" t="str">
        <f>Data_LabTests[[#This Row],[Hole ID]]&amp;"_"&amp;Data_LabTests[[#This Row],[Sample '#]]</f>
        <v>COG-25-11_</v>
      </c>
      <c r="F61" s="6" t="s">
        <v>474</v>
      </c>
      <c r="G61" s="6"/>
      <c r="H61" s="5">
        <v>79.38</v>
      </c>
      <c r="I61" s="5">
        <v>79.739999999999995</v>
      </c>
      <c r="J61" s="13">
        <f>Data_LabTests[[#This Row],[Depth to (m)]]-Data_LabTests[[#This Row],[Depth from (m)]]</f>
        <v>0.35999999999999943</v>
      </c>
      <c r="K61" s="6" t="s">
        <v>585</v>
      </c>
      <c r="L61" s="63" t="str">
        <f>VLOOKUP(Data_LabTests[[#This Row],[Hole ID]],Data_Log[[Hole ID]:[Core size]],20,FALSE)</f>
        <v>HQ</v>
      </c>
      <c r="M61" s="6"/>
      <c r="N61" s="6"/>
      <c r="O61" s="6"/>
      <c r="P61" s="6">
        <v>41</v>
      </c>
      <c r="Q61" s="6"/>
    </row>
    <row r="62" spans="1:17" x14ac:dyDescent="0.25">
      <c r="A62" s="14" t="s">
        <v>32</v>
      </c>
      <c r="B62" s="67" t="str">
        <f>VLOOKUP(Data_LabTests[[#This Row],[Hole ID]],Data_Log[],2,FALSE)</f>
        <v>CGF-03</v>
      </c>
      <c r="C62" s="67" t="str">
        <f>_xlfn.XLOOKUP(Data_LabTests[[#This Row],[Hole ID]],Data_Log[Hole ID],Data_Log[Pit])</f>
        <v>Courvan Nord Bussière</v>
      </c>
      <c r="D62" s="19"/>
      <c r="E62" s="63" t="str">
        <f>Data_LabTests[[#This Row],[Hole ID]]&amp;"_"&amp;Data_LabTests[[#This Row],[Sample '#]]</f>
        <v>COG-25-11_</v>
      </c>
      <c r="F62" s="6" t="s">
        <v>449</v>
      </c>
      <c r="G62" s="6"/>
      <c r="H62" s="5">
        <v>60.29</v>
      </c>
      <c r="I62" s="5">
        <v>60.53</v>
      </c>
      <c r="J62" s="13">
        <f>Data_LabTests[[#This Row],[Depth to (m)]]-Data_LabTests[[#This Row],[Depth from (m)]]</f>
        <v>0.24000000000000199</v>
      </c>
      <c r="K62" s="6" t="s">
        <v>585</v>
      </c>
      <c r="L62" s="63" t="str">
        <f>VLOOKUP(Data_LabTests[[#This Row],[Hole ID]],Data_Log[[Hole ID]:[Core size]],20,FALSE)</f>
        <v>HQ</v>
      </c>
      <c r="M62" s="6"/>
      <c r="N62" s="6"/>
      <c r="O62" s="6"/>
      <c r="P62" s="6">
        <v>41</v>
      </c>
      <c r="Q62" s="6"/>
    </row>
    <row r="63" spans="1:17" x14ac:dyDescent="0.25">
      <c r="A63" s="14" t="s">
        <v>36</v>
      </c>
      <c r="B63" s="67" t="str">
        <f>VLOOKUP(Data_LabTests[[#This Row],[Hole ID]],Data_Log[],2,FALSE)</f>
        <v>CGF-05</v>
      </c>
      <c r="C63" s="67" t="str">
        <f>_xlfn.XLOOKUP(Data_LabTests[[#This Row],[Hole ID]],Data_Log[Hole ID],Data_Log[Pit])</f>
        <v>Courvan Nord Creek Zone</v>
      </c>
      <c r="D63" s="19"/>
      <c r="E63" s="63" t="str">
        <f>Data_LabTests[[#This Row],[Hole ID]]&amp;"_"&amp;Data_LabTests[[#This Row],[Sample '#]]</f>
        <v>COG-25-12_</v>
      </c>
      <c r="F63" s="6" t="s">
        <v>268</v>
      </c>
      <c r="G63" s="6"/>
      <c r="H63" s="5">
        <v>66.22</v>
      </c>
      <c r="I63" s="5">
        <v>66.459999999999994</v>
      </c>
      <c r="J63" s="13">
        <f>Data_LabTests[[#This Row],[Depth to (m)]]-Data_LabTests[[#This Row],[Depth from (m)]]</f>
        <v>0.23999999999999488</v>
      </c>
      <c r="K63" s="6" t="s">
        <v>602</v>
      </c>
      <c r="L63" s="63" t="str">
        <f>VLOOKUP(Data_LabTests[[#This Row],[Hole ID]],Data_Log[[Hole ID]:[Core size]],20,FALSE)</f>
        <v>HQ</v>
      </c>
      <c r="M63" s="6"/>
      <c r="N63" s="6"/>
      <c r="O63" s="6"/>
      <c r="P63" s="6">
        <v>41</v>
      </c>
      <c r="Q63" s="6"/>
    </row>
    <row r="64" spans="1:17" x14ac:dyDescent="0.25">
      <c r="A64" s="14" t="s">
        <v>32</v>
      </c>
      <c r="B64" s="67" t="str">
        <f>VLOOKUP(Data_LabTests[[#This Row],[Hole ID]],Data_Log[],2,FALSE)</f>
        <v>CGF-03</v>
      </c>
      <c r="C64" s="67" t="str">
        <f>_xlfn.XLOOKUP(Data_LabTests[[#This Row],[Hole ID]],Data_Log[Hole ID],Data_Log[Pit])</f>
        <v>Courvan Nord Bussière</v>
      </c>
      <c r="D64" s="19"/>
      <c r="E64" s="63" t="str">
        <f>Data_LabTests[[#This Row],[Hole ID]]&amp;"_"&amp;Data_LabTests[[#This Row],[Sample '#]]</f>
        <v>COG-25-11_</v>
      </c>
      <c r="F64" s="6" t="s">
        <v>411</v>
      </c>
      <c r="G64" s="6"/>
      <c r="H64" s="5">
        <v>79.2</v>
      </c>
      <c r="I64" s="5">
        <v>79.38</v>
      </c>
      <c r="J64" s="13">
        <f>Data_LabTests[[#This Row],[Depth to (m)]]-Data_LabTests[[#This Row],[Depth from (m)]]</f>
        <v>0.17999999999999261</v>
      </c>
      <c r="K64" s="6" t="s">
        <v>585</v>
      </c>
      <c r="L64" s="63" t="str">
        <f>VLOOKUP(Data_LabTests[[#This Row],[Hole ID]],Data_Log[[Hole ID]:[Core size]],20,FALSE)</f>
        <v>HQ</v>
      </c>
      <c r="M64" s="6"/>
      <c r="N64" s="6"/>
      <c r="O64" s="6"/>
      <c r="P64" s="6">
        <v>41</v>
      </c>
      <c r="Q64" s="6"/>
    </row>
    <row r="65" spans="1:17" x14ac:dyDescent="0.25">
      <c r="A65" s="14" t="s">
        <v>32</v>
      </c>
      <c r="B65" s="67" t="str">
        <f>VLOOKUP(Data_LabTests[[#This Row],[Hole ID]],Data_Log[],2,FALSE)</f>
        <v>CGF-03</v>
      </c>
      <c r="C65" s="67" t="str">
        <f>_xlfn.XLOOKUP(Data_LabTests[[#This Row],[Hole ID]],Data_Log[Hole ID],Data_Log[Pit])</f>
        <v>Courvan Nord Bussière</v>
      </c>
      <c r="D65" s="19"/>
      <c r="E65" s="63" t="str">
        <f>Data_LabTests[[#This Row],[Hole ID]]&amp;"_"&amp;Data_LabTests[[#This Row],[Sample '#]]</f>
        <v>COG-25-11_</v>
      </c>
      <c r="F65" s="6" t="s">
        <v>449</v>
      </c>
      <c r="G65" s="6"/>
      <c r="H65" s="5">
        <v>75.180000000000007</v>
      </c>
      <c r="I65" s="5">
        <v>75.39</v>
      </c>
      <c r="J65" s="13">
        <f>Data_LabTests[[#This Row],[Depth to (m)]]-Data_LabTests[[#This Row],[Depth from (m)]]</f>
        <v>0.20999999999999375</v>
      </c>
      <c r="K65" s="6" t="s">
        <v>581</v>
      </c>
      <c r="L65" s="63" t="str">
        <f>VLOOKUP(Data_LabTests[[#This Row],[Hole ID]],Data_Log[[Hole ID]:[Core size]],20,FALSE)</f>
        <v>HQ</v>
      </c>
      <c r="M65" s="6"/>
      <c r="N65" s="6"/>
      <c r="O65" s="6"/>
      <c r="P65" s="6">
        <v>42</v>
      </c>
      <c r="Q65" s="6"/>
    </row>
    <row r="66" spans="1:17" x14ac:dyDescent="0.25">
      <c r="A66" s="14" t="s">
        <v>32</v>
      </c>
      <c r="B66" s="67" t="str">
        <f>VLOOKUP(Data_LabTests[[#This Row],[Hole ID]],Data_Log[],2,FALSE)</f>
        <v>CGF-03</v>
      </c>
      <c r="C66" s="67" t="str">
        <f>_xlfn.XLOOKUP(Data_LabTests[[#This Row],[Hole ID]],Data_Log[Hole ID],Data_Log[Pit])</f>
        <v>Courvan Nord Bussière</v>
      </c>
      <c r="D66" s="19"/>
      <c r="E66" s="63" t="str">
        <f>Data_LabTests[[#This Row],[Hole ID]]&amp;"_"&amp;Data_LabTests[[#This Row],[Sample '#]]</f>
        <v>COG-25-11_</v>
      </c>
      <c r="F66" s="6" t="s">
        <v>268</v>
      </c>
      <c r="G66" s="6"/>
      <c r="H66" s="5">
        <v>75.39</v>
      </c>
      <c r="I66" s="5">
        <v>75.67</v>
      </c>
      <c r="J66" s="13">
        <f>Data_LabTests[[#This Row],[Depth to (m)]]-Data_LabTests[[#This Row],[Depth from (m)]]</f>
        <v>0.28000000000000114</v>
      </c>
      <c r="K66" s="6" t="s">
        <v>581</v>
      </c>
      <c r="L66" s="63" t="str">
        <f>VLOOKUP(Data_LabTests[[#This Row],[Hole ID]],Data_Log[[Hole ID]:[Core size]],20,FALSE)</f>
        <v>HQ</v>
      </c>
      <c r="M66" s="6"/>
      <c r="N66" s="6"/>
      <c r="O66" s="6"/>
      <c r="P66" s="6">
        <v>42</v>
      </c>
      <c r="Q66" s="14"/>
    </row>
    <row r="67" spans="1:17" x14ac:dyDescent="0.25">
      <c r="A67" s="14" t="s">
        <v>32</v>
      </c>
      <c r="B67" s="67" t="str">
        <f>VLOOKUP(Data_LabTests[[#This Row],[Hole ID]],Data_Log[],2,FALSE)</f>
        <v>CGF-03</v>
      </c>
      <c r="C67" s="67" t="str">
        <f>_xlfn.XLOOKUP(Data_LabTests[[#This Row],[Hole ID]],Data_Log[Hole ID],Data_Log[Pit])</f>
        <v>Courvan Nord Bussière</v>
      </c>
      <c r="D67" s="19"/>
      <c r="E67" s="63" t="str">
        <f>Data_LabTests[[#This Row],[Hole ID]]&amp;"_"&amp;Data_LabTests[[#This Row],[Sample '#]]</f>
        <v>COG-25-11_</v>
      </c>
      <c r="F67" s="6" t="s">
        <v>391</v>
      </c>
      <c r="G67" s="6"/>
      <c r="H67" s="5">
        <v>75.67</v>
      </c>
      <c r="I67" s="5">
        <v>75.89</v>
      </c>
      <c r="J67" s="13">
        <f>Data_LabTests[[#This Row],[Depth to (m)]]-Data_LabTests[[#This Row],[Depth from (m)]]</f>
        <v>0.21999999999999886</v>
      </c>
      <c r="K67" s="6" t="s">
        <v>581</v>
      </c>
      <c r="L67" s="63" t="str">
        <f>VLOOKUP(Data_LabTests[[#This Row],[Hole ID]],Data_Log[[Hole ID]:[Core size]],20,FALSE)</f>
        <v>HQ</v>
      </c>
      <c r="M67" s="6"/>
      <c r="N67" s="6"/>
      <c r="O67" s="6"/>
      <c r="P67" s="6">
        <v>42</v>
      </c>
      <c r="Q67" s="6"/>
    </row>
    <row r="68" spans="1:17" x14ac:dyDescent="0.25">
      <c r="A68" s="14" t="s">
        <v>32</v>
      </c>
      <c r="B68" s="67" t="str">
        <f>VLOOKUP(Data_LabTests[[#This Row],[Hole ID]],Data_Log[],2,FALSE)</f>
        <v>CGF-03</v>
      </c>
      <c r="C68" s="67" t="str">
        <f>_xlfn.XLOOKUP(Data_LabTests[[#This Row],[Hole ID]],Data_Log[Hole ID],Data_Log[Pit])</f>
        <v>Courvan Nord Bussière</v>
      </c>
      <c r="D68" s="19"/>
      <c r="E68" s="63" t="str">
        <f>Data_LabTests[[#This Row],[Hole ID]]&amp;"_"&amp;Data_LabTests[[#This Row],[Sample '#]]</f>
        <v>COG-25-11_</v>
      </c>
      <c r="F68" s="6" t="s">
        <v>440</v>
      </c>
      <c r="G68" s="6"/>
      <c r="H68" s="5">
        <v>76.11</v>
      </c>
      <c r="I68" s="5">
        <v>76.25</v>
      </c>
      <c r="J68" s="13">
        <f>Data_LabTests[[#This Row],[Depth to (m)]]-Data_LabTests[[#This Row],[Depth from (m)]]</f>
        <v>0.14000000000000057</v>
      </c>
      <c r="K68" s="6" t="s">
        <v>581</v>
      </c>
      <c r="L68" s="63" t="str">
        <f>VLOOKUP(Data_LabTests[[#This Row],[Hole ID]],Data_Log[[Hole ID]:[Core size]],20,FALSE)</f>
        <v>HQ</v>
      </c>
      <c r="M68" s="6"/>
      <c r="N68" s="6"/>
      <c r="O68" s="6"/>
      <c r="P68" s="6">
        <v>42</v>
      </c>
      <c r="Q68" s="6"/>
    </row>
    <row r="69" spans="1:17" x14ac:dyDescent="0.25">
      <c r="A69" s="14" t="s">
        <v>32</v>
      </c>
      <c r="B69" s="67" t="str">
        <f>VLOOKUP(Data_LabTests[[#This Row],[Hole ID]],Data_Log[],2,FALSE)</f>
        <v>CGF-03</v>
      </c>
      <c r="C69" s="67" t="str">
        <f>_xlfn.XLOOKUP(Data_LabTests[[#This Row],[Hole ID]],Data_Log[Hole ID],Data_Log[Pit])</f>
        <v>Courvan Nord Bussière</v>
      </c>
      <c r="D69" s="19"/>
      <c r="E69" s="63" t="str">
        <f>Data_LabTests[[#This Row],[Hole ID]]&amp;"_"&amp;Data_LabTests[[#This Row],[Sample '#]]</f>
        <v>COG-25-11_</v>
      </c>
      <c r="F69" s="6" t="s">
        <v>268</v>
      </c>
      <c r="G69" s="6"/>
      <c r="H69" s="5">
        <v>60.53</v>
      </c>
      <c r="I69" s="5">
        <v>60.76</v>
      </c>
      <c r="J69" s="13">
        <f>Data_LabTests[[#This Row],[Depth to (m)]]-Data_LabTests[[#This Row],[Depth from (m)]]</f>
        <v>0.22999999999999687</v>
      </c>
      <c r="K69" s="6" t="s">
        <v>585</v>
      </c>
      <c r="L69" s="63" t="str">
        <f>VLOOKUP(Data_LabTests[[#This Row],[Hole ID]],Data_Log[[Hole ID]:[Core size]],20,FALSE)</f>
        <v>HQ</v>
      </c>
      <c r="M69" s="6"/>
      <c r="N69" s="6"/>
      <c r="O69" s="6"/>
      <c r="P69" s="6">
        <v>42</v>
      </c>
      <c r="Q69" s="6"/>
    </row>
    <row r="70" spans="1:17" x14ac:dyDescent="0.25">
      <c r="A70" s="14" t="s">
        <v>32</v>
      </c>
      <c r="B70" s="67" t="str">
        <f>VLOOKUP(Data_LabTests[[#This Row],[Hole ID]],Data_Log[],2,FALSE)</f>
        <v>CGF-03</v>
      </c>
      <c r="C70" s="67" t="str">
        <f>_xlfn.XLOOKUP(Data_LabTests[[#This Row],[Hole ID]],Data_Log[Hole ID],Data_Log[Pit])</f>
        <v>Courvan Nord Bussière</v>
      </c>
      <c r="D70" s="19"/>
      <c r="E70" s="63" t="str">
        <f>Data_LabTests[[#This Row],[Hole ID]]&amp;"_"&amp;Data_LabTests[[#This Row],[Sample '#]]</f>
        <v>COG-25-11_</v>
      </c>
      <c r="F70" s="6" t="s">
        <v>440</v>
      </c>
      <c r="G70" s="6"/>
      <c r="H70" s="5">
        <v>76.25</v>
      </c>
      <c r="I70" s="5">
        <v>76.41</v>
      </c>
      <c r="J70" s="13">
        <f>Data_LabTests[[#This Row],[Depth to (m)]]-Data_LabTests[[#This Row],[Depth from (m)]]</f>
        <v>0.15999999999999659</v>
      </c>
      <c r="K70" s="6" t="s">
        <v>581</v>
      </c>
      <c r="L70" s="63" t="str">
        <f>VLOOKUP(Data_LabTests[[#This Row],[Hole ID]],Data_Log[[Hole ID]:[Core size]],20,FALSE)</f>
        <v>HQ</v>
      </c>
      <c r="M70" s="6"/>
      <c r="N70" s="6"/>
      <c r="O70" s="6"/>
      <c r="P70" s="6">
        <v>42</v>
      </c>
      <c r="Q70" s="6"/>
    </row>
    <row r="71" spans="1:17" x14ac:dyDescent="0.25">
      <c r="A71" s="14" t="s">
        <v>32</v>
      </c>
      <c r="B71" s="67" t="str">
        <f>VLOOKUP(Data_LabTests[[#This Row],[Hole ID]],Data_Log[],2,FALSE)</f>
        <v>CGF-03</v>
      </c>
      <c r="C71" s="67" t="str">
        <f>_xlfn.XLOOKUP(Data_LabTests[[#This Row],[Hole ID]],Data_Log[Hole ID],Data_Log[Pit])</f>
        <v>Courvan Nord Bussière</v>
      </c>
      <c r="D71" s="19"/>
      <c r="E71" s="63" t="str">
        <f>Data_LabTests[[#This Row],[Hole ID]]&amp;"_"&amp;Data_LabTests[[#This Row],[Sample '#]]</f>
        <v>COG-25-11_</v>
      </c>
      <c r="F71" s="6" t="s">
        <v>391</v>
      </c>
      <c r="G71" s="6"/>
      <c r="H71" s="5">
        <v>60.76</v>
      </c>
      <c r="I71" s="5">
        <v>60.97</v>
      </c>
      <c r="J71" s="13">
        <f>Data_LabTests[[#This Row],[Depth to (m)]]-Data_LabTests[[#This Row],[Depth from (m)]]</f>
        <v>0.21000000000000085</v>
      </c>
      <c r="K71" s="6" t="s">
        <v>585</v>
      </c>
      <c r="L71" s="63" t="str">
        <f>VLOOKUP(Data_LabTests[[#This Row],[Hole ID]],Data_Log[[Hole ID]:[Core size]],20,FALSE)</f>
        <v>HQ</v>
      </c>
      <c r="M71" s="6"/>
      <c r="N71" s="6"/>
      <c r="O71" s="6"/>
      <c r="P71" s="6">
        <v>42</v>
      </c>
      <c r="Q71" s="6"/>
    </row>
    <row r="72" spans="1:17" x14ac:dyDescent="0.25">
      <c r="A72" s="14" t="s">
        <v>34</v>
      </c>
      <c r="B72" s="67" t="str">
        <f>VLOOKUP(Data_LabTests[[#This Row],[Hole ID]],Data_Log[],2,FALSE)</f>
        <v>CGF-04</v>
      </c>
      <c r="C72" s="67" t="str">
        <f>_xlfn.XLOOKUP(Data_LabTests[[#This Row],[Hole ID]],Data_Log[Hole ID],Data_Log[Pit])</f>
        <v>Courvan Nord Bussière</v>
      </c>
      <c r="D72" s="19"/>
      <c r="E72" s="63" t="str">
        <f>Data_LabTests[[#This Row],[Hole ID]]&amp;"_"&amp;Data_LabTests[[#This Row],[Sample '#]]</f>
        <v>COG-25-09_</v>
      </c>
      <c r="F72" s="6" t="s">
        <v>391</v>
      </c>
      <c r="G72" s="6"/>
      <c r="H72" s="5">
        <v>43.47</v>
      </c>
      <c r="I72" s="5">
        <v>43.77</v>
      </c>
      <c r="J72" s="13">
        <f>Data_LabTests[[#This Row],[Depth to (m)]]-Data_LabTests[[#This Row],[Depth from (m)]]</f>
        <v>0.30000000000000426</v>
      </c>
      <c r="K72" s="6" t="s">
        <v>581</v>
      </c>
      <c r="L72" s="63" t="str">
        <f>VLOOKUP(Data_LabTests[[#This Row],[Hole ID]],Data_Log[[Hole ID]:[Core size]],20,FALSE)</f>
        <v>HQ</v>
      </c>
      <c r="M72" s="6"/>
      <c r="N72" s="6"/>
      <c r="O72" s="6"/>
      <c r="P72" s="6">
        <v>43</v>
      </c>
      <c r="Q72" s="6"/>
    </row>
    <row r="73" spans="1:17" x14ac:dyDescent="0.25">
      <c r="A73" s="14" t="s">
        <v>34</v>
      </c>
      <c r="B73" s="67" t="str">
        <f>VLOOKUP(Data_LabTests[[#This Row],[Hole ID]],Data_Log[],2,FALSE)</f>
        <v>CGF-04</v>
      </c>
      <c r="C73" s="67" t="str">
        <f>_xlfn.XLOOKUP(Data_LabTests[[#This Row],[Hole ID]],Data_Log[Hole ID],Data_Log[Pit])</f>
        <v>Courvan Nord Bussière</v>
      </c>
      <c r="D73" s="19"/>
      <c r="E73" s="63" t="str">
        <f>Data_LabTests[[#This Row],[Hole ID]]&amp;"_"&amp;Data_LabTests[[#This Row],[Sample '#]]</f>
        <v>COG-25-09_</v>
      </c>
      <c r="F73" s="6" t="s">
        <v>391</v>
      </c>
      <c r="G73" s="6"/>
      <c r="H73" s="5">
        <v>43.77</v>
      </c>
      <c r="I73" s="5">
        <v>44.05</v>
      </c>
      <c r="J73" s="13">
        <f>Data_LabTests[[#This Row],[Depth to (m)]]-Data_LabTests[[#This Row],[Depth from (m)]]</f>
        <v>0.27999999999999403</v>
      </c>
      <c r="K73" s="6" t="s">
        <v>581</v>
      </c>
      <c r="L73" s="63" t="str">
        <f>VLOOKUP(Data_LabTests[[#This Row],[Hole ID]],Data_Log[[Hole ID]:[Core size]],20,FALSE)</f>
        <v>HQ</v>
      </c>
      <c r="M73" s="6"/>
      <c r="N73" s="6"/>
      <c r="O73" s="6"/>
      <c r="P73" s="6">
        <v>43</v>
      </c>
      <c r="Q73" s="6"/>
    </row>
    <row r="74" spans="1:17" x14ac:dyDescent="0.25">
      <c r="A74" s="14" t="s">
        <v>34</v>
      </c>
      <c r="B74" s="67" t="str">
        <f>VLOOKUP(Data_LabTests[[#This Row],[Hole ID]],Data_Log[],2,FALSE)</f>
        <v>CGF-04</v>
      </c>
      <c r="C74" s="67" t="str">
        <f>_xlfn.XLOOKUP(Data_LabTests[[#This Row],[Hole ID]],Data_Log[Hole ID],Data_Log[Pit])</f>
        <v>Courvan Nord Bussière</v>
      </c>
      <c r="D74" s="19"/>
      <c r="E74" s="63" t="str">
        <f>Data_LabTests[[#This Row],[Hole ID]]&amp;"_"&amp;Data_LabTests[[#This Row],[Sample '#]]</f>
        <v>COG-25-09_</v>
      </c>
      <c r="F74" s="6" t="s">
        <v>268</v>
      </c>
      <c r="G74" s="6"/>
      <c r="H74" s="5">
        <v>43.18</v>
      </c>
      <c r="I74" s="5">
        <v>43.47</v>
      </c>
      <c r="J74" s="13">
        <f>Data_LabTests[[#This Row],[Depth to (m)]]-Data_LabTests[[#This Row],[Depth from (m)]]</f>
        <v>0.28999999999999915</v>
      </c>
      <c r="K74" s="6" t="s">
        <v>581</v>
      </c>
      <c r="L74" s="63" t="str">
        <f>VLOOKUP(Data_LabTests[[#This Row],[Hole ID]],Data_Log[[Hole ID]:[Core size]],20,FALSE)</f>
        <v>HQ</v>
      </c>
      <c r="M74" s="6"/>
      <c r="N74" s="6"/>
      <c r="O74" s="6"/>
      <c r="P74" s="6">
        <v>43</v>
      </c>
      <c r="Q74" s="14"/>
    </row>
    <row r="75" spans="1:17" x14ac:dyDescent="0.25">
      <c r="A75" s="14" t="s">
        <v>34</v>
      </c>
      <c r="B75" s="67" t="str">
        <f>VLOOKUP(Data_LabTests[[#This Row],[Hole ID]],Data_Log[],2,FALSE)</f>
        <v>CGF-04</v>
      </c>
      <c r="C75" s="67" t="str">
        <f>_xlfn.XLOOKUP(Data_LabTests[[#This Row],[Hole ID]],Data_Log[Hole ID],Data_Log[Pit])</f>
        <v>Courvan Nord Bussière</v>
      </c>
      <c r="D75" s="19"/>
      <c r="E75" s="63" t="str">
        <f>Data_LabTests[[#This Row],[Hole ID]]&amp;"_"&amp;Data_LabTests[[#This Row],[Sample '#]]</f>
        <v>COG-25-09_</v>
      </c>
      <c r="F75" s="6" t="s">
        <v>449</v>
      </c>
      <c r="G75" s="6"/>
      <c r="H75" s="5">
        <v>43.01</v>
      </c>
      <c r="I75" s="5">
        <v>43.18</v>
      </c>
      <c r="J75" s="13">
        <f>Data_LabTests[[#This Row],[Depth to (m)]]-Data_LabTests[[#This Row],[Depth from (m)]]</f>
        <v>0.17000000000000171</v>
      </c>
      <c r="K75" s="6" t="s">
        <v>581</v>
      </c>
      <c r="L75" s="63" t="str">
        <f>VLOOKUP(Data_LabTests[[#This Row],[Hole ID]],Data_Log[[Hole ID]:[Core size]],20,FALSE)</f>
        <v>HQ</v>
      </c>
      <c r="M75" s="6"/>
      <c r="N75" s="6"/>
      <c r="O75" s="6"/>
      <c r="P75" s="6">
        <v>43</v>
      </c>
      <c r="Q75" s="6"/>
    </row>
    <row r="76" spans="1:17" x14ac:dyDescent="0.25">
      <c r="A76" s="14" t="s">
        <v>34</v>
      </c>
      <c r="B76" s="67" t="str">
        <f>VLOOKUP(Data_LabTests[[#This Row],[Hole ID]],Data_Log[],2,FALSE)</f>
        <v>CGF-04</v>
      </c>
      <c r="C76" s="67" t="str">
        <f>_xlfn.XLOOKUP(Data_LabTests[[#This Row],[Hole ID]],Data_Log[Hole ID],Data_Log[Pit])</f>
        <v>Courvan Nord Bussière</v>
      </c>
      <c r="D76" s="19"/>
      <c r="E76" s="63" t="str">
        <f>Data_LabTests[[#This Row],[Hole ID]]&amp;"_"&amp;Data_LabTests[[#This Row],[Sample '#]]</f>
        <v>COG-25-09_</v>
      </c>
      <c r="F76" s="6" t="s">
        <v>449</v>
      </c>
      <c r="G76" s="6"/>
      <c r="H76" s="5">
        <v>40.26</v>
      </c>
      <c r="I76" s="5">
        <v>40.409999999999997</v>
      </c>
      <c r="J76" s="13">
        <f>Data_LabTests[[#This Row],[Depth to (m)]]-Data_LabTests[[#This Row],[Depth from (m)]]</f>
        <v>0.14999999999999858</v>
      </c>
      <c r="K76" s="6" t="s">
        <v>581</v>
      </c>
      <c r="L76" s="63" t="str">
        <f>VLOOKUP(Data_LabTests[[#This Row],[Hole ID]],Data_Log[[Hole ID]:[Core size]],20,FALSE)</f>
        <v>HQ</v>
      </c>
      <c r="M76" s="6"/>
      <c r="N76" s="6"/>
      <c r="O76" s="6"/>
      <c r="P76" s="6">
        <v>43</v>
      </c>
      <c r="Q76" s="6"/>
    </row>
    <row r="77" spans="1:17" x14ac:dyDescent="0.25">
      <c r="A77" s="14" t="s">
        <v>34</v>
      </c>
      <c r="B77" s="67" t="str">
        <f>VLOOKUP(Data_LabTests[[#This Row],[Hole ID]],Data_Log[],2,FALSE)</f>
        <v>CGF-04</v>
      </c>
      <c r="C77" s="67" t="str">
        <f>_xlfn.XLOOKUP(Data_LabTests[[#This Row],[Hole ID]],Data_Log[Hole ID],Data_Log[Pit])</f>
        <v>Courvan Nord Bussière</v>
      </c>
      <c r="D77" s="19"/>
      <c r="E77" s="63" t="str">
        <f>Data_LabTests[[#This Row],[Hole ID]]&amp;"_"&amp;Data_LabTests[[#This Row],[Sample '#]]</f>
        <v>COG-25-09_</v>
      </c>
      <c r="F77" s="6" t="s">
        <v>364</v>
      </c>
      <c r="G77" s="6"/>
      <c r="H77" s="5">
        <v>42</v>
      </c>
      <c r="I77" s="5">
        <v>42.41</v>
      </c>
      <c r="J77" s="13">
        <f>Data_LabTests[[#This Row],[Depth to (m)]]-Data_LabTests[[#This Row],[Depth from (m)]]</f>
        <v>0.40999999999999659</v>
      </c>
      <c r="K77" s="6" t="s">
        <v>581</v>
      </c>
      <c r="L77" s="63" t="str">
        <f>VLOOKUP(Data_LabTests[[#This Row],[Hole ID]],Data_Log[[Hole ID]:[Core size]],20,FALSE)</f>
        <v>HQ</v>
      </c>
      <c r="M77" s="6"/>
      <c r="N77" s="6"/>
      <c r="O77" s="6"/>
      <c r="P77" s="6">
        <v>44</v>
      </c>
      <c r="Q77" s="6"/>
    </row>
    <row r="78" spans="1:17" x14ac:dyDescent="0.25">
      <c r="A78" s="14" t="s">
        <v>34</v>
      </c>
      <c r="B78" s="67" t="str">
        <f>VLOOKUP(Data_LabTests[[#This Row],[Hole ID]],Data_Log[],2,FALSE)</f>
        <v>CGF-04</v>
      </c>
      <c r="C78" s="67" t="str">
        <f>_xlfn.XLOOKUP(Data_LabTests[[#This Row],[Hole ID]],Data_Log[Hole ID],Data_Log[Pit])</f>
        <v>Courvan Nord Bussière</v>
      </c>
      <c r="D78" s="19"/>
      <c r="E78" s="63" t="str">
        <f>Data_LabTests[[#This Row],[Hole ID]]&amp;"_"&amp;Data_LabTests[[#This Row],[Sample '#]]</f>
        <v>COG-25-09_</v>
      </c>
      <c r="F78" s="6" t="s">
        <v>364</v>
      </c>
      <c r="G78" s="6"/>
      <c r="H78" s="5">
        <v>38.479999999999997</v>
      </c>
      <c r="I78" s="5">
        <v>38.79</v>
      </c>
      <c r="J78" s="13">
        <f>Data_LabTests[[#This Row],[Depth to (m)]]-Data_LabTests[[#This Row],[Depth from (m)]]</f>
        <v>0.31000000000000227</v>
      </c>
      <c r="K78" s="6" t="s">
        <v>602</v>
      </c>
      <c r="L78" s="63" t="str">
        <f>VLOOKUP(Data_LabTests[[#This Row],[Hole ID]],Data_Log[[Hole ID]:[Core size]],20,FALSE)</f>
        <v>HQ</v>
      </c>
      <c r="M78" s="6"/>
      <c r="N78" s="6"/>
      <c r="O78" s="6"/>
      <c r="P78" s="6">
        <v>44</v>
      </c>
      <c r="Q78" s="6"/>
    </row>
    <row r="79" spans="1:17" x14ac:dyDescent="0.25">
      <c r="A79" s="14" t="s">
        <v>34</v>
      </c>
      <c r="B79" s="67" t="str">
        <f>VLOOKUP(Data_LabTests[[#This Row],[Hole ID]],Data_Log[],2,FALSE)</f>
        <v>CGF-04</v>
      </c>
      <c r="C79" s="67" t="str">
        <f>_xlfn.XLOOKUP(Data_LabTests[[#This Row],[Hole ID]],Data_Log[Hole ID],Data_Log[Pit])</f>
        <v>Courvan Nord Bussière</v>
      </c>
      <c r="D79" s="19"/>
      <c r="E79" s="63" t="str">
        <f>Data_LabTests[[#This Row],[Hole ID]]&amp;"_"&amp;Data_LabTests[[#This Row],[Sample '#]]</f>
        <v>COG-25-09_</v>
      </c>
      <c r="F79" s="6" t="s">
        <v>268</v>
      </c>
      <c r="G79" s="6"/>
      <c r="H79" s="5">
        <v>40.04</v>
      </c>
      <c r="I79" s="5">
        <v>40.26</v>
      </c>
      <c r="J79" s="13">
        <f>Data_LabTests[[#This Row],[Depth to (m)]]-Data_LabTests[[#This Row],[Depth from (m)]]</f>
        <v>0.21999999999999886</v>
      </c>
      <c r="K79" s="6" t="s">
        <v>581</v>
      </c>
      <c r="L79" s="63" t="str">
        <f>VLOOKUP(Data_LabTests[[#This Row],[Hole ID]],Data_Log[[Hole ID]:[Core size]],20,FALSE)</f>
        <v>HQ</v>
      </c>
      <c r="M79" s="6"/>
      <c r="N79" s="6"/>
      <c r="O79" s="6"/>
      <c r="P79" s="6">
        <v>44</v>
      </c>
      <c r="Q79" s="6"/>
    </row>
    <row r="80" spans="1:17" x14ac:dyDescent="0.25">
      <c r="A80" s="14" t="s">
        <v>34</v>
      </c>
      <c r="B80" s="67" t="str">
        <f>VLOOKUP(Data_LabTests[[#This Row],[Hole ID]],Data_Log[],2,FALSE)</f>
        <v>CGF-04</v>
      </c>
      <c r="C80" s="67" t="str">
        <f>_xlfn.XLOOKUP(Data_LabTests[[#This Row],[Hole ID]],Data_Log[Hole ID],Data_Log[Pit])</f>
        <v>Courvan Nord Bussière</v>
      </c>
      <c r="D80" s="19"/>
      <c r="E80" s="63" t="str">
        <f>Data_LabTests[[#This Row],[Hole ID]]&amp;"_"&amp;Data_LabTests[[#This Row],[Sample '#]]</f>
        <v>COG-25-09_</v>
      </c>
      <c r="F80" s="6" t="s">
        <v>449</v>
      </c>
      <c r="G80" s="6"/>
      <c r="H80" s="5">
        <v>36</v>
      </c>
      <c r="I80" s="5">
        <v>36.200000000000003</v>
      </c>
      <c r="J80" s="13">
        <f>Data_LabTests[[#This Row],[Depth to (m)]]-Data_LabTests[[#This Row],[Depth from (m)]]</f>
        <v>0.20000000000000284</v>
      </c>
      <c r="K80" s="6" t="s">
        <v>602</v>
      </c>
      <c r="L80" s="63" t="str">
        <f>VLOOKUP(Data_LabTests[[#This Row],[Hole ID]],Data_Log[[Hole ID]:[Core size]],20,FALSE)</f>
        <v>HQ</v>
      </c>
      <c r="M80" s="6"/>
      <c r="N80" s="6"/>
      <c r="O80" s="6"/>
      <c r="P80" s="6">
        <v>45</v>
      </c>
      <c r="Q80" s="6"/>
    </row>
    <row r="81" spans="1:17" x14ac:dyDescent="0.25">
      <c r="A81" s="14" t="s">
        <v>34</v>
      </c>
      <c r="B81" s="67" t="str">
        <f>VLOOKUP(Data_LabTests[[#This Row],[Hole ID]],Data_Log[],2,FALSE)</f>
        <v>CGF-04</v>
      </c>
      <c r="C81" s="67" t="str">
        <f>_xlfn.XLOOKUP(Data_LabTests[[#This Row],[Hole ID]],Data_Log[Hole ID],Data_Log[Pit])</f>
        <v>Courvan Nord Bussière</v>
      </c>
      <c r="D81" s="19"/>
      <c r="E81" s="63" t="str">
        <f>Data_LabTests[[#This Row],[Hole ID]]&amp;"_"&amp;Data_LabTests[[#This Row],[Sample '#]]</f>
        <v>COG-25-09_</v>
      </c>
      <c r="F81" s="6" t="s">
        <v>391</v>
      </c>
      <c r="G81" s="6"/>
      <c r="H81" s="5">
        <v>42.41</v>
      </c>
      <c r="I81" s="5">
        <v>42.67</v>
      </c>
      <c r="J81" s="13">
        <f>Data_LabTests[[#This Row],[Depth to (m)]]-Data_LabTests[[#This Row],[Depth from (m)]]</f>
        <v>0.26000000000000512</v>
      </c>
      <c r="K81" s="6" t="s">
        <v>581</v>
      </c>
      <c r="L81" s="63" t="str">
        <f>VLOOKUP(Data_LabTests[[#This Row],[Hole ID]],Data_Log[[Hole ID]:[Core size]],20,FALSE)</f>
        <v>HQ</v>
      </c>
      <c r="M81" s="6"/>
      <c r="N81" s="6"/>
      <c r="O81" s="6"/>
      <c r="P81" s="6">
        <v>45</v>
      </c>
      <c r="Q81" s="6"/>
    </row>
    <row r="82" spans="1:17" x14ac:dyDescent="0.25">
      <c r="A82" s="14" t="s">
        <v>34</v>
      </c>
      <c r="B82" s="67" t="str">
        <f>VLOOKUP(Data_LabTests[[#This Row],[Hole ID]],Data_Log[],2,FALSE)</f>
        <v>CGF-04</v>
      </c>
      <c r="C82" s="67" t="str">
        <f>_xlfn.XLOOKUP(Data_LabTests[[#This Row],[Hole ID]],Data_Log[Hole ID],Data_Log[Pit])</f>
        <v>Courvan Nord Bussière</v>
      </c>
      <c r="D82" s="19"/>
      <c r="E82" s="63" t="str">
        <f>Data_LabTests[[#This Row],[Hole ID]]&amp;"_"&amp;Data_LabTests[[#This Row],[Sample '#]]</f>
        <v>COG-25-09_</v>
      </c>
      <c r="F82" s="6" t="s">
        <v>268</v>
      </c>
      <c r="G82" s="6"/>
      <c r="H82" s="5">
        <v>35.46</v>
      </c>
      <c r="I82" s="5">
        <v>35.71</v>
      </c>
      <c r="J82" s="13">
        <f>Data_LabTests[[#This Row],[Depth to (m)]]-Data_LabTests[[#This Row],[Depth from (m)]]</f>
        <v>0.25</v>
      </c>
      <c r="K82" s="6" t="s">
        <v>602</v>
      </c>
      <c r="L82" s="63" t="str">
        <f>VLOOKUP(Data_LabTests[[#This Row],[Hole ID]],Data_Log[[Hole ID]:[Core size]],20,FALSE)</f>
        <v>HQ</v>
      </c>
      <c r="M82" s="6"/>
      <c r="N82" s="6"/>
      <c r="O82" s="6"/>
      <c r="P82" s="6">
        <v>45</v>
      </c>
      <c r="Q82" s="6"/>
    </row>
    <row r="83" spans="1:17" x14ac:dyDescent="0.25">
      <c r="B83" s="67" t="e">
        <f>VLOOKUP(Data_LabTests[[#This Row],[Hole ID]],Data_Log[],2,FALSE)</f>
        <v>#N/A</v>
      </c>
      <c r="C83" s="67">
        <f>_xlfn.XLOOKUP(Data_LabTests[[#This Row],[Hole ID]],Data_Log[Hole ID],Data_Log[Pit])</f>
        <v>0</v>
      </c>
      <c r="D83" s="19"/>
      <c r="E83" s="63" t="str">
        <f>Data_LabTests[[#This Row],[Hole ID]]&amp;"_"&amp;Data_LabTests[[#This Row],[Sample '#]]</f>
        <v>_</v>
      </c>
      <c r="F83" s="6"/>
      <c r="G83" s="6"/>
      <c r="H83" s="5"/>
      <c r="I83" s="5"/>
      <c r="J83" s="13">
        <f>Data_LabTests[[#This Row],[Depth to (m)]]-Data_LabTests[[#This Row],[Depth from (m)]]</f>
        <v>0</v>
      </c>
      <c r="K83" s="6"/>
      <c r="L83" s="63" t="e">
        <f>VLOOKUP(Data_LabTests[[#This Row],[Hole ID]],Data_Log[[Hole ID]:[Core size]],20,FALSE)</f>
        <v>#N/A</v>
      </c>
      <c r="M83" s="6"/>
      <c r="N83" s="6"/>
      <c r="O83" s="6"/>
      <c r="P83" s="6"/>
      <c r="Q83" s="6"/>
    </row>
    <row r="84" spans="1:17" x14ac:dyDescent="0.25">
      <c r="B84" s="67" t="e">
        <f>VLOOKUP(Data_LabTests[[#This Row],[Hole ID]],Data_Log[],2,FALSE)</f>
        <v>#N/A</v>
      </c>
      <c r="C84" s="67">
        <f>_xlfn.XLOOKUP(Data_LabTests[[#This Row],[Hole ID]],Data_Log[Hole ID],Data_Log[Pit])</f>
        <v>0</v>
      </c>
      <c r="D84" s="19"/>
      <c r="E84" s="63" t="str">
        <f>Data_LabTests[[#This Row],[Hole ID]]&amp;"_"&amp;Data_LabTests[[#This Row],[Sample '#]]</f>
        <v>_</v>
      </c>
      <c r="F84" s="6"/>
      <c r="G84" s="6"/>
      <c r="H84" s="5"/>
      <c r="I84" s="5"/>
      <c r="J84" s="13">
        <f>Data_LabTests[[#This Row],[Depth to (m)]]-Data_LabTests[[#This Row],[Depth from (m)]]</f>
        <v>0</v>
      </c>
      <c r="K84" s="6"/>
      <c r="L84" s="63" t="e">
        <f>VLOOKUP(Data_LabTests[[#This Row],[Hole ID]],Data_Log[[Hole ID]:[Core size]],20,FALSE)</f>
        <v>#N/A</v>
      </c>
      <c r="M84" s="6"/>
      <c r="N84" s="6"/>
      <c r="O84" s="6"/>
      <c r="P84" s="6"/>
      <c r="Q84" s="6"/>
    </row>
    <row r="85" spans="1:17" x14ac:dyDescent="0.25">
      <c r="B85" s="67" t="e">
        <f>VLOOKUP(Data_LabTests[[#This Row],[Hole ID]],Data_Log[],2,FALSE)</f>
        <v>#N/A</v>
      </c>
      <c r="C85" s="67">
        <f>_xlfn.XLOOKUP(Data_LabTests[[#This Row],[Hole ID]],Data_Log[Hole ID],Data_Log[Pit])</f>
        <v>0</v>
      </c>
      <c r="D85" s="19"/>
      <c r="E85" s="63" t="str">
        <f>Data_LabTests[[#This Row],[Hole ID]]&amp;"_"&amp;Data_LabTests[[#This Row],[Sample '#]]</f>
        <v>_</v>
      </c>
      <c r="F85" s="6"/>
      <c r="G85" s="6"/>
      <c r="H85" s="5"/>
      <c r="I85" s="5"/>
      <c r="J85" s="13">
        <f>Data_LabTests[[#This Row],[Depth to (m)]]-Data_LabTests[[#This Row],[Depth from (m)]]</f>
        <v>0</v>
      </c>
      <c r="K85" s="6"/>
      <c r="L85" s="63" t="e">
        <f>VLOOKUP(Data_LabTests[[#This Row],[Hole ID]],Data_Log[[Hole ID]:[Core size]],20,FALSE)</f>
        <v>#N/A</v>
      </c>
      <c r="M85" s="6"/>
      <c r="N85" s="6"/>
      <c r="O85" s="6"/>
      <c r="P85" s="6"/>
      <c r="Q85" s="6"/>
    </row>
    <row r="86" spans="1:17" x14ac:dyDescent="0.25">
      <c r="B86" s="67" t="e">
        <f>VLOOKUP(Data_LabTests[[#This Row],[Hole ID]],Data_Log[],2,FALSE)</f>
        <v>#N/A</v>
      </c>
      <c r="C86" s="67">
        <f>_xlfn.XLOOKUP(Data_LabTests[[#This Row],[Hole ID]],Data_Log[Hole ID],Data_Log[Pit])</f>
        <v>0</v>
      </c>
      <c r="D86" s="19"/>
      <c r="E86" s="63" t="str">
        <f>Data_LabTests[[#This Row],[Hole ID]]&amp;"_"&amp;Data_LabTests[[#This Row],[Sample '#]]</f>
        <v>_</v>
      </c>
      <c r="F86" s="6"/>
      <c r="G86" s="6"/>
      <c r="H86" s="5"/>
      <c r="I86" s="5"/>
      <c r="J86" s="13">
        <f>Data_LabTests[[#This Row],[Depth to (m)]]-Data_LabTests[[#This Row],[Depth from (m)]]</f>
        <v>0</v>
      </c>
      <c r="K86" s="6"/>
      <c r="L86" s="63" t="e">
        <f>VLOOKUP(Data_LabTests[[#This Row],[Hole ID]],Data_Log[[Hole ID]:[Core size]],20,FALSE)</f>
        <v>#N/A</v>
      </c>
      <c r="M86" s="6"/>
      <c r="N86" s="6"/>
      <c r="O86" s="6"/>
      <c r="P86" s="6"/>
      <c r="Q86" s="6"/>
    </row>
    <row r="87" spans="1:17" x14ac:dyDescent="0.25">
      <c r="B87" s="67" t="e">
        <f>VLOOKUP(Data_LabTests[[#This Row],[Hole ID]],Data_Log[],2,FALSE)</f>
        <v>#N/A</v>
      </c>
      <c r="C87" s="67">
        <f>_xlfn.XLOOKUP(Data_LabTests[[#This Row],[Hole ID]],Data_Log[Hole ID],Data_Log[Pit])</f>
        <v>0</v>
      </c>
      <c r="D87" s="19"/>
      <c r="E87" s="63" t="str">
        <f>Data_LabTests[[#This Row],[Hole ID]]&amp;"_"&amp;Data_LabTests[[#This Row],[Sample '#]]</f>
        <v>_</v>
      </c>
      <c r="F87" s="6"/>
      <c r="G87" s="6"/>
      <c r="H87" s="5"/>
      <c r="I87" s="5"/>
      <c r="J87" s="13">
        <f>Data_LabTests[[#This Row],[Depth to (m)]]-Data_LabTests[[#This Row],[Depth from (m)]]</f>
        <v>0</v>
      </c>
      <c r="K87" s="6"/>
      <c r="L87" s="63" t="e">
        <f>VLOOKUP(Data_LabTests[[#This Row],[Hole ID]],Data_Log[[Hole ID]:[Core size]],20,FALSE)</f>
        <v>#N/A</v>
      </c>
      <c r="M87" s="6"/>
      <c r="N87" s="6"/>
      <c r="O87" s="6"/>
      <c r="P87" s="6"/>
      <c r="Q87" s="6"/>
    </row>
    <row r="88" spans="1:17" x14ac:dyDescent="0.25">
      <c r="B88" s="67" t="e">
        <f>VLOOKUP(Data_LabTests[[#This Row],[Hole ID]],Data_Log[],2,FALSE)</f>
        <v>#N/A</v>
      </c>
      <c r="C88" s="67">
        <f>_xlfn.XLOOKUP(Data_LabTests[[#This Row],[Hole ID]],Data_Log[Hole ID],Data_Log[Pit])</f>
        <v>0</v>
      </c>
      <c r="D88" s="19"/>
      <c r="E88" s="63" t="str">
        <f>Data_LabTests[[#This Row],[Hole ID]]&amp;"_"&amp;Data_LabTests[[#This Row],[Sample '#]]</f>
        <v>_</v>
      </c>
      <c r="F88" s="6"/>
      <c r="G88" s="6"/>
      <c r="H88" s="5"/>
      <c r="I88" s="5"/>
      <c r="J88" s="13">
        <f>Data_LabTests[[#This Row],[Depth to (m)]]-Data_LabTests[[#This Row],[Depth from (m)]]</f>
        <v>0</v>
      </c>
      <c r="K88" s="6"/>
      <c r="L88" s="63" t="e">
        <f>VLOOKUP(Data_LabTests[[#This Row],[Hole ID]],Data_Log[[Hole ID]:[Core size]],20,FALSE)</f>
        <v>#N/A</v>
      </c>
      <c r="M88" s="6"/>
      <c r="N88" s="6"/>
      <c r="O88" s="6"/>
      <c r="P88" s="6"/>
      <c r="Q88" s="6"/>
    </row>
    <row r="89" spans="1:17" x14ac:dyDescent="0.25">
      <c r="B89" s="67" t="e">
        <f>VLOOKUP(Data_LabTests[[#This Row],[Hole ID]],Data_Log[],2,FALSE)</f>
        <v>#N/A</v>
      </c>
      <c r="C89" s="67">
        <f>_xlfn.XLOOKUP(Data_LabTests[[#This Row],[Hole ID]],Data_Log[Hole ID],Data_Log[Pit])</f>
        <v>0</v>
      </c>
      <c r="D89" s="19"/>
      <c r="E89" s="63" t="str">
        <f>Data_LabTests[[#This Row],[Hole ID]]&amp;"_"&amp;Data_LabTests[[#This Row],[Sample '#]]</f>
        <v>_</v>
      </c>
      <c r="F89" s="6"/>
      <c r="G89" s="6"/>
      <c r="H89" s="5"/>
      <c r="I89" s="5"/>
      <c r="J89" s="13">
        <f>Data_LabTests[[#This Row],[Depth to (m)]]-Data_LabTests[[#This Row],[Depth from (m)]]</f>
        <v>0</v>
      </c>
      <c r="K89" s="6"/>
      <c r="L89" s="63" t="e">
        <f>VLOOKUP(Data_LabTests[[#This Row],[Hole ID]],Data_Log[[Hole ID]:[Core size]],20,FALSE)</f>
        <v>#N/A</v>
      </c>
      <c r="M89" s="6"/>
      <c r="N89" s="6"/>
      <c r="O89" s="6"/>
      <c r="P89" s="6"/>
      <c r="Q89" s="6"/>
    </row>
    <row r="90" spans="1:17" x14ac:dyDescent="0.25">
      <c r="B90" s="67" t="e">
        <f>VLOOKUP(Data_LabTests[[#This Row],[Hole ID]],Data_Log[],2,FALSE)</f>
        <v>#N/A</v>
      </c>
      <c r="C90" s="67">
        <f>_xlfn.XLOOKUP(Data_LabTests[[#This Row],[Hole ID]],Data_Log[Hole ID],Data_Log[Pit])</f>
        <v>0</v>
      </c>
      <c r="D90" s="19"/>
      <c r="E90" s="63" t="str">
        <f>Data_LabTests[[#This Row],[Hole ID]]&amp;"_"&amp;Data_LabTests[[#This Row],[Sample '#]]</f>
        <v>_</v>
      </c>
      <c r="F90" s="6"/>
      <c r="G90" s="6"/>
      <c r="H90" s="5"/>
      <c r="I90" s="5"/>
      <c r="J90" s="13">
        <f>Data_LabTests[[#This Row],[Depth to (m)]]-Data_LabTests[[#This Row],[Depth from (m)]]</f>
        <v>0</v>
      </c>
      <c r="K90" s="6"/>
      <c r="L90" s="63" t="e">
        <f>VLOOKUP(Data_LabTests[[#This Row],[Hole ID]],Data_Log[[Hole ID]:[Core size]],20,FALSE)</f>
        <v>#N/A</v>
      </c>
      <c r="M90" s="6"/>
      <c r="N90" s="6"/>
      <c r="O90" s="6"/>
      <c r="P90" s="6"/>
      <c r="Q90" s="6"/>
    </row>
    <row r="91" spans="1:17" x14ac:dyDescent="0.25">
      <c r="B91" s="67" t="e">
        <f>VLOOKUP(Data_LabTests[[#This Row],[Hole ID]],Data_Log[],2,FALSE)</f>
        <v>#N/A</v>
      </c>
      <c r="C91" s="67">
        <f>_xlfn.XLOOKUP(Data_LabTests[[#This Row],[Hole ID]],Data_Log[Hole ID],Data_Log[Pit])</f>
        <v>0</v>
      </c>
      <c r="D91" s="19"/>
      <c r="E91" s="63" t="str">
        <f>Data_LabTests[[#This Row],[Hole ID]]&amp;"_"&amp;Data_LabTests[[#This Row],[Sample '#]]</f>
        <v>_</v>
      </c>
      <c r="F91" s="6"/>
      <c r="G91" s="6"/>
      <c r="H91" s="5"/>
      <c r="I91" s="5"/>
      <c r="J91" s="13">
        <f>Data_LabTests[[#This Row],[Depth to (m)]]-Data_LabTests[[#This Row],[Depth from (m)]]</f>
        <v>0</v>
      </c>
      <c r="K91" s="6"/>
      <c r="L91" s="63" t="e">
        <f>VLOOKUP(Data_LabTests[[#This Row],[Hole ID]],Data_Log[[Hole ID]:[Core size]],20,FALSE)</f>
        <v>#N/A</v>
      </c>
      <c r="M91" s="6"/>
      <c r="N91" s="6"/>
      <c r="O91" s="6"/>
      <c r="P91" s="6"/>
      <c r="Q91" s="6"/>
    </row>
    <row r="92" spans="1:17" x14ac:dyDescent="0.25">
      <c r="B92" s="67" t="e">
        <f>VLOOKUP(Data_LabTests[[#This Row],[Hole ID]],Data_Log[],2,FALSE)</f>
        <v>#N/A</v>
      </c>
      <c r="C92" s="67">
        <f>_xlfn.XLOOKUP(Data_LabTests[[#This Row],[Hole ID]],Data_Log[Hole ID],Data_Log[Pit])</f>
        <v>0</v>
      </c>
      <c r="D92" s="19"/>
      <c r="E92" s="63" t="str">
        <f>Data_LabTests[[#This Row],[Hole ID]]&amp;"_"&amp;Data_LabTests[[#This Row],[Sample '#]]</f>
        <v>_</v>
      </c>
      <c r="F92" s="6"/>
      <c r="G92" s="6"/>
      <c r="H92" s="5"/>
      <c r="I92" s="5"/>
      <c r="J92" s="13">
        <f>Data_LabTests[[#This Row],[Depth to (m)]]-Data_LabTests[[#This Row],[Depth from (m)]]</f>
        <v>0</v>
      </c>
      <c r="K92" s="6"/>
      <c r="L92" s="63" t="e">
        <f>VLOOKUP(Data_LabTests[[#This Row],[Hole ID]],Data_Log[[Hole ID]:[Core size]],20,FALSE)</f>
        <v>#N/A</v>
      </c>
      <c r="M92" s="6"/>
      <c r="N92" s="6"/>
      <c r="O92" s="6"/>
      <c r="P92" s="6"/>
      <c r="Q92" s="6"/>
    </row>
    <row r="93" spans="1:17" x14ac:dyDescent="0.25">
      <c r="B93" s="67" t="e">
        <f>VLOOKUP(Data_LabTests[[#This Row],[Hole ID]],Data_Log[],2,FALSE)</f>
        <v>#N/A</v>
      </c>
      <c r="C93" s="67">
        <f>_xlfn.XLOOKUP(Data_LabTests[[#This Row],[Hole ID]],Data_Log[Hole ID],Data_Log[Pit])</f>
        <v>0</v>
      </c>
      <c r="D93" s="19"/>
      <c r="E93" s="63" t="str">
        <f>Data_LabTests[[#This Row],[Hole ID]]&amp;"_"&amp;Data_LabTests[[#This Row],[Sample '#]]</f>
        <v>_</v>
      </c>
      <c r="F93" s="6"/>
      <c r="G93" s="6"/>
      <c r="H93" s="5"/>
      <c r="I93" s="5"/>
      <c r="J93" s="13">
        <f>Data_LabTests[[#This Row],[Depth to (m)]]-Data_LabTests[[#This Row],[Depth from (m)]]</f>
        <v>0</v>
      </c>
      <c r="K93" s="6"/>
      <c r="L93" s="63" t="e">
        <f>VLOOKUP(Data_LabTests[[#This Row],[Hole ID]],Data_Log[[Hole ID]:[Core size]],20,FALSE)</f>
        <v>#N/A</v>
      </c>
      <c r="M93" s="6"/>
      <c r="N93" s="6"/>
      <c r="O93" s="6"/>
      <c r="P93" s="6"/>
      <c r="Q93" s="6"/>
    </row>
    <row r="94" spans="1:17" x14ac:dyDescent="0.25">
      <c r="B94" s="67" t="e">
        <f>VLOOKUP(Data_LabTests[[#This Row],[Hole ID]],Data_Log[],2,FALSE)</f>
        <v>#N/A</v>
      </c>
      <c r="C94" s="67">
        <f>_xlfn.XLOOKUP(Data_LabTests[[#This Row],[Hole ID]],Data_Log[Hole ID],Data_Log[Pit])</f>
        <v>0</v>
      </c>
      <c r="D94" s="19"/>
      <c r="E94" s="63" t="str">
        <f>Data_LabTests[[#This Row],[Hole ID]]&amp;"_"&amp;Data_LabTests[[#This Row],[Sample '#]]</f>
        <v>_</v>
      </c>
      <c r="F94" s="6"/>
      <c r="G94" s="6"/>
      <c r="H94" s="5"/>
      <c r="I94" s="5"/>
      <c r="J94" s="13">
        <f>Data_LabTests[[#This Row],[Depth to (m)]]-Data_LabTests[[#This Row],[Depth from (m)]]</f>
        <v>0</v>
      </c>
      <c r="K94" s="6"/>
      <c r="L94" s="63" t="e">
        <f>VLOOKUP(Data_LabTests[[#This Row],[Hole ID]],Data_Log[[Hole ID]:[Core size]],20,FALSE)</f>
        <v>#N/A</v>
      </c>
      <c r="M94" s="6"/>
      <c r="N94" s="6"/>
      <c r="O94" s="6"/>
      <c r="P94" s="6"/>
      <c r="Q94" s="6"/>
    </row>
    <row r="95" spans="1:17" x14ac:dyDescent="0.25">
      <c r="B95" s="67" t="e">
        <f>VLOOKUP(Data_LabTests[[#This Row],[Hole ID]],Data_Log[],2,FALSE)</f>
        <v>#N/A</v>
      </c>
      <c r="C95" s="67">
        <f>_xlfn.XLOOKUP(Data_LabTests[[#This Row],[Hole ID]],Data_Log[Hole ID],Data_Log[Pit])</f>
        <v>0</v>
      </c>
      <c r="D95" s="19"/>
      <c r="E95" s="63" t="str">
        <f>Data_LabTests[[#This Row],[Hole ID]]&amp;"_"&amp;Data_LabTests[[#This Row],[Sample '#]]</f>
        <v>_</v>
      </c>
      <c r="F95" s="6"/>
      <c r="G95" s="6"/>
      <c r="H95" s="5"/>
      <c r="I95" s="5"/>
      <c r="J95" s="13">
        <f>Data_LabTests[[#This Row],[Depth to (m)]]-Data_LabTests[[#This Row],[Depth from (m)]]</f>
        <v>0</v>
      </c>
      <c r="K95" s="6"/>
      <c r="L95" s="63" t="e">
        <f>VLOOKUP(Data_LabTests[[#This Row],[Hole ID]],Data_Log[[Hole ID]:[Core size]],20,FALSE)</f>
        <v>#N/A</v>
      </c>
      <c r="M95" s="6"/>
      <c r="N95" s="6"/>
      <c r="O95" s="6"/>
      <c r="P95" s="6"/>
      <c r="Q95" s="6"/>
    </row>
    <row r="96" spans="1:17" x14ac:dyDescent="0.25">
      <c r="B96" s="67" t="e">
        <f>VLOOKUP(Data_LabTests[[#This Row],[Hole ID]],Data_Log[],2,FALSE)</f>
        <v>#N/A</v>
      </c>
      <c r="C96" s="67">
        <f>_xlfn.XLOOKUP(Data_LabTests[[#This Row],[Hole ID]],Data_Log[Hole ID],Data_Log[Pit])</f>
        <v>0</v>
      </c>
      <c r="D96" s="19"/>
      <c r="E96" s="63" t="str">
        <f>Data_LabTests[[#This Row],[Hole ID]]&amp;"_"&amp;Data_LabTests[[#This Row],[Sample '#]]</f>
        <v>_</v>
      </c>
      <c r="F96" s="6"/>
      <c r="G96" s="6"/>
      <c r="H96" s="5"/>
      <c r="I96" s="5"/>
      <c r="J96" s="13">
        <f>Data_LabTests[[#This Row],[Depth to (m)]]-Data_LabTests[[#This Row],[Depth from (m)]]</f>
        <v>0</v>
      </c>
      <c r="K96" s="6"/>
      <c r="L96" s="63" t="e">
        <f>VLOOKUP(Data_LabTests[[#This Row],[Hole ID]],Data_Log[[Hole ID]:[Core size]],20,FALSE)</f>
        <v>#N/A</v>
      </c>
      <c r="M96" s="6"/>
      <c r="N96" s="6"/>
      <c r="O96" s="6"/>
      <c r="P96" s="6"/>
      <c r="Q96" s="6"/>
    </row>
    <row r="97" spans="2:17" x14ac:dyDescent="0.25">
      <c r="B97" s="67" t="e">
        <f>VLOOKUP(Data_LabTests[[#This Row],[Hole ID]],Data_Log[],2,FALSE)</f>
        <v>#N/A</v>
      </c>
      <c r="C97" s="67">
        <f>_xlfn.XLOOKUP(Data_LabTests[[#This Row],[Hole ID]],Data_Log[Hole ID],Data_Log[Pit])</f>
        <v>0</v>
      </c>
      <c r="D97" s="19"/>
      <c r="E97" s="63" t="str">
        <f>Data_LabTests[[#This Row],[Hole ID]]&amp;"_"&amp;Data_LabTests[[#This Row],[Sample '#]]</f>
        <v>_</v>
      </c>
      <c r="F97" s="6"/>
      <c r="G97" s="6"/>
      <c r="H97" s="5"/>
      <c r="I97" s="5"/>
      <c r="J97" s="13">
        <f>Data_LabTests[[#This Row],[Depth to (m)]]-Data_LabTests[[#This Row],[Depth from (m)]]</f>
        <v>0</v>
      </c>
      <c r="K97" s="6"/>
      <c r="L97" s="63" t="e">
        <f>VLOOKUP(Data_LabTests[[#This Row],[Hole ID]],Data_Log[[Hole ID]:[Core size]],20,FALSE)</f>
        <v>#N/A</v>
      </c>
      <c r="M97" s="6"/>
      <c r="N97" s="6"/>
      <c r="O97" s="6"/>
      <c r="P97" s="6"/>
      <c r="Q97" s="6"/>
    </row>
    <row r="98" spans="2:17" x14ac:dyDescent="0.25">
      <c r="B98" s="67" t="e">
        <f>VLOOKUP(Data_LabTests[[#This Row],[Hole ID]],Data_Log[],2,FALSE)</f>
        <v>#N/A</v>
      </c>
      <c r="C98" s="67">
        <f>_xlfn.XLOOKUP(Data_LabTests[[#This Row],[Hole ID]],Data_Log[Hole ID],Data_Log[Pit])</f>
        <v>0</v>
      </c>
      <c r="D98" s="19"/>
      <c r="E98" s="63" t="str">
        <f>Data_LabTests[[#This Row],[Hole ID]]&amp;"_"&amp;Data_LabTests[[#This Row],[Sample '#]]</f>
        <v>_</v>
      </c>
      <c r="F98" s="6"/>
      <c r="G98" s="6"/>
      <c r="H98" s="5"/>
      <c r="I98" s="5"/>
      <c r="J98" s="13">
        <f>Data_LabTests[[#This Row],[Depth to (m)]]-Data_LabTests[[#This Row],[Depth from (m)]]</f>
        <v>0</v>
      </c>
      <c r="K98" s="6"/>
      <c r="L98" s="63" t="e">
        <f>VLOOKUP(Data_LabTests[[#This Row],[Hole ID]],Data_Log[[Hole ID]:[Core size]],20,FALSE)</f>
        <v>#N/A</v>
      </c>
      <c r="M98" s="6"/>
      <c r="N98" s="6"/>
      <c r="O98" s="6"/>
      <c r="P98" s="6"/>
      <c r="Q98" s="6"/>
    </row>
    <row r="99" spans="2:17" x14ac:dyDescent="0.25">
      <c r="B99" s="67" t="e">
        <f>VLOOKUP(Data_LabTests[[#This Row],[Hole ID]],Data_Log[],2,FALSE)</f>
        <v>#N/A</v>
      </c>
      <c r="C99" s="67">
        <f>_xlfn.XLOOKUP(Data_LabTests[[#This Row],[Hole ID]],Data_Log[Hole ID],Data_Log[Pit])</f>
        <v>0</v>
      </c>
      <c r="D99" s="19"/>
      <c r="E99" s="63" t="str">
        <f>Data_LabTests[[#This Row],[Hole ID]]&amp;"_"&amp;Data_LabTests[[#This Row],[Sample '#]]</f>
        <v>_</v>
      </c>
      <c r="F99" s="6"/>
      <c r="G99" s="6"/>
      <c r="H99" s="5"/>
      <c r="I99" s="5"/>
      <c r="J99" s="13">
        <f>Data_LabTests[[#This Row],[Depth to (m)]]-Data_LabTests[[#This Row],[Depth from (m)]]</f>
        <v>0</v>
      </c>
      <c r="K99" s="6"/>
      <c r="L99" s="63" t="e">
        <f>VLOOKUP(Data_LabTests[[#This Row],[Hole ID]],Data_Log[[Hole ID]:[Core size]],20,FALSE)</f>
        <v>#N/A</v>
      </c>
      <c r="M99" s="6"/>
      <c r="N99" s="6"/>
      <c r="O99" s="6"/>
      <c r="P99" s="6"/>
      <c r="Q99" s="6"/>
    </row>
    <row r="100" spans="2:17" x14ac:dyDescent="0.25">
      <c r="B100" s="67" t="e">
        <f>VLOOKUP(Data_LabTests[[#This Row],[Hole ID]],Data_Log[],2,FALSE)</f>
        <v>#N/A</v>
      </c>
      <c r="C100" s="67">
        <f>_xlfn.XLOOKUP(Data_LabTests[[#This Row],[Hole ID]],Data_Log[Hole ID],Data_Log[Pit])</f>
        <v>0</v>
      </c>
      <c r="D100" s="19"/>
      <c r="E100" s="63" t="str">
        <f>Data_LabTests[[#This Row],[Hole ID]]&amp;"_"&amp;Data_LabTests[[#This Row],[Sample '#]]</f>
        <v>_</v>
      </c>
      <c r="F100" s="6"/>
      <c r="G100" s="6"/>
      <c r="H100" s="5"/>
      <c r="I100" s="5"/>
      <c r="J100" s="13">
        <f>Data_LabTests[[#This Row],[Depth to (m)]]-Data_LabTests[[#This Row],[Depth from (m)]]</f>
        <v>0</v>
      </c>
      <c r="K100" s="6"/>
      <c r="L100" s="63" t="e">
        <f>VLOOKUP(Data_LabTests[[#This Row],[Hole ID]],Data_Log[[Hole ID]:[Core size]],20,FALSE)</f>
        <v>#N/A</v>
      </c>
      <c r="M100" s="6"/>
      <c r="N100" s="6"/>
      <c r="O100" s="6"/>
      <c r="P100" s="6"/>
      <c r="Q100" s="6"/>
    </row>
    <row r="101" spans="2:17" x14ac:dyDescent="0.25">
      <c r="B101" s="67" t="e">
        <f>VLOOKUP(Data_LabTests[[#This Row],[Hole ID]],Data_Log[],2,FALSE)</f>
        <v>#N/A</v>
      </c>
      <c r="C101" s="67">
        <f>_xlfn.XLOOKUP(Data_LabTests[[#This Row],[Hole ID]],Data_Log[Hole ID],Data_Log[Pit])</f>
        <v>0</v>
      </c>
      <c r="D101" s="19"/>
      <c r="E101" s="63" t="str">
        <f>Data_LabTests[[#This Row],[Hole ID]]&amp;"_"&amp;Data_LabTests[[#This Row],[Sample '#]]</f>
        <v>_</v>
      </c>
      <c r="F101" s="6"/>
      <c r="G101" s="6"/>
      <c r="H101" s="5"/>
      <c r="I101" s="5"/>
      <c r="J101" s="13">
        <f>Data_LabTests[[#This Row],[Depth to (m)]]-Data_LabTests[[#This Row],[Depth from (m)]]</f>
        <v>0</v>
      </c>
      <c r="K101" s="6"/>
      <c r="L101" s="63" t="e">
        <f>VLOOKUP(Data_LabTests[[#This Row],[Hole ID]],Data_Log[[Hole ID]:[Core size]],20,FALSE)</f>
        <v>#N/A</v>
      </c>
      <c r="M101" s="6"/>
      <c r="N101" s="6"/>
      <c r="O101" s="6"/>
      <c r="P101" s="6"/>
      <c r="Q101" s="6"/>
    </row>
    <row r="102" spans="2:17" x14ac:dyDescent="0.25">
      <c r="B102" s="67" t="e">
        <f>VLOOKUP(Data_LabTests[[#This Row],[Hole ID]],Data_Log[],2,FALSE)</f>
        <v>#N/A</v>
      </c>
      <c r="C102" s="67">
        <f>_xlfn.XLOOKUP(Data_LabTests[[#This Row],[Hole ID]],Data_Log[Hole ID],Data_Log[Pit])</f>
        <v>0</v>
      </c>
      <c r="D102" s="19"/>
      <c r="E102" s="63" t="str">
        <f>Data_LabTests[[#This Row],[Hole ID]]&amp;"_"&amp;Data_LabTests[[#This Row],[Sample '#]]</f>
        <v>_</v>
      </c>
      <c r="F102" s="6"/>
      <c r="G102" s="6"/>
      <c r="H102" s="5"/>
      <c r="I102" s="5"/>
      <c r="J102" s="13">
        <f>Data_LabTests[[#This Row],[Depth to (m)]]-Data_LabTests[[#This Row],[Depth from (m)]]</f>
        <v>0</v>
      </c>
      <c r="K102" s="6"/>
      <c r="L102" s="63" t="e">
        <f>VLOOKUP(Data_LabTests[[#This Row],[Hole ID]],Data_Log[[Hole ID]:[Core size]],20,FALSE)</f>
        <v>#N/A</v>
      </c>
      <c r="M102" s="6"/>
      <c r="N102" s="6"/>
      <c r="O102" s="6"/>
      <c r="P102" s="6"/>
      <c r="Q102" s="6"/>
    </row>
    <row r="103" spans="2:17" x14ac:dyDescent="0.25">
      <c r="B103" s="67" t="e">
        <f>VLOOKUP(Data_LabTests[[#This Row],[Hole ID]],Data_Log[],2,FALSE)</f>
        <v>#N/A</v>
      </c>
      <c r="C103" s="67">
        <f>_xlfn.XLOOKUP(Data_LabTests[[#This Row],[Hole ID]],Data_Log[Hole ID],Data_Log[Pit])</f>
        <v>0</v>
      </c>
      <c r="D103" s="19"/>
      <c r="E103" s="63" t="str">
        <f>Data_LabTests[[#This Row],[Hole ID]]&amp;"_"&amp;Data_LabTests[[#This Row],[Sample '#]]</f>
        <v>_</v>
      </c>
      <c r="F103" s="6"/>
      <c r="G103" s="6"/>
      <c r="H103" s="5"/>
      <c r="I103" s="5"/>
      <c r="J103" s="13">
        <f>Data_LabTests[[#This Row],[Depth to (m)]]-Data_LabTests[[#This Row],[Depth from (m)]]</f>
        <v>0</v>
      </c>
      <c r="K103" s="6"/>
      <c r="L103" s="63" t="e">
        <f>VLOOKUP(Data_LabTests[[#This Row],[Hole ID]],Data_Log[[Hole ID]:[Core size]],20,FALSE)</f>
        <v>#N/A</v>
      </c>
      <c r="M103" s="6"/>
      <c r="N103" s="6"/>
      <c r="O103" s="6"/>
      <c r="P103" s="6"/>
      <c r="Q103" s="6"/>
    </row>
    <row r="104" spans="2:17" x14ac:dyDescent="0.25">
      <c r="B104" s="67" t="e">
        <f>VLOOKUP(Data_LabTests[[#This Row],[Hole ID]],Data_Log[],2,FALSE)</f>
        <v>#N/A</v>
      </c>
      <c r="C104" s="67">
        <f>_xlfn.XLOOKUP(Data_LabTests[[#This Row],[Hole ID]],Data_Log[Hole ID],Data_Log[Pit])</f>
        <v>0</v>
      </c>
      <c r="D104" s="19"/>
      <c r="E104" s="85" t="str">
        <f>Data_LabTests[[#This Row],[Hole ID]]&amp;"_"&amp;Data_LabTests[[#This Row],[Sample '#]]</f>
        <v>_</v>
      </c>
      <c r="F104" s="6"/>
      <c r="G104" s="6"/>
      <c r="H104" s="5"/>
      <c r="I104" s="5"/>
      <c r="J104" s="13">
        <f>Data_LabTests[[#This Row],[Depth to (m)]]-Data_LabTests[[#This Row],[Depth from (m)]]</f>
        <v>0</v>
      </c>
      <c r="K104" s="6"/>
      <c r="L104" s="63" t="e">
        <f>VLOOKUP(Data_LabTests[[#This Row],[Hole ID]],Data_Log[[Hole ID]:[Core size]],20,FALSE)</f>
        <v>#N/A</v>
      </c>
      <c r="M104" s="6"/>
      <c r="N104" s="6"/>
      <c r="O104" s="6"/>
      <c r="P104" s="6"/>
      <c r="Q104" s="6"/>
    </row>
    <row r="105" spans="2:17" x14ac:dyDescent="0.25">
      <c r="B105" s="67" t="e">
        <f>VLOOKUP(Data_LabTests[[#This Row],[Hole ID]],Data_Log[],2,FALSE)</f>
        <v>#N/A</v>
      </c>
      <c r="C105" s="67">
        <f>_xlfn.XLOOKUP(Data_LabTests[[#This Row],[Hole ID]],Data_Log[Hole ID],Data_Log[Pit])</f>
        <v>0</v>
      </c>
      <c r="D105" s="19"/>
      <c r="E105" s="63" t="str">
        <f>Data_LabTests[[#This Row],[Hole ID]]&amp;"_"&amp;Data_LabTests[[#This Row],[Sample '#]]</f>
        <v>_</v>
      </c>
      <c r="F105" s="6"/>
      <c r="G105" s="6"/>
      <c r="H105" s="5"/>
      <c r="I105" s="5"/>
      <c r="J105" s="13">
        <f>Data_LabTests[[#This Row],[Depth to (m)]]-Data_LabTests[[#This Row],[Depth from (m)]]</f>
        <v>0</v>
      </c>
      <c r="K105" s="6"/>
      <c r="L105" s="63" t="e">
        <f>VLOOKUP(Data_LabTests[[#This Row],[Hole ID]],Data_Log[[Hole ID]:[Core size]],20,FALSE)</f>
        <v>#N/A</v>
      </c>
      <c r="M105" s="6"/>
      <c r="N105" s="6"/>
      <c r="O105" s="6"/>
      <c r="P105" s="6"/>
      <c r="Q105" s="6"/>
    </row>
    <row r="106" spans="2:17" x14ac:dyDescent="0.25">
      <c r="B106" s="67" t="e">
        <f>VLOOKUP(Data_LabTests[[#This Row],[Hole ID]],Data_Log[],2,FALSE)</f>
        <v>#N/A</v>
      </c>
      <c r="C106" s="67">
        <f>_xlfn.XLOOKUP(Data_LabTests[[#This Row],[Hole ID]],Data_Log[Hole ID],Data_Log[Pit])</f>
        <v>0</v>
      </c>
      <c r="D106" s="19"/>
      <c r="E106" s="85" t="str">
        <f>Data_LabTests[[#This Row],[Hole ID]]&amp;"_"&amp;Data_LabTests[[#This Row],[Sample '#]]</f>
        <v>_</v>
      </c>
      <c r="F106" s="6"/>
      <c r="G106" s="6"/>
      <c r="H106" s="5"/>
      <c r="I106" s="5"/>
      <c r="J106" s="13">
        <f>Data_LabTests[[#This Row],[Depth to (m)]]-Data_LabTests[[#This Row],[Depth from (m)]]</f>
        <v>0</v>
      </c>
      <c r="K106" s="6"/>
      <c r="L106" s="63" t="e">
        <f>VLOOKUP(Data_LabTests[[#This Row],[Hole ID]],Data_Log[[Hole ID]:[Core size]],20,FALSE)</f>
        <v>#N/A</v>
      </c>
      <c r="M106" s="6"/>
      <c r="N106" s="6"/>
      <c r="O106" s="6"/>
      <c r="P106" s="6"/>
      <c r="Q106" s="6"/>
    </row>
    <row r="107" spans="2:17" x14ac:dyDescent="0.25">
      <c r="B107" s="67" t="e">
        <f>VLOOKUP(Data_LabTests[[#This Row],[Hole ID]],Data_Log[],2,FALSE)</f>
        <v>#N/A</v>
      </c>
      <c r="C107" s="67">
        <f>_xlfn.XLOOKUP(Data_LabTests[[#This Row],[Hole ID]],Data_Log[Hole ID],Data_Log[Pit])</f>
        <v>0</v>
      </c>
      <c r="D107" s="19"/>
      <c r="E107" s="63" t="str">
        <f>Data_LabTests[[#This Row],[Hole ID]]&amp;"_"&amp;Data_LabTests[[#This Row],[Sample '#]]</f>
        <v>_</v>
      </c>
      <c r="F107" s="6"/>
      <c r="G107" s="6"/>
      <c r="H107" s="5"/>
      <c r="I107" s="5"/>
      <c r="J107" s="13">
        <f>Data_LabTests[[#This Row],[Depth to (m)]]-Data_LabTests[[#This Row],[Depth from (m)]]</f>
        <v>0</v>
      </c>
      <c r="K107" s="6"/>
      <c r="L107" s="63" t="e">
        <f>VLOOKUP(Data_LabTests[[#This Row],[Hole ID]],Data_Log[[Hole ID]:[Core size]],20,FALSE)</f>
        <v>#N/A</v>
      </c>
      <c r="M107" s="6"/>
      <c r="N107" s="6"/>
      <c r="O107" s="6"/>
      <c r="P107" s="6"/>
      <c r="Q107" s="6"/>
    </row>
    <row r="108" spans="2:17" x14ac:dyDescent="0.25">
      <c r="B108" s="67" t="e">
        <f>VLOOKUP(Data_LabTests[[#This Row],[Hole ID]],Data_Log[],2,FALSE)</f>
        <v>#N/A</v>
      </c>
      <c r="C108" s="67">
        <f>_xlfn.XLOOKUP(Data_LabTests[[#This Row],[Hole ID]],Data_Log[Hole ID],Data_Log[Pit])</f>
        <v>0</v>
      </c>
      <c r="D108" s="19"/>
      <c r="E108" s="63" t="str">
        <f>Data_LabTests[[#This Row],[Hole ID]]&amp;"_"&amp;Data_LabTests[[#This Row],[Sample '#]]</f>
        <v>_</v>
      </c>
      <c r="F108" s="6"/>
      <c r="G108" s="6"/>
      <c r="H108" s="5"/>
      <c r="I108" s="5"/>
      <c r="J108" s="13">
        <f>Data_LabTests[[#This Row],[Depth to (m)]]-Data_LabTests[[#This Row],[Depth from (m)]]</f>
        <v>0</v>
      </c>
      <c r="K108" s="6"/>
      <c r="L108" s="63" t="e">
        <f>VLOOKUP(Data_LabTests[[#This Row],[Hole ID]],Data_Log[[Hole ID]:[Core size]],20,FALSE)</f>
        <v>#N/A</v>
      </c>
      <c r="M108" s="6"/>
      <c r="N108" s="6"/>
      <c r="O108" s="6"/>
      <c r="P108" s="6"/>
      <c r="Q108" s="6"/>
    </row>
    <row r="109" spans="2:17" x14ac:dyDescent="0.25">
      <c r="B109" s="67" t="e">
        <f>VLOOKUP(Data_LabTests[[#This Row],[Hole ID]],Data_Log[],2,FALSE)</f>
        <v>#N/A</v>
      </c>
      <c r="C109" s="67">
        <f>_xlfn.XLOOKUP(Data_LabTests[[#This Row],[Hole ID]],Data_Log[Hole ID],Data_Log[Pit])</f>
        <v>0</v>
      </c>
      <c r="D109" s="19"/>
      <c r="E109" s="85" t="str">
        <f>Data_LabTests[[#This Row],[Hole ID]]&amp;"_"&amp;Data_LabTests[[#This Row],[Sample '#]]</f>
        <v>_</v>
      </c>
      <c r="F109" s="6"/>
      <c r="G109" s="6"/>
      <c r="H109" s="5"/>
      <c r="I109" s="5"/>
      <c r="J109" s="13">
        <f>Data_LabTests[[#This Row],[Depth to (m)]]-Data_LabTests[[#This Row],[Depth from (m)]]</f>
        <v>0</v>
      </c>
      <c r="K109" s="6"/>
      <c r="L109" s="63" t="e">
        <f>VLOOKUP(Data_LabTests[[#This Row],[Hole ID]],Data_Log[[Hole ID]:[Core size]],20,FALSE)</f>
        <v>#N/A</v>
      </c>
      <c r="M109" s="6"/>
      <c r="N109" s="6"/>
      <c r="O109" s="6"/>
      <c r="P109" s="6"/>
      <c r="Q109" s="6"/>
    </row>
    <row r="110" spans="2:17" x14ac:dyDescent="0.25">
      <c r="B110" s="67" t="e">
        <f>VLOOKUP(Data_LabTests[[#This Row],[Hole ID]],Data_Log[],2,FALSE)</f>
        <v>#N/A</v>
      </c>
      <c r="C110" s="67">
        <f>_xlfn.XLOOKUP(Data_LabTests[[#This Row],[Hole ID]],Data_Log[Hole ID],Data_Log[Pit])</f>
        <v>0</v>
      </c>
      <c r="D110" s="19"/>
      <c r="E110" s="63" t="str">
        <f>Data_LabTests[[#This Row],[Hole ID]]&amp;"_"&amp;Data_LabTests[[#This Row],[Sample '#]]</f>
        <v>_</v>
      </c>
      <c r="F110" s="6"/>
      <c r="G110" s="6"/>
      <c r="H110" s="5"/>
      <c r="I110" s="5"/>
      <c r="J110" s="13">
        <f>Data_LabTests[[#This Row],[Depth to (m)]]-Data_LabTests[[#This Row],[Depth from (m)]]</f>
        <v>0</v>
      </c>
      <c r="K110" s="6"/>
      <c r="L110" s="63" t="e">
        <f>VLOOKUP(Data_LabTests[[#This Row],[Hole ID]],Data_Log[[Hole ID]:[Core size]],20,FALSE)</f>
        <v>#N/A</v>
      </c>
      <c r="M110" s="6"/>
      <c r="N110" s="6"/>
      <c r="O110" s="6"/>
      <c r="P110" s="6"/>
      <c r="Q110" s="6"/>
    </row>
    <row r="111" spans="2:17" x14ac:dyDescent="0.25">
      <c r="B111" s="67" t="e">
        <f>VLOOKUP(Data_LabTests[[#This Row],[Hole ID]],Data_Log[],2,FALSE)</f>
        <v>#N/A</v>
      </c>
      <c r="C111" s="67">
        <f>_xlfn.XLOOKUP(Data_LabTests[[#This Row],[Hole ID]],Data_Log[Hole ID],Data_Log[Pit])</f>
        <v>0</v>
      </c>
      <c r="D111" s="19"/>
      <c r="E111" s="63" t="str">
        <f>Data_LabTests[[#This Row],[Hole ID]]&amp;"_"&amp;Data_LabTests[[#This Row],[Sample '#]]</f>
        <v>_</v>
      </c>
      <c r="F111" s="6"/>
      <c r="G111" s="6"/>
      <c r="H111" s="5"/>
      <c r="I111" s="5"/>
      <c r="J111" s="13">
        <f>Data_LabTests[[#This Row],[Depth to (m)]]-Data_LabTests[[#This Row],[Depth from (m)]]</f>
        <v>0</v>
      </c>
      <c r="K111" s="6"/>
      <c r="L111" s="63" t="e">
        <f>VLOOKUP(Data_LabTests[[#This Row],[Hole ID]],Data_Log[[Hole ID]:[Core size]],20,FALSE)</f>
        <v>#N/A</v>
      </c>
      <c r="M111" s="6"/>
      <c r="N111" s="6"/>
      <c r="O111" s="6"/>
      <c r="P111" s="6"/>
      <c r="Q111" s="6"/>
    </row>
    <row r="112" spans="2:17" x14ac:dyDescent="0.25">
      <c r="B112" s="67" t="e">
        <f>VLOOKUP(Data_LabTests[[#This Row],[Hole ID]],Data_Log[],2,FALSE)</f>
        <v>#N/A</v>
      </c>
      <c r="C112" s="67">
        <f>_xlfn.XLOOKUP(Data_LabTests[[#This Row],[Hole ID]],Data_Log[Hole ID],Data_Log[Pit])</f>
        <v>0</v>
      </c>
      <c r="D112" s="19"/>
      <c r="E112" s="63" t="str">
        <f>Data_LabTests[[#This Row],[Hole ID]]&amp;"_"&amp;Data_LabTests[[#This Row],[Sample '#]]</f>
        <v>_</v>
      </c>
      <c r="F112" s="6"/>
      <c r="G112" s="6"/>
      <c r="H112" s="5"/>
      <c r="I112" s="5"/>
      <c r="J112" s="13">
        <f>Data_LabTests[[#This Row],[Depth to (m)]]-Data_LabTests[[#This Row],[Depth from (m)]]</f>
        <v>0</v>
      </c>
      <c r="K112" s="6"/>
      <c r="L112" s="63" t="e">
        <f>VLOOKUP(Data_LabTests[[#This Row],[Hole ID]],Data_Log[[Hole ID]:[Core size]],20,FALSE)</f>
        <v>#N/A</v>
      </c>
      <c r="M112" s="6"/>
      <c r="N112" s="6"/>
      <c r="O112" s="6"/>
      <c r="P112" s="6"/>
      <c r="Q112" s="6"/>
    </row>
    <row r="113" spans="2:17" x14ac:dyDescent="0.25">
      <c r="B113" s="67" t="e">
        <f>VLOOKUP(Data_LabTests[[#This Row],[Hole ID]],Data_Log[],2,FALSE)</f>
        <v>#N/A</v>
      </c>
      <c r="C113" s="67">
        <f>_xlfn.XLOOKUP(Data_LabTests[[#This Row],[Hole ID]],Data_Log[Hole ID],Data_Log[Pit])</f>
        <v>0</v>
      </c>
      <c r="D113" s="19"/>
      <c r="E113" s="63" t="str">
        <f>Data_LabTests[[#This Row],[Hole ID]]&amp;"_"&amp;Data_LabTests[[#This Row],[Sample '#]]</f>
        <v>_</v>
      </c>
      <c r="F113" s="6"/>
      <c r="G113" s="6"/>
      <c r="H113" s="5"/>
      <c r="I113" s="5"/>
      <c r="J113" s="13">
        <f>Data_LabTests[[#This Row],[Depth to (m)]]-Data_LabTests[[#This Row],[Depth from (m)]]</f>
        <v>0</v>
      </c>
      <c r="K113" s="6"/>
      <c r="L113" s="63" t="e">
        <f>VLOOKUP(Data_LabTests[[#This Row],[Hole ID]],Data_Log[[Hole ID]:[Core size]],20,FALSE)</f>
        <v>#N/A</v>
      </c>
      <c r="M113" s="6"/>
      <c r="N113" s="6"/>
      <c r="O113" s="6"/>
      <c r="P113" s="6"/>
      <c r="Q113" s="6"/>
    </row>
    <row r="114" spans="2:17" x14ac:dyDescent="0.25">
      <c r="B114" s="67" t="e">
        <f>VLOOKUP(Data_LabTests[[#This Row],[Hole ID]],Data_Log[],2,FALSE)</f>
        <v>#N/A</v>
      </c>
      <c r="C114" s="67">
        <f>_xlfn.XLOOKUP(Data_LabTests[[#This Row],[Hole ID]],Data_Log[Hole ID],Data_Log[Pit])</f>
        <v>0</v>
      </c>
      <c r="D114" s="19"/>
      <c r="E114" s="63" t="str">
        <f>Data_LabTests[[#This Row],[Hole ID]]&amp;"_"&amp;Data_LabTests[[#This Row],[Sample '#]]</f>
        <v>_</v>
      </c>
      <c r="F114" s="6"/>
      <c r="G114" s="6"/>
      <c r="H114" s="5"/>
      <c r="I114" s="5"/>
      <c r="J114" s="13">
        <f>Data_LabTests[[#This Row],[Depth to (m)]]-Data_LabTests[[#This Row],[Depth from (m)]]</f>
        <v>0</v>
      </c>
      <c r="K114" s="6"/>
      <c r="L114" s="63" t="e">
        <f>VLOOKUP(Data_LabTests[[#This Row],[Hole ID]],Data_Log[[Hole ID]:[Core size]],20,FALSE)</f>
        <v>#N/A</v>
      </c>
      <c r="M114" s="6"/>
      <c r="N114" s="6"/>
      <c r="O114" s="6"/>
      <c r="P114" s="6"/>
      <c r="Q114" s="6"/>
    </row>
    <row r="115" spans="2:17" x14ac:dyDescent="0.25">
      <c r="B115" s="67" t="e">
        <f>VLOOKUP(Data_LabTests[[#This Row],[Hole ID]],Data_Log[],2,FALSE)</f>
        <v>#N/A</v>
      </c>
      <c r="C115" s="67">
        <f>_xlfn.XLOOKUP(Data_LabTests[[#This Row],[Hole ID]],Data_Log[Hole ID],Data_Log[Pit])</f>
        <v>0</v>
      </c>
      <c r="D115" s="19"/>
      <c r="E115" s="63" t="str">
        <f>Data_LabTests[[#This Row],[Hole ID]]&amp;"_"&amp;Data_LabTests[[#This Row],[Sample '#]]</f>
        <v>_</v>
      </c>
      <c r="F115" s="6"/>
      <c r="G115" s="6"/>
      <c r="H115" s="5"/>
      <c r="I115" s="5"/>
      <c r="J115" s="13">
        <f>Data_LabTests[[#This Row],[Depth to (m)]]-Data_LabTests[[#This Row],[Depth from (m)]]</f>
        <v>0</v>
      </c>
      <c r="K115" s="6"/>
      <c r="L115" s="63" t="e">
        <f>VLOOKUP(Data_LabTests[[#This Row],[Hole ID]],Data_Log[[Hole ID]:[Core size]],20,FALSE)</f>
        <v>#N/A</v>
      </c>
      <c r="M115" s="6"/>
      <c r="N115" s="6"/>
      <c r="O115" s="6"/>
      <c r="P115" s="6"/>
      <c r="Q115" s="6"/>
    </row>
    <row r="116" spans="2:17" x14ac:dyDescent="0.25">
      <c r="B116" s="67" t="e">
        <f>VLOOKUP(Data_LabTests[[#This Row],[Hole ID]],Data_Log[],2,FALSE)</f>
        <v>#N/A</v>
      </c>
      <c r="C116" s="67">
        <f>_xlfn.XLOOKUP(Data_LabTests[[#This Row],[Hole ID]],Data_Log[Hole ID],Data_Log[Pit])</f>
        <v>0</v>
      </c>
      <c r="D116" s="19"/>
      <c r="E116" s="85" t="str">
        <f>Data_LabTests[[#This Row],[Hole ID]]&amp;"_"&amp;Data_LabTests[[#This Row],[Sample '#]]</f>
        <v>_</v>
      </c>
      <c r="F116" s="6"/>
      <c r="G116" s="6"/>
      <c r="H116" s="5"/>
      <c r="I116" s="5"/>
      <c r="J116" s="13">
        <f>Data_LabTests[[#This Row],[Depth to (m)]]-Data_LabTests[[#This Row],[Depth from (m)]]</f>
        <v>0</v>
      </c>
      <c r="K116" s="6"/>
      <c r="L116" s="63" t="e">
        <f>VLOOKUP(Data_LabTests[[#This Row],[Hole ID]],Data_Log[[Hole ID]:[Core size]],20,FALSE)</f>
        <v>#N/A</v>
      </c>
      <c r="M116" s="6"/>
      <c r="N116" s="6"/>
      <c r="O116" s="6"/>
      <c r="P116" s="6"/>
      <c r="Q116" s="6"/>
    </row>
    <row r="117" spans="2:17" x14ac:dyDescent="0.25">
      <c r="B117" s="67" t="e">
        <f>VLOOKUP(Data_LabTests[[#This Row],[Hole ID]],Data_Log[],2,FALSE)</f>
        <v>#N/A</v>
      </c>
      <c r="C117" s="67">
        <f>_xlfn.XLOOKUP(Data_LabTests[[#This Row],[Hole ID]],Data_Log[Hole ID],Data_Log[Pit])</f>
        <v>0</v>
      </c>
      <c r="D117" s="19"/>
      <c r="E117" s="63" t="str">
        <f>Data_LabTests[[#This Row],[Hole ID]]&amp;"_"&amp;Data_LabTests[[#This Row],[Sample '#]]</f>
        <v>_</v>
      </c>
      <c r="F117" s="6"/>
      <c r="G117" s="6"/>
      <c r="H117" s="5"/>
      <c r="I117" s="5"/>
      <c r="J117" s="13">
        <f>Data_LabTests[[#This Row],[Depth to (m)]]-Data_LabTests[[#This Row],[Depth from (m)]]</f>
        <v>0</v>
      </c>
      <c r="K117" s="6"/>
      <c r="L117" s="63" t="e">
        <f>VLOOKUP(Data_LabTests[[#This Row],[Hole ID]],Data_Log[[Hole ID]:[Core size]],20,FALSE)</f>
        <v>#N/A</v>
      </c>
      <c r="M117" s="6"/>
      <c r="N117" s="6"/>
      <c r="O117" s="6"/>
      <c r="P117" s="6"/>
      <c r="Q117" s="6"/>
    </row>
    <row r="118" spans="2:17" x14ac:dyDescent="0.25">
      <c r="B118" s="67" t="e">
        <f>VLOOKUP(Data_LabTests[[#This Row],[Hole ID]],Data_Log[],2,FALSE)</f>
        <v>#N/A</v>
      </c>
      <c r="C118" s="67">
        <f>_xlfn.XLOOKUP(Data_LabTests[[#This Row],[Hole ID]],Data_Log[Hole ID],Data_Log[Pit])</f>
        <v>0</v>
      </c>
      <c r="D118" s="19"/>
      <c r="E118" s="63" t="str">
        <f>Data_LabTests[[#This Row],[Hole ID]]&amp;"_"&amp;Data_LabTests[[#This Row],[Sample '#]]</f>
        <v>_</v>
      </c>
      <c r="F118" s="6"/>
      <c r="G118" s="6"/>
      <c r="H118" s="5"/>
      <c r="I118" s="5"/>
      <c r="J118" s="13">
        <f>Data_LabTests[[#This Row],[Depth to (m)]]-Data_LabTests[[#This Row],[Depth from (m)]]</f>
        <v>0</v>
      </c>
      <c r="K118" s="6"/>
      <c r="L118" s="63" t="e">
        <f>VLOOKUP(Data_LabTests[[#This Row],[Hole ID]],Data_Log[[Hole ID]:[Core size]],20,FALSE)</f>
        <v>#N/A</v>
      </c>
      <c r="M118" s="6"/>
      <c r="N118" s="6"/>
      <c r="O118" s="6"/>
      <c r="P118" s="6"/>
      <c r="Q118" s="6"/>
    </row>
    <row r="119" spans="2:17" x14ac:dyDescent="0.25">
      <c r="B119" s="67" t="e">
        <f>VLOOKUP(Data_LabTests[[#This Row],[Hole ID]],Data_Log[],2,FALSE)</f>
        <v>#N/A</v>
      </c>
      <c r="C119" s="67">
        <f>_xlfn.XLOOKUP(Data_LabTests[[#This Row],[Hole ID]],Data_Log[Hole ID],Data_Log[Pit])</f>
        <v>0</v>
      </c>
      <c r="D119" s="19"/>
      <c r="E119" s="63" t="str">
        <f>Data_LabTests[[#This Row],[Hole ID]]&amp;"_"&amp;Data_LabTests[[#This Row],[Sample '#]]</f>
        <v>_</v>
      </c>
      <c r="F119" s="6"/>
      <c r="G119" s="6"/>
      <c r="H119" s="5"/>
      <c r="I119" s="5"/>
      <c r="J119" s="13">
        <f>Data_LabTests[[#This Row],[Depth to (m)]]-Data_LabTests[[#This Row],[Depth from (m)]]</f>
        <v>0</v>
      </c>
      <c r="K119" s="6"/>
      <c r="L119" s="63" t="e">
        <f>VLOOKUP(Data_LabTests[[#This Row],[Hole ID]],Data_Log[[Hole ID]:[Core size]],20,FALSE)</f>
        <v>#N/A</v>
      </c>
      <c r="M119" s="6"/>
      <c r="N119" s="6"/>
      <c r="O119" s="6"/>
      <c r="P119" s="6"/>
      <c r="Q119" s="6"/>
    </row>
    <row r="120" spans="2:17" x14ac:dyDescent="0.25">
      <c r="B120" s="67" t="e">
        <f>VLOOKUP(Data_LabTests[[#This Row],[Hole ID]],Data_Log[],2,FALSE)</f>
        <v>#N/A</v>
      </c>
      <c r="C120" s="67">
        <f>_xlfn.XLOOKUP(Data_LabTests[[#This Row],[Hole ID]],Data_Log[Hole ID],Data_Log[Pit])</f>
        <v>0</v>
      </c>
      <c r="D120" s="19"/>
      <c r="E120" s="63" t="str">
        <f>Data_LabTests[[#This Row],[Hole ID]]&amp;"_"&amp;Data_LabTests[[#This Row],[Sample '#]]</f>
        <v>_</v>
      </c>
      <c r="F120" s="6"/>
      <c r="G120" s="6"/>
      <c r="H120" s="5"/>
      <c r="I120" s="5"/>
      <c r="J120" s="13">
        <f>Data_LabTests[[#This Row],[Depth to (m)]]-Data_LabTests[[#This Row],[Depth from (m)]]</f>
        <v>0</v>
      </c>
      <c r="K120" s="6"/>
      <c r="L120" s="63" t="e">
        <f>VLOOKUP(Data_LabTests[[#This Row],[Hole ID]],Data_Log[[Hole ID]:[Core size]],20,FALSE)</f>
        <v>#N/A</v>
      </c>
      <c r="M120" s="6"/>
      <c r="N120" s="6"/>
      <c r="O120" s="6"/>
      <c r="P120" s="6"/>
      <c r="Q120" s="6"/>
    </row>
    <row r="121" spans="2:17" x14ac:dyDescent="0.25">
      <c r="B121" s="67" t="e">
        <f>VLOOKUP(Data_LabTests[[#This Row],[Hole ID]],Data_Log[],2,FALSE)</f>
        <v>#N/A</v>
      </c>
      <c r="C121" s="67">
        <f>_xlfn.XLOOKUP(Data_LabTests[[#This Row],[Hole ID]],Data_Log[Hole ID],Data_Log[Pit])</f>
        <v>0</v>
      </c>
      <c r="D121" s="19"/>
      <c r="E121" s="63" t="str">
        <f>Data_LabTests[[#This Row],[Hole ID]]&amp;"_"&amp;Data_LabTests[[#This Row],[Sample '#]]</f>
        <v>_</v>
      </c>
      <c r="F121" s="6"/>
      <c r="G121" s="6"/>
      <c r="H121" s="5"/>
      <c r="I121" s="5"/>
      <c r="J121" s="13">
        <f>Data_LabTests[[#This Row],[Depth to (m)]]-Data_LabTests[[#This Row],[Depth from (m)]]</f>
        <v>0</v>
      </c>
      <c r="K121" s="6"/>
      <c r="L121" s="63" t="e">
        <f>VLOOKUP(Data_LabTests[[#This Row],[Hole ID]],Data_Log[[Hole ID]:[Core size]],20,FALSE)</f>
        <v>#N/A</v>
      </c>
      <c r="M121" s="6"/>
      <c r="N121" s="6"/>
      <c r="O121" s="6"/>
      <c r="P121" s="6"/>
      <c r="Q121" s="6"/>
    </row>
    <row r="122" spans="2:17" x14ac:dyDescent="0.25">
      <c r="B122" s="67" t="e">
        <f>VLOOKUP(Data_LabTests[[#This Row],[Hole ID]],Data_Log[],2,FALSE)</f>
        <v>#N/A</v>
      </c>
      <c r="C122" s="67">
        <f>_xlfn.XLOOKUP(Data_LabTests[[#This Row],[Hole ID]],Data_Log[Hole ID],Data_Log[Pit])</f>
        <v>0</v>
      </c>
      <c r="D122" s="19"/>
      <c r="E122" s="63" t="str">
        <f>Data_LabTests[[#This Row],[Hole ID]]&amp;"_"&amp;Data_LabTests[[#This Row],[Sample '#]]</f>
        <v>_</v>
      </c>
      <c r="F122" s="6"/>
      <c r="G122" s="6"/>
      <c r="H122" s="5"/>
      <c r="I122" s="5"/>
      <c r="J122" s="13">
        <f>Data_LabTests[[#This Row],[Depth to (m)]]-Data_LabTests[[#This Row],[Depth from (m)]]</f>
        <v>0</v>
      </c>
      <c r="K122" s="6"/>
      <c r="L122" s="63" t="e">
        <f>VLOOKUP(Data_LabTests[[#This Row],[Hole ID]],Data_Log[[Hole ID]:[Core size]],20,FALSE)</f>
        <v>#N/A</v>
      </c>
      <c r="M122" s="6"/>
      <c r="N122" s="6"/>
      <c r="O122" s="6"/>
      <c r="P122" s="6"/>
      <c r="Q122" s="6"/>
    </row>
    <row r="123" spans="2:17" x14ac:dyDescent="0.25">
      <c r="B123" s="67" t="e">
        <f>VLOOKUP(Data_LabTests[[#This Row],[Hole ID]],Data_Log[],2,FALSE)</f>
        <v>#N/A</v>
      </c>
      <c r="C123" s="67">
        <f>_xlfn.XLOOKUP(Data_LabTests[[#This Row],[Hole ID]],Data_Log[Hole ID],Data_Log[Pit])</f>
        <v>0</v>
      </c>
      <c r="D123" s="19"/>
      <c r="E123" s="63" t="str">
        <f>Data_LabTests[[#This Row],[Hole ID]]&amp;"_"&amp;Data_LabTests[[#This Row],[Sample '#]]</f>
        <v>_</v>
      </c>
      <c r="F123" s="6"/>
      <c r="G123" s="6"/>
      <c r="H123" s="5"/>
      <c r="I123" s="5"/>
      <c r="J123" s="13">
        <f>Data_LabTests[[#This Row],[Depth to (m)]]-Data_LabTests[[#This Row],[Depth from (m)]]</f>
        <v>0</v>
      </c>
      <c r="K123" s="6"/>
      <c r="L123" s="63" t="e">
        <f>VLOOKUP(Data_LabTests[[#This Row],[Hole ID]],Data_Log[[Hole ID]:[Core size]],20,FALSE)</f>
        <v>#N/A</v>
      </c>
      <c r="M123" s="6"/>
      <c r="N123" s="6"/>
      <c r="O123" s="6"/>
      <c r="P123" s="6"/>
      <c r="Q123" s="6"/>
    </row>
    <row r="124" spans="2:17" x14ac:dyDescent="0.25">
      <c r="B124" s="67" t="e">
        <f>VLOOKUP(Data_LabTests[[#This Row],[Hole ID]],Data_Log[],2,FALSE)</f>
        <v>#N/A</v>
      </c>
      <c r="C124" s="67">
        <f>_xlfn.XLOOKUP(Data_LabTests[[#This Row],[Hole ID]],Data_Log[Hole ID],Data_Log[Pit])</f>
        <v>0</v>
      </c>
      <c r="D124" s="19"/>
      <c r="E124" s="63" t="str">
        <f>Data_LabTests[[#This Row],[Hole ID]]&amp;"_"&amp;Data_LabTests[[#This Row],[Sample '#]]</f>
        <v>_</v>
      </c>
      <c r="F124" s="6"/>
      <c r="G124" s="6"/>
      <c r="H124" s="5"/>
      <c r="I124" s="5"/>
      <c r="J124" s="13">
        <f>Data_LabTests[[#This Row],[Depth to (m)]]-Data_LabTests[[#This Row],[Depth from (m)]]</f>
        <v>0</v>
      </c>
      <c r="K124" s="6"/>
      <c r="L124" s="63" t="e">
        <f>VLOOKUP(Data_LabTests[[#This Row],[Hole ID]],Data_Log[[Hole ID]:[Core size]],20,FALSE)</f>
        <v>#N/A</v>
      </c>
      <c r="M124" s="6"/>
      <c r="N124" s="6"/>
      <c r="O124" s="6"/>
      <c r="P124" s="6"/>
      <c r="Q124" s="6"/>
    </row>
    <row r="125" spans="2:17" x14ac:dyDescent="0.25">
      <c r="B125" s="67" t="e">
        <f>VLOOKUP(Data_LabTests[[#This Row],[Hole ID]],Data_Log[],2,FALSE)</f>
        <v>#N/A</v>
      </c>
      <c r="C125" s="67">
        <f>_xlfn.XLOOKUP(Data_LabTests[[#This Row],[Hole ID]],Data_Log[Hole ID],Data_Log[Pit])</f>
        <v>0</v>
      </c>
      <c r="D125" s="19"/>
      <c r="E125" s="63" t="str">
        <f>Data_LabTests[[#This Row],[Hole ID]]&amp;"_"&amp;Data_LabTests[[#This Row],[Sample '#]]</f>
        <v>_</v>
      </c>
      <c r="F125" s="6"/>
      <c r="G125" s="6"/>
      <c r="H125" s="5"/>
      <c r="I125" s="5"/>
      <c r="J125" s="13">
        <f>Data_LabTests[[#This Row],[Depth to (m)]]-Data_LabTests[[#This Row],[Depth from (m)]]</f>
        <v>0</v>
      </c>
      <c r="K125" s="6"/>
      <c r="L125" s="63" t="e">
        <f>VLOOKUP(Data_LabTests[[#This Row],[Hole ID]],Data_Log[[Hole ID]:[Core size]],20,FALSE)</f>
        <v>#N/A</v>
      </c>
      <c r="M125" s="6"/>
      <c r="N125" s="6"/>
      <c r="O125" s="6"/>
      <c r="P125" s="6"/>
      <c r="Q125" s="6"/>
    </row>
    <row r="126" spans="2:17" x14ac:dyDescent="0.25">
      <c r="B126" s="67" t="e">
        <f>VLOOKUP(Data_LabTests[[#This Row],[Hole ID]],Data_Log[],2,FALSE)</f>
        <v>#N/A</v>
      </c>
      <c r="C126" s="67">
        <f>_xlfn.XLOOKUP(Data_LabTests[[#This Row],[Hole ID]],Data_Log[Hole ID],Data_Log[Pit])</f>
        <v>0</v>
      </c>
      <c r="D126" s="19"/>
      <c r="E126" s="63" t="str">
        <f>Data_LabTests[[#This Row],[Hole ID]]&amp;"_"&amp;Data_LabTests[[#This Row],[Sample '#]]</f>
        <v>_</v>
      </c>
      <c r="F126" s="6"/>
      <c r="G126" s="6"/>
      <c r="H126" s="5"/>
      <c r="I126" s="5"/>
      <c r="J126" s="13">
        <f>Data_LabTests[[#This Row],[Depth to (m)]]-Data_LabTests[[#This Row],[Depth from (m)]]</f>
        <v>0</v>
      </c>
      <c r="K126" s="6"/>
      <c r="L126" s="63" t="e">
        <f>VLOOKUP(Data_LabTests[[#This Row],[Hole ID]],Data_Log[[Hole ID]:[Core size]],20,FALSE)</f>
        <v>#N/A</v>
      </c>
      <c r="M126" s="6"/>
      <c r="N126" s="6"/>
      <c r="O126" s="6"/>
      <c r="P126" s="6"/>
      <c r="Q126" s="6"/>
    </row>
    <row r="127" spans="2:17" x14ac:dyDescent="0.25">
      <c r="B127" s="67" t="e">
        <f>VLOOKUP(Data_LabTests[[#This Row],[Hole ID]],Data_Log[],2,FALSE)</f>
        <v>#N/A</v>
      </c>
      <c r="C127" s="67">
        <f>_xlfn.XLOOKUP(Data_LabTests[[#This Row],[Hole ID]],Data_Log[Hole ID],Data_Log[Pit])</f>
        <v>0</v>
      </c>
      <c r="D127" s="19"/>
      <c r="E127" s="63" t="str">
        <f>Data_LabTests[[#This Row],[Hole ID]]&amp;"_"&amp;Data_LabTests[[#This Row],[Sample '#]]</f>
        <v>_</v>
      </c>
      <c r="F127" s="6"/>
      <c r="G127" s="6"/>
      <c r="H127" s="5"/>
      <c r="I127" s="5"/>
      <c r="J127" s="13">
        <f>Data_LabTests[[#This Row],[Depth to (m)]]-Data_LabTests[[#This Row],[Depth from (m)]]</f>
        <v>0</v>
      </c>
      <c r="K127" s="6"/>
      <c r="L127" s="63" t="e">
        <f>VLOOKUP(Data_LabTests[[#This Row],[Hole ID]],Data_Log[[Hole ID]:[Core size]],20,FALSE)</f>
        <v>#N/A</v>
      </c>
      <c r="M127" s="6"/>
      <c r="N127" s="6"/>
      <c r="O127" s="6"/>
      <c r="P127" s="6"/>
      <c r="Q127" s="6"/>
    </row>
    <row r="128" spans="2:17" x14ac:dyDescent="0.25">
      <c r="B128" s="67" t="e">
        <f>VLOOKUP(Data_LabTests[[#This Row],[Hole ID]],Data_Log[],2,FALSE)</f>
        <v>#N/A</v>
      </c>
      <c r="C128" s="67">
        <f>_xlfn.XLOOKUP(Data_LabTests[[#This Row],[Hole ID]],Data_Log[Hole ID],Data_Log[Pit])</f>
        <v>0</v>
      </c>
      <c r="D128" s="19"/>
      <c r="E128" s="63" t="str">
        <f>Data_LabTests[[#This Row],[Hole ID]]&amp;"_"&amp;Data_LabTests[[#This Row],[Sample '#]]</f>
        <v>_</v>
      </c>
      <c r="F128" s="6"/>
      <c r="G128" s="6"/>
      <c r="H128" s="5"/>
      <c r="I128" s="5"/>
      <c r="J128" s="13">
        <f>Data_LabTests[[#This Row],[Depth to (m)]]-Data_LabTests[[#This Row],[Depth from (m)]]</f>
        <v>0</v>
      </c>
      <c r="K128" s="6"/>
      <c r="L128" s="63" t="e">
        <f>VLOOKUP(Data_LabTests[[#This Row],[Hole ID]],Data_Log[[Hole ID]:[Core size]],20,FALSE)</f>
        <v>#N/A</v>
      </c>
      <c r="M128" s="6"/>
      <c r="N128" s="6"/>
      <c r="O128" s="6"/>
      <c r="P128" s="6"/>
      <c r="Q128" s="6"/>
    </row>
    <row r="129" spans="2:17" x14ac:dyDescent="0.25">
      <c r="B129" s="67" t="e">
        <f>VLOOKUP(Data_LabTests[[#This Row],[Hole ID]],Data_Log[],2,FALSE)</f>
        <v>#N/A</v>
      </c>
      <c r="C129" s="67">
        <f>_xlfn.XLOOKUP(Data_LabTests[[#This Row],[Hole ID]],Data_Log[Hole ID],Data_Log[Pit])</f>
        <v>0</v>
      </c>
      <c r="D129" s="19"/>
      <c r="E129" s="63" t="str">
        <f>Data_LabTests[[#This Row],[Hole ID]]&amp;"_"&amp;Data_LabTests[[#This Row],[Sample '#]]</f>
        <v>_</v>
      </c>
      <c r="F129" s="6"/>
      <c r="G129" s="6"/>
      <c r="H129" s="5"/>
      <c r="I129" s="5"/>
      <c r="J129" s="13">
        <f>Data_LabTests[[#This Row],[Depth to (m)]]-Data_LabTests[[#This Row],[Depth from (m)]]</f>
        <v>0</v>
      </c>
      <c r="K129" s="6"/>
      <c r="L129" s="63" t="e">
        <f>VLOOKUP(Data_LabTests[[#This Row],[Hole ID]],Data_Log[[Hole ID]:[Core size]],20,FALSE)</f>
        <v>#N/A</v>
      </c>
      <c r="M129" s="6"/>
      <c r="N129" s="6"/>
      <c r="O129" s="6"/>
      <c r="P129" s="6"/>
      <c r="Q129" s="6"/>
    </row>
    <row r="130" spans="2:17" x14ac:dyDescent="0.25">
      <c r="B130" s="67" t="e">
        <f>VLOOKUP(Data_LabTests[[#This Row],[Hole ID]],Data_Log[],2,FALSE)</f>
        <v>#N/A</v>
      </c>
      <c r="C130" s="67">
        <f>_xlfn.XLOOKUP(Data_LabTests[[#This Row],[Hole ID]],Data_Log[Hole ID],Data_Log[Pit])</f>
        <v>0</v>
      </c>
      <c r="D130" s="19"/>
      <c r="E130" s="63" t="str">
        <f>Data_LabTests[[#This Row],[Hole ID]]&amp;"_"&amp;Data_LabTests[[#This Row],[Sample '#]]</f>
        <v>_</v>
      </c>
      <c r="F130" s="6"/>
      <c r="G130" s="6"/>
      <c r="H130" s="5"/>
      <c r="I130" s="5"/>
      <c r="J130" s="13">
        <f>Data_LabTests[[#This Row],[Depth to (m)]]-Data_LabTests[[#This Row],[Depth from (m)]]</f>
        <v>0</v>
      </c>
      <c r="K130" s="6"/>
      <c r="L130" s="63" t="e">
        <f>VLOOKUP(Data_LabTests[[#This Row],[Hole ID]],Data_Log[[Hole ID]:[Core size]],20,FALSE)</f>
        <v>#N/A</v>
      </c>
      <c r="M130" s="6"/>
      <c r="N130" s="6"/>
      <c r="O130" s="6"/>
      <c r="P130" s="6"/>
      <c r="Q130" s="6"/>
    </row>
    <row r="131" spans="2:17" x14ac:dyDescent="0.25">
      <c r="B131" s="67" t="e">
        <f>VLOOKUP(Data_LabTests[[#This Row],[Hole ID]],Data_Log[],2,FALSE)</f>
        <v>#N/A</v>
      </c>
      <c r="C131" s="67">
        <f>_xlfn.XLOOKUP(Data_LabTests[[#This Row],[Hole ID]],Data_Log[Hole ID],Data_Log[Pit])</f>
        <v>0</v>
      </c>
      <c r="D131" s="19"/>
      <c r="E131" s="63" t="str">
        <f>Data_LabTests[[#This Row],[Hole ID]]&amp;"_"&amp;Data_LabTests[[#This Row],[Sample '#]]</f>
        <v>_</v>
      </c>
      <c r="F131" s="6"/>
      <c r="G131" s="6"/>
      <c r="H131" s="5"/>
      <c r="I131" s="5"/>
      <c r="J131" s="13">
        <f>Data_LabTests[[#This Row],[Depth to (m)]]-Data_LabTests[[#This Row],[Depth from (m)]]</f>
        <v>0</v>
      </c>
      <c r="K131" s="6"/>
      <c r="L131" s="63" t="e">
        <f>VLOOKUP(Data_LabTests[[#This Row],[Hole ID]],Data_Log[[Hole ID]:[Core size]],20,FALSE)</f>
        <v>#N/A</v>
      </c>
      <c r="M131" s="6"/>
      <c r="N131" s="6"/>
      <c r="O131" s="6"/>
      <c r="P131" s="6"/>
      <c r="Q131" s="6"/>
    </row>
    <row r="132" spans="2:17" x14ac:dyDescent="0.25">
      <c r="B132" s="67" t="e">
        <f>VLOOKUP(Data_LabTests[[#This Row],[Hole ID]],Data_Log[],2,FALSE)</f>
        <v>#N/A</v>
      </c>
      <c r="C132" s="67">
        <f>_xlfn.XLOOKUP(Data_LabTests[[#This Row],[Hole ID]],Data_Log[Hole ID],Data_Log[Pit])</f>
        <v>0</v>
      </c>
      <c r="D132" s="19"/>
      <c r="E132" s="63" t="str">
        <f>Data_LabTests[[#This Row],[Hole ID]]&amp;"_"&amp;Data_LabTests[[#This Row],[Sample '#]]</f>
        <v>_</v>
      </c>
      <c r="F132" s="6"/>
      <c r="G132" s="6"/>
      <c r="H132" s="5"/>
      <c r="I132" s="5"/>
      <c r="J132" s="13">
        <f>Data_LabTests[[#This Row],[Depth to (m)]]-Data_LabTests[[#This Row],[Depth from (m)]]</f>
        <v>0</v>
      </c>
      <c r="K132" s="6"/>
      <c r="L132" s="63" t="e">
        <f>VLOOKUP(Data_LabTests[[#This Row],[Hole ID]],Data_Log[[Hole ID]:[Core size]],20,FALSE)</f>
        <v>#N/A</v>
      </c>
      <c r="M132" s="6"/>
      <c r="N132" s="6"/>
      <c r="O132" s="6"/>
      <c r="P132" s="6"/>
      <c r="Q132" s="6"/>
    </row>
    <row r="133" spans="2:17" x14ac:dyDescent="0.25">
      <c r="B133" s="67" t="e">
        <f>VLOOKUP(Data_LabTests[[#This Row],[Hole ID]],Data_Log[],2,FALSE)</f>
        <v>#N/A</v>
      </c>
      <c r="C133" s="67">
        <f>_xlfn.XLOOKUP(Data_LabTests[[#This Row],[Hole ID]],Data_Log[Hole ID],Data_Log[Pit])</f>
        <v>0</v>
      </c>
      <c r="D133" s="19"/>
      <c r="E133" s="63" t="str">
        <f>Data_LabTests[[#This Row],[Hole ID]]&amp;"_"&amp;Data_LabTests[[#This Row],[Sample '#]]</f>
        <v>_</v>
      </c>
      <c r="F133" s="6"/>
      <c r="G133" s="6"/>
      <c r="H133" s="5"/>
      <c r="I133" s="5"/>
      <c r="J133" s="13">
        <f>Data_LabTests[[#This Row],[Depth to (m)]]-Data_LabTests[[#This Row],[Depth from (m)]]</f>
        <v>0</v>
      </c>
      <c r="K133" s="6"/>
      <c r="L133" s="63" t="e">
        <f>VLOOKUP(Data_LabTests[[#This Row],[Hole ID]],Data_Log[[Hole ID]:[Core size]],20,FALSE)</f>
        <v>#N/A</v>
      </c>
      <c r="M133" s="6"/>
      <c r="N133" s="6"/>
      <c r="O133" s="6"/>
      <c r="P133" s="6"/>
      <c r="Q133" s="6"/>
    </row>
    <row r="134" spans="2:17" x14ac:dyDescent="0.25">
      <c r="B134" s="67" t="e">
        <f>VLOOKUP(Data_LabTests[[#This Row],[Hole ID]],Data_Log[],2,FALSE)</f>
        <v>#N/A</v>
      </c>
      <c r="C134" s="67">
        <f>_xlfn.XLOOKUP(Data_LabTests[[#This Row],[Hole ID]],Data_Log[Hole ID],Data_Log[Pit])</f>
        <v>0</v>
      </c>
      <c r="D134" s="19"/>
      <c r="E134" s="63" t="str">
        <f>Data_LabTests[[#This Row],[Hole ID]]&amp;"_"&amp;Data_LabTests[[#This Row],[Sample '#]]</f>
        <v>_</v>
      </c>
      <c r="F134" s="6"/>
      <c r="G134" s="6"/>
      <c r="H134" s="5"/>
      <c r="I134" s="5"/>
      <c r="J134" s="13">
        <f>Data_LabTests[[#This Row],[Depth to (m)]]-Data_LabTests[[#This Row],[Depth from (m)]]</f>
        <v>0</v>
      </c>
      <c r="K134" s="6"/>
      <c r="L134" s="63" t="e">
        <f>VLOOKUP(Data_LabTests[[#This Row],[Hole ID]],Data_Log[[Hole ID]:[Core size]],20,FALSE)</f>
        <v>#N/A</v>
      </c>
      <c r="M134" s="6"/>
      <c r="N134" s="6"/>
      <c r="O134" s="6"/>
      <c r="P134" s="6"/>
      <c r="Q134" s="6"/>
    </row>
    <row r="135" spans="2:17" x14ac:dyDescent="0.25">
      <c r="B135" s="67" t="e">
        <f>VLOOKUP(Data_LabTests[[#This Row],[Hole ID]],Data_Log[],2,FALSE)</f>
        <v>#N/A</v>
      </c>
      <c r="C135" s="67">
        <f>_xlfn.XLOOKUP(Data_LabTests[[#This Row],[Hole ID]],Data_Log[Hole ID],Data_Log[Pit])</f>
        <v>0</v>
      </c>
      <c r="D135" s="19"/>
      <c r="E135" s="63" t="str">
        <f>Data_LabTests[[#This Row],[Hole ID]]&amp;"_"&amp;Data_LabTests[[#This Row],[Sample '#]]</f>
        <v>_</v>
      </c>
      <c r="F135" s="6"/>
      <c r="G135" s="6"/>
      <c r="H135" s="5"/>
      <c r="I135" s="5"/>
      <c r="J135" s="13">
        <f>Data_LabTests[[#This Row],[Depth to (m)]]-Data_LabTests[[#This Row],[Depth from (m)]]</f>
        <v>0</v>
      </c>
      <c r="K135" s="6"/>
      <c r="L135" s="63" t="e">
        <f>VLOOKUP(Data_LabTests[[#This Row],[Hole ID]],Data_Log[[Hole ID]:[Core size]],20,FALSE)</f>
        <v>#N/A</v>
      </c>
      <c r="M135" s="6"/>
      <c r="N135" s="6"/>
      <c r="O135" s="6"/>
      <c r="P135" s="6"/>
      <c r="Q135" s="6"/>
    </row>
    <row r="136" spans="2:17" x14ac:dyDescent="0.25">
      <c r="B136" s="67" t="e">
        <f>VLOOKUP(Data_LabTests[[#This Row],[Hole ID]],Data_Log[],2,FALSE)</f>
        <v>#N/A</v>
      </c>
      <c r="C136" s="67">
        <f>_xlfn.XLOOKUP(Data_LabTests[[#This Row],[Hole ID]],Data_Log[Hole ID],Data_Log[Pit])</f>
        <v>0</v>
      </c>
      <c r="D136" s="19"/>
      <c r="E136" s="63" t="str">
        <f>Data_LabTests[[#This Row],[Hole ID]]&amp;"_"&amp;Data_LabTests[[#This Row],[Sample '#]]</f>
        <v>_</v>
      </c>
      <c r="F136" s="6"/>
      <c r="G136" s="6"/>
      <c r="H136" s="5"/>
      <c r="I136" s="5"/>
      <c r="J136" s="13">
        <f>Data_LabTests[[#This Row],[Depth to (m)]]-Data_LabTests[[#This Row],[Depth from (m)]]</f>
        <v>0</v>
      </c>
      <c r="K136" s="6"/>
      <c r="L136" s="63" t="e">
        <f>VLOOKUP(Data_LabTests[[#This Row],[Hole ID]],Data_Log[[Hole ID]:[Core size]],20,FALSE)</f>
        <v>#N/A</v>
      </c>
      <c r="M136" s="6"/>
      <c r="N136" s="6"/>
      <c r="O136" s="6"/>
      <c r="P136" s="6"/>
      <c r="Q136" s="6"/>
    </row>
    <row r="137" spans="2:17" x14ac:dyDescent="0.25">
      <c r="B137" s="67" t="e">
        <f>VLOOKUP(Data_LabTests[[#This Row],[Hole ID]],Data_Log[],2,FALSE)</f>
        <v>#N/A</v>
      </c>
      <c r="C137" s="67">
        <f>_xlfn.XLOOKUP(Data_LabTests[[#This Row],[Hole ID]],Data_Log[Hole ID],Data_Log[Pit])</f>
        <v>0</v>
      </c>
      <c r="D137" s="19"/>
      <c r="E137" s="63" t="str">
        <f>Data_LabTests[[#This Row],[Hole ID]]&amp;"_"&amp;Data_LabTests[[#This Row],[Sample '#]]</f>
        <v>_</v>
      </c>
      <c r="F137" s="6"/>
      <c r="G137" s="6"/>
      <c r="H137" s="5"/>
      <c r="I137" s="5"/>
      <c r="J137" s="13">
        <f>Data_LabTests[[#This Row],[Depth to (m)]]-Data_LabTests[[#This Row],[Depth from (m)]]</f>
        <v>0</v>
      </c>
      <c r="K137" s="6"/>
      <c r="L137" s="63" t="e">
        <f>VLOOKUP(Data_LabTests[[#This Row],[Hole ID]],Data_Log[[Hole ID]:[Core size]],20,FALSE)</f>
        <v>#N/A</v>
      </c>
      <c r="M137" s="6"/>
      <c r="N137" s="6"/>
      <c r="O137" s="6"/>
      <c r="P137" s="6"/>
      <c r="Q137" s="6"/>
    </row>
    <row r="138" spans="2:17" x14ac:dyDescent="0.25">
      <c r="B138" s="67" t="e">
        <f>VLOOKUP(Data_LabTests[[#This Row],[Hole ID]],Data_Log[],2,FALSE)</f>
        <v>#N/A</v>
      </c>
      <c r="C138" s="67">
        <f>_xlfn.XLOOKUP(Data_LabTests[[#This Row],[Hole ID]],Data_Log[Hole ID],Data_Log[Pit])</f>
        <v>0</v>
      </c>
      <c r="D138" s="19"/>
      <c r="E138" s="63" t="str">
        <f>Data_LabTests[[#This Row],[Hole ID]]&amp;"_"&amp;Data_LabTests[[#This Row],[Sample '#]]</f>
        <v>_</v>
      </c>
      <c r="F138" s="6"/>
      <c r="G138" s="6"/>
      <c r="H138" s="5"/>
      <c r="I138" s="5"/>
      <c r="J138" s="13">
        <f>Data_LabTests[[#This Row],[Depth to (m)]]-Data_LabTests[[#This Row],[Depth from (m)]]</f>
        <v>0</v>
      </c>
      <c r="K138" s="6"/>
      <c r="L138" s="63" t="e">
        <f>VLOOKUP(Data_LabTests[[#This Row],[Hole ID]],Data_Log[[Hole ID]:[Core size]],20,FALSE)</f>
        <v>#N/A</v>
      </c>
      <c r="M138" s="6"/>
      <c r="N138" s="6"/>
      <c r="O138" s="6"/>
      <c r="P138" s="6"/>
      <c r="Q138" s="6"/>
    </row>
    <row r="139" spans="2:17" x14ac:dyDescent="0.25">
      <c r="B139" s="67" t="e">
        <f>VLOOKUP(Data_LabTests[[#This Row],[Hole ID]],Data_Log[],2,FALSE)</f>
        <v>#N/A</v>
      </c>
      <c r="C139" s="67">
        <f>_xlfn.XLOOKUP(Data_LabTests[[#This Row],[Hole ID]],Data_Log[Hole ID],Data_Log[Pit])</f>
        <v>0</v>
      </c>
      <c r="D139" s="19"/>
      <c r="E139" s="63" t="str">
        <f>Data_LabTests[[#This Row],[Hole ID]]&amp;"_"&amp;Data_LabTests[[#This Row],[Sample '#]]</f>
        <v>_</v>
      </c>
      <c r="F139" s="6"/>
      <c r="G139" s="6"/>
      <c r="H139" s="5"/>
      <c r="I139" s="5"/>
      <c r="J139" s="13">
        <f>Data_LabTests[[#This Row],[Depth to (m)]]-Data_LabTests[[#This Row],[Depth from (m)]]</f>
        <v>0</v>
      </c>
      <c r="K139" s="6"/>
      <c r="L139" s="63" t="e">
        <f>VLOOKUP(Data_LabTests[[#This Row],[Hole ID]],Data_Log[[Hole ID]:[Core size]],20,FALSE)</f>
        <v>#N/A</v>
      </c>
      <c r="M139" s="6"/>
      <c r="N139" s="6"/>
      <c r="O139" s="6"/>
      <c r="P139" s="6"/>
      <c r="Q139" s="6"/>
    </row>
    <row r="140" spans="2:17" x14ac:dyDescent="0.25">
      <c r="B140" s="67" t="e">
        <f>VLOOKUP(Data_LabTests[[#This Row],[Hole ID]],Data_Log[],2,FALSE)</f>
        <v>#N/A</v>
      </c>
      <c r="C140" s="67">
        <f>_xlfn.XLOOKUP(Data_LabTests[[#This Row],[Hole ID]],Data_Log[Hole ID],Data_Log[Pit])</f>
        <v>0</v>
      </c>
      <c r="D140" s="19"/>
      <c r="E140" s="63" t="str">
        <f>Data_LabTests[[#This Row],[Hole ID]]&amp;"_"&amp;Data_LabTests[[#This Row],[Sample '#]]</f>
        <v>_</v>
      </c>
      <c r="F140" s="6"/>
      <c r="G140" s="6"/>
      <c r="H140" s="5"/>
      <c r="I140" s="5"/>
      <c r="J140" s="13">
        <f>Data_LabTests[[#This Row],[Depth to (m)]]-Data_LabTests[[#This Row],[Depth from (m)]]</f>
        <v>0</v>
      </c>
      <c r="K140" s="6"/>
      <c r="L140" s="63" t="e">
        <f>VLOOKUP(Data_LabTests[[#This Row],[Hole ID]],Data_Log[[Hole ID]:[Core size]],20,FALSE)</f>
        <v>#N/A</v>
      </c>
      <c r="M140" s="6"/>
      <c r="N140" s="6"/>
      <c r="O140" s="6"/>
      <c r="P140" s="6"/>
      <c r="Q140" s="6"/>
    </row>
    <row r="141" spans="2:17" x14ac:dyDescent="0.25">
      <c r="B141" s="67" t="e">
        <f>VLOOKUP(Data_LabTests[[#This Row],[Hole ID]],Data_Log[],2,FALSE)</f>
        <v>#N/A</v>
      </c>
      <c r="C141" s="67">
        <f>_xlfn.XLOOKUP(Data_LabTests[[#This Row],[Hole ID]],Data_Log[Hole ID],Data_Log[Pit])</f>
        <v>0</v>
      </c>
      <c r="D141" s="19"/>
      <c r="E141" s="63" t="str">
        <f>Data_LabTests[[#This Row],[Hole ID]]&amp;"_"&amp;Data_LabTests[[#This Row],[Sample '#]]</f>
        <v>_</v>
      </c>
      <c r="F141" s="6"/>
      <c r="G141" s="6"/>
      <c r="H141" s="5"/>
      <c r="I141" s="5"/>
      <c r="J141" s="13">
        <f>Data_LabTests[[#This Row],[Depth to (m)]]-Data_LabTests[[#This Row],[Depth from (m)]]</f>
        <v>0</v>
      </c>
      <c r="K141" s="6"/>
      <c r="L141" s="63" t="e">
        <f>VLOOKUP(Data_LabTests[[#This Row],[Hole ID]],Data_Log[[Hole ID]:[Core size]],20,FALSE)</f>
        <v>#N/A</v>
      </c>
      <c r="M141" s="6"/>
      <c r="N141" s="6"/>
      <c r="O141" s="6"/>
      <c r="P141" s="6"/>
      <c r="Q141" s="6"/>
    </row>
    <row r="142" spans="2:17" x14ac:dyDescent="0.25">
      <c r="B142" s="67" t="e">
        <f>VLOOKUP(Data_LabTests[[#This Row],[Hole ID]],Data_Log[],2,FALSE)</f>
        <v>#N/A</v>
      </c>
      <c r="C142" s="67">
        <f>_xlfn.XLOOKUP(Data_LabTests[[#This Row],[Hole ID]],Data_Log[Hole ID],Data_Log[Pit])</f>
        <v>0</v>
      </c>
      <c r="D142" s="19"/>
      <c r="E142" s="63" t="str">
        <f>Data_LabTests[[#This Row],[Hole ID]]&amp;"_"&amp;Data_LabTests[[#This Row],[Sample '#]]</f>
        <v>_</v>
      </c>
      <c r="F142" s="6"/>
      <c r="G142" s="6"/>
      <c r="H142" s="5"/>
      <c r="I142" s="5"/>
      <c r="J142" s="13">
        <f>Data_LabTests[[#This Row],[Depth to (m)]]-Data_LabTests[[#This Row],[Depth from (m)]]</f>
        <v>0</v>
      </c>
      <c r="K142" s="6"/>
      <c r="L142" s="63" t="e">
        <f>VLOOKUP(Data_LabTests[[#This Row],[Hole ID]],Data_Log[[Hole ID]:[Core size]],20,FALSE)</f>
        <v>#N/A</v>
      </c>
      <c r="M142" s="6"/>
      <c r="N142" s="6"/>
      <c r="O142" s="6"/>
      <c r="P142" s="6"/>
      <c r="Q142" s="6"/>
    </row>
    <row r="143" spans="2:17" x14ac:dyDescent="0.25">
      <c r="B143" s="67" t="e">
        <f>VLOOKUP(Data_LabTests[[#This Row],[Hole ID]],Data_Log[],2,FALSE)</f>
        <v>#N/A</v>
      </c>
      <c r="C143" s="67">
        <f>_xlfn.XLOOKUP(Data_LabTests[[#This Row],[Hole ID]],Data_Log[Hole ID],Data_Log[Pit])</f>
        <v>0</v>
      </c>
      <c r="D143" s="19"/>
      <c r="E143" s="63" t="str">
        <f>Data_LabTests[[#This Row],[Hole ID]]&amp;"_"&amp;Data_LabTests[[#This Row],[Sample '#]]</f>
        <v>_</v>
      </c>
      <c r="F143" s="6"/>
      <c r="G143" s="6"/>
      <c r="H143" s="5"/>
      <c r="I143" s="5"/>
      <c r="J143" s="13">
        <f>Data_LabTests[[#This Row],[Depth to (m)]]-Data_LabTests[[#This Row],[Depth from (m)]]</f>
        <v>0</v>
      </c>
      <c r="K143" s="6"/>
      <c r="L143" s="63" t="e">
        <f>VLOOKUP(Data_LabTests[[#This Row],[Hole ID]],Data_Log[[Hole ID]:[Core size]],20,FALSE)</f>
        <v>#N/A</v>
      </c>
      <c r="M143" s="6"/>
      <c r="N143" s="6"/>
      <c r="O143" s="6"/>
      <c r="P143" s="6"/>
      <c r="Q143" s="6"/>
    </row>
    <row r="144" spans="2:17" x14ac:dyDescent="0.25">
      <c r="B144" s="67" t="e">
        <f>VLOOKUP(Data_LabTests[[#This Row],[Hole ID]],Data_Log[],2,FALSE)</f>
        <v>#N/A</v>
      </c>
      <c r="C144" s="67">
        <f>_xlfn.XLOOKUP(Data_LabTests[[#This Row],[Hole ID]],Data_Log[Hole ID],Data_Log[Pit])</f>
        <v>0</v>
      </c>
      <c r="D144" s="19"/>
      <c r="E144" s="63" t="str">
        <f>Data_LabTests[[#This Row],[Hole ID]]&amp;"_"&amp;Data_LabTests[[#This Row],[Sample '#]]</f>
        <v>_</v>
      </c>
      <c r="F144" s="6"/>
      <c r="G144" s="6"/>
      <c r="H144" s="5"/>
      <c r="I144" s="5"/>
      <c r="J144" s="13">
        <f>Data_LabTests[[#This Row],[Depth to (m)]]-Data_LabTests[[#This Row],[Depth from (m)]]</f>
        <v>0</v>
      </c>
      <c r="K144" s="6"/>
      <c r="L144" s="63" t="e">
        <f>VLOOKUP(Data_LabTests[[#This Row],[Hole ID]],Data_Log[[Hole ID]:[Core size]],20,FALSE)</f>
        <v>#N/A</v>
      </c>
      <c r="M144" s="6"/>
      <c r="N144" s="6"/>
      <c r="O144" s="6"/>
      <c r="P144" s="6"/>
      <c r="Q144" s="6"/>
    </row>
    <row r="145" spans="2:17" x14ac:dyDescent="0.25">
      <c r="B145" s="67" t="e">
        <f>VLOOKUP(Data_LabTests[[#This Row],[Hole ID]],Data_Log[],2,FALSE)</f>
        <v>#N/A</v>
      </c>
      <c r="C145" s="67">
        <f>_xlfn.XLOOKUP(Data_LabTests[[#This Row],[Hole ID]],Data_Log[Hole ID],Data_Log[Pit])</f>
        <v>0</v>
      </c>
      <c r="D145" s="19"/>
      <c r="E145" s="63" t="str">
        <f>Data_LabTests[[#This Row],[Hole ID]]&amp;"_"&amp;Data_LabTests[[#This Row],[Sample '#]]</f>
        <v>_</v>
      </c>
      <c r="F145" s="6"/>
      <c r="G145" s="6"/>
      <c r="H145" s="5"/>
      <c r="I145" s="5"/>
      <c r="J145" s="13">
        <f>Data_LabTests[[#This Row],[Depth to (m)]]-Data_LabTests[[#This Row],[Depth from (m)]]</f>
        <v>0</v>
      </c>
      <c r="K145" s="6"/>
      <c r="L145" s="63" t="e">
        <f>VLOOKUP(Data_LabTests[[#This Row],[Hole ID]],Data_Log[[Hole ID]:[Core size]],20,FALSE)</f>
        <v>#N/A</v>
      </c>
      <c r="M145" s="6"/>
      <c r="N145" s="6"/>
      <c r="O145" s="6"/>
      <c r="P145" s="6"/>
      <c r="Q145" s="6"/>
    </row>
    <row r="146" spans="2:17" x14ac:dyDescent="0.25">
      <c r="B146" s="67" t="e">
        <f>VLOOKUP(Data_LabTests[[#This Row],[Hole ID]],Data_Log[],2,FALSE)</f>
        <v>#N/A</v>
      </c>
      <c r="C146" s="67">
        <f>_xlfn.XLOOKUP(Data_LabTests[[#This Row],[Hole ID]],Data_Log[Hole ID],Data_Log[Pit])</f>
        <v>0</v>
      </c>
      <c r="D146" s="19"/>
      <c r="E146" s="63" t="str">
        <f>Data_LabTests[[#This Row],[Hole ID]]&amp;"_"&amp;Data_LabTests[[#This Row],[Sample '#]]</f>
        <v>_</v>
      </c>
      <c r="F146" s="6"/>
      <c r="G146" s="6"/>
      <c r="H146" s="5"/>
      <c r="I146" s="5"/>
      <c r="J146" s="13">
        <f>Data_LabTests[[#This Row],[Depth to (m)]]-Data_LabTests[[#This Row],[Depth from (m)]]</f>
        <v>0</v>
      </c>
      <c r="K146" s="6"/>
      <c r="L146" s="63" t="e">
        <f>VLOOKUP(Data_LabTests[[#This Row],[Hole ID]],Data_Log[[Hole ID]:[Core size]],20,FALSE)</f>
        <v>#N/A</v>
      </c>
      <c r="M146" s="6"/>
      <c r="N146" s="6"/>
      <c r="O146" s="6"/>
      <c r="P146" s="6"/>
      <c r="Q146" s="6"/>
    </row>
    <row r="147" spans="2:17" x14ac:dyDescent="0.25">
      <c r="B147" s="67" t="e">
        <f>VLOOKUP(Data_LabTests[[#This Row],[Hole ID]],Data_Log[],2,FALSE)</f>
        <v>#N/A</v>
      </c>
      <c r="C147" s="67">
        <f>_xlfn.XLOOKUP(Data_LabTests[[#This Row],[Hole ID]],Data_Log[Hole ID],Data_Log[Pit])</f>
        <v>0</v>
      </c>
      <c r="D147" s="19"/>
      <c r="E147" s="63" t="str">
        <f>Data_LabTests[[#This Row],[Hole ID]]&amp;"_"&amp;Data_LabTests[[#This Row],[Sample '#]]</f>
        <v>_</v>
      </c>
      <c r="F147" s="6"/>
      <c r="G147" s="6"/>
      <c r="H147" s="5"/>
      <c r="I147" s="5"/>
      <c r="J147" s="13">
        <f>Data_LabTests[[#This Row],[Depth to (m)]]-Data_LabTests[[#This Row],[Depth from (m)]]</f>
        <v>0</v>
      </c>
      <c r="K147" s="6"/>
      <c r="L147" s="63" t="e">
        <f>VLOOKUP(Data_LabTests[[#This Row],[Hole ID]],Data_Log[[Hole ID]:[Core size]],20,FALSE)</f>
        <v>#N/A</v>
      </c>
      <c r="M147" s="6"/>
      <c r="N147" s="6"/>
      <c r="O147" s="6"/>
      <c r="P147" s="6"/>
      <c r="Q147" s="6"/>
    </row>
    <row r="148" spans="2:17" x14ac:dyDescent="0.25">
      <c r="B148" s="67" t="e">
        <f>VLOOKUP(Data_LabTests[[#This Row],[Hole ID]],Data_Log[],2,FALSE)</f>
        <v>#N/A</v>
      </c>
      <c r="C148" s="67">
        <f>_xlfn.XLOOKUP(Data_LabTests[[#This Row],[Hole ID]],Data_Log[Hole ID],Data_Log[Pit])</f>
        <v>0</v>
      </c>
      <c r="D148" s="19"/>
      <c r="E148" s="63" t="str">
        <f>Data_LabTests[[#This Row],[Hole ID]]&amp;"_"&amp;Data_LabTests[[#This Row],[Sample '#]]</f>
        <v>_</v>
      </c>
      <c r="F148" s="6"/>
      <c r="G148" s="6"/>
      <c r="H148" s="5"/>
      <c r="I148" s="5"/>
      <c r="J148" s="13">
        <f>Data_LabTests[[#This Row],[Depth to (m)]]-Data_LabTests[[#This Row],[Depth from (m)]]</f>
        <v>0</v>
      </c>
      <c r="K148" s="6"/>
      <c r="L148" s="63" t="e">
        <f>VLOOKUP(Data_LabTests[[#This Row],[Hole ID]],Data_Log[[Hole ID]:[Core size]],20,FALSE)</f>
        <v>#N/A</v>
      </c>
      <c r="M148" s="6"/>
      <c r="N148" s="6"/>
      <c r="O148" s="6"/>
      <c r="P148" s="6"/>
      <c r="Q148" s="6"/>
    </row>
    <row r="149" spans="2:17" x14ac:dyDescent="0.25">
      <c r="B149" s="67" t="e">
        <f>VLOOKUP(Data_LabTests[[#This Row],[Hole ID]],Data_Log[],2,FALSE)</f>
        <v>#N/A</v>
      </c>
      <c r="C149" s="67">
        <f>_xlfn.XLOOKUP(Data_LabTests[[#This Row],[Hole ID]],Data_Log[Hole ID],Data_Log[Pit])</f>
        <v>0</v>
      </c>
      <c r="D149" s="19"/>
      <c r="E149" s="63" t="str">
        <f>Data_LabTests[[#This Row],[Hole ID]]&amp;"_"&amp;Data_LabTests[[#This Row],[Sample '#]]</f>
        <v>_</v>
      </c>
      <c r="F149" s="6"/>
      <c r="G149" s="6"/>
      <c r="H149" s="5"/>
      <c r="I149" s="5"/>
      <c r="J149" s="13">
        <f>Data_LabTests[[#This Row],[Depth to (m)]]-Data_LabTests[[#This Row],[Depth from (m)]]</f>
        <v>0</v>
      </c>
      <c r="K149" s="6"/>
      <c r="L149" s="63" t="e">
        <f>VLOOKUP(Data_LabTests[[#This Row],[Hole ID]],Data_Log[[Hole ID]:[Core size]],20,FALSE)</f>
        <v>#N/A</v>
      </c>
      <c r="M149" s="6"/>
      <c r="N149" s="6"/>
      <c r="O149" s="6"/>
      <c r="P149" s="6"/>
      <c r="Q149" s="6"/>
    </row>
    <row r="150" spans="2:17" x14ac:dyDescent="0.25">
      <c r="B150" s="67" t="e">
        <f>VLOOKUP(Data_LabTests[[#This Row],[Hole ID]],Data_Log[],2,FALSE)</f>
        <v>#N/A</v>
      </c>
      <c r="C150" s="67">
        <f>_xlfn.XLOOKUP(Data_LabTests[[#This Row],[Hole ID]],Data_Log[Hole ID],Data_Log[Pit])</f>
        <v>0</v>
      </c>
      <c r="D150" s="19"/>
      <c r="E150" s="63" t="str">
        <f>Data_LabTests[[#This Row],[Hole ID]]&amp;"_"&amp;Data_LabTests[[#This Row],[Sample '#]]</f>
        <v>_</v>
      </c>
      <c r="F150" s="6"/>
      <c r="G150" s="6"/>
      <c r="H150" s="5"/>
      <c r="I150" s="5"/>
      <c r="J150" s="13">
        <f>Data_LabTests[[#This Row],[Depth to (m)]]-Data_LabTests[[#This Row],[Depth from (m)]]</f>
        <v>0</v>
      </c>
      <c r="K150" s="6"/>
      <c r="L150" s="63" t="e">
        <f>VLOOKUP(Data_LabTests[[#This Row],[Hole ID]],Data_Log[[Hole ID]:[Core size]],20,FALSE)</f>
        <v>#N/A</v>
      </c>
      <c r="M150" s="6"/>
      <c r="N150" s="6"/>
      <c r="O150" s="6"/>
      <c r="P150" s="6"/>
      <c r="Q150" s="6"/>
    </row>
    <row r="151" spans="2:17" x14ac:dyDescent="0.25">
      <c r="B151" s="67" t="e">
        <f>VLOOKUP(Data_LabTests[[#This Row],[Hole ID]],Data_Log[],2,FALSE)</f>
        <v>#N/A</v>
      </c>
      <c r="C151" s="67">
        <f>_xlfn.XLOOKUP(Data_LabTests[[#This Row],[Hole ID]],Data_Log[Hole ID],Data_Log[Pit])</f>
        <v>0</v>
      </c>
      <c r="D151" s="19"/>
      <c r="E151" s="63" t="str">
        <f>Data_LabTests[[#This Row],[Hole ID]]&amp;"_"&amp;Data_LabTests[[#This Row],[Sample '#]]</f>
        <v>_</v>
      </c>
      <c r="F151" s="6"/>
      <c r="G151" s="6"/>
      <c r="H151" s="5"/>
      <c r="I151" s="5"/>
      <c r="J151" s="13">
        <f>Data_LabTests[[#This Row],[Depth to (m)]]-Data_LabTests[[#This Row],[Depth from (m)]]</f>
        <v>0</v>
      </c>
      <c r="K151" s="6"/>
      <c r="L151" s="63" t="e">
        <f>VLOOKUP(Data_LabTests[[#This Row],[Hole ID]],Data_Log[[Hole ID]:[Core size]],20,FALSE)</f>
        <v>#N/A</v>
      </c>
      <c r="M151" s="6"/>
      <c r="N151" s="6"/>
      <c r="O151" s="6"/>
      <c r="P151" s="6"/>
      <c r="Q151" s="6"/>
    </row>
    <row r="152" spans="2:17" x14ac:dyDescent="0.25">
      <c r="B152" s="67" t="e">
        <f>VLOOKUP(Data_LabTests[[#This Row],[Hole ID]],Data_Log[],2,FALSE)</f>
        <v>#N/A</v>
      </c>
      <c r="C152" s="67">
        <f>_xlfn.XLOOKUP(Data_LabTests[[#This Row],[Hole ID]],Data_Log[Hole ID],Data_Log[Pit])</f>
        <v>0</v>
      </c>
      <c r="D152" s="19"/>
      <c r="E152" s="63" t="str">
        <f>Data_LabTests[[#This Row],[Hole ID]]&amp;"_"&amp;Data_LabTests[[#This Row],[Sample '#]]</f>
        <v>_</v>
      </c>
      <c r="F152" s="6"/>
      <c r="G152" s="6"/>
      <c r="H152" s="5"/>
      <c r="I152" s="5"/>
      <c r="J152" s="13">
        <f>Data_LabTests[[#This Row],[Depth to (m)]]-Data_LabTests[[#This Row],[Depth from (m)]]</f>
        <v>0</v>
      </c>
      <c r="K152" s="6"/>
      <c r="L152" s="63" t="e">
        <f>VLOOKUP(Data_LabTests[[#This Row],[Hole ID]],Data_Log[[Hole ID]:[Core size]],20,FALSE)</f>
        <v>#N/A</v>
      </c>
      <c r="M152" s="6"/>
      <c r="N152" s="6"/>
      <c r="O152" s="6"/>
      <c r="P152" s="6"/>
      <c r="Q152" s="6"/>
    </row>
    <row r="153" spans="2:17" x14ac:dyDescent="0.25">
      <c r="B153" s="67" t="e">
        <f>VLOOKUP(Data_LabTests[[#This Row],[Hole ID]],Data_Log[],2,FALSE)</f>
        <v>#N/A</v>
      </c>
      <c r="C153" s="67">
        <f>_xlfn.XLOOKUP(Data_LabTests[[#This Row],[Hole ID]],Data_Log[Hole ID],Data_Log[Pit])</f>
        <v>0</v>
      </c>
      <c r="D153" s="19"/>
      <c r="E153" s="63" t="str">
        <f>Data_LabTests[[#This Row],[Hole ID]]&amp;"_"&amp;Data_LabTests[[#This Row],[Sample '#]]</f>
        <v>_</v>
      </c>
      <c r="F153" s="6"/>
      <c r="G153" s="6"/>
      <c r="H153" s="5"/>
      <c r="I153" s="5"/>
      <c r="J153" s="13">
        <f>Data_LabTests[[#This Row],[Depth to (m)]]-Data_LabTests[[#This Row],[Depth from (m)]]</f>
        <v>0</v>
      </c>
      <c r="K153" s="6"/>
      <c r="L153" s="63" t="e">
        <f>VLOOKUP(Data_LabTests[[#This Row],[Hole ID]],Data_Log[[Hole ID]:[Core size]],20,FALSE)</f>
        <v>#N/A</v>
      </c>
      <c r="M153" s="6"/>
      <c r="N153" s="6"/>
      <c r="O153" s="6"/>
      <c r="P153" s="6"/>
      <c r="Q153" s="6"/>
    </row>
    <row r="154" spans="2:17" x14ac:dyDescent="0.25">
      <c r="B154" s="67" t="e">
        <f>VLOOKUP(Data_LabTests[[#This Row],[Hole ID]],Data_Log[],2,FALSE)</f>
        <v>#N/A</v>
      </c>
      <c r="C154" s="67">
        <f>_xlfn.XLOOKUP(Data_LabTests[[#This Row],[Hole ID]],Data_Log[Hole ID],Data_Log[Pit])</f>
        <v>0</v>
      </c>
      <c r="D154" s="19"/>
      <c r="E154" s="63" t="str">
        <f>Data_LabTests[[#This Row],[Hole ID]]&amp;"_"&amp;Data_LabTests[[#This Row],[Sample '#]]</f>
        <v>_</v>
      </c>
      <c r="F154" s="6"/>
      <c r="G154" s="6"/>
      <c r="H154" s="5"/>
      <c r="I154" s="5"/>
      <c r="J154" s="13">
        <f>Data_LabTests[[#This Row],[Depth to (m)]]-Data_LabTests[[#This Row],[Depth from (m)]]</f>
        <v>0</v>
      </c>
      <c r="K154" s="6"/>
      <c r="L154" s="63" t="e">
        <f>VLOOKUP(Data_LabTests[[#This Row],[Hole ID]],Data_Log[[Hole ID]:[Core size]],20,FALSE)</f>
        <v>#N/A</v>
      </c>
      <c r="M154" s="6"/>
      <c r="N154" s="6"/>
      <c r="O154" s="6"/>
      <c r="P154" s="6"/>
      <c r="Q154" s="6"/>
    </row>
    <row r="155" spans="2:17" x14ac:dyDescent="0.25">
      <c r="B155" s="67" t="e">
        <f>VLOOKUP(Data_LabTests[[#This Row],[Hole ID]],Data_Log[],2,FALSE)</f>
        <v>#N/A</v>
      </c>
      <c r="C155" s="67">
        <f>_xlfn.XLOOKUP(Data_LabTests[[#This Row],[Hole ID]],Data_Log[Hole ID],Data_Log[Pit])</f>
        <v>0</v>
      </c>
      <c r="D155" s="19"/>
      <c r="E155" s="63" t="str">
        <f>Data_LabTests[[#This Row],[Hole ID]]&amp;"_"&amp;Data_LabTests[[#This Row],[Sample '#]]</f>
        <v>_</v>
      </c>
      <c r="F155" s="6"/>
      <c r="G155" s="6"/>
      <c r="H155" s="5"/>
      <c r="I155" s="5"/>
      <c r="J155" s="13">
        <f>Data_LabTests[[#This Row],[Depth to (m)]]-Data_LabTests[[#This Row],[Depth from (m)]]</f>
        <v>0</v>
      </c>
      <c r="K155" s="6"/>
      <c r="L155" s="63" t="e">
        <f>VLOOKUP(Data_LabTests[[#This Row],[Hole ID]],Data_Log[[Hole ID]:[Core size]],20,FALSE)</f>
        <v>#N/A</v>
      </c>
      <c r="M155" s="6"/>
      <c r="N155" s="6"/>
      <c r="O155" s="6"/>
      <c r="P155" s="6"/>
      <c r="Q155" s="6"/>
    </row>
    <row r="156" spans="2:17" x14ac:dyDescent="0.25">
      <c r="B156" s="67" t="e">
        <f>VLOOKUP(Data_LabTests[[#This Row],[Hole ID]],Data_Log[],2,FALSE)</f>
        <v>#N/A</v>
      </c>
      <c r="C156" s="67">
        <f>_xlfn.XLOOKUP(Data_LabTests[[#This Row],[Hole ID]],Data_Log[Hole ID],Data_Log[Pit])</f>
        <v>0</v>
      </c>
      <c r="D156" s="19"/>
      <c r="E156" s="63" t="str">
        <f>Data_LabTests[[#This Row],[Hole ID]]&amp;"_"&amp;Data_LabTests[[#This Row],[Sample '#]]</f>
        <v>_</v>
      </c>
      <c r="F156" s="6"/>
      <c r="G156" s="6"/>
      <c r="H156" s="5"/>
      <c r="I156" s="5"/>
      <c r="J156" s="13">
        <f>Data_LabTests[[#This Row],[Depth to (m)]]-Data_LabTests[[#This Row],[Depth from (m)]]</f>
        <v>0</v>
      </c>
      <c r="K156" s="6"/>
      <c r="L156" s="63" t="e">
        <f>VLOOKUP(Data_LabTests[[#This Row],[Hole ID]],Data_Log[[Hole ID]:[Core size]],20,FALSE)</f>
        <v>#N/A</v>
      </c>
      <c r="M156" s="6"/>
      <c r="N156" s="6"/>
      <c r="O156" s="6"/>
      <c r="P156" s="6"/>
      <c r="Q156" s="6"/>
    </row>
    <row r="157" spans="2:17" x14ac:dyDescent="0.25">
      <c r="B157" s="67" t="e">
        <f>VLOOKUP(Data_LabTests[[#This Row],[Hole ID]],Data_Log[],2,FALSE)</f>
        <v>#N/A</v>
      </c>
      <c r="C157" s="67">
        <f>_xlfn.XLOOKUP(Data_LabTests[[#This Row],[Hole ID]],Data_Log[Hole ID],Data_Log[Pit])</f>
        <v>0</v>
      </c>
      <c r="D157" s="19"/>
      <c r="E157" s="63" t="str">
        <f>Data_LabTests[[#This Row],[Hole ID]]&amp;"_"&amp;Data_LabTests[[#This Row],[Sample '#]]</f>
        <v>_</v>
      </c>
      <c r="F157" s="6"/>
      <c r="G157" s="6"/>
      <c r="H157" s="5"/>
      <c r="I157" s="5"/>
      <c r="J157" s="13">
        <f>Data_LabTests[[#This Row],[Depth to (m)]]-Data_LabTests[[#This Row],[Depth from (m)]]</f>
        <v>0</v>
      </c>
      <c r="K157" s="6"/>
      <c r="L157" s="63" t="e">
        <f>VLOOKUP(Data_LabTests[[#This Row],[Hole ID]],Data_Log[[Hole ID]:[Core size]],20,FALSE)</f>
        <v>#N/A</v>
      </c>
      <c r="M157" s="6"/>
      <c r="N157" s="6"/>
      <c r="O157" s="6"/>
      <c r="P157" s="6"/>
      <c r="Q157" s="6"/>
    </row>
    <row r="158" spans="2:17" x14ac:dyDescent="0.25">
      <c r="B158" s="67" t="e">
        <f>VLOOKUP(Data_LabTests[[#This Row],[Hole ID]],Data_Log[],2,FALSE)</f>
        <v>#N/A</v>
      </c>
      <c r="C158" s="67">
        <f>_xlfn.XLOOKUP(Data_LabTests[[#This Row],[Hole ID]],Data_Log[Hole ID],Data_Log[Pit])</f>
        <v>0</v>
      </c>
      <c r="D158" s="19"/>
      <c r="E158" s="63" t="str">
        <f>Data_LabTests[[#This Row],[Hole ID]]&amp;"_"&amp;Data_LabTests[[#This Row],[Sample '#]]</f>
        <v>_</v>
      </c>
      <c r="F158" s="6"/>
      <c r="G158" s="6"/>
      <c r="H158" s="5"/>
      <c r="I158" s="5"/>
      <c r="J158" s="13">
        <f>Data_LabTests[[#This Row],[Depth to (m)]]-Data_LabTests[[#This Row],[Depth from (m)]]</f>
        <v>0</v>
      </c>
      <c r="K158" s="6"/>
      <c r="L158" s="63" t="e">
        <f>VLOOKUP(Data_LabTests[[#This Row],[Hole ID]],Data_Log[[Hole ID]:[Core size]],20,FALSE)</f>
        <v>#N/A</v>
      </c>
      <c r="M158" s="6"/>
      <c r="N158" s="6"/>
      <c r="O158" s="6"/>
      <c r="P158" s="6"/>
      <c r="Q158" s="6"/>
    </row>
    <row r="159" spans="2:17" x14ac:dyDescent="0.25">
      <c r="B159" s="67" t="e">
        <f>VLOOKUP(Data_LabTests[[#This Row],[Hole ID]],Data_Log[],2,FALSE)</f>
        <v>#N/A</v>
      </c>
      <c r="C159" s="67">
        <f>_xlfn.XLOOKUP(Data_LabTests[[#This Row],[Hole ID]],Data_Log[Hole ID],Data_Log[Pit])</f>
        <v>0</v>
      </c>
      <c r="D159" s="19"/>
      <c r="E159" s="63" t="str">
        <f>Data_LabTests[[#This Row],[Hole ID]]&amp;"_"&amp;Data_LabTests[[#This Row],[Sample '#]]</f>
        <v>_</v>
      </c>
      <c r="F159" s="6"/>
      <c r="G159" s="6"/>
      <c r="H159" s="5"/>
      <c r="I159" s="5"/>
      <c r="J159" s="13">
        <f>Data_LabTests[[#This Row],[Depth to (m)]]-Data_LabTests[[#This Row],[Depth from (m)]]</f>
        <v>0</v>
      </c>
      <c r="K159" s="6"/>
      <c r="L159" s="63" t="e">
        <f>VLOOKUP(Data_LabTests[[#This Row],[Hole ID]],Data_Log[[Hole ID]:[Core size]],20,FALSE)</f>
        <v>#N/A</v>
      </c>
      <c r="M159" s="6"/>
      <c r="N159" s="6"/>
      <c r="O159" s="6"/>
      <c r="P159" s="6"/>
      <c r="Q159" s="6"/>
    </row>
    <row r="160" spans="2:17" x14ac:dyDescent="0.25">
      <c r="B160" s="67" t="e">
        <f>VLOOKUP(Data_LabTests[[#This Row],[Hole ID]],Data_Log[],2,FALSE)</f>
        <v>#N/A</v>
      </c>
      <c r="C160" s="67">
        <f>_xlfn.XLOOKUP(Data_LabTests[[#This Row],[Hole ID]],Data_Log[Hole ID],Data_Log[Pit])</f>
        <v>0</v>
      </c>
      <c r="D160" s="19"/>
      <c r="E160" s="63" t="str">
        <f>Data_LabTests[[#This Row],[Hole ID]]&amp;"_"&amp;Data_LabTests[[#This Row],[Sample '#]]</f>
        <v>_</v>
      </c>
      <c r="F160" s="6"/>
      <c r="G160" s="6"/>
      <c r="H160" s="5"/>
      <c r="I160" s="5"/>
      <c r="J160" s="13">
        <f>Data_LabTests[[#This Row],[Depth to (m)]]-Data_LabTests[[#This Row],[Depth from (m)]]</f>
        <v>0</v>
      </c>
      <c r="K160" s="6"/>
      <c r="L160" s="63" t="e">
        <f>VLOOKUP(Data_LabTests[[#This Row],[Hole ID]],Data_Log[[Hole ID]:[Core size]],20,FALSE)</f>
        <v>#N/A</v>
      </c>
      <c r="M160" s="6"/>
      <c r="N160" s="6"/>
      <c r="O160" s="6"/>
      <c r="P160" s="6"/>
      <c r="Q160" s="6"/>
    </row>
    <row r="161" spans="2:17" x14ac:dyDescent="0.25">
      <c r="B161" s="67" t="e">
        <f>VLOOKUP(Data_LabTests[[#This Row],[Hole ID]],Data_Log[],2,FALSE)</f>
        <v>#N/A</v>
      </c>
      <c r="C161" s="67">
        <f>_xlfn.XLOOKUP(Data_LabTests[[#This Row],[Hole ID]],Data_Log[Hole ID],Data_Log[Pit])</f>
        <v>0</v>
      </c>
      <c r="D161" s="19"/>
      <c r="E161" s="63" t="str">
        <f>Data_LabTests[[#This Row],[Hole ID]]&amp;"_"&amp;Data_LabTests[[#This Row],[Sample '#]]</f>
        <v>_</v>
      </c>
      <c r="F161" s="6"/>
      <c r="G161" s="6"/>
      <c r="H161" s="5"/>
      <c r="I161" s="5"/>
      <c r="J161" s="13">
        <f>Data_LabTests[[#This Row],[Depth to (m)]]-Data_LabTests[[#This Row],[Depth from (m)]]</f>
        <v>0</v>
      </c>
      <c r="K161" s="6"/>
      <c r="L161" s="63" t="e">
        <f>VLOOKUP(Data_LabTests[[#This Row],[Hole ID]],Data_Log[[Hole ID]:[Core size]],20,FALSE)</f>
        <v>#N/A</v>
      </c>
      <c r="M161" s="6"/>
      <c r="N161" s="6"/>
      <c r="O161" s="6"/>
      <c r="P161" s="6"/>
      <c r="Q161" s="6"/>
    </row>
    <row r="162" spans="2:17" x14ac:dyDescent="0.25">
      <c r="B162" s="67" t="e">
        <f>VLOOKUP(Data_LabTests[[#This Row],[Hole ID]],Data_Log[],2,FALSE)</f>
        <v>#N/A</v>
      </c>
      <c r="C162" s="67">
        <f>_xlfn.XLOOKUP(Data_LabTests[[#This Row],[Hole ID]],Data_Log[Hole ID],Data_Log[Pit])</f>
        <v>0</v>
      </c>
      <c r="D162" s="19"/>
      <c r="E162" s="63" t="str">
        <f>Data_LabTests[[#This Row],[Hole ID]]&amp;"_"&amp;Data_LabTests[[#This Row],[Sample '#]]</f>
        <v>_</v>
      </c>
      <c r="F162" s="6"/>
      <c r="G162" s="6"/>
      <c r="H162" s="5"/>
      <c r="I162" s="5"/>
      <c r="J162" s="13">
        <f>Data_LabTests[[#This Row],[Depth to (m)]]-Data_LabTests[[#This Row],[Depth from (m)]]</f>
        <v>0</v>
      </c>
      <c r="K162" s="6"/>
      <c r="L162" s="63" t="e">
        <f>VLOOKUP(Data_LabTests[[#This Row],[Hole ID]],Data_Log[[Hole ID]:[Core size]],20,FALSE)</f>
        <v>#N/A</v>
      </c>
      <c r="M162" s="6"/>
      <c r="N162" s="6"/>
      <c r="O162" s="6"/>
      <c r="P162" s="6"/>
      <c r="Q162" s="6"/>
    </row>
    <row r="163" spans="2:17" x14ac:dyDescent="0.25">
      <c r="B163" s="67" t="e">
        <f>VLOOKUP(Data_LabTests[[#This Row],[Hole ID]],Data_Log[],2,FALSE)</f>
        <v>#N/A</v>
      </c>
      <c r="C163" s="67">
        <f>_xlfn.XLOOKUP(Data_LabTests[[#This Row],[Hole ID]],Data_Log[Hole ID],Data_Log[Pit])</f>
        <v>0</v>
      </c>
      <c r="D163" s="19"/>
      <c r="E163" s="63" t="str">
        <f>Data_LabTests[[#This Row],[Hole ID]]&amp;"_"&amp;Data_LabTests[[#This Row],[Sample '#]]</f>
        <v>_</v>
      </c>
      <c r="F163" s="6"/>
      <c r="G163" s="6"/>
      <c r="H163" s="5"/>
      <c r="I163" s="5"/>
      <c r="J163" s="13">
        <f>Data_LabTests[[#This Row],[Depth to (m)]]-Data_LabTests[[#This Row],[Depth from (m)]]</f>
        <v>0</v>
      </c>
      <c r="K163" s="6"/>
      <c r="L163" s="63" t="e">
        <f>VLOOKUP(Data_LabTests[[#This Row],[Hole ID]],Data_Log[[Hole ID]:[Core size]],20,FALSE)</f>
        <v>#N/A</v>
      </c>
      <c r="M163" s="6"/>
      <c r="N163" s="6"/>
      <c r="O163" s="6"/>
      <c r="P163" s="6"/>
      <c r="Q163" s="6"/>
    </row>
    <row r="164" spans="2:17" x14ac:dyDescent="0.25">
      <c r="B164" s="67" t="e">
        <f>VLOOKUP(Data_LabTests[[#This Row],[Hole ID]],Data_Log[],2,FALSE)</f>
        <v>#N/A</v>
      </c>
      <c r="C164" s="67">
        <f>_xlfn.XLOOKUP(Data_LabTests[[#This Row],[Hole ID]],Data_Log[Hole ID],Data_Log[Pit])</f>
        <v>0</v>
      </c>
      <c r="D164" s="19"/>
      <c r="E164" s="63" t="str">
        <f>Data_LabTests[[#This Row],[Hole ID]]&amp;"_"&amp;Data_LabTests[[#This Row],[Sample '#]]</f>
        <v>_</v>
      </c>
      <c r="F164" s="6"/>
      <c r="G164" s="6"/>
      <c r="H164" s="5"/>
      <c r="I164" s="5"/>
      <c r="J164" s="13">
        <f>Data_LabTests[[#This Row],[Depth to (m)]]-Data_LabTests[[#This Row],[Depth from (m)]]</f>
        <v>0</v>
      </c>
      <c r="K164" s="6"/>
      <c r="L164" s="63" t="e">
        <f>VLOOKUP(Data_LabTests[[#This Row],[Hole ID]],Data_Log[[Hole ID]:[Core size]],20,FALSE)</f>
        <v>#N/A</v>
      </c>
      <c r="M164" s="6"/>
      <c r="N164" s="6"/>
      <c r="O164" s="6"/>
      <c r="P164" s="6"/>
      <c r="Q164" s="6"/>
    </row>
    <row r="165" spans="2:17" x14ac:dyDescent="0.25">
      <c r="B165" s="67" t="e">
        <f>VLOOKUP(Data_LabTests[[#This Row],[Hole ID]],Data_Log[],2,FALSE)</f>
        <v>#N/A</v>
      </c>
      <c r="C165" s="67">
        <f>_xlfn.XLOOKUP(Data_LabTests[[#This Row],[Hole ID]],Data_Log[Hole ID],Data_Log[Pit])</f>
        <v>0</v>
      </c>
      <c r="D165" s="19"/>
      <c r="E165" s="63" t="str">
        <f>Data_LabTests[[#This Row],[Hole ID]]&amp;"_"&amp;Data_LabTests[[#This Row],[Sample '#]]</f>
        <v>_</v>
      </c>
      <c r="F165" s="6"/>
      <c r="G165" s="6"/>
      <c r="H165" s="5"/>
      <c r="I165" s="5"/>
      <c r="J165" s="13">
        <f>Data_LabTests[[#This Row],[Depth to (m)]]-Data_LabTests[[#This Row],[Depth from (m)]]</f>
        <v>0</v>
      </c>
      <c r="K165" s="6"/>
      <c r="L165" s="63" t="e">
        <f>VLOOKUP(Data_LabTests[[#This Row],[Hole ID]],Data_Log[[Hole ID]:[Core size]],20,FALSE)</f>
        <v>#N/A</v>
      </c>
      <c r="M165" s="6"/>
      <c r="N165" s="6"/>
      <c r="O165" s="6"/>
      <c r="P165" s="6"/>
      <c r="Q165" s="6"/>
    </row>
    <row r="166" spans="2:17" x14ac:dyDescent="0.25">
      <c r="B166" s="67" t="e">
        <f>VLOOKUP(Data_LabTests[[#This Row],[Hole ID]],Data_Log[],2,FALSE)</f>
        <v>#N/A</v>
      </c>
      <c r="C166" s="67">
        <f>_xlfn.XLOOKUP(Data_LabTests[[#This Row],[Hole ID]],Data_Log[Hole ID],Data_Log[Pit])</f>
        <v>0</v>
      </c>
      <c r="D166" s="19"/>
      <c r="E166" s="63" t="str">
        <f>Data_LabTests[[#This Row],[Hole ID]]&amp;"_"&amp;Data_LabTests[[#This Row],[Sample '#]]</f>
        <v>_</v>
      </c>
      <c r="F166" s="6"/>
      <c r="G166" s="6"/>
      <c r="H166" s="5"/>
      <c r="I166" s="5"/>
      <c r="J166" s="13">
        <f>Data_LabTests[[#This Row],[Depth to (m)]]-Data_LabTests[[#This Row],[Depth from (m)]]</f>
        <v>0</v>
      </c>
      <c r="K166" s="6"/>
      <c r="L166" s="63" t="e">
        <f>VLOOKUP(Data_LabTests[[#This Row],[Hole ID]],Data_Log[[Hole ID]:[Core size]],20,FALSE)</f>
        <v>#N/A</v>
      </c>
      <c r="M166" s="6"/>
      <c r="N166" s="6"/>
      <c r="O166" s="6"/>
      <c r="P166" s="6"/>
      <c r="Q166" s="6"/>
    </row>
    <row r="167" spans="2:17" x14ac:dyDescent="0.25">
      <c r="B167" s="67" t="e">
        <f>VLOOKUP(Data_LabTests[[#This Row],[Hole ID]],Data_Log[],2,FALSE)</f>
        <v>#N/A</v>
      </c>
      <c r="C167" s="67">
        <f>_xlfn.XLOOKUP(Data_LabTests[[#This Row],[Hole ID]],Data_Log[Hole ID],Data_Log[Pit])</f>
        <v>0</v>
      </c>
      <c r="D167" s="19"/>
      <c r="E167" s="63" t="str">
        <f>Data_LabTests[[#This Row],[Hole ID]]&amp;"_"&amp;Data_LabTests[[#This Row],[Sample '#]]</f>
        <v>_</v>
      </c>
      <c r="F167" s="6"/>
      <c r="G167" s="6"/>
      <c r="H167" s="5"/>
      <c r="I167" s="5"/>
      <c r="J167" s="13">
        <f>Data_LabTests[[#This Row],[Depth to (m)]]-Data_LabTests[[#This Row],[Depth from (m)]]</f>
        <v>0</v>
      </c>
      <c r="K167" s="6"/>
      <c r="L167" s="63" t="e">
        <f>VLOOKUP(Data_LabTests[[#This Row],[Hole ID]],Data_Log[[Hole ID]:[Core size]],20,FALSE)</f>
        <v>#N/A</v>
      </c>
      <c r="M167" s="6"/>
      <c r="N167" s="6"/>
      <c r="O167" s="6"/>
      <c r="P167" s="6"/>
      <c r="Q167" s="6"/>
    </row>
    <row r="168" spans="2:17" x14ac:dyDescent="0.25">
      <c r="B168" s="67" t="e">
        <f>VLOOKUP(Data_LabTests[[#This Row],[Hole ID]],Data_Log[],2,FALSE)</f>
        <v>#N/A</v>
      </c>
      <c r="C168" s="67">
        <f>_xlfn.XLOOKUP(Data_LabTests[[#This Row],[Hole ID]],Data_Log[Hole ID],Data_Log[Pit])</f>
        <v>0</v>
      </c>
      <c r="D168" s="19"/>
      <c r="E168" s="63" t="str">
        <f>Data_LabTests[[#This Row],[Hole ID]]&amp;"_"&amp;Data_LabTests[[#This Row],[Sample '#]]</f>
        <v>_</v>
      </c>
      <c r="F168" s="6"/>
      <c r="G168" s="6"/>
      <c r="H168" s="5"/>
      <c r="I168" s="5"/>
      <c r="J168" s="13">
        <f>Data_LabTests[[#This Row],[Depth to (m)]]-Data_LabTests[[#This Row],[Depth from (m)]]</f>
        <v>0</v>
      </c>
      <c r="K168" s="6"/>
      <c r="L168" s="63" t="e">
        <f>VLOOKUP(Data_LabTests[[#This Row],[Hole ID]],Data_Log[[Hole ID]:[Core size]],20,FALSE)</f>
        <v>#N/A</v>
      </c>
      <c r="M168" s="6"/>
      <c r="N168" s="6"/>
      <c r="O168" s="6"/>
      <c r="P168" s="6"/>
      <c r="Q168" s="6"/>
    </row>
    <row r="169" spans="2:17" x14ac:dyDescent="0.25">
      <c r="B169" s="67" t="e">
        <f>VLOOKUP(Data_LabTests[[#This Row],[Hole ID]],Data_Log[],2,FALSE)</f>
        <v>#N/A</v>
      </c>
      <c r="C169" s="67">
        <f>_xlfn.XLOOKUP(Data_LabTests[[#This Row],[Hole ID]],Data_Log[Hole ID],Data_Log[Pit])</f>
        <v>0</v>
      </c>
      <c r="D169" s="19"/>
      <c r="E169" s="63" t="str">
        <f>Data_LabTests[[#This Row],[Hole ID]]&amp;"_"&amp;Data_LabTests[[#This Row],[Sample '#]]</f>
        <v>_</v>
      </c>
      <c r="F169" s="6"/>
      <c r="G169" s="6"/>
      <c r="H169" s="5"/>
      <c r="I169" s="5"/>
      <c r="J169" s="13">
        <f>Data_LabTests[[#This Row],[Depth to (m)]]-Data_LabTests[[#This Row],[Depth from (m)]]</f>
        <v>0</v>
      </c>
      <c r="K169" s="6"/>
      <c r="L169" s="63" t="e">
        <f>VLOOKUP(Data_LabTests[[#This Row],[Hole ID]],Data_Log[[Hole ID]:[Core size]],20,FALSE)</f>
        <v>#N/A</v>
      </c>
      <c r="M169" s="6"/>
      <c r="N169" s="6"/>
      <c r="O169" s="6"/>
      <c r="P169" s="6"/>
      <c r="Q169" s="6"/>
    </row>
    <row r="170" spans="2:17" x14ac:dyDescent="0.25">
      <c r="B170" s="67" t="e">
        <f>VLOOKUP(Data_LabTests[[#This Row],[Hole ID]],Data_Log[],2,FALSE)</f>
        <v>#N/A</v>
      </c>
      <c r="C170" s="67">
        <f>_xlfn.XLOOKUP(Data_LabTests[[#This Row],[Hole ID]],Data_Log[Hole ID],Data_Log[Pit])</f>
        <v>0</v>
      </c>
      <c r="D170" s="19"/>
      <c r="E170" s="63" t="str">
        <f>Data_LabTests[[#This Row],[Hole ID]]&amp;"_"&amp;Data_LabTests[[#This Row],[Sample '#]]</f>
        <v>_</v>
      </c>
      <c r="F170" s="6"/>
      <c r="G170" s="6"/>
      <c r="H170" s="5"/>
      <c r="I170" s="5"/>
      <c r="J170" s="13">
        <f>Data_LabTests[[#This Row],[Depth to (m)]]-Data_LabTests[[#This Row],[Depth from (m)]]</f>
        <v>0</v>
      </c>
      <c r="K170" s="6"/>
      <c r="L170" s="63" t="e">
        <f>VLOOKUP(Data_LabTests[[#This Row],[Hole ID]],Data_Log[[Hole ID]:[Core size]],20,FALSE)</f>
        <v>#N/A</v>
      </c>
      <c r="M170" s="6"/>
      <c r="N170" s="6"/>
      <c r="O170" s="6"/>
      <c r="P170" s="6"/>
      <c r="Q170" s="6"/>
    </row>
    <row r="171" spans="2:17" x14ac:dyDescent="0.25">
      <c r="B171" s="67" t="e">
        <f>VLOOKUP(Data_LabTests[[#This Row],[Hole ID]],Data_Log[],2,FALSE)</f>
        <v>#N/A</v>
      </c>
      <c r="C171" s="67">
        <f>_xlfn.XLOOKUP(Data_LabTests[[#This Row],[Hole ID]],Data_Log[Hole ID],Data_Log[Pit])</f>
        <v>0</v>
      </c>
      <c r="D171" s="19"/>
      <c r="E171" s="63" t="str">
        <f>Data_LabTests[[#This Row],[Hole ID]]&amp;"_"&amp;Data_LabTests[[#This Row],[Sample '#]]</f>
        <v>_</v>
      </c>
      <c r="F171" s="6"/>
      <c r="G171" s="6"/>
      <c r="H171" s="5"/>
      <c r="I171" s="5"/>
      <c r="J171" s="13">
        <f>Data_LabTests[[#This Row],[Depth to (m)]]-Data_LabTests[[#This Row],[Depth from (m)]]</f>
        <v>0</v>
      </c>
      <c r="K171" s="6"/>
      <c r="L171" s="63" t="e">
        <f>VLOOKUP(Data_LabTests[[#This Row],[Hole ID]],Data_Log[[Hole ID]:[Core size]],20,FALSE)</f>
        <v>#N/A</v>
      </c>
      <c r="M171" s="6"/>
      <c r="N171" s="6"/>
      <c r="O171" s="6"/>
      <c r="P171" s="6"/>
      <c r="Q171" s="6"/>
    </row>
    <row r="172" spans="2:17" x14ac:dyDescent="0.25">
      <c r="B172" s="67" t="e">
        <f>VLOOKUP(Data_LabTests[[#This Row],[Hole ID]],Data_Log[],2,FALSE)</f>
        <v>#N/A</v>
      </c>
      <c r="C172" s="67">
        <f>_xlfn.XLOOKUP(Data_LabTests[[#This Row],[Hole ID]],Data_Log[Hole ID],Data_Log[Pit])</f>
        <v>0</v>
      </c>
      <c r="D172" s="19"/>
      <c r="E172" s="63" t="str">
        <f>Data_LabTests[[#This Row],[Hole ID]]&amp;"_"&amp;Data_LabTests[[#This Row],[Sample '#]]</f>
        <v>_</v>
      </c>
      <c r="F172" s="6"/>
      <c r="G172" s="6"/>
      <c r="H172" s="5"/>
      <c r="I172" s="5"/>
      <c r="J172" s="13">
        <f>Data_LabTests[[#This Row],[Depth to (m)]]-Data_LabTests[[#This Row],[Depth from (m)]]</f>
        <v>0</v>
      </c>
      <c r="K172" s="6"/>
      <c r="L172" s="63" t="e">
        <f>VLOOKUP(Data_LabTests[[#This Row],[Hole ID]],Data_Log[[Hole ID]:[Core size]],20,FALSE)</f>
        <v>#N/A</v>
      </c>
      <c r="M172" s="6"/>
      <c r="N172" s="6"/>
      <c r="O172" s="6"/>
      <c r="P172" s="6"/>
      <c r="Q172" s="6"/>
    </row>
    <row r="173" spans="2:17" x14ac:dyDescent="0.25">
      <c r="B173" s="67" t="e">
        <f>VLOOKUP(Data_LabTests[[#This Row],[Hole ID]],Data_Log[],2,FALSE)</f>
        <v>#N/A</v>
      </c>
      <c r="C173" s="67">
        <f>_xlfn.XLOOKUP(Data_LabTests[[#This Row],[Hole ID]],Data_Log[Hole ID],Data_Log[Pit])</f>
        <v>0</v>
      </c>
      <c r="D173" s="19"/>
      <c r="E173" s="63" t="str">
        <f>Data_LabTests[[#This Row],[Hole ID]]&amp;"_"&amp;Data_LabTests[[#This Row],[Sample '#]]</f>
        <v>_</v>
      </c>
      <c r="F173" s="6"/>
      <c r="G173" s="6"/>
      <c r="H173" s="5"/>
      <c r="I173" s="5"/>
      <c r="J173" s="13">
        <f>Data_LabTests[[#This Row],[Depth to (m)]]-Data_LabTests[[#This Row],[Depth from (m)]]</f>
        <v>0</v>
      </c>
      <c r="K173" s="6"/>
      <c r="L173" s="63" t="e">
        <f>VLOOKUP(Data_LabTests[[#This Row],[Hole ID]],Data_Log[[Hole ID]:[Core size]],20,FALSE)</f>
        <v>#N/A</v>
      </c>
      <c r="M173" s="6"/>
      <c r="N173" s="6"/>
      <c r="O173" s="6"/>
      <c r="P173" s="6"/>
      <c r="Q173" s="6"/>
    </row>
    <row r="174" spans="2:17" x14ac:dyDescent="0.25">
      <c r="B174" s="67" t="e">
        <f>VLOOKUP(Data_LabTests[[#This Row],[Hole ID]],Data_Log[],2,FALSE)</f>
        <v>#N/A</v>
      </c>
      <c r="C174" s="67">
        <f>_xlfn.XLOOKUP(Data_LabTests[[#This Row],[Hole ID]],Data_Log[Hole ID],Data_Log[Pit])</f>
        <v>0</v>
      </c>
      <c r="D174" s="19"/>
      <c r="E174" s="63" t="str">
        <f>Data_LabTests[[#This Row],[Hole ID]]&amp;"_"&amp;Data_LabTests[[#This Row],[Sample '#]]</f>
        <v>_</v>
      </c>
      <c r="F174" s="6"/>
      <c r="G174" s="6"/>
      <c r="H174" s="5"/>
      <c r="I174" s="5"/>
      <c r="J174" s="13">
        <f>Data_LabTests[[#This Row],[Depth to (m)]]-Data_LabTests[[#This Row],[Depth from (m)]]</f>
        <v>0</v>
      </c>
      <c r="K174" s="6"/>
      <c r="L174" s="63" t="e">
        <f>VLOOKUP(Data_LabTests[[#This Row],[Hole ID]],Data_Log[[Hole ID]:[Core size]],20,FALSE)</f>
        <v>#N/A</v>
      </c>
      <c r="M174" s="6"/>
      <c r="N174" s="6"/>
      <c r="O174" s="6"/>
      <c r="P174" s="6"/>
      <c r="Q174" s="6"/>
    </row>
    <row r="175" spans="2:17" x14ac:dyDescent="0.25">
      <c r="B175" s="67" t="e">
        <f>VLOOKUP(Data_LabTests[[#This Row],[Hole ID]],Data_Log[],2,FALSE)</f>
        <v>#N/A</v>
      </c>
      <c r="C175" s="67">
        <f>_xlfn.XLOOKUP(Data_LabTests[[#This Row],[Hole ID]],Data_Log[Hole ID],Data_Log[Pit])</f>
        <v>0</v>
      </c>
      <c r="D175" s="19"/>
      <c r="E175" s="63" t="str">
        <f>Data_LabTests[[#This Row],[Hole ID]]&amp;"_"&amp;Data_LabTests[[#This Row],[Sample '#]]</f>
        <v>_</v>
      </c>
      <c r="F175" s="6"/>
      <c r="G175" s="6"/>
      <c r="H175" s="5"/>
      <c r="I175" s="5"/>
      <c r="J175" s="13">
        <f>Data_LabTests[[#This Row],[Depth to (m)]]-Data_LabTests[[#This Row],[Depth from (m)]]</f>
        <v>0</v>
      </c>
      <c r="K175" s="6"/>
      <c r="L175" s="63" t="e">
        <f>VLOOKUP(Data_LabTests[[#This Row],[Hole ID]],Data_Log[[Hole ID]:[Core size]],20,FALSE)</f>
        <v>#N/A</v>
      </c>
      <c r="M175" s="6"/>
      <c r="N175" s="6"/>
      <c r="O175" s="6"/>
      <c r="P175" s="6"/>
      <c r="Q175" s="6"/>
    </row>
    <row r="176" spans="2:17" x14ac:dyDescent="0.25">
      <c r="B176" s="67" t="e">
        <f>VLOOKUP(Data_LabTests[[#This Row],[Hole ID]],Data_Log[],2,FALSE)</f>
        <v>#N/A</v>
      </c>
      <c r="C176" s="67">
        <f>_xlfn.XLOOKUP(Data_LabTests[[#This Row],[Hole ID]],Data_Log[Hole ID],Data_Log[Pit])</f>
        <v>0</v>
      </c>
      <c r="D176" s="19"/>
      <c r="E176" s="63" t="str">
        <f>Data_LabTests[[#This Row],[Hole ID]]&amp;"_"&amp;Data_LabTests[[#This Row],[Sample '#]]</f>
        <v>_</v>
      </c>
      <c r="F176" s="6"/>
      <c r="G176" s="6"/>
      <c r="H176" s="5"/>
      <c r="I176" s="5"/>
      <c r="J176" s="13">
        <f>Data_LabTests[[#This Row],[Depth to (m)]]-Data_LabTests[[#This Row],[Depth from (m)]]</f>
        <v>0</v>
      </c>
      <c r="K176" s="6"/>
      <c r="L176" s="63" t="e">
        <f>VLOOKUP(Data_LabTests[[#This Row],[Hole ID]],Data_Log[[Hole ID]:[Core size]],20,FALSE)</f>
        <v>#N/A</v>
      </c>
      <c r="M176" s="6"/>
      <c r="N176" s="6"/>
      <c r="O176" s="6"/>
      <c r="P176" s="6"/>
      <c r="Q176" s="6"/>
    </row>
    <row r="177" spans="2:17" x14ac:dyDescent="0.25">
      <c r="B177" s="67" t="e">
        <f>VLOOKUP(Data_LabTests[[#This Row],[Hole ID]],Data_Log[],2,FALSE)</f>
        <v>#N/A</v>
      </c>
      <c r="C177" s="67">
        <f>_xlfn.XLOOKUP(Data_LabTests[[#This Row],[Hole ID]],Data_Log[Hole ID],Data_Log[Pit])</f>
        <v>0</v>
      </c>
      <c r="D177" s="19"/>
      <c r="E177" s="63" t="str">
        <f>Data_LabTests[[#This Row],[Hole ID]]&amp;"_"&amp;Data_LabTests[[#This Row],[Sample '#]]</f>
        <v>_</v>
      </c>
      <c r="F177" s="6"/>
      <c r="G177" s="6"/>
      <c r="H177" s="5"/>
      <c r="I177" s="5"/>
      <c r="J177" s="13">
        <f>Data_LabTests[[#This Row],[Depth to (m)]]-Data_LabTests[[#This Row],[Depth from (m)]]</f>
        <v>0</v>
      </c>
      <c r="K177" s="6"/>
      <c r="L177" s="63" t="e">
        <f>VLOOKUP(Data_LabTests[[#This Row],[Hole ID]],Data_Log[[Hole ID]:[Core size]],20,FALSE)</f>
        <v>#N/A</v>
      </c>
      <c r="M177" s="6"/>
      <c r="N177" s="6"/>
      <c r="O177" s="6"/>
      <c r="P177" s="6"/>
      <c r="Q177" s="6"/>
    </row>
    <row r="178" spans="2:17" x14ac:dyDescent="0.25">
      <c r="B178" s="67" t="e">
        <f>VLOOKUP(Data_LabTests[[#This Row],[Hole ID]],Data_Log[],2,FALSE)</f>
        <v>#N/A</v>
      </c>
      <c r="C178" s="67">
        <f>_xlfn.XLOOKUP(Data_LabTests[[#This Row],[Hole ID]],Data_Log[Hole ID],Data_Log[Pit])</f>
        <v>0</v>
      </c>
      <c r="D178" s="19"/>
      <c r="E178" s="63" t="str">
        <f>Data_LabTests[[#This Row],[Hole ID]]&amp;"_"&amp;Data_LabTests[[#This Row],[Sample '#]]</f>
        <v>_</v>
      </c>
      <c r="F178" s="6"/>
      <c r="G178" s="6"/>
      <c r="H178" s="5"/>
      <c r="I178" s="5"/>
      <c r="J178" s="13">
        <f>Data_LabTests[[#This Row],[Depth to (m)]]-Data_LabTests[[#This Row],[Depth from (m)]]</f>
        <v>0</v>
      </c>
      <c r="K178" s="6"/>
      <c r="L178" s="63" t="e">
        <f>VLOOKUP(Data_LabTests[[#This Row],[Hole ID]],Data_Log[[Hole ID]:[Core size]],20,FALSE)</f>
        <v>#N/A</v>
      </c>
      <c r="M178" s="6"/>
      <c r="N178" s="6"/>
      <c r="O178" s="6"/>
      <c r="P178" s="6"/>
      <c r="Q178" s="6"/>
    </row>
    <row r="179" spans="2:17" x14ac:dyDescent="0.25">
      <c r="B179" s="67" t="e">
        <f>VLOOKUP(Data_LabTests[[#This Row],[Hole ID]],Data_Log[],2,FALSE)</f>
        <v>#N/A</v>
      </c>
      <c r="C179" s="67">
        <f>_xlfn.XLOOKUP(Data_LabTests[[#This Row],[Hole ID]],Data_Log[Hole ID],Data_Log[Pit])</f>
        <v>0</v>
      </c>
      <c r="D179" s="19"/>
      <c r="E179" s="63" t="str">
        <f>Data_LabTests[[#This Row],[Hole ID]]&amp;"_"&amp;Data_LabTests[[#This Row],[Sample '#]]</f>
        <v>_</v>
      </c>
      <c r="F179" s="6"/>
      <c r="G179" s="6"/>
      <c r="H179" s="5"/>
      <c r="I179" s="5"/>
      <c r="J179" s="13">
        <f>Data_LabTests[[#This Row],[Depth to (m)]]-Data_LabTests[[#This Row],[Depth from (m)]]</f>
        <v>0</v>
      </c>
      <c r="K179" s="6"/>
      <c r="L179" s="63" t="e">
        <f>VLOOKUP(Data_LabTests[[#This Row],[Hole ID]],Data_Log[[Hole ID]:[Core size]],20,FALSE)</f>
        <v>#N/A</v>
      </c>
      <c r="M179" s="6"/>
      <c r="N179" s="6"/>
      <c r="O179" s="6"/>
      <c r="P179" s="6"/>
      <c r="Q179" s="6"/>
    </row>
    <row r="180" spans="2:17" x14ac:dyDescent="0.25">
      <c r="B180" s="67" t="e">
        <f>VLOOKUP(Data_LabTests[[#This Row],[Hole ID]],Data_Log[],2,FALSE)</f>
        <v>#N/A</v>
      </c>
      <c r="C180" s="67">
        <f>_xlfn.XLOOKUP(Data_LabTests[[#This Row],[Hole ID]],Data_Log[Hole ID],Data_Log[Pit])</f>
        <v>0</v>
      </c>
      <c r="D180" s="19"/>
      <c r="E180" s="63" t="str">
        <f>Data_LabTests[[#This Row],[Hole ID]]&amp;"_"&amp;Data_LabTests[[#This Row],[Sample '#]]</f>
        <v>_</v>
      </c>
      <c r="F180" s="6"/>
      <c r="G180" s="6"/>
      <c r="H180" s="5"/>
      <c r="I180" s="5"/>
      <c r="J180" s="13">
        <f>Data_LabTests[[#This Row],[Depth to (m)]]-Data_LabTests[[#This Row],[Depth from (m)]]</f>
        <v>0</v>
      </c>
      <c r="K180" s="6"/>
      <c r="L180" s="63" t="e">
        <f>VLOOKUP(Data_LabTests[[#This Row],[Hole ID]],Data_Log[[Hole ID]:[Core size]],20,FALSE)</f>
        <v>#N/A</v>
      </c>
      <c r="M180" s="6"/>
      <c r="N180" s="6"/>
      <c r="O180" s="6"/>
      <c r="P180" s="6"/>
      <c r="Q180" s="6"/>
    </row>
    <row r="181" spans="2:17" x14ac:dyDescent="0.25">
      <c r="B181" s="67" t="e">
        <f>VLOOKUP(Data_LabTests[[#This Row],[Hole ID]],Data_Log[],2,FALSE)</f>
        <v>#N/A</v>
      </c>
      <c r="C181" s="67">
        <f>_xlfn.XLOOKUP(Data_LabTests[[#This Row],[Hole ID]],Data_Log[Hole ID],Data_Log[Pit])</f>
        <v>0</v>
      </c>
      <c r="D181" s="19"/>
      <c r="E181" s="63" t="str">
        <f>Data_LabTests[[#This Row],[Hole ID]]&amp;"_"&amp;Data_LabTests[[#This Row],[Sample '#]]</f>
        <v>_</v>
      </c>
      <c r="F181" s="6"/>
      <c r="G181" s="6"/>
      <c r="H181" s="5"/>
      <c r="I181" s="5"/>
      <c r="J181" s="13">
        <f>Data_LabTests[[#This Row],[Depth to (m)]]-Data_LabTests[[#This Row],[Depth from (m)]]</f>
        <v>0</v>
      </c>
      <c r="K181" s="6"/>
      <c r="L181" s="63" t="e">
        <f>VLOOKUP(Data_LabTests[[#This Row],[Hole ID]],Data_Log[[Hole ID]:[Core size]],20,FALSE)</f>
        <v>#N/A</v>
      </c>
      <c r="M181" s="6"/>
      <c r="N181" s="6"/>
      <c r="O181" s="6"/>
      <c r="P181" s="6"/>
      <c r="Q181" s="6"/>
    </row>
    <row r="182" spans="2:17" x14ac:dyDescent="0.25">
      <c r="B182" s="67" t="e">
        <f>VLOOKUP(Data_LabTests[[#This Row],[Hole ID]],Data_Log[],2,FALSE)</f>
        <v>#N/A</v>
      </c>
      <c r="C182" s="67">
        <f>_xlfn.XLOOKUP(Data_LabTests[[#This Row],[Hole ID]],Data_Log[Hole ID],Data_Log[Pit])</f>
        <v>0</v>
      </c>
      <c r="D182" s="19"/>
      <c r="E182" s="63" t="str">
        <f>Data_LabTests[[#This Row],[Hole ID]]&amp;"_"&amp;Data_LabTests[[#This Row],[Sample '#]]</f>
        <v>_</v>
      </c>
      <c r="F182" s="6"/>
      <c r="G182" s="6"/>
      <c r="H182" s="5"/>
      <c r="I182" s="5"/>
      <c r="J182" s="13">
        <f>Data_LabTests[[#This Row],[Depth to (m)]]-Data_LabTests[[#This Row],[Depth from (m)]]</f>
        <v>0</v>
      </c>
      <c r="K182" s="6"/>
      <c r="L182" s="63" t="e">
        <f>VLOOKUP(Data_LabTests[[#This Row],[Hole ID]],Data_Log[[Hole ID]:[Core size]],20,FALSE)</f>
        <v>#N/A</v>
      </c>
      <c r="M182" s="6"/>
      <c r="N182" s="6"/>
      <c r="O182" s="6"/>
      <c r="P182" s="6"/>
      <c r="Q182" s="6"/>
    </row>
    <row r="183" spans="2:17" x14ac:dyDescent="0.25">
      <c r="B183" s="67" t="e">
        <f>VLOOKUP(Data_LabTests[[#This Row],[Hole ID]],Data_Log[],2,FALSE)</f>
        <v>#N/A</v>
      </c>
      <c r="C183" s="67">
        <f>_xlfn.XLOOKUP(Data_LabTests[[#This Row],[Hole ID]],Data_Log[Hole ID],Data_Log[Pit])</f>
        <v>0</v>
      </c>
      <c r="D183" s="19"/>
      <c r="E183" s="63" t="str">
        <f>Data_LabTests[[#This Row],[Hole ID]]&amp;"_"&amp;Data_LabTests[[#This Row],[Sample '#]]</f>
        <v>_</v>
      </c>
      <c r="F183" s="6"/>
      <c r="G183" s="6"/>
      <c r="H183" s="5"/>
      <c r="I183" s="5"/>
      <c r="J183" s="13">
        <f>Data_LabTests[[#This Row],[Depth to (m)]]-Data_LabTests[[#This Row],[Depth from (m)]]</f>
        <v>0</v>
      </c>
      <c r="K183" s="6"/>
      <c r="L183" s="63" t="e">
        <f>VLOOKUP(Data_LabTests[[#This Row],[Hole ID]],Data_Log[[Hole ID]:[Core size]],20,FALSE)</f>
        <v>#N/A</v>
      </c>
      <c r="M183" s="6"/>
      <c r="N183" s="6"/>
      <c r="O183" s="6"/>
      <c r="P183" s="6"/>
      <c r="Q183" s="6"/>
    </row>
    <row r="184" spans="2:17" x14ac:dyDescent="0.25">
      <c r="B184" s="67" t="e">
        <f>VLOOKUP(Data_LabTests[[#This Row],[Hole ID]],Data_Log[],2,FALSE)</f>
        <v>#N/A</v>
      </c>
      <c r="C184" s="67">
        <f>_xlfn.XLOOKUP(Data_LabTests[[#This Row],[Hole ID]],Data_Log[Hole ID],Data_Log[Pit])</f>
        <v>0</v>
      </c>
      <c r="D184" s="19"/>
      <c r="E184" s="63" t="str">
        <f>Data_LabTests[[#This Row],[Hole ID]]&amp;"_"&amp;Data_LabTests[[#This Row],[Sample '#]]</f>
        <v>_</v>
      </c>
      <c r="F184" s="6"/>
      <c r="G184" s="6"/>
      <c r="H184" s="5"/>
      <c r="I184" s="5"/>
      <c r="J184" s="13">
        <f>Data_LabTests[[#This Row],[Depth to (m)]]-Data_LabTests[[#This Row],[Depth from (m)]]</f>
        <v>0</v>
      </c>
      <c r="K184" s="6"/>
      <c r="L184" s="63" t="e">
        <f>VLOOKUP(Data_LabTests[[#This Row],[Hole ID]],Data_Log[[Hole ID]:[Core size]],20,FALSE)</f>
        <v>#N/A</v>
      </c>
      <c r="M184" s="6"/>
      <c r="N184" s="6"/>
      <c r="O184" s="6"/>
      <c r="P184" s="6"/>
      <c r="Q184" s="6"/>
    </row>
    <row r="185" spans="2:17" x14ac:dyDescent="0.25">
      <c r="B185" s="67" t="e">
        <f>VLOOKUP(Data_LabTests[[#This Row],[Hole ID]],Data_Log[],2,FALSE)</f>
        <v>#N/A</v>
      </c>
      <c r="C185" s="67">
        <f>_xlfn.XLOOKUP(Data_LabTests[[#This Row],[Hole ID]],Data_Log[Hole ID],Data_Log[Pit])</f>
        <v>0</v>
      </c>
      <c r="D185" s="19"/>
      <c r="E185" s="63" t="str">
        <f>Data_LabTests[[#This Row],[Hole ID]]&amp;"_"&amp;Data_LabTests[[#This Row],[Sample '#]]</f>
        <v>_</v>
      </c>
      <c r="F185" s="6"/>
      <c r="G185" s="6"/>
      <c r="H185" s="5"/>
      <c r="I185" s="5"/>
      <c r="J185" s="13">
        <f>Data_LabTests[[#This Row],[Depth to (m)]]-Data_LabTests[[#This Row],[Depth from (m)]]</f>
        <v>0</v>
      </c>
      <c r="K185" s="6"/>
      <c r="L185" s="63" t="e">
        <f>VLOOKUP(Data_LabTests[[#This Row],[Hole ID]],Data_Log[[Hole ID]:[Core size]],20,FALSE)</f>
        <v>#N/A</v>
      </c>
      <c r="M185" s="6"/>
      <c r="N185" s="6"/>
      <c r="O185" s="6"/>
      <c r="P185" s="6"/>
      <c r="Q185" s="6"/>
    </row>
    <row r="186" spans="2:17" x14ac:dyDescent="0.25">
      <c r="B186" s="67" t="e">
        <f>VLOOKUP(Data_LabTests[[#This Row],[Hole ID]],Data_Log[],2,FALSE)</f>
        <v>#N/A</v>
      </c>
      <c r="C186" s="67">
        <f>_xlfn.XLOOKUP(Data_LabTests[[#This Row],[Hole ID]],Data_Log[Hole ID],Data_Log[Pit])</f>
        <v>0</v>
      </c>
      <c r="D186" s="19"/>
      <c r="E186" s="63" t="str">
        <f>Data_LabTests[[#This Row],[Hole ID]]&amp;"_"&amp;Data_LabTests[[#This Row],[Sample '#]]</f>
        <v>_</v>
      </c>
      <c r="F186" s="6"/>
      <c r="G186" s="6"/>
      <c r="H186" s="5"/>
      <c r="I186" s="5"/>
      <c r="J186" s="13">
        <f>Data_LabTests[[#This Row],[Depth to (m)]]-Data_LabTests[[#This Row],[Depth from (m)]]</f>
        <v>0</v>
      </c>
      <c r="K186" s="6"/>
      <c r="L186" s="63" t="e">
        <f>VLOOKUP(Data_LabTests[[#This Row],[Hole ID]],Data_Log[[Hole ID]:[Core size]],20,FALSE)</f>
        <v>#N/A</v>
      </c>
      <c r="M186" s="6"/>
      <c r="N186" s="6"/>
      <c r="O186" s="6"/>
      <c r="P186" s="6"/>
      <c r="Q186" s="6"/>
    </row>
    <row r="187" spans="2:17" x14ac:dyDescent="0.25">
      <c r="B187" s="67" t="e">
        <f>VLOOKUP(Data_LabTests[[#This Row],[Hole ID]],Data_Log[],2,FALSE)</f>
        <v>#N/A</v>
      </c>
      <c r="C187" s="67">
        <f>_xlfn.XLOOKUP(Data_LabTests[[#This Row],[Hole ID]],Data_Log[Hole ID],Data_Log[Pit])</f>
        <v>0</v>
      </c>
      <c r="D187" s="19"/>
      <c r="E187" s="63" t="str">
        <f>Data_LabTests[[#This Row],[Hole ID]]&amp;"_"&amp;Data_LabTests[[#This Row],[Sample '#]]</f>
        <v>_</v>
      </c>
      <c r="F187" s="6"/>
      <c r="G187" s="6"/>
      <c r="H187" s="5"/>
      <c r="I187" s="5"/>
      <c r="J187" s="13">
        <f>Data_LabTests[[#This Row],[Depth to (m)]]-Data_LabTests[[#This Row],[Depth from (m)]]</f>
        <v>0</v>
      </c>
      <c r="K187" s="6"/>
      <c r="L187" s="63" t="e">
        <f>VLOOKUP(Data_LabTests[[#This Row],[Hole ID]],Data_Log[[Hole ID]:[Core size]],20,FALSE)</f>
        <v>#N/A</v>
      </c>
      <c r="M187" s="6"/>
      <c r="N187" s="6"/>
      <c r="O187" s="6"/>
      <c r="P187" s="6"/>
      <c r="Q187" s="14"/>
    </row>
    <row r="188" spans="2:17" x14ac:dyDescent="0.25">
      <c r="B188" s="67" t="e">
        <f>VLOOKUP(Data_LabTests[[#This Row],[Hole ID]],Data_Log[],2,FALSE)</f>
        <v>#N/A</v>
      </c>
      <c r="C188" s="67">
        <f>_xlfn.XLOOKUP(Data_LabTests[[#This Row],[Hole ID]],Data_Log[Hole ID],Data_Log[Pit])</f>
        <v>0</v>
      </c>
      <c r="D188" s="19"/>
      <c r="E188" s="63" t="str">
        <f>Data_LabTests[[#This Row],[Hole ID]]&amp;"_"&amp;Data_LabTests[[#This Row],[Sample '#]]</f>
        <v>_</v>
      </c>
      <c r="F188" s="6"/>
      <c r="G188" s="6"/>
      <c r="H188" s="5"/>
      <c r="I188" s="5"/>
      <c r="J188" s="13">
        <f>Data_LabTests[[#This Row],[Depth to (m)]]-Data_LabTests[[#This Row],[Depth from (m)]]</f>
        <v>0</v>
      </c>
      <c r="K188" s="6"/>
      <c r="L188" s="63" t="e">
        <f>VLOOKUP(Data_LabTests[[#This Row],[Hole ID]],Data_Log[[Hole ID]:[Core size]],20,FALSE)</f>
        <v>#N/A</v>
      </c>
      <c r="M188" s="6"/>
      <c r="N188" s="6"/>
      <c r="O188" s="6"/>
      <c r="P188" s="6"/>
      <c r="Q188" s="6"/>
    </row>
    <row r="189" spans="2:17" x14ac:dyDescent="0.25">
      <c r="B189" s="67" t="e">
        <f>VLOOKUP(Data_LabTests[[#This Row],[Hole ID]],Data_Log[],2,FALSE)</f>
        <v>#N/A</v>
      </c>
      <c r="C189" s="67">
        <f>_xlfn.XLOOKUP(Data_LabTests[[#This Row],[Hole ID]],Data_Log[Hole ID],Data_Log[Pit])</f>
        <v>0</v>
      </c>
      <c r="D189" s="19"/>
      <c r="E189" s="63" t="str">
        <f>Data_LabTests[[#This Row],[Hole ID]]&amp;"_"&amp;Data_LabTests[[#This Row],[Sample '#]]</f>
        <v>_</v>
      </c>
      <c r="F189" s="6"/>
      <c r="G189" s="6"/>
      <c r="H189" s="5"/>
      <c r="I189" s="5"/>
      <c r="J189" s="13">
        <f>Data_LabTests[[#This Row],[Depth to (m)]]-Data_LabTests[[#This Row],[Depth from (m)]]</f>
        <v>0</v>
      </c>
      <c r="K189" s="6"/>
      <c r="L189" s="63" t="e">
        <f>VLOOKUP(Data_LabTests[[#This Row],[Hole ID]],Data_Log[[Hole ID]:[Core size]],20,FALSE)</f>
        <v>#N/A</v>
      </c>
      <c r="M189" s="6"/>
      <c r="N189" s="6"/>
      <c r="O189" s="6"/>
      <c r="P189" s="6"/>
      <c r="Q189" s="6"/>
    </row>
    <row r="190" spans="2:17" x14ac:dyDescent="0.25">
      <c r="B190" s="67" t="e">
        <f>VLOOKUP(Data_LabTests[[#This Row],[Hole ID]],Data_Log[],2,FALSE)</f>
        <v>#N/A</v>
      </c>
      <c r="C190" s="67">
        <f>_xlfn.XLOOKUP(Data_LabTests[[#This Row],[Hole ID]],Data_Log[Hole ID],Data_Log[Pit])</f>
        <v>0</v>
      </c>
      <c r="D190" s="19"/>
      <c r="E190" s="63" t="str">
        <f>Data_LabTests[[#This Row],[Hole ID]]&amp;"_"&amp;Data_LabTests[[#This Row],[Sample '#]]</f>
        <v>_</v>
      </c>
      <c r="F190" s="6"/>
      <c r="G190" s="6"/>
      <c r="H190" s="5"/>
      <c r="I190" s="5"/>
      <c r="J190" s="13">
        <f>Data_LabTests[[#This Row],[Depth to (m)]]-Data_LabTests[[#This Row],[Depth from (m)]]</f>
        <v>0</v>
      </c>
      <c r="K190" s="6"/>
      <c r="L190" s="63" t="e">
        <f>VLOOKUP(Data_LabTests[[#This Row],[Hole ID]],Data_Log[[Hole ID]:[Core size]],20,FALSE)</f>
        <v>#N/A</v>
      </c>
      <c r="M190" s="6"/>
      <c r="N190" s="6"/>
      <c r="O190" s="6"/>
      <c r="P190" s="6"/>
      <c r="Q190" s="14"/>
    </row>
    <row r="191" spans="2:17" x14ac:dyDescent="0.25">
      <c r="B191" s="67" t="e">
        <f>VLOOKUP(Data_LabTests[[#This Row],[Hole ID]],Data_Log[],2,FALSE)</f>
        <v>#N/A</v>
      </c>
      <c r="C191" s="67">
        <f>_xlfn.XLOOKUP(Data_LabTests[[#This Row],[Hole ID]],Data_Log[Hole ID],Data_Log[Pit])</f>
        <v>0</v>
      </c>
      <c r="D191" s="19"/>
      <c r="E191" s="63" t="str">
        <f>Data_LabTests[[#This Row],[Hole ID]]&amp;"_"&amp;Data_LabTests[[#This Row],[Sample '#]]</f>
        <v>_</v>
      </c>
      <c r="F191" s="6"/>
      <c r="G191" s="6"/>
      <c r="H191" s="5"/>
      <c r="I191" s="5"/>
      <c r="J191" s="13">
        <f>Data_LabTests[[#This Row],[Depth to (m)]]-Data_LabTests[[#This Row],[Depth from (m)]]</f>
        <v>0</v>
      </c>
      <c r="K191" s="6"/>
      <c r="L191" s="63" t="e">
        <f>VLOOKUP(Data_LabTests[[#This Row],[Hole ID]],Data_Log[[Hole ID]:[Core size]],20,FALSE)</f>
        <v>#N/A</v>
      </c>
      <c r="M191" s="6"/>
      <c r="N191" s="6"/>
      <c r="O191" s="6"/>
      <c r="P191" s="6"/>
      <c r="Q191" s="6"/>
    </row>
    <row r="192" spans="2:17" x14ac:dyDescent="0.25">
      <c r="B192" s="67" t="e">
        <f>VLOOKUP(Data_LabTests[[#This Row],[Hole ID]],Data_Log[],2,FALSE)</f>
        <v>#N/A</v>
      </c>
      <c r="C192" s="67">
        <f>_xlfn.XLOOKUP(Data_LabTests[[#This Row],[Hole ID]],Data_Log[Hole ID],Data_Log[Pit])</f>
        <v>0</v>
      </c>
      <c r="D192" s="19"/>
      <c r="E192" s="63" t="str">
        <f>Data_LabTests[[#This Row],[Hole ID]]&amp;"_"&amp;Data_LabTests[[#This Row],[Sample '#]]</f>
        <v>_</v>
      </c>
      <c r="F192" s="6"/>
      <c r="G192" s="6"/>
      <c r="H192" s="5"/>
      <c r="I192" s="5"/>
      <c r="J192" s="13">
        <f>Data_LabTests[[#This Row],[Depth to (m)]]-Data_LabTests[[#This Row],[Depth from (m)]]</f>
        <v>0</v>
      </c>
      <c r="K192" s="6"/>
      <c r="L192" s="63" t="e">
        <f>VLOOKUP(Data_LabTests[[#This Row],[Hole ID]],Data_Log[[Hole ID]:[Core size]],20,FALSE)</f>
        <v>#N/A</v>
      </c>
      <c r="M192" s="6"/>
      <c r="N192" s="6"/>
      <c r="O192" s="6"/>
      <c r="P192" s="6"/>
      <c r="Q192" s="6"/>
    </row>
    <row r="193" spans="2:17" x14ac:dyDescent="0.25">
      <c r="B193" s="67" t="e">
        <f>VLOOKUP(Data_LabTests[[#This Row],[Hole ID]],Data_Log[],2,FALSE)</f>
        <v>#N/A</v>
      </c>
      <c r="C193" s="67">
        <f>_xlfn.XLOOKUP(Data_LabTests[[#This Row],[Hole ID]],Data_Log[Hole ID],Data_Log[Pit])</f>
        <v>0</v>
      </c>
      <c r="D193" s="19"/>
      <c r="E193" s="63" t="str">
        <f>Data_LabTests[[#This Row],[Hole ID]]&amp;"_"&amp;Data_LabTests[[#This Row],[Sample '#]]</f>
        <v>_</v>
      </c>
      <c r="F193" s="6"/>
      <c r="G193" s="6"/>
      <c r="H193" s="5"/>
      <c r="I193" s="5"/>
      <c r="J193" s="13">
        <f>Data_LabTests[[#This Row],[Depth to (m)]]-Data_LabTests[[#This Row],[Depth from (m)]]</f>
        <v>0</v>
      </c>
      <c r="K193" s="6"/>
      <c r="L193" s="63" t="e">
        <f>VLOOKUP(Data_LabTests[[#This Row],[Hole ID]],Data_Log[[Hole ID]:[Core size]],20,FALSE)</f>
        <v>#N/A</v>
      </c>
      <c r="M193" s="6"/>
      <c r="N193" s="6"/>
      <c r="O193" s="6"/>
      <c r="P193" s="6"/>
      <c r="Q193" s="6"/>
    </row>
    <row r="194" spans="2:17" x14ac:dyDescent="0.25">
      <c r="B194" s="67" t="e">
        <f>VLOOKUP(Data_LabTests[[#This Row],[Hole ID]],Data_Log[],2,FALSE)</f>
        <v>#N/A</v>
      </c>
      <c r="C194" s="67">
        <f>_xlfn.XLOOKUP(Data_LabTests[[#This Row],[Hole ID]],Data_Log[Hole ID],Data_Log[Pit])</f>
        <v>0</v>
      </c>
      <c r="D194" s="19"/>
      <c r="E194" s="63" t="str">
        <f>Data_LabTests[[#This Row],[Hole ID]]&amp;"_"&amp;Data_LabTests[[#This Row],[Sample '#]]</f>
        <v>_</v>
      </c>
      <c r="F194" s="6"/>
      <c r="G194" s="6"/>
      <c r="H194" s="5"/>
      <c r="I194" s="5"/>
      <c r="J194" s="13">
        <f>Data_LabTests[[#This Row],[Depth to (m)]]-Data_LabTests[[#This Row],[Depth from (m)]]</f>
        <v>0</v>
      </c>
      <c r="K194" s="6"/>
      <c r="L194" s="63" t="e">
        <f>VLOOKUP(Data_LabTests[[#This Row],[Hole ID]],Data_Log[[Hole ID]:[Core size]],20,FALSE)</f>
        <v>#N/A</v>
      </c>
      <c r="M194" s="6"/>
      <c r="N194" s="6"/>
      <c r="O194" s="6"/>
      <c r="P194" s="6"/>
      <c r="Q194" s="6"/>
    </row>
    <row r="195" spans="2:17" x14ac:dyDescent="0.25">
      <c r="B195" s="67" t="e">
        <f>VLOOKUP(Data_LabTests[[#This Row],[Hole ID]],Data_Log[],2,FALSE)</f>
        <v>#N/A</v>
      </c>
      <c r="C195" s="67">
        <f>_xlfn.XLOOKUP(Data_LabTests[[#This Row],[Hole ID]],Data_Log[Hole ID],Data_Log[Pit])</f>
        <v>0</v>
      </c>
      <c r="D195" s="19"/>
      <c r="E195" s="63" t="str">
        <f>Data_LabTests[[#This Row],[Hole ID]]&amp;"_"&amp;Data_LabTests[[#This Row],[Sample '#]]</f>
        <v>_</v>
      </c>
      <c r="F195" s="6"/>
      <c r="G195" s="6"/>
      <c r="H195" s="5"/>
      <c r="I195" s="5"/>
      <c r="J195" s="13">
        <f>Data_LabTests[[#This Row],[Depth to (m)]]-Data_LabTests[[#This Row],[Depth from (m)]]</f>
        <v>0</v>
      </c>
      <c r="K195" s="6"/>
      <c r="L195" s="63" t="e">
        <f>VLOOKUP(Data_LabTests[[#This Row],[Hole ID]],Data_Log[[Hole ID]:[Core size]],20,FALSE)</f>
        <v>#N/A</v>
      </c>
      <c r="M195" s="6"/>
      <c r="N195" s="6"/>
      <c r="O195" s="6"/>
      <c r="P195" s="6"/>
      <c r="Q195" s="6"/>
    </row>
    <row r="196" spans="2:17" x14ac:dyDescent="0.25">
      <c r="B196" s="67" t="e">
        <f>VLOOKUP(Data_LabTests[[#This Row],[Hole ID]],Data_Log[],2,FALSE)</f>
        <v>#N/A</v>
      </c>
      <c r="C196" s="67">
        <f>_xlfn.XLOOKUP(Data_LabTests[[#This Row],[Hole ID]],Data_Log[Hole ID],Data_Log[Pit])</f>
        <v>0</v>
      </c>
      <c r="D196" s="19"/>
      <c r="E196" s="63" t="str">
        <f>Data_LabTests[[#This Row],[Hole ID]]&amp;"_"&amp;Data_LabTests[[#This Row],[Sample '#]]</f>
        <v>_</v>
      </c>
      <c r="F196" s="6"/>
      <c r="G196" s="6"/>
      <c r="H196" s="5"/>
      <c r="I196" s="5"/>
      <c r="J196" s="13">
        <f>Data_LabTests[[#This Row],[Depth to (m)]]-Data_LabTests[[#This Row],[Depth from (m)]]</f>
        <v>0</v>
      </c>
      <c r="K196" s="6"/>
      <c r="L196" s="63" t="e">
        <f>VLOOKUP(Data_LabTests[[#This Row],[Hole ID]],Data_Log[[Hole ID]:[Core size]],20,FALSE)</f>
        <v>#N/A</v>
      </c>
      <c r="M196" s="6"/>
      <c r="N196" s="6"/>
      <c r="O196" s="6"/>
      <c r="P196" s="6"/>
      <c r="Q196" s="14"/>
    </row>
    <row r="197" spans="2:17" x14ac:dyDescent="0.25">
      <c r="B197" s="67" t="e">
        <f>VLOOKUP(Data_LabTests[[#This Row],[Hole ID]],Data_Log[],2,FALSE)</f>
        <v>#N/A</v>
      </c>
      <c r="C197" s="67">
        <f>_xlfn.XLOOKUP(Data_LabTests[[#This Row],[Hole ID]],Data_Log[Hole ID],Data_Log[Pit])</f>
        <v>0</v>
      </c>
      <c r="D197" s="62"/>
      <c r="E197" s="63" t="str">
        <f>Data_LabTests[[#This Row],[Hole ID]]&amp;"_"&amp;Data_LabTests[[#This Row],[Sample '#]]</f>
        <v>_</v>
      </c>
      <c r="F197" s="6"/>
      <c r="G197" s="6"/>
      <c r="H197" s="5"/>
      <c r="I197" s="5"/>
      <c r="J197" s="13">
        <f>Data_LabTests[[#This Row],[Depth to (m)]]-Data_LabTests[[#This Row],[Depth from (m)]]</f>
        <v>0</v>
      </c>
      <c r="K197" s="6"/>
      <c r="L197" s="63" t="e">
        <f>VLOOKUP(Data_LabTests[[#This Row],[Hole ID]],Data_Log[[Hole ID]:[Core size]],20,FALSE)</f>
        <v>#N/A</v>
      </c>
      <c r="M197" s="6"/>
      <c r="N197" s="6"/>
      <c r="O197" s="6"/>
      <c r="P197" s="6"/>
      <c r="Q197" s="14"/>
    </row>
    <row r="198" spans="2:17" x14ac:dyDescent="0.25">
      <c r="B198" s="67" t="e">
        <f>VLOOKUP(Data_LabTests[[#This Row],[Hole ID]],Data_Log[],2,FALSE)</f>
        <v>#N/A</v>
      </c>
      <c r="C198" s="67">
        <f>_xlfn.XLOOKUP(Data_LabTests[[#This Row],[Hole ID]],Data_Log[Hole ID],Data_Log[Pit])</f>
        <v>0</v>
      </c>
      <c r="D198" s="62"/>
      <c r="E198" s="63" t="str">
        <f>Data_LabTests[[#This Row],[Hole ID]]&amp;"_"&amp;Data_LabTests[[#This Row],[Sample '#]]</f>
        <v>_</v>
      </c>
      <c r="F198" s="6"/>
      <c r="G198" s="6"/>
      <c r="H198" s="5"/>
      <c r="I198" s="5"/>
      <c r="J198" s="13">
        <f>Data_LabTests[[#This Row],[Depth to (m)]]-Data_LabTests[[#This Row],[Depth from (m)]]</f>
        <v>0</v>
      </c>
      <c r="K198" s="6"/>
      <c r="L198" s="63" t="e">
        <f>VLOOKUP(Data_LabTests[[#This Row],[Hole ID]],Data_Log[[Hole ID]:[Core size]],20,FALSE)</f>
        <v>#N/A</v>
      </c>
      <c r="M198" s="6"/>
      <c r="N198" s="6"/>
      <c r="O198" s="6"/>
      <c r="P198" s="6"/>
      <c r="Q198" s="14"/>
    </row>
    <row r="199" spans="2:17" x14ac:dyDescent="0.25">
      <c r="B199" s="67" t="e">
        <f>VLOOKUP(Data_LabTests[[#This Row],[Hole ID]],Data_Log[],2,FALSE)</f>
        <v>#N/A</v>
      </c>
      <c r="C199" s="67">
        <f>_xlfn.XLOOKUP(Data_LabTests[[#This Row],[Hole ID]],Data_Log[Hole ID],Data_Log[Pit])</f>
        <v>0</v>
      </c>
      <c r="D199" s="62"/>
      <c r="E199" s="63" t="str">
        <f>Data_LabTests[[#This Row],[Hole ID]]&amp;"_"&amp;Data_LabTests[[#This Row],[Sample '#]]</f>
        <v>_</v>
      </c>
      <c r="F199" s="6"/>
      <c r="G199" s="6"/>
      <c r="H199" s="5"/>
      <c r="I199" s="5"/>
      <c r="J199" s="13">
        <f>Data_LabTests[[#This Row],[Depth to (m)]]-Data_LabTests[[#This Row],[Depth from (m)]]</f>
        <v>0</v>
      </c>
      <c r="K199" s="6"/>
      <c r="L199" s="63" t="e">
        <f>VLOOKUP(Data_LabTests[[#This Row],[Hole ID]],Data_Log[[Hole ID]:[Core size]],20,FALSE)</f>
        <v>#N/A</v>
      </c>
      <c r="M199" s="6"/>
      <c r="N199" s="6"/>
      <c r="O199" s="6"/>
      <c r="P199" s="6"/>
      <c r="Q199" s="14"/>
    </row>
    <row r="200" spans="2:17" x14ac:dyDescent="0.25">
      <c r="B200" s="67" t="e">
        <f>VLOOKUP(Data_LabTests[[#This Row],[Hole ID]],Data_Log[],2,FALSE)</f>
        <v>#N/A</v>
      </c>
      <c r="C200" s="67">
        <f>_xlfn.XLOOKUP(Data_LabTests[[#This Row],[Hole ID]],Data_Log[Hole ID],Data_Log[Pit])</f>
        <v>0</v>
      </c>
      <c r="D200" s="19"/>
      <c r="E200" s="63" t="str">
        <f>Data_LabTests[[#This Row],[Hole ID]]&amp;"_"&amp;Data_LabTests[[#This Row],[Sample '#]]</f>
        <v>_</v>
      </c>
      <c r="F200" s="6"/>
      <c r="G200" s="6"/>
      <c r="H200" s="5"/>
      <c r="I200" s="5"/>
      <c r="J200" s="13">
        <f>Data_LabTests[[#This Row],[Depth to (m)]]-Data_LabTests[[#This Row],[Depth from (m)]]</f>
        <v>0</v>
      </c>
      <c r="K200" s="6"/>
      <c r="L200" s="63" t="e">
        <f>VLOOKUP(Data_LabTests[[#This Row],[Hole ID]],Data_Log[[Hole ID]:[Core size]],20,FALSE)</f>
        <v>#N/A</v>
      </c>
      <c r="M200" s="6"/>
      <c r="N200" s="6"/>
      <c r="O200" s="6"/>
      <c r="P200" s="6"/>
      <c r="Q200" s="6"/>
    </row>
    <row r="201" spans="2:17" x14ac:dyDescent="0.25">
      <c r="B201" s="67" t="e">
        <f>VLOOKUP(Data_LabTests[[#This Row],[Hole ID]],Data_Log[],2,FALSE)</f>
        <v>#N/A</v>
      </c>
      <c r="C201" s="67">
        <f>_xlfn.XLOOKUP(Data_LabTests[[#This Row],[Hole ID]],Data_Log[Hole ID],Data_Log[Pit])</f>
        <v>0</v>
      </c>
      <c r="D201" s="62"/>
      <c r="E201" s="63" t="str">
        <f>Data_LabTests[[#This Row],[Hole ID]]&amp;"_"&amp;Data_LabTests[[#This Row],[Sample '#]]</f>
        <v>_</v>
      </c>
      <c r="F201" s="6"/>
      <c r="G201" s="6"/>
      <c r="H201" s="5"/>
      <c r="I201" s="5"/>
      <c r="J201" s="13">
        <f>Data_LabTests[[#This Row],[Depth to (m)]]-Data_LabTests[[#This Row],[Depth from (m)]]</f>
        <v>0</v>
      </c>
      <c r="K201" s="6"/>
      <c r="L201" s="63" t="e">
        <f>VLOOKUP(Data_LabTests[[#This Row],[Hole ID]],Data_Log[[Hole ID]:[Core size]],20,FALSE)</f>
        <v>#N/A</v>
      </c>
      <c r="M201" s="6"/>
      <c r="N201" s="6"/>
      <c r="O201" s="6"/>
      <c r="P201" s="6"/>
      <c r="Q201" s="14"/>
    </row>
    <row r="202" spans="2:17" x14ac:dyDescent="0.25">
      <c r="B202" s="67" t="e">
        <f>VLOOKUP(Data_LabTests[[#This Row],[Hole ID]],Data_Log[],2,FALSE)</f>
        <v>#N/A</v>
      </c>
      <c r="C202" s="67">
        <f>_xlfn.XLOOKUP(Data_LabTests[[#This Row],[Hole ID]],Data_Log[Hole ID],Data_Log[Pit])</f>
        <v>0</v>
      </c>
      <c r="D202" s="62"/>
      <c r="E202" s="63" t="str">
        <f>Data_LabTests[[#This Row],[Hole ID]]&amp;"_"&amp;Data_LabTests[[#This Row],[Sample '#]]</f>
        <v>_</v>
      </c>
      <c r="F202" s="6"/>
      <c r="G202" s="6"/>
      <c r="H202" s="5"/>
      <c r="I202" s="5"/>
      <c r="J202" s="13">
        <f>Data_LabTests[[#This Row],[Depth to (m)]]-Data_LabTests[[#This Row],[Depth from (m)]]</f>
        <v>0</v>
      </c>
      <c r="K202" s="6"/>
      <c r="L202" s="63" t="e">
        <f>VLOOKUP(Data_LabTests[[#This Row],[Hole ID]],Data_Log[[Hole ID]:[Core size]],20,FALSE)</f>
        <v>#N/A</v>
      </c>
      <c r="M202" s="6"/>
      <c r="N202" s="6"/>
      <c r="O202" s="6"/>
      <c r="P202" s="6"/>
      <c r="Q202" s="14"/>
    </row>
    <row r="203" spans="2:17" x14ac:dyDescent="0.25">
      <c r="B203" s="67" t="e">
        <f>VLOOKUP(Data_LabTests[[#This Row],[Hole ID]],Data_Log[],2,FALSE)</f>
        <v>#N/A</v>
      </c>
      <c r="C203" s="67">
        <f>_xlfn.XLOOKUP(Data_LabTests[[#This Row],[Hole ID]],Data_Log[Hole ID],Data_Log[Pit])</f>
        <v>0</v>
      </c>
      <c r="D203" s="62"/>
      <c r="E203" s="63" t="str">
        <f>Data_LabTests[[#This Row],[Hole ID]]&amp;"_"&amp;Data_LabTests[[#This Row],[Sample '#]]</f>
        <v>_</v>
      </c>
      <c r="F203" s="6"/>
      <c r="G203" s="6"/>
      <c r="H203" s="5"/>
      <c r="I203" s="5"/>
      <c r="J203" s="13">
        <f>Data_LabTests[[#This Row],[Depth to (m)]]-Data_LabTests[[#This Row],[Depth from (m)]]</f>
        <v>0</v>
      </c>
      <c r="K203" s="6"/>
      <c r="L203" s="63" t="e">
        <f>VLOOKUP(Data_LabTests[[#This Row],[Hole ID]],Data_Log[[Hole ID]:[Core size]],20,FALSE)</f>
        <v>#N/A</v>
      </c>
      <c r="M203" s="6"/>
      <c r="N203" s="6"/>
      <c r="O203" s="6"/>
      <c r="P203" s="6"/>
      <c r="Q203" s="14"/>
    </row>
    <row r="204" spans="2:17" x14ac:dyDescent="0.25">
      <c r="B204" s="67" t="e">
        <f>VLOOKUP(Data_LabTests[[#This Row],[Hole ID]],Data_Log[],2,FALSE)</f>
        <v>#N/A</v>
      </c>
      <c r="C204" s="67">
        <f>_xlfn.XLOOKUP(Data_LabTests[[#This Row],[Hole ID]],Data_Log[Hole ID],Data_Log[Pit])</f>
        <v>0</v>
      </c>
      <c r="D204" s="62"/>
      <c r="E204" s="63" t="str">
        <f>Data_LabTests[[#This Row],[Hole ID]]&amp;"_"&amp;Data_LabTests[[#This Row],[Sample '#]]</f>
        <v>_</v>
      </c>
      <c r="F204" s="6"/>
      <c r="G204" s="6"/>
      <c r="H204" s="5"/>
      <c r="I204" s="5"/>
      <c r="J204" s="13">
        <f>Data_LabTests[[#This Row],[Depth to (m)]]-Data_LabTests[[#This Row],[Depth from (m)]]</f>
        <v>0</v>
      </c>
      <c r="K204" s="6"/>
      <c r="L204" s="63" t="e">
        <f>VLOOKUP(Data_LabTests[[#This Row],[Hole ID]],Data_Log[[Hole ID]:[Core size]],20,FALSE)</f>
        <v>#N/A</v>
      </c>
      <c r="M204" s="6"/>
      <c r="N204" s="6"/>
      <c r="O204" s="6"/>
      <c r="P204" s="6"/>
      <c r="Q204" s="14"/>
    </row>
    <row r="205" spans="2:17" x14ac:dyDescent="0.25">
      <c r="B205" s="67" t="e">
        <f>VLOOKUP(Data_LabTests[[#This Row],[Hole ID]],Data_Log[],2,FALSE)</f>
        <v>#N/A</v>
      </c>
      <c r="C205" s="67">
        <f>_xlfn.XLOOKUP(Data_LabTests[[#This Row],[Hole ID]],Data_Log[Hole ID],Data_Log[Pit])</f>
        <v>0</v>
      </c>
      <c r="D205" s="62"/>
      <c r="E205" s="63" t="str">
        <f>Data_LabTests[[#This Row],[Hole ID]]&amp;"_"&amp;Data_LabTests[[#This Row],[Sample '#]]</f>
        <v>_</v>
      </c>
      <c r="F205" s="6"/>
      <c r="G205" s="6"/>
      <c r="H205" s="5"/>
      <c r="I205" s="5"/>
      <c r="J205" s="13">
        <f>Data_LabTests[[#This Row],[Depth to (m)]]-Data_LabTests[[#This Row],[Depth from (m)]]</f>
        <v>0</v>
      </c>
      <c r="K205" s="6"/>
      <c r="L205" s="63" t="e">
        <f>VLOOKUP(Data_LabTests[[#This Row],[Hole ID]],Data_Log[[Hole ID]:[Core size]],20,FALSE)</f>
        <v>#N/A</v>
      </c>
      <c r="M205" s="6"/>
      <c r="N205" s="6"/>
      <c r="O205" s="6"/>
      <c r="P205" s="6"/>
      <c r="Q205" s="14"/>
    </row>
    <row r="206" spans="2:17" x14ac:dyDescent="0.25">
      <c r="B206" s="67" t="e">
        <f>VLOOKUP(Data_LabTests[[#This Row],[Hole ID]],Data_Log[],2,FALSE)</f>
        <v>#N/A</v>
      </c>
      <c r="C206" s="67">
        <f>_xlfn.XLOOKUP(Data_LabTests[[#This Row],[Hole ID]],Data_Log[Hole ID],Data_Log[Pit])</f>
        <v>0</v>
      </c>
      <c r="D206" s="62"/>
      <c r="E206" s="63" t="str">
        <f>Data_LabTests[[#This Row],[Hole ID]]&amp;"_"&amp;Data_LabTests[[#This Row],[Sample '#]]</f>
        <v>_</v>
      </c>
      <c r="F206" s="6"/>
      <c r="G206" s="6"/>
      <c r="H206" s="5"/>
      <c r="I206" s="5"/>
      <c r="J206" s="13">
        <f>Data_LabTests[[#This Row],[Depth to (m)]]-Data_LabTests[[#This Row],[Depth from (m)]]</f>
        <v>0</v>
      </c>
      <c r="K206" s="6"/>
      <c r="L206" s="63" t="e">
        <f>VLOOKUP(Data_LabTests[[#This Row],[Hole ID]],Data_Log[[Hole ID]:[Core size]],20,FALSE)</f>
        <v>#N/A</v>
      </c>
      <c r="M206" s="6"/>
      <c r="N206" s="6"/>
      <c r="O206" s="6"/>
      <c r="P206" s="6"/>
      <c r="Q206" s="14"/>
    </row>
  </sheetData>
  <phoneticPr fontId="4" type="noConversion"/>
  <dataValidations count="3">
    <dataValidation type="list" allowBlank="1" showInputMessage="1" showErrorMessage="1" sqref="N9 N4:N5 M4:M206" xr:uid="{CD662DCF-2428-4FC7-BE42-67BE9A8CD609}">
      <formula1>INDIRECT("Table_Lab_Picture[Description]")</formula1>
    </dataValidation>
    <dataValidation type="list" allowBlank="1" showInputMessage="1" showErrorMessage="1" sqref="O4:O206" xr:uid="{7D6F3908-83DA-4D70-ADF2-D7FEE33F00C0}">
      <formula1>INDIRECT("Table_Lab_Shipped[Description]")</formula1>
    </dataValidation>
    <dataValidation type="list" allowBlank="1" showInputMessage="1" showErrorMessage="1" sqref="F4:G206" xr:uid="{171F12D9-A315-41B9-9060-CB62A4FC619D}">
      <formula1>INDIRECT("Table_Lab_TestType[Description]")</formula1>
    </dataValidation>
  </dataValidation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A934-BED0-45CC-B6D0-659ACEBBDF1E}">
  <sheetPr codeName="Sheet9">
    <tabColor theme="0" tint="-0.499984740745262"/>
  </sheetPr>
  <dimension ref="A1:DE55"/>
  <sheetViews>
    <sheetView topLeftCell="W1" zoomScale="77" workbookViewId="0">
      <selection activeCell="CM17" sqref="CM17"/>
    </sheetView>
  </sheetViews>
  <sheetFormatPr baseColWidth="10" defaultColWidth="10.7109375" defaultRowHeight="15" x14ac:dyDescent="0.25"/>
  <cols>
    <col min="1" max="1" width="2.7109375" customWidth="1"/>
    <col min="2" max="2" width="23.28515625" bestFit="1" customWidth="1"/>
    <col min="3" max="3" width="2.7109375" customWidth="1"/>
    <col min="4" max="4" width="14.42578125" bestFit="1" customWidth="1"/>
    <col min="5" max="5" width="12.7109375" bestFit="1" customWidth="1"/>
    <col min="6" max="6" width="2.7109375" customWidth="1"/>
    <col min="7" max="7" width="18" bestFit="1" customWidth="1"/>
    <col min="8" max="8" width="2.7109375" customWidth="1"/>
    <col min="9" max="9" width="16.42578125" bestFit="1" customWidth="1"/>
    <col min="10" max="10" width="2.7109375" customWidth="1"/>
    <col min="11" max="11" width="1.28515625" style="25" customWidth="1"/>
    <col min="12" max="12" width="2.7109375" customWidth="1"/>
    <col min="13" max="13" width="20.28515625" customWidth="1"/>
    <col min="14" max="16" width="10.85546875" customWidth="1"/>
    <col min="17" max="17" width="2.7109375" customWidth="1"/>
    <col min="18" max="18" width="39.140625" customWidth="1"/>
    <col min="19" max="19" width="163.7109375" bestFit="1" customWidth="1"/>
    <col min="20" max="20" width="2.7109375" style="28" customWidth="1"/>
    <col min="21" max="21" width="49.28515625" bestFit="1" customWidth="1"/>
    <col min="22" max="22" width="2.7109375" customWidth="1"/>
    <col min="23" max="23" width="43.85546875" customWidth="1"/>
    <col min="24" max="24" width="2.7109375" customWidth="1"/>
    <col min="25" max="25" width="1.28515625" style="25" customWidth="1"/>
    <col min="26" max="26" width="2.7109375" customWidth="1"/>
    <col min="27" max="27" width="31.7109375" customWidth="1"/>
    <col min="28" max="28" width="7" customWidth="1"/>
    <col min="29" max="29" width="2.7109375" customWidth="1"/>
    <col min="30" max="30" width="79.42578125" bestFit="1" customWidth="1"/>
    <col min="31" max="31" width="7" customWidth="1"/>
    <col min="32" max="32" width="2.7109375" customWidth="1"/>
    <col min="33" max="33" width="15.7109375" bestFit="1" customWidth="1"/>
    <col min="34" max="34" width="7" customWidth="1"/>
    <col min="35" max="35" width="2.7109375" customWidth="1"/>
    <col min="36" max="36" width="18.140625" bestFit="1" customWidth="1"/>
    <col min="37" max="37" width="7" customWidth="1"/>
    <col min="38" max="38" width="2.7109375" customWidth="1"/>
    <col min="39" max="39" width="37" bestFit="1" customWidth="1"/>
    <col min="40" max="40" width="10.28515625" customWidth="1"/>
    <col min="41" max="41" width="11.85546875" bestFit="1" customWidth="1"/>
    <col min="42" max="45" width="7" customWidth="1"/>
    <col min="46" max="46" width="2.7109375" customWidth="1"/>
    <col min="47" max="47" width="22.28515625" bestFit="1" customWidth="1"/>
    <col min="48" max="48" width="7" customWidth="1"/>
    <col min="49" max="49" width="2.7109375" customWidth="1"/>
    <col min="50" max="50" width="24.140625" bestFit="1" customWidth="1"/>
    <col min="51" max="51" width="7" customWidth="1"/>
    <col min="52" max="52" width="2.7109375" customWidth="1"/>
    <col min="53" max="53" width="105" bestFit="1" customWidth="1"/>
    <col min="54" max="54" width="7" style="6" customWidth="1"/>
    <col min="55" max="55" width="2.7109375" customWidth="1"/>
    <col min="56" max="56" width="55.140625" customWidth="1"/>
    <col min="57" max="57" width="7" customWidth="1"/>
    <col min="58" max="58" width="2.7109375" customWidth="1"/>
    <col min="59" max="59" width="13.28515625" customWidth="1"/>
    <col min="60" max="60" width="44.5703125" bestFit="1" customWidth="1"/>
    <col min="61" max="61" width="27.5703125" customWidth="1"/>
    <col min="62" max="62" width="42.140625" bestFit="1" customWidth="1"/>
    <col min="63" max="63" width="11.140625" bestFit="1" customWidth="1"/>
    <col min="64" max="64" width="2.7109375" customWidth="1"/>
    <col min="65" max="65" width="1.28515625" style="25" customWidth="1"/>
    <col min="66" max="66" width="2.7109375" customWidth="1"/>
    <col min="67" max="67" width="20.42578125" customWidth="1"/>
    <col min="68" max="68" width="7.7109375" customWidth="1"/>
    <col min="69" max="69" width="2.7109375" customWidth="1"/>
    <col min="70" max="70" width="20.42578125" customWidth="1"/>
    <col min="71" max="72" width="8.7109375" customWidth="1"/>
    <col min="73" max="73" width="7.7109375" customWidth="1"/>
    <col min="74" max="74" width="2.7109375" customWidth="1"/>
    <col min="75" max="75" width="16.85546875" customWidth="1"/>
    <col min="76" max="77" width="8.7109375" customWidth="1"/>
    <col min="78" max="78" width="7.7109375" customWidth="1"/>
    <col min="79" max="79" width="2.7109375" customWidth="1"/>
    <col min="80" max="80" width="76.42578125" bestFit="1" customWidth="1"/>
    <col min="81" max="81" width="7.7109375" customWidth="1"/>
    <col min="82" max="82" width="2.7109375" customWidth="1"/>
    <col min="83" max="83" width="1.28515625" style="25" customWidth="1"/>
    <col min="84" max="84" width="2.7109375" customWidth="1"/>
    <col min="85" max="85" width="14" customWidth="1"/>
    <col min="86" max="86" width="2.7109375" customWidth="1"/>
    <col min="87" max="87" width="16" customWidth="1"/>
    <col min="88" max="88" width="2.7109375" customWidth="1"/>
    <col min="89" max="89" width="1.28515625" style="25" customWidth="1"/>
    <col min="90" max="90" width="2.7109375" customWidth="1"/>
    <col min="91" max="91" width="12.7109375" bestFit="1" customWidth="1"/>
    <col min="92" max="92" width="2.7109375" customWidth="1"/>
    <col min="94" max="94" width="2.7109375" customWidth="1"/>
    <col min="96" max="96" width="2.7109375" customWidth="1"/>
    <col min="97" max="97" width="1.28515625" style="25" customWidth="1"/>
    <col min="98" max="98" width="2.7109375" customWidth="1"/>
    <col min="99" max="99" width="13.140625" customWidth="1"/>
    <col min="100" max="100" width="2.7109375" customWidth="1"/>
    <col min="101" max="101" width="13.140625" customWidth="1"/>
    <col min="102" max="102" width="41" customWidth="1"/>
    <col min="103" max="103" width="2.7109375" customWidth="1"/>
    <col min="104" max="104" width="12.7109375" bestFit="1" customWidth="1"/>
    <col min="105" max="105" width="13.28515625" bestFit="1" customWidth="1"/>
    <col min="106" max="106" width="17.42578125" bestFit="1" customWidth="1"/>
    <col min="107" max="107" width="2.7109375" customWidth="1"/>
    <col min="108" max="108" width="13.85546875" customWidth="1"/>
    <col min="109" max="109" width="2.7109375" customWidth="1"/>
  </cols>
  <sheetData>
    <row r="1" spans="1:109" s="23" customFormat="1" ht="31.5" customHeight="1" thickBot="1" x14ac:dyDescent="0.3">
      <c r="A1" s="29" t="s">
        <v>195</v>
      </c>
      <c r="B1" s="29"/>
      <c r="C1" s="29"/>
      <c r="D1" s="29"/>
      <c r="E1" s="29"/>
      <c r="F1" s="29"/>
      <c r="G1" s="29"/>
      <c r="H1" s="29"/>
      <c r="I1" s="29"/>
      <c r="J1" s="29"/>
      <c r="K1" s="22"/>
      <c r="L1" s="29" t="s">
        <v>196</v>
      </c>
      <c r="M1" s="29"/>
      <c r="N1" s="29"/>
      <c r="O1" s="29"/>
      <c r="P1" s="29"/>
      <c r="Q1" s="29"/>
      <c r="R1" s="29"/>
      <c r="S1" s="29"/>
      <c r="T1" s="27"/>
      <c r="U1" s="29"/>
      <c r="V1" s="29"/>
      <c r="W1" s="29"/>
      <c r="X1" s="29"/>
      <c r="Y1" s="22"/>
      <c r="Z1" s="30" t="s">
        <v>197</v>
      </c>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1"/>
      <c r="BC1" s="30"/>
      <c r="BD1" s="30"/>
      <c r="BE1" s="30"/>
      <c r="BF1" s="30"/>
      <c r="BG1" s="30"/>
      <c r="BH1" s="30"/>
      <c r="BI1" s="30"/>
      <c r="BJ1" s="30"/>
      <c r="BK1" s="30"/>
      <c r="BL1" s="30"/>
      <c r="BM1" s="22"/>
      <c r="BN1" s="30" t="s">
        <v>93</v>
      </c>
      <c r="BO1" s="30"/>
      <c r="BP1" s="30"/>
      <c r="BQ1" s="30"/>
      <c r="BR1" s="30"/>
      <c r="BS1" s="30"/>
      <c r="BT1" s="30"/>
      <c r="BU1" s="30"/>
      <c r="BV1" s="30"/>
      <c r="BW1" s="30"/>
      <c r="BX1" s="30"/>
      <c r="BY1" s="30"/>
      <c r="BZ1" s="30"/>
      <c r="CA1" s="30"/>
      <c r="CB1" s="30"/>
      <c r="CC1" s="30"/>
      <c r="CD1" s="30"/>
      <c r="CE1" s="22"/>
      <c r="CF1" s="30" t="s">
        <v>128</v>
      </c>
      <c r="CG1" s="30"/>
      <c r="CH1" s="30"/>
      <c r="CI1" s="30"/>
      <c r="CJ1" s="30"/>
      <c r="CK1" s="22"/>
      <c r="CL1" s="30" t="s">
        <v>182</v>
      </c>
      <c r="CM1" s="30"/>
      <c r="CN1" s="30"/>
      <c r="CO1" s="30"/>
      <c r="CP1" s="30"/>
      <c r="CQ1" s="30"/>
      <c r="CR1" s="30"/>
      <c r="CS1" s="22"/>
      <c r="CT1" s="30" t="s">
        <v>198</v>
      </c>
      <c r="CU1" s="30"/>
      <c r="CV1" s="30"/>
      <c r="CW1" s="30"/>
      <c r="CX1" s="30"/>
      <c r="CY1" s="30"/>
      <c r="CZ1" s="30"/>
      <c r="DA1" s="30"/>
      <c r="DB1" s="30"/>
      <c r="DC1" s="30"/>
      <c r="DD1" s="30"/>
      <c r="DE1" s="30"/>
    </row>
    <row r="2" spans="1:109" ht="12" customHeight="1" x14ac:dyDescent="0.3">
      <c r="M2" s="24"/>
      <c r="N2" s="24"/>
      <c r="O2" s="24"/>
      <c r="P2" s="24"/>
      <c r="Q2" s="24"/>
      <c r="R2" s="24"/>
      <c r="S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O2" s="24"/>
      <c r="BP2" s="24"/>
      <c r="BQ2" s="24"/>
      <c r="BR2" s="24"/>
      <c r="BS2" s="24"/>
      <c r="BT2" s="24"/>
      <c r="BU2" s="24"/>
      <c r="BV2" s="24"/>
      <c r="BW2" s="24"/>
      <c r="BX2" s="24"/>
      <c r="BY2" s="24"/>
      <c r="BZ2" s="24"/>
      <c r="CA2" s="24"/>
      <c r="CB2" s="24"/>
      <c r="CC2" s="24"/>
      <c r="CD2" s="24"/>
      <c r="CF2" s="2"/>
      <c r="CG2" s="2"/>
      <c r="CH2" s="2"/>
      <c r="CI2" s="2"/>
      <c r="CJ2" s="2"/>
      <c r="CL2" s="2"/>
    </row>
    <row r="3" spans="1:109" ht="18.75" x14ac:dyDescent="0.3">
      <c r="B3" s="26" t="s">
        <v>5</v>
      </c>
      <c r="D3" s="26" t="s">
        <v>135</v>
      </c>
      <c r="E3" s="26"/>
      <c r="G3" s="26" t="s">
        <v>199</v>
      </c>
      <c r="I3" s="26" t="s">
        <v>200</v>
      </c>
      <c r="M3" s="26" t="s">
        <v>71</v>
      </c>
      <c r="N3" s="26"/>
      <c r="O3" s="26"/>
      <c r="P3" s="26"/>
      <c r="Q3" s="2"/>
      <c r="R3" s="26" t="s">
        <v>70</v>
      </c>
      <c r="S3" s="26"/>
      <c r="T3" s="28" t="s">
        <v>201</v>
      </c>
      <c r="U3" s="26" t="s">
        <v>79</v>
      </c>
      <c r="W3" s="26" t="s">
        <v>202</v>
      </c>
      <c r="AA3" s="26" t="s">
        <v>203</v>
      </c>
      <c r="AB3" s="26"/>
      <c r="AD3" s="26" t="s">
        <v>204</v>
      </c>
      <c r="AE3" s="26"/>
      <c r="AG3" s="26" t="s">
        <v>116</v>
      </c>
      <c r="AH3" s="26"/>
      <c r="AJ3" s="26" t="s">
        <v>117</v>
      </c>
      <c r="AK3" s="26"/>
      <c r="AM3" s="26"/>
      <c r="AN3" s="26"/>
      <c r="AO3" s="26"/>
      <c r="AP3" s="26"/>
      <c r="AQ3" s="26"/>
      <c r="AR3" s="26"/>
      <c r="AS3" s="26"/>
      <c r="AU3" s="26" t="s">
        <v>118</v>
      </c>
      <c r="AV3" s="26"/>
      <c r="AX3" s="26" t="s">
        <v>119</v>
      </c>
      <c r="AY3" s="26"/>
      <c r="BA3" s="26" t="s">
        <v>205</v>
      </c>
      <c r="BB3" s="32"/>
      <c r="BD3" s="26" t="s">
        <v>206</v>
      </c>
      <c r="BE3" s="26"/>
      <c r="BG3" s="26" t="s">
        <v>207</v>
      </c>
      <c r="BH3" s="26"/>
      <c r="BI3" s="26"/>
      <c r="BJ3" s="26"/>
      <c r="BK3" s="26"/>
      <c r="BO3" s="26" t="s">
        <v>208</v>
      </c>
      <c r="BP3" s="26"/>
      <c r="BR3" s="26" t="s">
        <v>209</v>
      </c>
      <c r="BS3" s="26"/>
      <c r="BT3" s="26"/>
      <c r="BU3" s="26"/>
      <c r="BW3" s="26" t="s">
        <v>210</v>
      </c>
      <c r="BX3" s="26"/>
      <c r="BY3" s="26"/>
      <c r="BZ3" s="26"/>
      <c r="CB3" s="26" t="s">
        <v>207</v>
      </c>
      <c r="CC3" s="26"/>
      <c r="CG3" s="26" t="s">
        <v>211</v>
      </c>
      <c r="CI3" s="26" t="s">
        <v>212</v>
      </c>
      <c r="CM3" s="26" t="s">
        <v>211</v>
      </c>
      <c r="CO3" s="26" t="s">
        <v>213</v>
      </c>
      <c r="CQ3" s="26" t="s">
        <v>214</v>
      </c>
      <c r="CU3" s="26" t="s">
        <v>215</v>
      </c>
      <c r="CW3" s="26" t="s">
        <v>216</v>
      </c>
      <c r="CX3" s="26"/>
      <c r="CZ3" s="26" t="s">
        <v>217</v>
      </c>
      <c r="DA3" s="26"/>
      <c r="DB3" s="26"/>
      <c r="DD3" s="26" t="s">
        <v>218</v>
      </c>
    </row>
    <row r="4" spans="1:109" ht="15.75" thickBot="1" x14ac:dyDescent="0.3">
      <c r="B4" s="21" t="s">
        <v>219</v>
      </c>
      <c r="C4" s="21"/>
      <c r="D4" s="69" t="s">
        <v>219</v>
      </c>
      <c r="E4" s="69" t="s">
        <v>220</v>
      </c>
      <c r="F4" s="21"/>
      <c r="G4" s="69" t="s">
        <v>219</v>
      </c>
      <c r="H4" s="21"/>
      <c r="I4" s="69" t="s">
        <v>219</v>
      </c>
      <c r="M4" s="21" t="s">
        <v>219</v>
      </c>
      <c r="N4" s="21" t="s">
        <v>221</v>
      </c>
      <c r="O4" s="64" t="s">
        <v>222</v>
      </c>
      <c r="P4" s="64" t="s">
        <v>223</v>
      </c>
      <c r="R4" s="1" t="s">
        <v>219</v>
      </c>
      <c r="S4" s="1" t="s">
        <v>224</v>
      </c>
      <c r="T4" s="28" t="s">
        <v>201</v>
      </c>
      <c r="U4" t="s">
        <v>219</v>
      </c>
      <c r="W4" s="96" t="s">
        <v>219</v>
      </c>
      <c r="AA4" t="s">
        <v>219</v>
      </c>
      <c r="AB4" t="s">
        <v>225</v>
      </c>
      <c r="AD4" t="s">
        <v>219</v>
      </c>
      <c r="AE4" s="6" t="s">
        <v>225</v>
      </c>
      <c r="AG4" t="s">
        <v>219</v>
      </c>
      <c r="AH4" t="s">
        <v>225</v>
      </c>
      <c r="AJ4" t="s">
        <v>219</v>
      </c>
      <c r="AK4" t="s">
        <v>225</v>
      </c>
      <c r="AM4" t="s">
        <v>203</v>
      </c>
      <c r="AN4" t="s">
        <v>116</v>
      </c>
      <c r="AO4" t="s">
        <v>226</v>
      </c>
      <c r="AP4" t="s">
        <v>227</v>
      </c>
      <c r="AU4" t="s">
        <v>219</v>
      </c>
      <c r="AV4" t="s">
        <v>225</v>
      </c>
      <c r="AX4" t="s">
        <v>219</v>
      </c>
      <c r="AY4" t="s">
        <v>225</v>
      </c>
      <c r="BA4" t="s">
        <v>219</v>
      </c>
      <c r="BB4" s="6" t="s">
        <v>225</v>
      </c>
      <c r="BD4" t="s">
        <v>219</v>
      </c>
      <c r="BE4" s="36" t="s">
        <v>225</v>
      </c>
      <c r="BG4" t="s">
        <v>228</v>
      </c>
      <c r="BH4" t="s">
        <v>229</v>
      </c>
      <c r="BI4" t="s">
        <v>230</v>
      </c>
      <c r="BJ4" t="s">
        <v>231</v>
      </c>
      <c r="BK4" s="6" t="s">
        <v>225</v>
      </c>
      <c r="BO4" t="s">
        <v>219</v>
      </c>
      <c r="BP4" s="6" t="s">
        <v>232</v>
      </c>
      <c r="BR4" t="s">
        <v>219</v>
      </c>
      <c r="BS4" s="6" t="s">
        <v>233</v>
      </c>
      <c r="BT4" s="6" t="s">
        <v>234</v>
      </c>
      <c r="BU4" t="s">
        <v>232</v>
      </c>
      <c r="BW4" t="s">
        <v>219</v>
      </c>
      <c r="BX4" s="6" t="s">
        <v>233</v>
      </c>
      <c r="BY4" s="6" t="s">
        <v>234</v>
      </c>
      <c r="BZ4" t="s">
        <v>232</v>
      </c>
      <c r="CB4" t="s">
        <v>219</v>
      </c>
      <c r="CC4" t="s">
        <v>232</v>
      </c>
      <c r="CG4" s="21" t="s">
        <v>219</v>
      </c>
      <c r="CI4" s="21" t="s">
        <v>219</v>
      </c>
      <c r="CM4" s="21" t="s">
        <v>219</v>
      </c>
      <c r="CO4" s="21" t="s">
        <v>219</v>
      </c>
      <c r="CQ4" s="21" t="s">
        <v>219</v>
      </c>
      <c r="CU4" s="73" t="s">
        <v>219</v>
      </c>
      <c r="CW4" s="21" t="s">
        <v>219</v>
      </c>
      <c r="CX4" s="21" t="s">
        <v>235</v>
      </c>
      <c r="CZ4" s="21" t="s">
        <v>236</v>
      </c>
      <c r="DA4" s="21" t="s">
        <v>237</v>
      </c>
      <c r="DB4" s="21" t="s">
        <v>238</v>
      </c>
      <c r="DD4" s="73" t="s">
        <v>219</v>
      </c>
    </row>
    <row r="5" spans="1:109" ht="15.75" thickTop="1" x14ac:dyDescent="0.25">
      <c r="B5" t="s">
        <v>239</v>
      </c>
      <c r="D5" s="6" t="s">
        <v>29</v>
      </c>
      <c r="E5" s="6">
        <v>63.5</v>
      </c>
      <c r="G5" s="6" t="s">
        <v>240</v>
      </c>
      <c r="I5" s="6" t="s">
        <v>241</v>
      </c>
      <c r="M5" t="s">
        <v>242</v>
      </c>
      <c r="N5" s="6">
        <v>0.25</v>
      </c>
      <c r="O5" s="65">
        <f>(Table_FieldStrength[[#This Row],[Max UCS]]+Table_FieldStrength[[#This Row],[Min UCS]])/2</f>
        <v>0.625</v>
      </c>
      <c r="P5" s="65">
        <v>1</v>
      </c>
      <c r="R5" s="20" t="s">
        <v>243</v>
      </c>
      <c r="S5" t="s">
        <v>244</v>
      </c>
      <c r="T5" s="28" t="s">
        <v>201</v>
      </c>
      <c r="U5" t="s">
        <v>245</v>
      </c>
      <c r="W5" s="93" t="s">
        <v>246</v>
      </c>
      <c r="AA5" t="s">
        <v>247</v>
      </c>
      <c r="AB5" t="s">
        <v>248</v>
      </c>
      <c r="AD5" t="s">
        <v>249</v>
      </c>
      <c r="AE5" s="6">
        <v>1</v>
      </c>
      <c r="AG5" t="s">
        <v>250</v>
      </c>
      <c r="AH5" t="s">
        <v>251</v>
      </c>
      <c r="AJ5" t="s">
        <v>252</v>
      </c>
      <c r="AK5" t="s">
        <v>253</v>
      </c>
      <c r="AM5" t="s">
        <v>254</v>
      </c>
      <c r="AN5" t="s">
        <v>255</v>
      </c>
      <c r="AO5" t="s">
        <v>256</v>
      </c>
      <c r="AP5">
        <v>1</v>
      </c>
      <c r="AU5" s="9" t="s">
        <v>257</v>
      </c>
      <c r="AV5" s="9" t="s">
        <v>258</v>
      </c>
      <c r="AX5" t="s">
        <v>259</v>
      </c>
      <c r="AY5" t="s">
        <v>260</v>
      </c>
      <c r="BA5" t="s">
        <v>261</v>
      </c>
      <c r="BB5" s="6">
        <v>0.75</v>
      </c>
      <c r="BD5" t="s">
        <v>262</v>
      </c>
      <c r="BE5" s="6">
        <v>0.5</v>
      </c>
      <c r="BG5" s="97" t="s">
        <v>228</v>
      </c>
      <c r="BH5" s="98" t="s">
        <v>263</v>
      </c>
      <c r="BI5" s="99"/>
      <c r="BJ5" s="100"/>
      <c r="BK5" s="101">
        <v>0</v>
      </c>
      <c r="BO5" t="s">
        <v>242</v>
      </c>
      <c r="BP5" s="6">
        <v>0</v>
      </c>
      <c r="BR5" t="s">
        <v>264</v>
      </c>
      <c r="BS5" s="6">
        <v>0</v>
      </c>
      <c r="BT5" s="6">
        <v>25</v>
      </c>
      <c r="BU5">
        <v>3</v>
      </c>
      <c r="BW5" t="s">
        <v>265</v>
      </c>
      <c r="BX5" s="46">
        <v>0</v>
      </c>
      <c r="BY5" s="46">
        <f>BX6</f>
        <v>0.05</v>
      </c>
      <c r="BZ5">
        <v>5</v>
      </c>
      <c r="CB5" t="s">
        <v>266</v>
      </c>
      <c r="CC5">
        <v>0</v>
      </c>
      <c r="CG5" t="s">
        <v>267</v>
      </c>
      <c r="CI5" t="s">
        <v>165</v>
      </c>
      <c r="CM5" s="9" t="s">
        <v>268</v>
      </c>
      <c r="CO5" s="10" t="s">
        <v>240</v>
      </c>
      <c r="CQ5" s="10" t="s">
        <v>240</v>
      </c>
      <c r="CU5" s="72" t="s">
        <v>269</v>
      </c>
      <c r="CW5" s="10" t="s">
        <v>270</v>
      </c>
      <c r="CX5" s="10" t="s">
        <v>270</v>
      </c>
      <c r="CZ5" s="10" t="s">
        <v>0</v>
      </c>
      <c r="DA5" s="10" t="s">
        <v>271</v>
      </c>
      <c r="DB5" s="10" t="s">
        <v>272</v>
      </c>
      <c r="DD5" s="76" t="b">
        <v>1</v>
      </c>
    </row>
    <row r="6" spans="1:109" x14ac:dyDescent="0.25">
      <c r="B6" s="20" t="s">
        <v>273</v>
      </c>
      <c r="C6" s="20"/>
      <c r="D6" s="6" t="s">
        <v>274</v>
      </c>
      <c r="E6" s="6">
        <v>61.1</v>
      </c>
      <c r="F6" s="20"/>
      <c r="G6" s="6" t="s">
        <v>275</v>
      </c>
      <c r="H6" s="20"/>
      <c r="I6" s="6" t="s">
        <v>276</v>
      </c>
      <c r="M6" t="s">
        <v>277</v>
      </c>
      <c r="N6" s="6">
        <v>1</v>
      </c>
      <c r="O6" s="65">
        <f>(Table_FieldStrength[[#This Row],[Max UCS]]+Table_FieldStrength[[#This Row],[Min UCS]])/2</f>
        <v>3</v>
      </c>
      <c r="P6" s="65">
        <v>5</v>
      </c>
      <c r="R6" s="20" t="s">
        <v>278</v>
      </c>
      <c r="S6" t="s">
        <v>279</v>
      </c>
      <c r="T6" s="28" t="s">
        <v>201</v>
      </c>
      <c r="U6" t="s">
        <v>280</v>
      </c>
      <c r="W6" s="93" t="s">
        <v>281</v>
      </c>
      <c r="AA6" t="s">
        <v>282</v>
      </c>
      <c r="AB6" t="s">
        <v>283</v>
      </c>
      <c r="AD6" t="s">
        <v>284</v>
      </c>
      <c r="AE6" s="6">
        <v>2</v>
      </c>
      <c r="AG6" t="s">
        <v>285</v>
      </c>
      <c r="AH6" t="s">
        <v>286</v>
      </c>
      <c r="AJ6" t="s">
        <v>287</v>
      </c>
      <c r="AK6" t="s">
        <v>288</v>
      </c>
      <c r="AN6" t="s">
        <v>251</v>
      </c>
      <c r="AO6" t="s">
        <v>288</v>
      </c>
      <c r="AP6">
        <v>0.5</v>
      </c>
      <c r="AU6" t="s">
        <v>289</v>
      </c>
      <c r="AV6" t="s">
        <v>290</v>
      </c>
      <c r="AX6" t="s">
        <v>291</v>
      </c>
      <c r="AY6" t="s">
        <v>292</v>
      </c>
      <c r="BA6" t="s">
        <v>293</v>
      </c>
      <c r="BB6" s="6">
        <v>1</v>
      </c>
      <c r="BD6" t="s">
        <v>294</v>
      </c>
      <c r="BE6" s="6">
        <v>1</v>
      </c>
      <c r="BG6" s="102" t="s">
        <v>228</v>
      </c>
      <c r="BH6" s="98" t="s">
        <v>295</v>
      </c>
      <c r="BI6" s="99"/>
      <c r="BJ6" s="100"/>
      <c r="BK6" s="101">
        <v>6</v>
      </c>
      <c r="BO6" t="s">
        <v>277</v>
      </c>
      <c r="BP6" s="6">
        <v>1</v>
      </c>
      <c r="BR6" t="s">
        <v>296</v>
      </c>
      <c r="BS6" s="6">
        <v>25</v>
      </c>
      <c r="BT6" s="6">
        <v>60</v>
      </c>
      <c r="BU6">
        <v>8</v>
      </c>
      <c r="BW6" t="s">
        <v>297</v>
      </c>
      <c r="BX6" s="46">
        <v>0.05</v>
      </c>
      <c r="BY6" s="46">
        <f>BX7</f>
        <v>0.3</v>
      </c>
      <c r="BZ6">
        <v>10</v>
      </c>
      <c r="CB6" t="s">
        <v>298</v>
      </c>
      <c r="CC6">
        <v>6</v>
      </c>
      <c r="CG6" t="s">
        <v>299</v>
      </c>
      <c r="CI6" t="s">
        <v>300</v>
      </c>
      <c r="CM6" s="9" t="s">
        <v>301</v>
      </c>
      <c r="CO6" s="10" t="s">
        <v>275</v>
      </c>
      <c r="CQ6" s="10" t="s">
        <v>275</v>
      </c>
      <c r="CU6" s="74" t="s">
        <v>302</v>
      </c>
      <c r="CW6" s="10" t="s">
        <v>303</v>
      </c>
      <c r="CX6" s="10" t="s">
        <v>304</v>
      </c>
      <c r="CZ6" s="10" t="s">
        <v>54</v>
      </c>
      <c r="DA6" s="10" t="s">
        <v>305</v>
      </c>
      <c r="DB6" s="10" t="s">
        <v>306</v>
      </c>
      <c r="DD6" s="77" t="b">
        <v>0</v>
      </c>
    </row>
    <row r="7" spans="1:109" x14ac:dyDescent="0.25">
      <c r="B7" s="20" t="s">
        <v>307</v>
      </c>
      <c r="C7" s="20"/>
      <c r="D7" s="6" t="s">
        <v>308</v>
      </c>
      <c r="E7" s="6">
        <v>47.6</v>
      </c>
      <c r="F7" s="20"/>
      <c r="G7" s="6"/>
      <c r="H7" s="20"/>
      <c r="I7" s="6"/>
      <c r="M7" t="s">
        <v>309</v>
      </c>
      <c r="N7" s="6">
        <v>5</v>
      </c>
      <c r="O7" s="65">
        <f>(Table_FieldStrength[[#This Row],[Max UCS]]+Table_FieldStrength[[#This Row],[Min UCS]])/2</f>
        <v>15</v>
      </c>
      <c r="P7" s="65">
        <v>25</v>
      </c>
      <c r="R7" s="20" t="s">
        <v>310</v>
      </c>
      <c r="S7" t="s">
        <v>311</v>
      </c>
      <c r="T7" s="28" t="s">
        <v>201</v>
      </c>
      <c r="U7" t="s">
        <v>312</v>
      </c>
      <c r="W7" s="93" t="s">
        <v>313</v>
      </c>
      <c r="AA7" t="s">
        <v>314</v>
      </c>
      <c r="AB7" t="s">
        <v>315</v>
      </c>
      <c r="AD7" t="s">
        <v>316</v>
      </c>
      <c r="AE7" s="6">
        <v>3</v>
      </c>
      <c r="AG7" t="s">
        <v>317</v>
      </c>
      <c r="AH7" t="s">
        <v>318</v>
      </c>
      <c r="AJ7" t="s">
        <v>319</v>
      </c>
      <c r="AK7" t="s">
        <v>320</v>
      </c>
      <c r="AN7" t="s">
        <v>251</v>
      </c>
      <c r="AO7" t="s">
        <v>253</v>
      </c>
      <c r="AP7">
        <v>0.5</v>
      </c>
      <c r="AU7" t="s">
        <v>321</v>
      </c>
      <c r="AV7" t="s">
        <v>322</v>
      </c>
      <c r="AX7" t="s">
        <v>323</v>
      </c>
      <c r="AY7" t="s">
        <v>324</v>
      </c>
      <c r="BA7" t="s">
        <v>325</v>
      </c>
      <c r="BB7" s="6">
        <v>2</v>
      </c>
      <c r="BD7" t="s">
        <v>326</v>
      </c>
      <c r="BE7" s="6">
        <v>1</v>
      </c>
      <c r="BG7" s="97" t="s">
        <v>327</v>
      </c>
      <c r="BH7" s="97" t="s">
        <v>328</v>
      </c>
      <c r="BI7" s="103" t="s">
        <v>329</v>
      </c>
      <c r="BJ7" s="104" t="s">
        <v>330</v>
      </c>
      <c r="BK7" s="101">
        <v>12</v>
      </c>
      <c r="BO7" t="s">
        <v>309</v>
      </c>
      <c r="BP7" s="6">
        <v>2</v>
      </c>
      <c r="BR7" t="s">
        <v>331</v>
      </c>
      <c r="BS7" s="6">
        <v>50</v>
      </c>
      <c r="BT7" s="6">
        <v>75</v>
      </c>
      <c r="BU7">
        <v>13</v>
      </c>
      <c r="BW7" t="s">
        <v>332</v>
      </c>
      <c r="BX7" s="46">
        <v>0.3</v>
      </c>
      <c r="BY7" s="46">
        <f>BX8</f>
        <v>1</v>
      </c>
      <c r="BZ7">
        <v>20</v>
      </c>
      <c r="CB7" t="s">
        <v>333</v>
      </c>
      <c r="CC7">
        <v>12</v>
      </c>
      <c r="CI7" t="s">
        <v>334</v>
      </c>
      <c r="CM7" s="9" t="s">
        <v>335</v>
      </c>
      <c r="CO7" s="9"/>
      <c r="CW7" s="10" t="s">
        <v>336</v>
      </c>
      <c r="CX7" s="10" t="s">
        <v>337</v>
      </c>
      <c r="CZ7" s="10" t="s">
        <v>110</v>
      </c>
      <c r="DA7" s="10" t="s">
        <v>338</v>
      </c>
      <c r="DB7" s="10" t="s">
        <v>339</v>
      </c>
    </row>
    <row r="8" spans="1:109" ht="14.1" customHeight="1" x14ac:dyDescent="0.25">
      <c r="B8" t="s">
        <v>340</v>
      </c>
      <c r="D8" s="6" t="s">
        <v>341</v>
      </c>
      <c r="E8" s="6">
        <v>45</v>
      </c>
      <c r="G8" s="6"/>
      <c r="I8" s="6"/>
      <c r="M8" t="s">
        <v>342</v>
      </c>
      <c r="N8" s="6">
        <v>25</v>
      </c>
      <c r="O8" s="65">
        <f>(Table_FieldStrength[[#This Row],[Max UCS]]+Table_FieldStrength[[#This Row],[Min UCS]])/2</f>
        <v>37.5</v>
      </c>
      <c r="P8" s="65">
        <v>50</v>
      </c>
      <c r="R8" s="20" t="s">
        <v>343</v>
      </c>
      <c r="S8" t="s">
        <v>344</v>
      </c>
      <c r="T8" s="28" t="s">
        <v>201</v>
      </c>
      <c r="U8" t="s">
        <v>345</v>
      </c>
      <c r="W8" s="95" t="s">
        <v>346</v>
      </c>
      <c r="AA8" t="s">
        <v>347</v>
      </c>
      <c r="AB8" t="s">
        <v>348</v>
      </c>
      <c r="AD8" t="s">
        <v>349</v>
      </c>
      <c r="AE8" s="6">
        <v>4</v>
      </c>
      <c r="AG8" t="s">
        <v>350</v>
      </c>
      <c r="AH8" t="s">
        <v>322</v>
      </c>
      <c r="AJ8" s="9" t="s">
        <v>351</v>
      </c>
      <c r="AK8" s="9" t="s">
        <v>352</v>
      </c>
      <c r="AL8" s="9"/>
      <c r="AM8" s="9"/>
      <c r="AN8" s="9" t="s">
        <v>251</v>
      </c>
      <c r="AO8" s="9" t="s">
        <v>320</v>
      </c>
      <c r="AP8" s="9">
        <v>1</v>
      </c>
      <c r="AQ8" s="9"/>
      <c r="AR8" s="9"/>
      <c r="AS8" s="9"/>
      <c r="AU8" t="s">
        <v>353</v>
      </c>
      <c r="AV8" t="s">
        <v>354</v>
      </c>
      <c r="AX8" t="s">
        <v>355</v>
      </c>
      <c r="AY8" t="s">
        <v>356</v>
      </c>
      <c r="BA8" t="s">
        <v>357</v>
      </c>
      <c r="BB8" s="6">
        <v>3</v>
      </c>
      <c r="BD8" t="s">
        <v>358</v>
      </c>
      <c r="BE8" s="6">
        <v>1.5</v>
      </c>
      <c r="BG8" s="105" t="s">
        <v>327</v>
      </c>
      <c r="BH8" s="105" t="s">
        <v>328</v>
      </c>
      <c r="BI8" s="106" t="s">
        <v>329</v>
      </c>
      <c r="BJ8" s="104" t="s">
        <v>359</v>
      </c>
      <c r="BK8" s="101">
        <v>12</v>
      </c>
      <c r="BO8" t="s">
        <v>342</v>
      </c>
      <c r="BP8" s="6">
        <v>4</v>
      </c>
      <c r="BR8" t="s">
        <v>360</v>
      </c>
      <c r="BS8" s="6">
        <v>75</v>
      </c>
      <c r="BT8" s="6">
        <v>90</v>
      </c>
      <c r="BU8">
        <v>17</v>
      </c>
      <c r="BW8" t="s">
        <v>361</v>
      </c>
      <c r="BX8" s="46">
        <v>1</v>
      </c>
      <c r="BY8" s="46">
        <f>BX9</f>
        <v>3</v>
      </c>
      <c r="BZ8">
        <v>25</v>
      </c>
      <c r="CB8" t="s">
        <v>362</v>
      </c>
      <c r="CC8">
        <v>20</v>
      </c>
      <c r="CI8" t="s">
        <v>363</v>
      </c>
      <c r="CM8" s="9" t="s">
        <v>364</v>
      </c>
      <c r="CO8" s="9"/>
      <c r="CW8" s="10" t="s">
        <v>365</v>
      </c>
      <c r="CX8" s="10" t="s">
        <v>366</v>
      </c>
      <c r="CZ8" s="10" t="s">
        <v>128</v>
      </c>
      <c r="DA8" s="10" t="s">
        <v>367</v>
      </c>
      <c r="DB8" s="10" t="s">
        <v>368</v>
      </c>
    </row>
    <row r="9" spans="1:109" x14ac:dyDescent="0.25">
      <c r="D9" s="6" t="s">
        <v>369</v>
      </c>
      <c r="E9" s="6">
        <v>85</v>
      </c>
      <c r="G9" s="6"/>
      <c r="I9" s="6"/>
      <c r="M9" t="s">
        <v>370</v>
      </c>
      <c r="N9" s="6">
        <v>50</v>
      </c>
      <c r="O9" s="65">
        <f>(Table_FieldStrength[[#This Row],[Max UCS]]+Table_FieldStrength[[#This Row],[Min UCS]])/2</f>
        <v>75</v>
      </c>
      <c r="P9" s="65">
        <v>100</v>
      </c>
      <c r="R9" s="20" t="s">
        <v>371</v>
      </c>
      <c r="S9" t="s">
        <v>372</v>
      </c>
      <c r="T9" s="28" t="s">
        <v>201</v>
      </c>
      <c r="U9" t="s">
        <v>373</v>
      </c>
      <c r="AA9" t="s">
        <v>374</v>
      </c>
      <c r="AB9" t="s">
        <v>375</v>
      </c>
      <c r="AD9" t="s">
        <v>376</v>
      </c>
      <c r="AE9" s="6">
        <v>5</v>
      </c>
      <c r="AG9" t="s">
        <v>377</v>
      </c>
      <c r="AH9" t="s">
        <v>378</v>
      </c>
      <c r="AJ9" t="s">
        <v>379</v>
      </c>
      <c r="AK9" t="s">
        <v>380</v>
      </c>
      <c r="AN9" t="s">
        <v>251</v>
      </c>
      <c r="AO9" t="s">
        <v>380</v>
      </c>
      <c r="AP9">
        <v>1.5</v>
      </c>
      <c r="AU9" t="s">
        <v>381</v>
      </c>
      <c r="AV9" t="s">
        <v>382</v>
      </c>
      <c r="AX9" t="s">
        <v>383</v>
      </c>
      <c r="AY9" t="s">
        <v>384</v>
      </c>
      <c r="BA9" t="s">
        <v>385</v>
      </c>
      <c r="BB9" s="6">
        <v>4</v>
      </c>
      <c r="BD9" t="s">
        <v>386</v>
      </c>
      <c r="BE9" s="6">
        <v>1.5</v>
      </c>
      <c r="BG9" s="105" t="s">
        <v>327</v>
      </c>
      <c r="BH9" s="105" t="s">
        <v>328</v>
      </c>
      <c r="BI9" s="103" t="s">
        <v>387</v>
      </c>
      <c r="BJ9" s="104" t="s">
        <v>330</v>
      </c>
      <c r="BK9" s="101">
        <v>12</v>
      </c>
      <c r="BO9" t="s">
        <v>370</v>
      </c>
      <c r="BP9" s="6">
        <v>7</v>
      </c>
      <c r="BR9" t="s">
        <v>388</v>
      </c>
      <c r="BS9" s="6">
        <v>90</v>
      </c>
      <c r="BT9" s="6">
        <v>100</v>
      </c>
      <c r="BU9">
        <v>20</v>
      </c>
      <c r="BW9" t="s">
        <v>389</v>
      </c>
      <c r="BX9" s="46">
        <v>3</v>
      </c>
      <c r="BY9" s="46">
        <v>999</v>
      </c>
      <c r="BZ9">
        <v>30</v>
      </c>
      <c r="CB9" t="s">
        <v>390</v>
      </c>
      <c r="CC9">
        <v>25</v>
      </c>
      <c r="CI9" t="s">
        <v>162</v>
      </c>
      <c r="CM9" s="9" t="s">
        <v>391</v>
      </c>
      <c r="CO9" s="9"/>
      <c r="CW9" s="10" t="s">
        <v>392</v>
      </c>
      <c r="CX9" s="10" t="s">
        <v>393</v>
      </c>
      <c r="CZ9" s="10" t="s">
        <v>182</v>
      </c>
      <c r="DA9" s="10" t="s">
        <v>394</v>
      </c>
      <c r="DB9" s="10" t="s">
        <v>395</v>
      </c>
    </row>
    <row r="10" spans="1:109" ht="14.45" customHeight="1" x14ac:dyDescent="0.25">
      <c r="D10" s="6" t="s">
        <v>396</v>
      </c>
      <c r="E10" s="6">
        <v>83</v>
      </c>
      <c r="G10" s="6"/>
      <c r="I10" s="6"/>
      <c r="M10" t="s">
        <v>397</v>
      </c>
      <c r="N10" s="6">
        <v>100</v>
      </c>
      <c r="O10" s="65">
        <f>(Table_FieldStrength[[#This Row],[Max UCS]]+Table_FieldStrength[[#This Row],[Min UCS]])/2</f>
        <v>175</v>
      </c>
      <c r="P10" s="65">
        <v>250</v>
      </c>
      <c r="R10" s="20" t="s">
        <v>398</v>
      </c>
      <c r="S10" t="s">
        <v>399</v>
      </c>
      <c r="T10" s="28" t="s">
        <v>201</v>
      </c>
      <c r="U10" t="s">
        <v>400</v>
      </c>
      <c r="AA10" t="s">
        <v>401</v>
      </c>
      <c r="AB10" t="s">
        <v>402</v>
      </c>
      <c r="AJ10" t="s">
        <v>403</v>
      </c>
      <c r="AK10" t="s">
        <v>404</v>
      </c>
      <c r="AN10" t="s">
        <v>251</v>
      </c>
      <c r="AO10" t="s">
        <v>404</v>
      </c>
      <c r="AP10">
        <v>1.5</v>
      </c>
      <c r="AU10" t="s">
        <v>405</v>
      </c>
      <c r="AV10" t="s">
        <v>406</v>
      </c>
      <c r="AX10" t="s">
        <v>407</v>
      </c>
      <c r="AY10" t="s">
        <v>408</v>
      </c>
      <c r="BA10" t="s">
        <v>409</v>
      </c>
      <c r="BB10" s="6">
        <v>4</v>
      </c>
      <c r="BD10" t="s">
        <v>410</v>
      </c>
      <c r="BE10" s="6">
        <v>2</v>
      </c>
      <c r="BG10" s="107" t="s">
        <v>327</v>
      </c>
      <c r="BH10" s="102" t="s">
        <v>328</v>
      </c>
      <c r="BI10" s="108" t="s">
        <v>387</v>
      </c>
      <c r="BJ10" s="104" t="s">
        <v>359</v>
      </c>
      <c r="BK10" s="101">
        <v>20</v>
      </c>
      <c r="BO10" t="s">
        <v>397</v>
      </c>
      <c r="BP10" s="6">
        <v>12</v>
      </c>
      <c r="CI10" t="s">
        <v>163</v>
      </c>
      <c r="CM10" s="9" t="s">
        <v>411</v>
      </c>
      <c r="CW10" s="10" t="s">
        <v>412</v>
      </c>
      <c r="CX10" s="10" t="s">
        <v>413</v>
      </c>
      <c r="CZ10" s="10"/>
      <c r="DA10" s="10"/>
      <c r="DB10" s="10"/>
    </row>
    <row r="11" spans="1:109" ht="14.45" customHeight="1" x14ac:dyDescent="0.25">
      <c r="D11" s="6" t="s">
        <v>414</v>
      </c>
      <c r="E11" s="6" t="s">
        <v>415</v>
      </c>
      <c r="G11" s="6"/>
      <c r="I11" s="6"/>
      <c r="M11" t="s">
        <v>416</v>
      </c>
      <c r="N11" s="6">
        <v>250</v>
      </c>
      <c r="O11" s="65">
        <f>(Table_FieldStrength[[#This Row],[Max UCS]]+Table_FieldStrength[[#This Row],[Min UCS]])/2</f>
        <v>275</v>
      </c>
      <c r="P11" s="65">
        <v>300</v>
      </c>
      <c r="T11" s="28" t="s">
        <v>201</v>
      </c>
      <c r="U11" t="s">
        <v>417</v>
      </c>
      <c r="W11" t="s">
        <v>418</v>
      </c>
      <c r="AA11" t="s">
        <v>419</v>
      </c>
      <c r="AB11" t="s">
        <v>420</v>
      </c>
      <c r="AN11" t="s">
        <v>286</v>
      </c>
      <c r="AO11" t="s">
        <v>253</v>
      </c>
      <c r="AP11">
        <v>1.5</v>
      </c>
      <c r="AU11" t="s">
        <v>421</v>
      </c>
      <c r="AV11" t="s">
        <v>422</v>
      </c>
      <c r="AX11" t="s">
        <v>423</v>
      </c>
      <c r="AY11" t="s">
        <v>424</v>
      </c>
      <c r="BA11" t="s">
        <v>425</v>
      </c>
      <c r="BB11" s="6">
        <v>5</v>
      </c>
      <c r="BD11" t="s">
        <v>426</v>
      </c>
      <c r="BE11" s="6">
        <v>3</v>
      </c>
      <c r="BG11" s="107" t="s">
        <v>327</v>
      </c>
      <c r="BH11" s="109" t="s">
        <v>427</v>
      </c>
      <c r="BI11" s="103" t="s">
        <v>329</v>
      </c>
      <c r="BJ11" s="104" t="s">
        <v>330</v>
      </c>
      <c r="BK11" s="101">
        <v>12</v>
      </c>
      <c r="BO11" t="s">
        <v>416</v>
      </c>
      <c r="BP11" s="6">
        <v>15</v>
      </c>
      <c r="CI11" t="s">
        <v>428</v>
      </c>
      <c r="CM11" s="9" t="s">
        <v>429</v>
      </c>
      <c r="CW11" s="10" t="s">
        <v>430</v>
      </c>
      <c r="CX11" s="10" t="s">
        <v>431</v>
      </c>
      <c r="CZ11" s="10"/>
      <c r="DA11" s="10"/>
      <c r="DB11" s="10"/>
    </row>
    <row r="12" spans="1:109" ht="14.45" customHeight="1" x14ac:dyDescent="0.25">
      <c r="T12" s="28" t="s">
        <v>201</v>
      </c>
      <c r="U12" t="s">
        <v>432</v>
      </c>
      <c r="W12" t="s">
        <v>433</v>
      </c>
      <c r="AA12" s="91" t="s">
        <v>434</v>
      </c>
      <c r="AB12" s="91" t="s">
        <v>435</v>
      </c>
      <c r="AN12" t="s">
        <v>286</v>
      </c>
      <c r="AO12" t="s">
        <v>288</v>
      </c>
      <c r="AP12">
        <v>1.5</v>
      </c>
      <c r="AX12" t="s">
        <v>436</v>
      </c>
      <c r="AY12" t="s">
        <v>437</v>
      </c>
      <c r="BA12" t="s">
        <v>438</v>
      </c>
      <c r="BB12" s="6">
        <v>6</v>
      </c>
      <c r="BD12" t="s">
        <v>439</v>
      </c>
      <c r="BE12" s="35">
        <v>4</v>
      </c>
      <c r="BG12" s="107" t="s">
        <v>327</v>
      </c>
      <c r="BH12" s="110" t="s">
        <v>427</v>
      </c>
      <c r="BI12" s="108" t="s">
        <v>329</v>
      </c>
      <c r="BJ12" s="104" t="s">
        <v>359</v>
      </c>
      <c r="BK12" s="101">
        <v>20</v>
      </c>
      <c r="CI12" t="s">
        <v>166</v>
      </c>
      <c r="CM12" s="9" t="s">
        <v>440</v>
      </c>
      <c r="CW12" s="10" t="s">
        <v>441</v>
      </c>
      <c r="CX12" s="10"/>
    </row>
    <row r="13" spans="1:109" ht="14.45" customHeight="1" x14ac:dyDescent="0.25">
      <c r="T13" s="28" t="s">
        <v>201</v>
      </c>
      <c r="U13" t="s">
        <v>442</v>
      </c>
      <c r="W13" t="s">
        <v>443</v>
      </c>
      <c r="AA13" t="s">
        <v>444</v>
      </c>
      <c r="AB13" t="s">
        <v>445</v>
      </c>
      <c r="AN13" t="s">
        <v>286</v>
      </c>
      <c r="AO13" t="s">
        <v>320</v>
      </c>
      <c r="AP13">
        <v>2</v>
      </c>
      <c r="AX13" t="s">
        <v>446</v>
      </c>
      <c r="AY13" t="s">
        <v>447</v>
      </c>
      <c r="BA13" t="s">
        <v>448</v>
      </c>
      <c r="BB13" s="6">
        <v>8</v>
      </c>
      <c r="BG13" s="107" t="s">
        <v>327</v>
      </c>
      <c r="BH13" s="110" t="s">
        <v>427</v>
      </c>
      <c r="BI13" s="103" t="s">
        <v>387</v>
      </c>
      <c r="BJ13" s="104" t="s">
        <v>330</v>
      </c>
      <c r="BK13" s="101">
        <v>20</v>
      </c>
      <c r="CM13" s="9" t="s">
        <v>449</v>
      </c>
      <c r="CW13" s="10" t="s">
        <v>450</v>
      </c>
      <c r="CX13" s="10"/>
    </row>
    <row r="14" spans="1:109" ht="14.45" customHeight="1" x14ac:dyDescent="0.3">
      <c r="M14" s="2"/>
      <c r="N14" s="2"/>
      <c r="O14" s="2"/>
      <c r="P14" s="2"/>
      <c r="Q14" s="2"/>
      <c r="R14" s="2"/>
      <c r="T14" s="28" t="s">
        <v>201</v>
      </c>
      <c r="U14" t="s">
        <v>451</v>
      </c>
      <c r="W14" t="s">
        <v>452</v>
      </c>
      <c r="AA14" t="s">
        <v>453</v>
      </c>
      <c r="AB14" t="s">
        <v>454</v>
      </c>
      <c r="AN14" t="s">
        <v>286</v>
      </c>
      <c r="AO14" t="s">
        <v>380</v>
      </c>
      <c r="AP14">
        <v>3</v>
      </c>
      <c r="AX14" t="s">
        <v>455</v>
      </c>
      <c r="AY14" t="s">
        <v>456</v>
      </c>
      <c r="BA14" t="s">
        <v>457</v>
      </c>
      <c r="BB14" s="6">
        <v>10</v>
      </c>
      <c r="BG14" s="108" t="s">
        <v>327</v>
      </c>
      <c r="BH14" s="111" t="s">
        <v>427</v>
      </c>
      <c r="BI14" s="108" t="s">
        <v>387</v>
      </c>
      <c r="BJ14" s="104" t="s">
        <v>359</v>
      </c>
      <c r="BK14" s="101">
        <v>25</v>
      </c>
      <c r="CI14" s="26" t="s">
        <v>142</v>
      </c>
      <c r="CM14" s="9" t="s">
        <v>458</v>
      </c>
      <c r="CW14" s="10" t="s">
        <v>459</v>
      </c>
      <c r="CX14" s="10" t="s">
        <v>460</v>
      </c>
    </row>
    <row r="15" spans="1:109" ht="14.45" customHeight="1" x14ac:dyDescent="0.25">
      <c r="AA15" t="s">
        <v>461</v>
      </c>
      <c r="AB15" t="s">
        <v>462</v>
      </c>
      <c r="AN15" t="s">
        <v>286</v>
      </c>
      <c r="AO15" t="s">
        <v>404</v>
      </c>
      <c r="AP15">
        <v>3</v>
      </c>
      <c r="AX15" t="s">
        <v>463</v>
      </c>
      <c r="AY15" t="s">
        <v>464</v>
      </c>
      <c r="BA15" t="s">
        <v>465</v>
      </c>
      <c r="BB15" s="6">
        <v>12</v>
      </c>
      <c r="BG15" s="33" t="s">
        <v>466</v>
      </c>
      <c r="BH15" s="33" t="s">
        <v>466</v>
      </c>
      <c r="BI15" s="33" t="s">
        <v>466</v>
      </c>
      <c r="BJ15" s="33" t="s">
        <v>466</v>
      </c>
      <c r="BK15" s="34">
        <v>25</v>
      </c>
      <c r="BO15" s="26" t="s">
        <v>467</v>
      </c>
      <c r="BP15" s="26"/>
      <c r="CI15" s="21" t="s">
        <v>219</v>
      </c>
      <c r="CM15" s="9" t="s">
        <v>468</v>
      </c>
    </row>
    <row r="16" spans="1:109" ht="14.45" customHeight="1" x14ac:dyDescent="0.25">
      <c r="AA16" t="s">
        <v>469</v>
      </c>
      <c r="AB16" t="s">
        <v>470</v>
      </c>
      <c r="AN16" t="s">
        <v>318</v>
      </c>
      <c r="AO16" t="s">
        <v>253</v>
      </c>
      <c r="AP16">
        <v>1.5</v>
      </c>
      <c r="AX16" t="s">
        <v>471</v>
      </c>
      <c r="AY16" t="s">
        <v>472</v>
      </c>
      <c r="BA16" t="s">
        <v>473</v>
      </c>
      <c r="BB16" s="6">
        <v>15</v>
      </c>
      <c r="BO16" t="s">
        <v>219</v>
      </c>
      <c r="BP16" s="6" t="s">
        <v>232</v>
      </c>
      <c r="CI16" t="s">
        <v>166</v>
      </c>
      <c r="CM16" s="9" t="s">
        <v>474</v>
      </c>
    </row>
    <row r="17" spans="13:87" ht="14.45" customHeight="1" x14ac:dyDescent="0.25">
      <c r="S17" s="3"/>
      <c r="AA17" t="s">
        <v>475</v>
      </c>
      <c r="AB17" t="s">
        <v>476</v>
      </c>
      <c r="AN17" t="s">
        <v>318</v>
      </c>
      <c r="AO17" t="s">
        <v>288</v>
      </c>
      <c r="AP17">
        <v>1.5</v>
      </c>
      <c r="AX17" t="s">
        <v>477</v>
      </c>
      <c r="AY17" t="s">
        <v>478</v>
      </c>
      <c r="BA17" t="s">
        <v>479</v>
      </c>
      <c r="BB17" s="6">
        <v>20</v>
      </c>
      <c r="BO17">
        <f>1/25</f>
        <v>0.04</v>
      </c>
      <c r="BP17" s="6">
        <v>0</v>
      </c>
      <c r="CI17" t="s">
        <v>161</v>
      </c>
    </row>
    <row r="18" spans="13:87" ht="14.45" customHeight="1" x14ac:dyDescent="0.25">
      <c r="S18" s="3"/>
      <c r="AA18" t="s">
        <v>480</v>
      </c>
      <c r="AB18" t="s">
        <v>481</v>
      </c>
      <c r="AN18" t="s">
        <v>318</v>
      </c>
      <c r="AO18" t="s">
        <v>320</v>
      </c>
      <c r="AP18">
        <v>2</v>
      </c>
      <c r="AX18" t="s">
        <v>482</v>
      </c>
      <c r="AY18" t="s">
        <v>483</v>
      </c>
      <c r="BO18">
        <f>3/25</f>
        <v>0.12</v>
      </c>
      <c r="BP18" s="6">
        <v>1</v>
      </c>
    </row>
    <row r="19" spans="13:87" ht="14.45" customHeight="1" x14ac:dyDescent="0.25">
      <c r="S19" s="3"/>
      <c r="AA19" s="91" t="s">
        <v>484</v>
      </c>
      <c r="AB19" s="91" t="s">
        <v>485</v>
      </c>
      <c r="AN19" t="s">
        <v>318</v>
      </c>
      <c r="AO19" t="s">
        <v>380</v>
      </c>
      <c r="AP19">
        <v>3</v>
      </c>
      <c r="AX19" t="s">
        <v>486</v>
      </c>
      <c r="AY19" t="s">
        <v>487</v>
      </c>
      <c r="BO19">
        <f>10/25</f>
        <v>0.4</v>
      </c>
      <c r="BP19" s="6">
        <v>2</v>
      </c>
    </row>
    <row r="20" spans="13:87" x14ac:dyDescent="0.25">
      <c r="S20" s="3"/>
      <c r="AA20" s="91" t="s">
        <v>488</v>
      </c>
      <c r="AB20" s="91" t="s">
        <v>489</v>
      </c>
      <c r="AN20" t="s">
        <v>318</v>
      </c>
      <c r="AO20" t="s">
        <v>404</v>
      </c>
      <c r="AP20">
        <v>3</v>
      </c>
      <c r="AX20" t="s">
        <v>490</v>
      </c>
      <c r="AY20" t="s">
        <v>491</v>
      </c>
      <c r="BO20">
        <v>1</v>
      </c>
      <c r="BP20" s="6">
        <v>4</v>
      </c>
    </row>
    <row r="21" spans="13:87" x14ac:dyDescent="0.25">
      <c r="S21" s="3"/>
      <c r="AG21" s="4"/>
      <c r="AN21" t="s">
        <v>322</v>
      </c>
      <c r="AO21" t="s">
        <v>253</v>
      </c>
      <c r="AP21">
        <v>1.5</v>
      </c>
      <c r="AX21" t="s">
        <v>492</v>
      </c>
      <c r="AY21" t="s">
        <v>493</v>
      </c>
      <c r="BO21">
        <v>2</v>
      </c>
      <c r="BP21" s="6">
        <v>7</v>
      </c>
    </row>
    <row r="22" spans="13:87" x14ac:dyDescent="0.25">
      <c r="AN22" t="s">
        <v>322</v>
      </c>
      <c r="AO22" t="s">
        <v>288</v>
      </c>
      <c r="AP22">
        <v>1.5</v>
      </c>
      <c r="AX22" t="s">
        <v>494</v>
      </c>
      <c r="AY22" t="s">
        <v>495</v>
      </c>
      <c r="BO22">
        <v>4</v>
      </c>
      <c r="BP22" s="6">
        <v>12</v>
      </c>
    </row>
    <row r="23" spans="13:87" x14ac:dyDescent="0.25">
      <c r="AN23" t="s">
        <v>322</v>
      </c>
      <c r="AO23" t="s">
        <v>320</v>
      </c>
      <c r="AP23">
        <v>2</v>
      </c>
      <c r="AX23" t="s">
        <v>496</v>
      </c>
      <c r="AY23" t="s">
        <v>497</v>
      </c>
      <c r="BO23">
        <v>8</v>
      </c>
      <c r="BP23" s="6">
        <v>15</v>
      </c>
    </row>
    <row r="24" spans="13:87" ht="18.75" x14ac:dyDescent="0.3">
      <c r="M24" s="2"/>
      <c r="N24" s="2"/>
      <c r="O24" s="2"/>
      <c r="P24" s="2"/>
      <c r="Q24" s="2"/>
      <c r="R24" s="2"/>
      <c r="AN24" t="s">
        <v>322</v>
      </c>
      <c r="AO24" t="s">
        <v>380</v>
      </c>
      <c r="AP24">
        <v>3</v>
      </c>
      <c r="AX24" t="s">
        <v>498</v>
      </c>
      <c r="AY24" t="s">
        <v>499</v>
      </c>
    </row>
    <row r="25" spans="13:87" x14ac:dyDescent="0.25">
      <c r="AN25" t="s">
        <v>322</v>
      </c>
      <c r="AO25" t="s">
        <v>404</v>
      </c>
      <c r="AP25">
        <v>3</v>
      </c>
      <c r="AX25" t="s">
        <v>500</v>
      </c>
      <c r="AY25" t="s">
        <v>501</v>
      </c>
    </row>
    <row r="26" spans="13:87" x14ac:dyDescent="0.25">
      <c r="AN26" t="s">
        <v>378</v>
      </c>
      <c r="AO26" t="s">
        <v>253</v>
      </c>
      <c r="AP26">
        <v>1.5</v>
      </c>
      <c r="AX26" t="s">
        <v>502</v>
      </c>
      <c r="AY26" t="s">
        <v>503</v>
      </c>
    </row>
    <row r="27" spans="13:87" x14ac:dyDescent="0.25">
      <c r="AN27" t="s">
        <v>378</v>
      </c>
      <c r="AO27" t="s">
        <v>288</v>
      </c>
      <c r="AP27">
        <v>1.5</v>
      </c>
      <c r="AX27" t="s">
        <v>504</v>
      </c>
      <c r="AY27" t="s">
        <v>505</v>
      </c>
    </row>
    <row r="28" spans="13:87" x14ac:dyDescent="0.25">
      <c r="AN28" t="s">
        <v>378</v>
      </c>
      <c r="AO28" t="s">
        <v>320</v>
      </c>
      <c r="AP28">
        <v>2</v>
      </c>
      <c r="AX28" t="s">
        <v>506</v>
      </c>
      <c r="AY28" t="s">
        <v>507</v>
      </c>
    </row>
    <row r="29" spans="13:87" x14ac:dyDescent="0.25">
      <c r="AN29" t="s">
        <v>378</v>
      </c>
      <c r="AO29" t="s">
        <v>380</v>
      </c>
      <c r="AP29">
        <v>3</v>
      </c>
      <c r="AX29" t="s">
        <v>508</v>
      </c>
      <c r="AY29" t="s">
        <v>509</v>
      </c>
      <c r="BL29" s="10"/>
    </row>
    <row r="30" spans="13:87" x14ac:dyDescent="0.25">
      <c r="AN30" t="s">
        <v>378</v>
      </c>
      <c r="AO30" t="s">
        <v>404</v>
      </c>
      <c r="AP30">
        <v>3</v>
      </c>
      <c r="AX30" t="s">
        <v>510</v>
      </c>
      <c r="AY30" t="s">
        <v>511</v>
      </c>
    </row>
    <row r="31" spans="13:87" x14ac:dyDescent="0.25">
      <c r="AM31" t="s">
        <v>512</v>
      </c>
      <c r="AO31" s="4" t="s">
        <v>256</v>
      </c>
      <c r="AP31">
        <v>4</v>
      </c>
      <c r="AX31" t="s">
        <v>513</v>
      </c>
      <c r="AY31" t="s">
        <v>514</v>
      </c>
    </row>
    <row r="32" spans="13:87" x14ac:dyDescent="0.25">
      <c r="AX32" t="s">
        <v>515</v>
      </c>
      <c r="AY32" t="s">
        <v>516</v>
      </c>
    </row>
    <row r="33" spans="13:64" x14ac:dyDescent="0.25">
      <c r="AX33" t="s">
        <v>517</v>
      </c>
      <c r="AY33" t="s">
        <v>518</v>
      </c>
    </row>
    <row r="34" spans="13:64" x14ac:dyDescent="0.25">
      <c r="AX34" t="s">
        <v>519</v>
      </c>
      <c r="AY34" t="s">
        <v>454</v>
      </c>
    </row>
    <row r="35" spans="13:64" x14ac:dyDescent="0.25">
      <c r="AX35" t="s">
        <v>520</v>
      </c>
      <c r="AY35" t="s">
        <v>521</v>
      </c>
    </row>
    <row r="36" spans="13:64" x14ac:dyDescent="0.25">
      <c r="AX36" t="s">
        <v>522</v>
      </c>
      <c r="AY36" t="s">
        <v>523</v>
      </c>
    </row>
    <row r="37" spans="13:64" x14ac:dyDescent="0.25">
      <c r="AX37" t="s">
        <v>524</v>
      </c>
      <c r="AY37" t="s">
        <v>525</v>
      </c>
    </row>
    <row r="38" spans="13:64" ht="18.75" x14ac:dyDescent="0.3">
      <c r="M38" s="2"/>
      <c r="N38" s="2"/>
      <c r="O38" s="2"/>
      <c r="P38" s="2"/>
      <c r="Q38" s="2"/>
      <c r="R38" s="2"/>
      <c r="AX38" t="s">
        <v>526</v>
      </c>
      <c r="AY38" t="s">
        <v>527</v>
      </c>
    </row>
    <row r="39" spans="13:64" x14ac:dyDescent="0.25">
      <c r="AX39" t="s">
        <v>528</v>
      </c>
      <c r="AY39" t="s">
        <v>529</v>
      </c>
    </row>
    <row r="40" spans="13:64" x14ac:dyDescent="0.25">
      <c r="AX40" t="s">
        <v>530</v>
      </c>
      <c r="AY40" t="s">
        <v>462</v>
      </c>
    </row>
    <row r="41" spans="13:64" x14ac:dyDescent="0.25">
      <c r="AX41" t="s">
        <v>531</v>
      </c>
      <c r="AY41" t="s">
        <v>532</v>
      </c>
    </row>
    <row r="42" spans="13:64" x14ac:dyDescent="0.25">
      <c r="AX42" t="s">
        <v>533</v>
      </c>
      <c r="AY42" t="s">
        <v>534</v>
      </c>
    </row>
    <row r="43" spans="13:64" x14ac:dyDescent="0.25">
      <c r="AX43" t="s">
        <v>535</v>
      </c>
      <c r="AY43" t="s">
        <v>536</v>
      </c>
      <c r="BJ43" s="10"/>
      <c r="BK43" s="10"/>
      <c r="BL43" s="10"/>
    </row>
    <row r="44" spans="13:64" x14ac:dyDescent="0.25">
      <c r="AX44" t="s">
        <v>537</v>
      </c>
      <c r="AY44" t="s">
        <v>288</v>
      </c>
    </row>
    <row r="45" spans="13:64" x14ac:dyDescent="0.25">
      <c r="AX45" t="s">
        <v>538</v>
      </c>
      <c r="AY45" t="s">
        <v>539</v>
      </c>
    </row>
    <row r="46" spans="13:64" x14ac:dyDescent="0.25">
      <c r="AX46" t="s">
        <v>540</v>
      </c>
      <c r="AY46" t="s">
        <v>541</v>
      </c>
    </row>
    <row r="47" spans="13:64" x14ac:dyDescent="0.25">
      <c r="AX47" t="s">
        <v>542</v>
      </c>
      <c r="AY47" t="s">
        <v>57</v>
      </c>
    </row>
    <row r="48" spans="13:64" x14ac:dyDescent="0.25">
      <c r="AX48" t="s">
        <v>543</v>
      </c>
      <c r="AY48" t="s">
        <v>544</v>
      </c>
    </row>
    <row r="49" spans="50:51" x14ac:dyDescent="0.25">
      <c r="AX49" t="s">
        <v>545</v>
      </c>
      <c r="AY49" t="s">
        <v>546</v>
      </c>
    </row>
    <row r="50" spans="50:51" x14ac:dyDescent="0.25">
      <c r="AX50" t="s">
        <v>547</v>
      </c>
      <c r="AY50" t="s">
        <v>548</v>
      </c>
    </row>
    <row r="51" spans="50:51" x14ac:dyDescent="0.25">
      <c r="AX51" t="s">
        <v>549</v>
      </c>
      <c r="AY51" t="s">
        <v>550</v>
      </c>
    </row>
    <row r="52" spans="50:51" x14ac:dyDescent="0.25">
      <c r="AX52" t="s">
        <v>551</v>
      </c>
      <c r="AY52" t="s">
        <v>552</v>
      </c>
    </row>
    <row r="53" spans="50:51" x14ac:dyDescent="0.25">
      <c r="AX53" t="s">
        <v>553</v>
      </c>
      <c r="AY53" t="s">
        <v>554</v>
      </c>
    </row>
    <row r="54" spans="50:51" x14ac:dyDescent="0.25">
      <c r="AX54" t="s">
        <v>555</v>
      </c>
      <c r="AY54" t="s">
        <v>556</v>
      </c>
    </row>
    <row r="55" spans="50:51" x14ac:dyDescent="0.25">
      <c r="AX55" t="s">
        <v>557</v>
      </c>
      <c r="AY55" t="s">
        <v>558</v>
      </c>
    </row>
  </sheetData>
  <pageMargins left="0.7" right="0.7" top="0.75" bottom="0.75" header="0.3" footer="0.3"/>
  <pageSetup orientation="landscape" r:id="rId1"/>
  <drawing r:id="rId2"/>
  <legacyDrawing r:id="rId3"/>
  <tableParts count="3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808DC-6621-43A3-A4BD-01077DE430E4}">
  <sheetPr codeName="Sheet8">
    <tabColor theme="0" tint="-0.499984740745262"/>
  </sheetPr>
  <dimension ref="A1:P38"/>
  <sheetViews>
    <sheetView workbookViewId="0">
      <selection activeCell="B15" sqref="B15"/>
    </sheetView>
  </sheetViews>
  <sheetFormatPr baseColWidth="10" defaultColWidth="10.7109375" defaultRowHeight="15" x14ac:dyDescent="0.25"/>
  <cols>
    <col min="1" max="1" width="2.7109375" customWidth="1"/>
    <col min="2" max="2" width="39.140625" customWidth="1"/>
    <col min="3" max="3" width="19.5703125" customWidth="1"/>
    <col min="4" max="4" width="13.28515625" customWidth="1"/>
    <col min="5" max="5" width="3.85546875" customWidth="1"/>
    <col min="6" max="6" width="20.42578125" bestFit="1" customWidth="1"/>
    <col min="7" max="7" width="13.42578125" customWidth="1"/>
    <col min="8" max="8" width="3.85546875" customWidth="1"/>
    <col min="9" max="9" width="14.28515625" customWidth="1"/>
    <col min="10" max="11" width="11.28515625" customWidth="1"/>
    <col min="12" max="12" width="42.140625" bestFit="1" customWidth="1"/>
    <col min="13" max="13" width="3.85546875" customWidth="1"/>
    <col min="14" max="14" width="18" customWidth="1"/>
    <col min="15" max="15" width="3.85546875" customWidth="1"/>
  </cols>
  <sheetData>
    <row r="1" spans="1:16" s="23" customFormat="1" ht="31.5" customHeight="1" thickBot="1" x14ac:dyDescent="0.3">
      <c r="A1" s="29" t="s">
        <v>559</v>
      </c>
      <c r="B1" s="29"/>
      <c r="C1" s="29"/>
      <c r="D1" s="29"/>
      <c r="E1" s="29"/>
      <c r="F1" s="29"/>
      <c r="G1" s="29"/>
      <c r="H1" s="29"/>
      <c r="I1" s="29"/>
      <c r="J1" s="29"/>
      <c r="K1" s="29"/>
      <c r="L1" s="29"/>
      <c r="M1" s="29"/>
      <c r="N1" s="29"/>
      <c r="O1" s="29"/>
      <c r="P1" s="29"/>
    </row>
    <row r="2" spans="1:16" ht="12" customHeight="1" x14ac:dyDescent="0.3">
      <c r="B2" s="24"/>
      <c r="C2" s="24"/>
      <c r="D2" s="24"/>
      <c r="F2" s="2"/>
      <c r="G2" s="2"/>
      <c r="I2" s="2"/>
      <c r="J2" s="2"/>
      <c r="K2" s="2"/>
      <c r="L2" s="2"/>
      <c r="M2" s="2"/>
      <c r="N2" s="2"/>
    </row>
    <row r="3" spans="1:16" ht="18.75" x14ac:dyDescent="0.25">
      <c r="B3" s="26" t="s">
        <v>171</v>
      </c>
      <c r="C3" s="26"/>
      <c r="D3" s="26"/>
      <c r="F3" s="26" t="s">
        <v>560</v>
      </c>
      <c r="G3" s="26"/>
      <c r="I3" s="26" t="s">
        <v>561</v>
      </c>
      <c r="J3" s="26"/>
      <c r="K3" s="26"/>
      <c r="L3" s="26"/>
      <c r="N3" s="26" t="s">
        <v>562</v>
      </c>
      <c r="P3" s="26" t="s">
        <v>4</v>
      </c>
    </row>
    <row r="4" spans="1:16" x14ac:dyDescent="0.25">
      <c r="B4" s="1" t="s">
        <v>219</v>
      </c>
      <c r="C4" s="1" t="s">
        <v>225</v>
      </c>
      <c r="D4" s="1" t="s">
        <v>563</v>
      </c>
      <c r="F4" s="1" t="s">
        <v>219</v>
      </c>
      <c r="G4" s="1" t="s">
        <v>564</v>
      </c>
      <c r="I4" s="1" t="s">
        <v>565</v>
      </c>
      <c r="J4" s="79" t="s">
        <v>566</v>
      </c>
      <c r="K4" s="79" t="s">
        <v>567</v>
      </c>
      <c r="L4" s="79" t="s">
        <v>568</v>
      </c>
      <c r="N4" s="1" t="s">
        <v>3</v>
      </c>
      <c r="P4" s="1" t="s">
        <v>4</v>
      </c>
    </row>
    <row r="5" spans="1:16" x14ac:dyDescent="0.25">
      <c r="B5" s="20" t="s">
        <v>569</v>
      </c>
      <c r="C5" t="s">
        <v>570</v>
      </c>
      <c r="F5" s="20" t="s">
        <v>571</v>
      </c>
      <c r="G5" s="20"/>
      <c r="I5" s="20" t="s">
        <v>571</v>
      </c>
      <c r="J5" s="65"/>
      <c r="K5" s="65"/>
      <c r="L5" s="20"/>
      <c r="N5" s="20" t="s">
        <v>38</v>
      </c>
      <c r="P5" s="20"/>
    </row>
    <row r="6" spans="1:16" x14ac:dyDescent="0.25">
      <c r="B6" s="20" t="s">
        <v>572</v>
      </c>
      <c r="C6" t="s">
        <v>573</v>
      </c>
      <c r="F6" s="20" t="s">
        <v>574</v>
      </c>
      <c r="G6" s="20"/>
      <c r="I6" s="20" t="s">
        <v>233</v>
      </c>
      <c r="J6" s="78">
        <v>17.5</v>
      </c>
      <c r="K6" s="78"/>
      <c r="L6" s="20"/>
      <c r="N6" s="20" t="s">
        <v>28</v>
      </c>
      <c r="P6" s="20"/>
    </row>
    <row r="7" spans="1:16" x14ac:dyDescent="0.25">
      <c r="B7" s="20" t="s">
        <v>575</v>
      </c>
      <c r="C7" t="s">
        <v>491</v>
      </c>
      <c r="F7" s="20" t="s">
        <v>576</v>
      </c>
      <c r="G7" s="47">
        <f>1/0.14375</f>
        <v>6.9565217391304355</v>
      </c>
      <c r="I7" s="20" t="s">
        <v>577</v>
      </c>
      <c r="J7" s="78">
        <v>20</v>
      </c>
      <c r="K7" s="78"/>
      <c r="L7" s="20"/>
      <c r="N7" s="20" t="s">
        <v>43</v>
      </c>
      <c r="P7" s="20"/>
    </row>
    <row r="8" spans="1:16" x14ac:dyDescent="0.25">
      <c r="B8" s="20" t="s">
        <v>578</v>
      </c>
      <c r="C8" t="s">
        <v>579</v>
      </c>
      <c r="F8" s="20"/>
      <c r="I8" s="20" t="s">
        <v>234</v>
      </c>
      <c r="J8" s="78">
        <v>25</v>
      </c>
      <c r="K8" s="78"/>
      <c r="L8" s="20"/>
      <c r="N8" s="20"/>
      <c r="P8" s="20"/>
    </row>
    <row r="9" spans="1:16" x14ac:dyDescent="0.25">
      <c r="B9" s="149" t="s">
        <v>580</v>
      </c>
      <c r="C9" t="s">
        <v>581</v>
      </c>
      <c r="F9" s="20"/>
      <c r="I9" s="20"/>
      <c r="N9" s="20"/>
    </row>
    <row r="10" spans="1:16" x14ac:dyDescent="0.25">
      <c r="B10" s="20" t="s">
        <v>582</v>
      </c>
      <c r="C10" t="s">
        <v>583</v>
      </c>
      <c r="N10" s="20"/>
    </row>
    <row r="11" spans="1:16" x14ac:dyDescent="0.25">
      <c r="B11" s="20" t="s">
        <v>584</v>
      </c>
      <c r="C11" t="s">
        <v>585</v>
      </c>
      <c r="D11" s="3"/>
    </row>
    <row r="12" spans="1:16" x14ac:dyDescent="0.25">
      <c r="B12" s="20" t="s">
        <v>586</v>
      </c>
    </row>
    <row r="13" spans="1:16" x14ac:dyDescent="0.25">
      <c r="B13" s="20" t="s">
        <v>590</v>
      </c>
      <c r="C13" t="s">
        <v>591</v>
      </c>
    </row>
    <row r="14" spans="1:16" x14ac:dyDescent="0.25">
      <c r="B14" s="89" t="s">
        <v>600</v>
      </c>
      <c r="C14" t="s">
        <v>601</v>
      </c>
    </row>
    <row r="15" spans="1:16" x14ac:dyDescent="0.25">
      <c r="B15" s="20"/>
    </row>
    <row r="16" spans="1:16" x14ac:dyDescent="0.25">
      <c r="B16" s="20"/>
    </row>
    <row r="17" spans="2:4" x14ac:dyDescent="0.25">
      <c r="B17" s="20"/>
    </row>
    <row r="18" spans="2:4" x14ac:dyDescent="0.25">
      <c r="B18" s="20"/>
    </row>
    <row r="19" spans="2:4" x14ac:dyDescent="0.25">
      <c r="B19" s="20"/>
    </row>
    <row r="20" spans="2:4" x14ac:dyDescent="0.25">
      <c r="B20" s="20"/>
    </row>
    <row r="21" spans="2:4" x14ac:dyDescent="0.25">
      <c r="B21" s="20"/>
      <c r="D21" s="3"/>
    </row>
    <row r="22" spans="2:4" x14ac:dyDescent="0.25">
      <c r="B22" s="20"/>
    </row>
    <row r="23" spans="2:4" x14ac:dyDescent="0.25">
      <c r="B23" s="20"/>
    </row>
    <row r="24" spans="2:4" x14ac:dyDescent="0.25">
      <c r="B24" s="20"/>
    </row>
    <row r="25" spans="2:4" x14ac:dyDescent="0.25">
      <c r="B25" s="20"/>
    </row>
    <row r="26" spans="2:4" x14ac:dyDescent="0.25">
      <c r="B26" s="20"/>
    </row>
    <row r="27" spans="2:4" x14ac:dyDescent="0.25">
      <c r="B27" s="20"/>
    </row>
    <row r="38" spans="2:2" ht="18.75" x14ac:dyDescent="0.3">
      <c r="B38" s="2"/>
    </row>
  </sheetData>
  <pageMargins left="0.7" right="0.7" top="0.75" bottom="0.75" header="0.3" footer="0.3"/>
  <pageSetup orientation="landscape" r:id="rId1"/>
  <drawing r:id="rId2"/>
  <legacyDrawing r:id="rId3"/>
  <tableParts count="5">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bb3307-733d-4350-b20c-5b007e475882">
      <Terms xmlns="http://schemas.microsoft.com/office/infopath/2007/PartnerControls"/>
    </lcf76f155ced4ddcb4097134ff3c332f>
    <TaxCatchAll xmlns="09b13786-548f-4bc8-9d78-64b3cd63f2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C4D2325F4E074448CE18F87858D6FFA" ma:contentTypeVersion="19" ma:contentTypeDescription="Create a new document." ma:contentTypeScope="" ma:versionID="b37f841b8f9e0a11afb68072b579c7ca">
  <xsd:schema xmlns:xsd="http://www.w3.org/2001/XMLSchema" xmlns:xs="http://www.w3.org/2001/XMLSchema" xmlns:p="http://schemas.microsoft.com/office/2006/metadata/properties" xmlns:ns2="8ebb3307-733d-4350-b20c-5b007e475882" xmlns:ns3="09b13786-548f-4bc8-9d78-64b3cd63f276" targetNamespace="http://schemas.microsoft.com/office/2006/metadata/properties" ma:root="true" ma:fieldsID="59190e0e0b74d3665cb1e9970507fa15" ns2:_="" ns3:_="">
    <xsd:import namespace="8ebb3307-733d-4350-b20c-5b007e475882"/>
    <xsd:import namespace="09b13786-548f-4bc8-9d78-64b3cd63f27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bb3307-733d-4350-b20c-5b007e4758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e90b5cf-ca62-4d4e-bb77-e496b12ded6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b13786-548f-4bc8-9d78-64b3cd63f276"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63ee0f5-d90c-4868-bdfa-52dfe9244b2d}" ma:internalName="TaxCatchAll" ma:showField="CatchAllData" ma:web="09b13786-548f-4bc8-9d78-64b3cd63f2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33DC31-0D78-42EA-9EE6-AE752B80DBBA}">
  <ds:schemaRefs>
    <ds:schemaRef ds:uri="http://schemas.microsoft.com/office/2006/metadata/properties"/>
    <ds:schemaRef ds:uri="http://schemas.microsoft.com/office/infopath/2007/PartnerControls"/>
    <ds:schemaRef ds:uri="8ebb3307-733d-4350-b20c-5b007e475882"/>
    <ds:schemaRef ds:uri="09b13786-548f-4bc8-9d78-64b3cd63f276"/>
  </ds:schemaRefs>
</ds:datastoreItem>
</file>

<file path=customXml/itemProps2.xml><?xml version="1.0" encoding="utf-8"?>
<ds:datastoreItem xmlns:ds="http://schemas.openxmlformats.org/officeDocument/2006/customXml" ds:itemID="{023D81C8-0DCD-4976-91C2-3CDA1EA0FF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bb3307-733d-4350-b20c-5b007e475882"/>
    <ds:schemaRef ds:uri="09b13786-548f-4bc8-9d78-64b3cd63f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59CAC5-AAC4-4B28-A0B5-F78C9780EA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Log</vt:lpstr>
      <vt:lpstr>Survey</vt:lpstr>
      <vt:lpstr>Geotech</vt:lpstr>
      <vt:lpstr>Discontinuities</vt:lpstr>
      <vt:lpstr>PLT</vt:lpstr>
      <vt:lpstr>Table Lists</vt:lpstr>
      <vt:lpstr>Lab Tests</vt:lpstr>
      <vt:lpstr>References</vt:lpstr>
      <vt:lpstr>Site Specific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Sabrina Chayer</dc:creator>
  <cp:keywords/>
  <dc:description/>
  <cp:lastModifiedBy>Yohan Sercia</cp:lastModifiedBy>
  <cp:revision/>
  <dcterms:created xsi:type="dcterms:W3CDTF">2022-05-25T18:48:26Z</dcterms:created>
  <dcterms:modified xsi:type="dcterms:W3CDTF">2025-11-18T22:59:36Z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0x010100FC4D2325F4E074448CE18F87858D6FFA</vt:lpwstr>
  </property>
</Properties>
</file>